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Empalme 2020-2023\Plan de Desarrollo 2020-2023\Seguimiento Instrumentos\Segto Instrum 2020\IV Trimestre 2020\"/>
    </mc:Choice>
  </mc:AlternateContent>
  <bookViews>
    <workbookView xWindow="0" yWindow="0" windowWidth="24000" windowHeight="9045"/>
  </bookViews>
  <sheets>
    <sheet name="F-PLA-05 PLAN INDIC 2020" sheetId="7" r:id="rId1"/>
    <sheet name="PROGRAMAS PLAN INDICATIVO" sheetId="5" r:id="rId2"/>
  </sheets>
  <externalReferences>
    <externalReference r:id="rId3"/>
    <externalReference r:id="rId4"/>
    <externalReference r:id="rId5"/>
    <externalReference r:id="rId6"/>
  </externalReferences>
  <definedNames>
    <definedName name="_xlnm._FilterDatabase" localSheetId="0" hidden="1">'F-PLA-05 PLAN INDIC 2020'!$A$6:$DS$353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329" i="7" l="1"/>
  <c r="AG329" i="7"/>
  <c r="AF329" i="7"/>
  <c r="AE329" i="7"/>
  <c r="AI253" i="7"/>
  <c r="AH253" i="7"/>
  <c r="AG253" i="7"/>
  <c r="AF253" i="7"/>
  <c r="AE253" i="7"/>
  <c r="AI252" i="7"/>
  <c r="AH252" i="7"/>
  <c r="AG252" i="7"/>
  <c r="AF252" i="7"/>
  <c r="AE252" i="7"/>
  <c r="AI244" i="7"/>
  <c r="AH244" i="7"/>
  <c r="AG244" i="7"/>
  <c r="AF244" i="7"/>
  <c r="AE244" i="7"/>
  <c r="AI243" i="7"/>
  <c r="AH243" i="7"/>
  <c r="AG243" i="7"/>
  <c r="AF243" i="7"/>
  <c r="AE243" i="7"/>
  <c r="AI117" i="7"/>
  <c r="AH117" i="7"/>
  <c r="AG117" i="7"/>
  <c r="AF117" i="7"/>
  <c r="AE117" i="7"/>
  <c r="AI112" i="7"/>
  <c r="AH112" i="7"/>
  <c r="AG112" i="7"/>
  <c r="AF112" i="7"/>
  <c r="AE112" i="7"/>
  <c r="AF98" i="7"/>
  <c r="AF114" i="7" l="1"/>
  <c r="AG114" i="7"/>
  <c r="AH114" i="7"/>
  <c r="AG92" i="7" l="1"/>
  <c r="AH92" i="7"/>
  <c r="AH240" i="7" l="1"/>
  <c r="AH239" i="7"/>
  <c r="C4" i="5" l="1"/>
  <c r="C5" i="5"/>
  <c r="C6" i="5"/>
  <c r="C7" i="5"/>
  <c r="C8" i="5"/>
  <c r="C9" i="5"/>
  <c r="C10" i="5"/>
  <c r="C11" i="5"/>
  <c r="C12" i="5"/>
  <c r="C13" i="5"/>
  <c r="C14" i="5"/>
  <c r="C15" i="5"/>
  <c r="C16" i="5"/>
  <c r="C17" i="5"/>
  <c r="C18" i="5"/>
  <c r="C19" i="5"/>
  <c r="C20" i="5"/>
  <c r="C21" i="5"/>
  <c r="C22" i="5"/>
  <c r="C24" i="5"/>
  <c r="C25" i="5"/>
  <c r="C26" i="5"/>
  <c r="C27" i="5"/>
  <c r="C28" i="5"/>
  <c r="C29" i="5"/>
  <c r="C30" i="5"/>
  <c r="C31" i="5"/>
  <c r="C32" i="5"/>
  <c r="C33" i="5"/>
  <c r="C34" i="5"/>
  <c r="C35" i="5"/>
  <c r="C36" i="5"/>
  <c r="C37" i="5"/>
  <c r="C39" i="5"/>
  <c r="C40" i="5"/>
  <c r="C41" i="5"/>
  <c r="C42" i="5"/>
  <c r="C43" i="5"/>
  <c r="C44" i="5"/>
  <c r="C45" i="5"/>
  <c r="C46" i="5"/>
  <c r="C47" i="5"/>
  <c r="C48" i="5"/>
  <c r="C50" i="5"/>
  <c r="C51" i="5"/>
  <c r="C52" i="5"/>
  <c r="B52" i="5"/>
  <c r="B51" i="5"/>
  <c r="B50" i="5"/>
  <c r="B48" i="5"/>
  <c r="B47" i="5"/>
  <c r="B46" i="5"/>
  <c r="B45" i="5"/>
  <c r="B44" i="5"/>
  <c r="B43" i="5"/>
  <c r="B42" i="5"/>
  <c r="B41" i="5"/>
  <c r="B40" i="5"/>
  <c r="B39" i="5"/>
  <c r="B37" i="5"/>
  <c r="B36" i="5"/>
  <c r="B35" i="5"/>
  <c r="B34" i="5"/>
  <c r="B33" i="5"/>
  <c r="B32" i="5"/>
  <c r="B31" i="5"/>
  <c r="B30" i="5"/>
  <c r="B29" i="5"/>
  <c r="B28" i="5"/>
  <c r="B27" i="5"/>
  <c r="B26" i="5"/>
  <c r="B25" i="5"/>
  <c r="B24" i="5"/>
  <c r="B22" i="5"/>
  <c r="B21" i="5"/>
  <c r="B20" i="5"/>
  <c r="B19" i="5"/>
  <c r="B18" i="5"/>
  <c r="B17" i="5"/>
  <c r="B16" i="5"/>
  <c r="B15" i="5"/>
  <c r="B14" i="5"/>
  <c r="B13" i="5"/>
  <c r="B12" i="5"/>
  <c r="B11" i="5"/>
  <c r="B10" i="5"/>
  <c r="B9" i="5"/>
  <c r="B8" i="5"/>
  <c r="B7" i="5"/>
  <c r="B6" i="5"/>
  <c r="B5" i="5"/>
  <c r="B4" i="5"/>
  <c r="A6" i="5" l="1"/>
  <c r="A7" i="5" s="1"/>
  <c r="A8" i="5" s="1"/>
  <c r="A9" i="5" s="1"/>
  <c r="A10" i="5" s="1"/>
  <c r="A11" i="5" s="1"/>
  <c r="A12" i="5" s="1"/>
  <c r="A13" i="5" s="1"/>
  <c r="A14" i="5" s="1"/>
  <c r="A15" i="5" s="1"/>
  <c r="A16" i="5" s="1"/>
  <c r="A17" i="5" s="1"/>
  <c r="A18" i="5" s="1"/>
  <c r="A19" i="5" s="1"/>
  <c r="A20" i="5" s="1"/>
  <c r="A21" i="5" s="1"/>
  <c r="A22" i="5" s="1"/>
  <c r="A24" i="5" s="1"/>
  <c r="A25" i="5" s="1"/>
  <c r="A26" i="5" s="1"/>
  <c r="A27" i="5" s="1"/>
  <c r="A28" i="5" s="1"/>
  <c r="A29" i="5" s="1"/>
  <c r="A30" i="5" s="1"/>
  <c r="A31" i="5" s="1"/>
  <c r="A32" i="5" s="1"/>
  <c r="A33" i="5" s="1"/>
  <c r="A34" i="5" s="1"/>
  <c r="A35" i="5" s="1"/>
  <c r="A36" i="5" s="1"/>
  <c r="A37" i="5" s="1"/>
  <c r="A39" i="5" s="1"/>
  <c r="A40" i="5" s="1"/>
  <c r="A41" i="5" s="1"/>
  <c r="A42" i="5" s="1"/>
  <c r="A43" i="5" s="1"/>
  <c r="A44" i="5" s="1"/>
  <c r="A45" i="5" s="1"/>
  <c r="A46" i="5" s="1"/>
  <c r="A47" i="5" s="1"/>
  <c r="A48" i="5" s="1"/>
  <c r="A50" i="5" s="1"/>
  <c r="A51" i="5" s="1"/>
  <c r="A52" i="5" s="1"/>
  <c r="AF106" i="7" l="1"/>
  <c r="AG106" i="7"/>
  <c r="CB195" i="7" l="1"/>
  <c r="AK67" i="7"/>
  <c r="BT67" i="7"/>
  <c r="AF92" i="7" l="1"/>
  <c r="AL107" i="7"/>
  <c r="AM103" i="7"/>
  <c r="AL103" i="7"/>
  <c r="BV82" i="7" l="1"/>
  <c r="BU82" i="7"/>
  <c r="BT82" i="7"/>
  <c r="BT65" i="7" l="1"/>
  <c r="AA279" i="7" l="1"/>
  <c r="AA36" i="7" l="1"/>
  <c r="AA107" i="7" l="1"/>
  <c r="AF132" i="7" l="1"/>
  <c r="AM223" i="7" l="1"/>
  <c r="AL223" i="7"/>
  <c r="AK251" i="7"/>
  <c r="AG277" i="7" l="1"/>
  <c r="AH277" i="7"/>
  <c r="AJ251" i="7" l="1"/>
  <c r="AA251" i="7"/>
  <c r="AA177" i="7"/>
  <c r="AA340" i="7"/>
  <c r="AH323" i="7" l="1"/>
  <c r="CF256" i="7" l="1"/>
  <c r="AH256" i="7" s="1"/>
  <c r="AG342" i="7"/>
  <c r="AG197" i="7"/>
  <c r="AH197" i="7"/>
  <c r="AE198" i="7"/>
  <c r="AK279" i="7" l="1"/>
  <c r="CD340" i="7" l="1"/>
  <c r="AK103" i="7" l="1"/>
  <c r="AK107" i="7" l="1"/>
  <c r="AF95" i="7" l="1"/>
  <c r="AI95" i="7"/>
  <c r="AH95" i="7"/>
  <c r="AG95" i="7"/>
  <c r="AH97" i="7"/>
  <c r="AG97" i="7"/>
  <c r="AF97" i="7"/>
  <c r="AH103" i="7"/>
  <c r="AG103" i="7"/>
  <c r="AF103" i="7"/>
  <c r="AH105" i="7"/>
  <c r="AG105" i="7"/>
  <c r="AF105" i="7"/>
  <c r="AG155" i="7" l="1"/>
  <c r="AH155" i="7"/>
  <c r="AG113" i="7" l="1"/>
  <c r="AH113" i="7"/>
  <c r="AA223" i="7" l="1"/>
  <c r="AG196" i="7"/>
  <c r="AH196" i="7"/>
  <c r="AK223" i="7"/>
  <c r="AK194" i="7"/>
  <c r="AM229" i="7" l="1"/>
  <c r="AL229" i="7"/>
  <c r="AK229" i="7"/>
  <c r="AK341" i="7" l="1"/>
  <c r="AK331" i="7" l="1"/>
  <c r="AL331" i="7"/>
  <c r="AM331" i="7"/>
  <c r="DF228" i="7" l="1"/>
  <c r="CU228" i="7"/>
  <c r="CJ228" i="7"/>
  <c r="AM347" i="7" l="1"/>
  <c r="AJ191" i="7" l="1"/>
  <c r="DE227" i="7" l="1"/>
  <c r="DE225" i="7"/>
  <c r="DD225" i="7" s="1"/>
  <c r="DE323" i="7"/>
  <c r="CT323" i="7"/>
  <c r="CT166" i="7"/>
  <c r="DE120" i="7" l="1"/>
  <c r="DD120" i="7" s="1"/>
  <c r="CT120" i="7"/>
  <c r="CS120" i="7" s="1"/>
  <c r="CI120" i="7"/>
  <c r="CH120" i="7" s="1"/>
  <c r="AI120" i="7"/>
  <c r="AH120" i="7"/>
  <c r="AG120" i="7"/>
  <c r="AF120" i="7"/>
  <c r="AE120" i="7"/>
  <c r="DD309" i="7"/>
  <c r="CS309" i="7"/>
  <c r="CH309" i="7"/>
  <c r="AI309" i="7"/>
  <c r="AH309" i="7"/>
  <c r="AG309" i="7"/>
  <c r="AF309" i="7"/>
  <c r="AE309" i="7"/>
  <c r="CI108" i="7"/>
  <c r="CJ108" i="7"/>
  <c r="CK108" i="7"/>
  <c r="CL108" i="7"/>
  <c r="CM108" i="7"/>
  <c r="CN108" i="7"/>
  <c r="CO108" i="7"/>
  <c r="CP108" i="7"/>
  <c r="CQ108" i="7"/>
  <c r="CR108" i="7"/>
  <c r="CT108" i="7"/>
  <c r="CU108" i="7"/>
  <c r="CV108" i="7"/>
  <c r="CW108" i="7"/>
  <c r="CX108" i="7"/>
  <c r="CY108" i="7"/>
  <c r="CZ108" i="7"/>
  <c r="DA108" i="7"/>
  <c r="DB108" i="7"/>
  <c r="DC108" i="7"/>
  <c r="DE108" i="7"/>
  <c r="DF108" i="7"/>
  <c r="DG108" i="7"/>
  <c r="DH108" i="7"/>
  <c r="DI108" i="7"/>
  <c r="DJ108" i="7"/>
  <c r="DK108" i="7"/>
  <c r="DL108" i="7"/>
  <c r="DM108" i="7"/>
  <c r="DN108" i="7"/>
  <c r="DD117" i="7"/>
  <c r="CS117" i="7"/>
  <c r="CH117" i="7"/>
  <c r="DO309" i="7" l="1"/>
  <c r="DO120" i="7"/>
  <c r="DO117" i="7"/>
  <c r="DN118" i="7" l="1"/>
  <c r="DM118" i="7"/>
  <c r="DL118" i="7"/>
  <c r="DK118" i="7"/>
  <c r="DJ118" i="7"/>
  <c r="DI118" i="7"/>
  <c r="DH118" i="7"/>
  <c r="DG118" i="7"/>
  <c r="DF118" i="7"/>
  <c r="DC118" i="7"/>
  <c r="DB118" i="7"/>
  <c r="DA118" i="7"/>
  <c r="CZ118" i="7"/>
  <c r="CY118" i="7"/>
  <c r="CX118" i="7"/>
  <c r="CW118" i="7"/>
  <c r="CV118" i="7"/>
  <c r="CU118" i="7"/>
  <c r="CR118" i="7"/>
  <c r="CQ118" i="7"/>
  <c r="CP118" i="7"/>
  <c r="CO118" i="7"/>
  <c r="CN118" i="7"/>
  <c r="CM118" i="7"/>
  <c r="CL118" i="7"/>
  <c r="CK118" i="7"/>
  <c r="CJ118" i="7"/>
  <c r="CG118" i="7"/>
  <c r="CF118" i="7"/>
  <c r="CE118" i="7"/>
  <c r="CD118" i="7"/>
  <c r="CC118" i="7"/>
  <c r="CB118" i="7"/>
  <c r="CA118" i="7"/>
  <c r="BZ118" i="7"/>
  <c r="BY118" i="7"/>
  <c r="BX118" i="7"/>
  <c r="BW118" i="7"/>
  <c r="BV118" i="7"/>
  <c r="BU118" i="7"/>
  <c r="BT118" i="7"/>
  <c r="BS118" i="7"/>
  <c r="BR118" i="7"/>
  <c r="BQ118" i="7"/>
  <c r="BP118" i="7"/>
  <c r="BO118" i="7"/>
  <c r="BN118" i="7"/>
  <c r="BM118" i="7"/>
  <c r="BL118" i="7"/>
  <c r="BK118" i="7"/>
  <c r="BJ118" i="7"/>
  <c r="BI118" i="7"/>
  <c r="BH118" i="7"/>
  <c r="BG118" i="7"/>
  <c r="BF118" i="7"/>
  <c r="BE118" i="7"/>
  <c r="BD118" i="7"/>
  <c r="BC118" i="7"/>
  <c r="BB118" i="7"/>
  <c r="BA118" i="7"/>
  <c r="AZ118" i="7"/>
  <c r="AY118" i="7"/>
  <c r="AX118" i="7"/>
  <c r="AW118" i="7"/>
  <c r="AV118" i="7"/>
  <c r="AU118" i="7"/>
  <c r="AT118" i="7"/>
  <c r="AS118" i="7"/>
  <c r="AR118" i="7"/>
  <c r="AQ118" i="7"/>
  <c r="AP118" i="7"/>
  <c r="AO118" i="7"/>
  <c r="AN118" i="7"/>
  <c r="AM118" i="7"/>
  <c r="AL118" i="7"/>
  <c r="AK118" i="7"/>
  <c r="AJ118" i="7"/>
  <c r="CG108" i="7"/>
  <c r="CF108" i="7"/>
  <c r="CE108" i="7"/>
  <c r="CD108" i="7"/>
  <c r="CC108" i="7"/>
  <c r="CB108" i="7"/>
  <c r="CA108" i="7"/>
  <c r="BZ108" i="7"/>
  <c r="BY108" i="7"/>
  <c r="BX108" i="7"/>
  <c r="BW108" i="7"/>
  <c r="BV108" i="7"/>
  <c r="BU108" i="7"/>
  <c r="BT108" i="7"/>
  <c r="BS108" i="7"/>
  <c r="BR108" i="7"/>
  <c r="BQ108" i="7"/>
  <c r="BP108" i="7"/>
  <c r="BO108" i="7"/>
  <c r="BN108" i="7"/>
  <c r="BM108" i="7"/>
  <c r="BL108" i="7"/>
  <c r="BK108" i="7"/>
  <c r="BJ108" i="7"/>
  <c r="BI108" i="7"/>
  <c r="BH108" i="7"/>
  <c r="BG108" i="7"/>
  <c r="BF108" i="7"/>
  <c r="BE108" i="7"/>
  <c r="BD108" i="7"/>
  <c r="BC108" i="7"/>
  <c r="BB108" i="7"/>
  <c r="BA108" i="7"/>
  <c r="AZ108" i="7"/>
  <c r="AY108" i="7"/>
  <c r="AX108" i="7"/>
  <c r="AW108" i="7"/>
  <c r="AV108" i="7"/>
  <c r="AU108" i="7"/>
  <c r="AT108" i="7"/>
  <c r="AS108" i="7"/>
  <c r="AR108" i="7"/>
  <c r="AQ108" i="7"/>
  <c r="AP108" i="7"/>
  <c r="AO108" i="7"/>
  <c r="AM108" i="7"/>
  <c r="AL108" i="7"/>
  <c r="AK108" i="7"/>
  <c r="AJ108" i="7"/>
  <c r="AJ280" i="7" l="1"/>
  <c r="AK280" i="7"/>
  <c r="AL280" i="7"/>
  <c r="AM280" i="7"/>
  <c r="AN280" i="7"/>
  <c r="AO280" i="7"/>
  <c r="AP280" i="7"/>
  <c r="AQ280" i="7"/>
  <c r="AR280" i="7"/>
  <c r="AS280" i="7"/>
  <c r="AT280" i="7"/>
  <c r="AU280" i="7"/>
  <c r="AV280" i="7"/>
  <c r="AW280" i="7"/>
  <c r="AX280" i="7"/>
  <c r="AY280" i="7"/>
  <c r="AZ280" i="7"/>
  <c r="BA280" i="7"/>
  <c r="BB280" i="7"/>
  <c r="BC280" i="7"/>
  <c r="BD280" i="7"/>
  <c r="BE280" i="7"/>
  <c r="BF280" i="7"/>
  <c r="BG280" i="7"/>
  <c r="BH280" i="7"/>
  <c r="BI280" i="7"/>
  <c r="BJ280" i="7"/>
  <c r="BK280" i="7"/>
  <c r="BL280" i="7"/>
  <c r="BM280" i="7"/>
  <c r="BN280" i="7"/>
  <c r="BO280" i="7"/>
  <c r="BP280" i="7"/>
  <c r="BQ280" i="7"/>
  <c r="BR280" i="7"/>
  <c r="BS280" i="7"/>
  <c r="BT280" i="7"/>
  <c r="BU280" i="7"/>
  <c r="BV280" i="7"/>
  <c r="BW280" i="7"/>
  <c r="BX280" i="7"/>
  <c r="BY280" i="7"/>
  <c r="BZ280" i="7"/>
  <c r="CA280" i="7"/>
  <c r="CB280" i="7"/>
  <c r="CC280" i="7"/>
  <c r="CD280" i="7"/>
  <c r="CE280" i="7"/>
  <c r="CF280" i="7"/>
  <c r="CG280" i="7"/>
  <c r="CI280" i="7"/>
  <c r="CJ280" i="7"/>
  <c r="CK280" i="7"/>
  <c r="CL280" i="7"/>
  <c r="CM280" i="7"/>
  <c r="CN280" i="7"/>
  <c r="CO280" i="7"/>
  <c r="CP280" i="7"/>
  <c r="CQ280" i="7"/>
  <c r="CR280" i="7"/>
  <c r="CT280" i="7"/>
  <c r="CU280" i="7"/>
  <c r="CV280" i="7"/>
  <c r="CW280" i="7"/>
  <c r="CX280" i="7"/>
  <c r="CY280" i="7"/>
  <c r="CZ280" i="7"/>
  <c r="DA280" i="7"/>
  <c r="DB280" i="7"/>
  <c r="DC280" i="7"/>
  <c r="DE280" i="7"/>
  <c r="DF280" i="7"/>
  <c r="DG280" i="7"/>
  <c r="DH280" i="7"/>
  <c r="DI280" i="7"/>
  <c r="DJ280" i="7"/>
  <c r="DK280" i="7"/>
  <c r="DL280" i="7"/>
  <c r="DM280" i="7"/>
  <c r="DN280" i="7"/>
  <c r="AJ284" i="7"/>
  <c r="AK284" i="7"/>
  <c r="AL284" i="7"/>
  <c r="AM284" i="7"/>
  <c r="AN284" i="7"/>
  <c r="AO284" i="7"/>
  <c r="AP284" i="7"/>
  <c r="AQ284" i="7"/>
  <c r="AR284" i="7"/>
  <c r="AS284" i="7"/>
  <c r="AT284" i="7"/>
  <c r="AU284" i="7"/>
  <c r="AV284" i="7"/>
  <c r="AW284" i="7"/>
  <c r="AX284" i="7"/>
  <c r="AY284" i="7"/>
  <c r="AZ284" i="7"/>
  <c r="BA284" i="7"/>
  <c r="BB284" i="7"/>
  <c r="BC284" i="7"/>
  <c r="BD284" i="7"/>
  <c r="BE284" i="7"/>
  <c r="BF284" i="7"/>
  <c r="BG284" i="7"/>
  <c r="BH284" i="7"/>
  <c r="BI284" i="7"/>
  <c r="BJ284" i="7"/>
  <c r="BK284" i="7"/>
  <c r="BL284" i="7"/>
  <c r="BM284" i="7"/>
  <c r="BN284" i="7"/>
  <c r="BO284" i="7"/>
  <c r="BP284" i="7"/>
  <c r="BQ284" i="7"/>
  <c r="BR284" i="7"/>
  <c r="BS284" i="7"/>
  <c r="BT284" i="7"/>
  <c r="BU284" i="7"/>
  <c r="BV284" i="7"/>
  <c r="BW284" i="7"/>
  <c r="BX284" i="7"/>
  <c r="BY284" i="7"/>
  <c r="BZ284" i="7"/>
  <c r="CA284" i="7"/>
  <c r="CB284" i="7"/>
  <c r="CC284" i="7"/>
  <c r="CD284" i="7"/>
  <c r="CE284" i="7"/>
  <c r="CF284" i="7"/>
  <c r="CG284" i="7"/>
  <c r="CI284" i="7"/>
  <c r="CJ284" i="7"/>
  <c r="CK284" i="7"/>
  <c r="CL284" i="7"/>
  <c r="CM284" i="7"/>
  <c r="CN284" i="7"/>
  <c r="CO284" i="7"/>
  <c r="CP284" i="7"/>
  <c r="CQ284" i="7"/>
  <c r="CR284" i="7"/>
  <c r="CT284" i="7"/>
  <c r="CU284" i="7"/>
  <c r="CV284" i="7"/>
  <c r="CW284" i="7"/>
  <c r="CX284" i="7"/>
  <c r="CY284" i="7"/>
  <c r="CZ284" i="7"/>
  <c r="DA284" i="7"/>
  <c r="DB284" i="7"/>
  <c r="DC284" i="7"/>
  <c r="DE284" i="7"/>
  <c r="DF284" i="7"/>
  <c r="DG284" i="7"/>
  <c r="DH284" i="7"/>
  <c r="DI284" i="7"/>
  <c r="DJ284" i="7"/>
  <c r="DK284" i="7"/>
  <c r="DL284" i="7"/>
  <c r="DM284" i="7"/>
  <c r="DN284" i="7"/>
  <c r="AJ292" i="7"/>
  <c r="AK292" i="7"/>
  <c r="AL292" i="7"/>
  <c r="AM292" i="7"/>
  <c r="AN292" i="7"/>
  <c r="AO292" i="7"/>
  <c r="AP292" i="7"/>
  <c r="AQ292" i="7"/>
  <c r="AR292" i="7"/>
  <c r="AS292" i="7"/>
  <c r="AT292" i="7"/>
  <c r="AU292" i="7"/>
  <c r="AV292" i="7"/>
  <c r="AW292" i="7"/>
  <c r="AX292" i="7"/>
  <c r="AY292" i="7"/>
  <c r="AZ292" i="7"/>
  <c r="BA292" i="7"/>
  <c r="BB292" i="7"/>
  <c r="BC292" i="7"/>
  <c r="BD292" i="7"/>
  <c r="BE292" i="7"/>
  <c r="BF292" i="7"/>
  <c r="BG292" i="7"/>
  <c r="BH292" i="7"/>
  <c r="BI292" i="7"/>
  <c r="BJ292" i="7"/>
  <c r="BK292" i="7"/>
  <c r="BL292" i="7"/>
  <c r="BM292" i="7"/>
  <c r="BN292" i="7"/>
  <c r="BO292" i="7"/>
  <c r="BP292" i="7"/>
  <c r="BQ292" i="7"/>
  <c r="BR292" i="7"/>
  <c r="BS292" i="7"/>
  <c r="BT292" i="7"/>
  <c r="BU292" i="7"/>
  <c r="BV292" i="7"/>
  <c r="BW292" i="7"/>
  <c r="BX292" i="7"/>
  <c r="BY292" i="7"/>
  <c r="BZ292" i="7"/>
  <c r="CA292" i="7"/>
  <c r="CB292" i="7"/>
  <c r="CC292" i="7"/>
  <c r="CD292" i="7"/>
  <c r="CE292" i="7"/>
  <c r="CF292" i="7"/>
  <c r="CG292" i="7"/>
  <c r="CI292" i="7"/>
  <c r="CJ292" i="7"/>
  <c r="CK292" i="7"/>
  <c r="CL292" i="7"/>
  <c r="CM292" i="7"/>
  <c r="CN292" i="7"/>
  <c r="CO292" i="7"/>
  <c r="CP292" i="7"/>
  <c r="CQ292" i="7"/>
  <c r="CR292" i="7"/>
  <c r="CT292" i="7"/>
  <c r="CU292" i="7"/>
  <c r="CV292" i="7"/>
  <c r="CW292" i="7"/>
  <c r="CX292" i="7"/>
  <c r="CY292" i="7"/>
  <c r="CZ292" i="7"/>
  <c r="DA292" i="7"/>
  <c r="DB292" i="7"/>
  <c r="DC292" i="7"/>
  <c r="DE292" i="7"/>
  <c r="DF292" i="7"/>
  <c r="DG292" i="7"/>
  <c r="DH292" i="7"/>
  <c r="DI292" i="7"/>
  <c r="DJ292" i="7"/>
  <c r="DK292" i="7"/>
  <c r="DL292" i="7"/>
  <c r="DM292" i="7"/>
  <c r="DN292" i="7"/>
  <c r="AK299" i="7"/>
  <c r="AM299" i="7"/>
  <c r="AN299" i="7"/>
  <c r="AO299" i="7"/>
  <c r="AP299" i="7"/>
  <c r="AQ299" i="7"/>
  <c r="AR299" i="7"/>
  <c r="AS299" i="7"/>
  <c r="AT299" i="7"/>
  <c r="AU299" i="7"/>
  <c r="AV299" i="7"/>
  <c r="AW299" i="7"/>
  <c r="AX299" i="7"/>
  <c r="AY299" i="7"/>
  <c r="AZ299" i="7"/>
  <c r="BA299" i="7"/>
  <c r="BB299" i="7"/>
  <c r="BC299" i="7"/>
  <c r="BD299" i="7"/>
  <c r="BE299" i="7"/>
  <c r="BF299" i="7"/>
  <c r="BG299" i="7"/>
  <c r="BH299" i="7"/>
  <c r="BI299" i="7"/>
  <c r="BJ299" i="7"/>
  <c r="BK299" i="7"/>
  <c r="BL299" i="7"/>
  <c r="BM299" i="7"/>
  <c r="BN299" i="7"/>
  <c r="BO299" i="7"/>
  <c r="BP299" i="7"/>
  <c r="BQ299" i="7"/>
  <c r="BR299" i="7"/>
  <c r="BS299" i="7"/>
  <c r="BT299" i="7"/>
  <c r="BU299" i="7"/>
  <c r="BV299" i="7"/>
  <c r="BW299" i="7"/>
  <c r="BX299" i="7"/>
  <c r="BY299" i="7"/>
  <c r="BZ299" i="7"/>
  <c r="CA299" i="7"/>
  <c r="CB299" i="7"/>
  <c r="CC299" i="7"/>
  <c r="CD299" i="7"/>
  <c r="CE299" i="7"/>
  <c r="CF299" i="7"/>
  <c r="CG299" i="7"/>
  <c r="CI299" i="7"/>
  <c r="CJ299" i="7"/>
  <c r="CK299" i="7"/>
  <c r="CL299" i="7"/>
  <c r="CM299" i="7"/>
  <c r="CN299" i="7"/>
  <c r="CO299" i="7"/>
  <c r="CP299" i="7"/>
  <c r="CQ299" i="7"/>
  <c r="CR299" i="7"/>
  <c r="CU299" i="7"/>
  <c r="CV299" i="7"/>
  <c r="CW299" i="7"/>
  <c r="CX299" i="7"/>
  <c r="CY299" i="7"/>
  <c r="CZ299" i="7"/>
  <c r="DA299" i="7"/>
  <c r="DB299" i="7"/>
  <c r="DC299" i="7"/>
  <c r="DF299" i="7"/>
  <c r="DG299" i="7"/>
  <c r="DH299" i="7"/>
  <c r="DI299" i="7"/>
  <c r="DJ299" i="7"/>
  <c r="DK299" i="7"/>
  <c r="DL299" i="7"/>
  <c r="DM299" i="7"/>
  <c r="DN299" i="7"/>
  <c r="AK304" i="7"/>
  <c r="AL304" i="7"/>
  <c r="AM304" i="7"/>
  <c r="AN304" i="7"/>
  <c r="AO304" i="7"/>
  <c r="AP304" i="7"/>
  <c r="AQ304" i="7"/>
  <c r="AR304" i="7"/>
  <c r="AS304" i="7"/>
  <c r="AT304" i="7"/>
  <c r="AU304" i="7"/>
  <c r="AV304" i="7"/>
  <c r="AW304" i="7"/>
  <c r="AX304" i="7"/>
  <c r="AY304" i="7"/>
  <c r="AZ304" i="7"/>
  <c r="BA304" i="7"/>
  <c r="BB304" i="7"/>
  <c r="BC304" i="7"/>
  <c r="BD304" i="7"/>
  <c r="BE304" i="7"/>
  <c r="BF304" i="7"/>
  <c r="BG304" i="7"/>
  <c r="BH304" i="7"/>
  <c r="BI304" i="7"/>
  <c r="BJ304" i="7"/>
  <c r="BK304" i="7"/>
  <c r="BL304" i="7"/>
  <c r="BM304" i="7"/>
  <c r="BN304" i="7"/>
  <c r="BO304" i="7"/>
  <c r="BP304" i="7"/>
  <c r="BQ304" i="7"/>
  <c r="BR304" i="7"/>
  <c r="BS304" i="7"/>
  <c r="BT304" i="7"/>
  <c r="BU304" i="7"/>
  <c r="BV304" i="7"/>
  <c r="BW304" i="7"/>
  <c r="BX304" i="7"/>
  <c r="BY304" i="7"/>
  <c r="BZ304" i="7"/>
  <c r="CA304" i="7"/>
  <c r="CB304" i="7"/>
  <c r="CC304" i="7"/>
  <c r="CD304" i="7"/>
  <c r="CE304" i="7"/>
  <c r="CF304" i="7"/>
  <c r="CG304" i="7"/>
  <c r="CJ304" i="7"/>
  <c r="CK304" i="7"/>
  <c r="CL304" i="7"/>
  <c r="CM304" i="7"/>
  <c r="CN304" i="7"/>
  <c r="CO304" i="7"/>
  <c r="CP304" i="7"/>
  <c r="CQ304" i="7"/>
  <c r="CR304" i="7"/>
  <c r="CU304" i="7"/>
  <c r="CV304" i="7"/>
  <c r="CW304" i="7"/>
  <c r="CX304" i="7"/>
  <c r="CY304" i="7"/>
  <c r="CZ304" i="7"/>
  <c r="DA304" i="7"/>
  <c r="DB304" i="7"/>
  <c r="DC304" i="7"/>
  <c r="DF304" i="7"/>
  <c r="DG304" i="7"/>
  <c r="DH304" i="7"/>
  <c r="DI304" i="7"/>
  <c r="DJ304" i="7"/>
  <c r="DK304" i="7"/>
  <c r="DL304" i="7"/>
  <c r="DM304" i="7"/>
  <c r="DN304" i="7"/>
  <c r="AN311" i="7"/>
  <c r="AO311" i="7"/>
  <c r="AP311" i="7"/>
  <c r="AQ311" i="7"/>
  <c r="AR311" i="7"/>
  <c r="AS311" i="7"/>
  <c r="AT311" i="7"/>
  <c r="AU311" i="7"/>
  <c r="AV311" i="7"/>
  <c r="AW311" i="7"/>
  <c r="AX311" i="7"/>
  <c r="AY311" i="7"/>
  <c r="AZ311" i="7"/>
  <c r="BA311" i="7"/>
  <c r="BB311" i="7"/>
  <c r="BC311" i="7"/>
  <c r="BD311" i="7"/>
  <c r="BE311" i="7"/>
  <c r="BF311" i="7"/>
  <c r="BG311" i="7"/>
  <c r="BH311" i="7"/>
  <c r="BI311" i="7"/>
  <c r="BJ311" i="7"/>
  <c r="BK311" i="7"/>
  <c r="BL311" i="7"/>
  <c r="BM311" i="7"/>
  <c r="BN311" i="7"/>
  <c r="BO311" i="7"/>
  <c r="BP311" i="7"/>
  <c r="BQ311" i="7"/>
  <c r="BR311" i="7"/>
  <c r="BS311" i="7"/>
  <c r="BT311" i="7"/>
  <c r="BU311" i="7"/>
  <c r="BV311" i="7"/>
  <c r="BW311" i="7"/>
  <c r="BX311" i="7"/>
  <c r="BY311" i="7"/>
  <c r="BZ311" i="7"/>
  <c r="CA311" i="7"/>
  <c r="CB311" i="7"/>
  <c r="CC311" i="7"/>
  <c r="CD311" i="7"/>
  <c r="CE311" i="7"/>
  <c r="CF311" i="7"/>
  <c r="CG311" i="7"/>
  <c r="CJ311" i="7"/>
  <c r="CK311" i="7"/>
  <c r="CL311" i="7"/>
  <c r="CM311" i="7"/>
  <c r="CN311" i="7"/>
  <c r="CO311" i="7"/>
  <c r="CP311" i="7"/>
  <c r="CQ311" i="7"/>
  <c r="CR311" i="7"/>
  <c r="CU311" i="7"/>
  <c r="CV311" i="7"/>
  <c r="CW311" i="7"/>
  <c r="CX311" i="7"/>
  <c r="CY311" i="7"/>
  <c r="CZ311" i="7"/>
  <c r="DA311" i="7"/>
  <c r="DB311" i="7"/>
  <c r="DC311" i="7"/>
  <c r="DF311" i="7"/>
  <c r="DG311" i="7"/>
  <c r="DH311" i="7"/>
  <c r="DI311" i="7"/>
  <c r="DJ311" i="7"/>
  <c r="DK311" i="7"/>
  <c r="DL311" i="7"/>
  <c r="DM311" i="7"/>
  <c r="DN311" i="7"/>
  <c r="AN327" i="7"/>
  <c r="AO327" i="7"/>
  <c r="AP327" i="7"/>
  <c r="AQ327" i="7"/>
  <c r="AR327" i="7"/>
  <c r="AS327" i="7"/>
  <c r="AT327" i="7"/>
  <c r="AU327" i="7"/>
  <c r="AV327" i="7"/>
  <c r="AW327" i="7"/>
  <c r="AX327" i="7"/>
  <c r="AY327" i="7"/>
  <c r="AZ327" i="7"/>
  <c r="BA327" i="7"/>
  <c r="BB327" i="7"/>
  <c r="BC327" i="7"/>
  <c r="BD327" i="7"/>
  <c r="BE327" i="7"/>
  <c r="BF327" i="7"/>
  <c r="BG327" i="7"/>
  <c r="BH327" i="7"/>
  <c r="BI327" i="7"/>
  <c r="BJ327" i="7"/>
  <c r="BK327" i="7"/>
  <c r="BL327" i="7"/>
  <c r="BM327" i="7"/>
  <c r="BN327" i="7"/>
  <c r="BO327" i="7"/>
  <c r="BP327" i="7"/>
  <c r="BQ327" i="7"/>
  <c r="BR327" i="7"/>
  <c r="BS327" i="7"/>
  <c r="BT327" i="7"/>
  <c r="BU327" i="7"/>
  <c r="BV327" i="7"/>
  <c r="BW327" i="7"/>
  <c r="BX327" i="7"/>
  <c r="BY327" i="7"/>
  <c r="BZ327" i="7"/>
  <c r="CA327" i="7"/>
  <c r="CB327" i="7"/>
  <c r="CF327" i="7"/>
  <c r="CG327" i="7"/>
  <c r="CJ327" i="7"/>
  <c r="CK327" i="7"/>
  <c r="CL327" i="7"/>
  <c r="CM327" i="7"/>
  <c r="CN327" i="7"/>
  <c r="CO327" i="7"/>
  <c r="CP327" i="7"/>
  <c r="CQ327" i="7"/>
  <c r="CR327" i="7"/>
  <c r="CU327" i="7"/>
  <c r="CV327" i="7"/>
  <c r="CW327" i="7"/>
  <c r="CX327" i="7"/>
  <c r="CY327" i="7"/>
  <c r="CZ327" i="7"/>
  <c r="DA327" i="7"/>
  <c r="DB327" i="7"/>
  <c r="DC327" i="7"/>
  <c r="DF327" i="7"/>
  <c r="DG327" i="7"/>
  <c r="DH327" i="7"/>
  <c r="DI327" i="7"/>
  <c r="DJ327" i="7"/>
  <c r="DK327" i="7"/>
  <c r="DL327" i="7"/>
  <c r="DM327" i="7"/>
  <c r="DN327" i="7"/>
  <c r="AG323" i="7"/>
  <c r="AF323" i="7"/>
  <c r="CV303" i="7" l="1"/>
  <c r="DL303" i="7"/>
  <c r="CN303" i="7"/>
  <c r="DG303" i="7"/>
  <c r="BW303" i="7"/>
  <c r="BK303" i="7"/>
  <c r="AU303" i="7"/>
  <c r="CR303" i="7"/>
  <c r="CM303" i="7"/>
  <c r="CZ303" i="7"/>
  <c r="DK303" i="7"/>
  <c r="CA303" i="7"/>
  <c r="BG303" i="7"/>
  <c r="AQ303" i="7"/>
  <c r="DC303" i="7"/>
  <c r="CU303" i="7"/>
  <c r="DH303" i="7"/>
  <c r="CY303" i="7"/>
  <c r="BS303" i="7"/>
  <c r="BC303" i="7"/>
  <c r="CL303" i="7"/>
  <c r="BZ303" i="7"/>
  <c r="BR303" i="7"/>
  <c r="BJ303" i="7"/>
  <c r="BB303" i="7"/>
  <c r="AP303" i="7"/>
  <c r="DN303" i="7"/>
  <c r="DF303" i="7"/>
  <c r="CW303" i="7"/>
  <c r="CO303" i="7"/>
  <c r="CG303" i="7"/>
  <c r="BY303" i="7"/>
  <c r="BQ303" i="7"/>
  <c r="BM303" i="7"/>
  <c r="BE303" i="7"/>
  <c r="BA303" i="7"/>
  <c r="AW303" i="7"/>
  <c r="AS303" i="7"/>
  <c r="AO303" i="7"/>
  <c r="CQ303" i="7"/>
  <c r="BO303" i="7"/>
  <c r="AY303" i="7"/>
  <c r="DB303" i="7"/>
  <c r="CX303" i="7"/>
  <c r="CP303" i="7"/>
  <c r="BV303" i="7"/>
  <c r="BN303" i="7"/>
  <c r="BF303" i="7"/>
  <c r="AX303" i="7"/>
  <c r="AT303" i="7"/>
  <c r="DJ303" i="7"/>
  <c r="DA303" i="7"/>
  <c r="CK303" i="7"/>
  <c r="BU303" i="7"/>
  <c r="BI303" i="7"/>
  <c r="DM303" i="7"/>
  <c r="DI303" i="7"/>
  <c r="CJ303" i="7"/>
  <c r="CF303" i="7"/>
  <c r="CB303" i="7"/>
  <c r="BX303" i="7"/>
  <c r="BT303" i="7"/>
  <c r="BP303" i="7"/>
  <c r="BL303" i="7"/>
  <c r="BH303" i="7"/>
  <c r="BD303" i="7"/>
  <c r="AZ303" i="7"/>
  <c r="AV303" i="7"/>
  <c r="AR303" i="7"/>
  <c r="AN303" i="7"/>
  <c r="AL145" i="7"/>
  <c r="AM145" i="7"/>
  <c r="AN145" i="7"/>
  <c r="AO145" i="7"/>
  <c r="AP145" i="7"/>
  <c r="AQ145" i="7"/>
  <c r="AR145" i="7"/>
  <c r="AS145" i="7"/>
  <c r="AT145" i="7"/>
  <c r="AU145" i="7"/>
  <c r="AV145" i="7"/>
  <c r="AW145" i="7"/>
  <c r="AX145" i="7"/>
  <c r="AY145" i="7"/>
  <c r="AZ145" i="7"/>
  <c r="BA145" i="7"/>
  <c r="BB145" i="7"/>
  <c r="BC145" i="7"/>
  <c r="BD145" i="7"/>
  <c r="BE145" i="7"/>
  <c r="BF145" i="7"/>
  <c r="BG145" i="7"/>
  <c r="BH145" i="7"/>
  <c r="BI145" i="7"/>
  <c r="BJ145" i="7"/>
  <c r="BK145" i="7"/>
  <c r="BL145" i="7"/>
  <c r="BM145" i="7"/>
  <c r="BN145" i="7"/>
  <c r="BO145" i="7"/>
  <c r="BP145" i="7"/>
  <c r="BQ145" i="7"/>
  <c r="BR145" i="7"/>
  <c r="BS145" i="7"/>
  <c r="BT145" i="7"/>
  <c r="BU145" i="7"/>
  <c r="BV145" i="7"/>
  <c r="BW145" i="7"/>
  <c r="BX145" i="7"/>
  <c r="BY145" i="7"/>
  <c r="BZ145" i="7"/>
  <c r="CA145" i="7"/>
  <c r="CB145" i="7"/>
  <c r="CC145" i="7"/>
  <c r="CD145" i="7"/>
  <c r="CE145" i="7"/>
  <c r="CF145" i="7"/>
  <c r="CG145" i="7"/>
  <c r="CJ145" i="7"/>
  <c r="CK145" i="7"/>
  <c r="CL145" i="7"/>
  <c r="CM145" i="7"/>
  <c r="CN145" i="7"/>
  <c r="CO145" i="7"/>
  <c r="CP145" i="7"/>
  <c r="CQ145" i="7"/>
  <c r="CR145" i="7"/>
  <c r="CT145" i="7"/>
  <c r="CU145" i="7"/>
  <c r="CV145" i="7"/>
  <c r="CW145" i="7"/>
  <c r="CX145" i="7"/>
  <c r="CY145" i="7"/>
  <c r="CZ145" i="7"/>
  <c r="DA145" i="7"/>
  <c r="DB145" i="7"/>
  <c r="DC145" i="7"/>
  <c r="DE145" i="7"/>
  <c r="DF145" i="7"/>
  <c r="DG145" i="7"/>
  <c r="DH145" i="7"/>
  <c r="DI145" i="7"/>
  <c r="DJ145" i="7"/>
  <c r="DK145" i="7"/>
  <c r="DL145" i="7"/>
  <c r="DM145" i="7"/>
  <c r="DN145" i="7"/>
  <c r="AJ165" i="7" l="1"/>
  <c r="AK165" i="7"/>
  <c r="AL165" i="7"/>
  <c r="AM165" i="7"/>
  <c r="AN165" i="7"/>
  <c r="AO165" i="7"/>
  <c r="AP165" i="7"/>
  <c r="AQ165" i="7"/>
  <c r="AR165" i="7"/>
  <c r="AS165" i="7"/>
  <c r="AT165" i="7"/>
  <c r="AU165" i="7"/>
  <c r="AV165" i="7"/>
  <c r="AW165" i="7"/>
  <c r="AX165" i="7"/>
  <c r="AY165" i="7"/>
  <c r="AZ165" i="7"/>
  <c r="BA165" i="7"/>
  <c r="BB165" i="7"/>
  <c r="BC165" i="7"/>
  <c r="BD165" i="7"/>
  <c r="BE165" i="7"/>
  <c r="BF165" i="7"/>
  <c r="BG165" i="7"/>
  <c r="BH165" i="7"/>
  <c r="BI165" i="7"/>
  <c r="BJ165" i="7"/>
  <c r="BK165" i="7"/>
  <c r="BL165" i="7"/>
  <c r="BM165" i="7"/>
  <c r="BN165" i="7"/>
  <c r="BO165" i="7"/>
  <c r="BP165" i="7"/>
  <c r="BQ165" i="7"/>
  <c r="BR165" i="7"/>
  <c r="BS165" i="7"/>
  <c r="BT165" i="7"/>
  <c r="BU165" i="7"/>
  <c r="BV165" i="7"/>
  <c r="BW165" i="7"/>
  <c r="BX165" i="7"/>
  <c r="BY165" i="7"/>
  <c r="BZ165" i="7"/>
  <c r="CA165" i="7"/>
  <c r="CB165" i="7"/>
  <c r="CC165" i="7"/>
  <c r="CD165" i="7"/>
  <c r="CE165" i="7"/>
  <c r="CF165" i="7"/>
  <c r="CG165" i="7"/>
  <c r="CI165" i="7"/>
  <c r="CJ165" i="7"/>
  <c r="CK165" i="7"/>
  <c r="CL165" i="7"/>
  <c r="CM165" i="7"/>
  <c r="CN165" i="7"/>
  <c r="CO165" i="7"/>
  <c r="CP165" i="7"/>
  <c r="CQ165" i="7"/>
  <c r="CR165" i="7"/>
  <c r="CU165" i="7"/>
  <c r="CV165" i="7"/>
  <c r="CW165" i="7"/>
  <c r="CX165" i="7"/>
  <c r="CY165" i="7"/>
  <c r="CZ165" i="7"/>
  <c r="DA165" i="7"/>
  <c r="DB165" i="7"/>
  <c r="DC165" i="7"/>
  <c r="DF165" i="7"/>
  <c r="DG165" i="7"/>
  <c r="DH165" i="7"/>
  <c r="DI165" i="7"/>
  <c r="DJ165" i="7"/>
  <c r="DK165" i="7"/>
  <c r="DL165" i="7"/>
  <c r="DM165" i="7"/>
  <c r="DN165" i="7"/>
  <c r="AJ279" i="7" l="1"/>
  <c r="AD279" i="7"/>
  <c r="AC279" i="7"/>
  <c r="AB279" i="7"/>
  <c r="Z279" i="7"/>
  <c r="Y279" i="7"/>
  <c r="AD277" i="7" l="1"/>
  <c r="AC277" i="7"/>
  <c r="AB277" i="7"/>
  <c r="Y277" i="7"/>
  <c r="DE168" i="7" l="1"/>
  <c r="CT168" i="7"/>
  <c r="DD323" i="7"/>
  <c r="CS323" i="7"/>
  <c r="CH323" i="7"/>
  <c r="AI323" i="7"/>
  <c r="AE323" i="7"/>
  <c r="DE166" i="7"/>
  <c r="CI152" i="7"/>
  <c r="CI145" i="7" s="1"/>
  <c r="DD153" i="7"/>
  <c r="CS153" i="7"/>
  <c r="CH153" i="7"/>
  <c r="AI153" i="7"/>
  <c r="AH153" i="7"/>
  <c r="AG153" i="7"/>
  <c r="AF153" i="7"/>
  <c r="AE153" i="7"/>
  <c r="DE165" i="7" l="1"/>
  <c r="CT165" i="7"/>
  <c r="DO323" i="7"/>
  <c r="DO153" i="7"/>
  <c r="CT225" i="7" l="1"/>
  <c r="CT227" i="7"/>
  <c r="CV225" i="7"/>
  <c r="AE318" i="7" l="1"/>
  <c r="AF318" i="7"/>
  <c r="AG318" i="7"/>
  <c r="AH318" i="7"/>
  <c r="AI318" i="7"/>
  <c r="CH318" i="7"/>
  <c r="CS318" i="7"/>
  <c r="DD318" i="7"/>
  <c r="DO318" i="7" l="1"/>
  <c r="AE164" i="7" l="1"/>
  <c r="CD327" i="7" l="1"/>
  <c r="CD303" i="7" s="1"/>
  <c r="CE327" i="7"/>
  <c r="CE303" i="7" s="1"/>
  <c r="AK146" i="7" l="1"/>
  <c r="AK145" i="7" s="1"/>
  <c r="AJ146" i="7"/>
  <c r="AJ145" i="7" s="1"/>
  <c r="AG330" i="7" l="1"/>
  <c r="AJ189" i="7" l="1"/>
  <c r="AJ21" i="7" l="1"/>
  <c r="Z229" i="7" l="1"/>
  <c r="AZ44" i="7" l="1"/>
  <c r="AE159" i="7" l="1"/>
  <c r="AE160" i="7"/>
  <c r="AE161" i="7"/>
  <c r="AE162" i="7"/>
  <c r="AE163" i="7"/>
  <c r="AH163" i="7"/>
  <c r="AG163" i="7"/>
  <c r="AF163" i="7"/>
  <c r="AH162" i="7"/>
  <c r="AG162" i="7"/>
  <c r="AF162" i="7"/>
  <c r="AH161" i="7"/>
  <c r="AG161" i="7"/>
  <c r="AF161" i="7"/>
  <c r="AH160" i="7"/>
  <c r="AG160" i="7"/>
  <c r="AF160" i="7"/>
  <c r="AH159" i="7"/>
  <c r="AG159" i="7"/>
  <c r="AF159" i="7"/>
  <c r="AH157" i="7"/>
  <c r="AG157" i="7"/>
  <c r="AF157" i="7"/>
  <c r="AF251" i="7"/>
  <c r="AG251" i="7"/>
  <c r="AH251" i="7"/>
  <c r="DE347" i="7" l="1"/>
  <c r="DD347" i="7" s="1"/>
  <c r="CS347" i="7"/>
  <c r="CH347" i="7"/>
  <c r="AJ347" i="7"/>
  <c r="AE347" i="7" s="1"/>
  <c r="AI347" i="7"/>
  <c r="AH347" i="7"/>
  <c r="AG347" i="7"/>
  <c r="AF347" i="7"/>
  <c r="DE346" i="7"/>
  <c r="DD346" i="7" s="1"/>
  <c r="CT346" i="7"/>
  <c r="CS346" i="7" s="1"/>
  <c r="CI346" i="7"/>
  <c r="CH346" i="7" s="1"/>
  <c r="AI346" i="7"/>
  <c r="AH346" i="7"/>
  <c r="AG346" i="7"/>
  <c r="AF346" i="7"/>
  <c r="AE346" i="7"/>
  <c r="DE345" i="7"/>
  <c r="DD345" i="7" s="1"/>
  <c r="CT345" i="7"/>
  <c r="CS345" i="7" s="1"/>
  <c r="CI345" i="7"/>
  <c r="CH345" i="7" s="1"/>
  <c r="AI345" i="7"/>
  <c r="AH345" i="7"/>
  <c r="AG345" i="7"/>
  <c r="AF345" i="7"/>
  <c r="AE345" i="7"/>
  <c r="DE344" i="7"/>
  <c r="DD344" i="7" s="1"/>
  <c r="CT344" i="7"/>
  <c r="CS344" i="7" s="1"/>
  <c r="CI344" i="7"/>
  <c r="CH344" i="7" s="1"/>
  <c r="AI344" i="7"/>
  <c r="AH344" i="7"/>
  <c r="AG344" i="7"/>
  <c r="AF344" i="7"/>
  <c r="AE344" i="7"/>
  <c r="DE343" i="7"/>
  <c r="DD343" i="7" s="1"/>
  <c r="CT343" i="7"/>
  <c r="CS343" i="7" s="1"/>
  <c r="CI343" i="7"/>
  <c r="CH343" i="7" s="1"/>
  <c r="AI343" i="7"/>
  <c r="AH343" i="7"/>
  <c r="AG343" i="7"/>
  <c r="AF343" i="7"/>
  <c r="AE343" i="7"/>
  <c r="DD342" i="7"/>
  <c r="CS342" i="7"/>
  <c r="CH342" i="7"/>
  <c r="AI342" i="7"/>
  <c r="AH342" i="7"/>
  <c r="AF342" i="7"/>
  <c r="AE342" i="7"/>
  <c r="DD341" i="7"/>
  <c r="CS341" i="7"/>
  <c r="CH341" i="7"/>
  <c r="AJ341" i="7"/>
  <c r="AE341" i="7" s="1"/>
  <c r="AI341" i="7"/>
  <c r="AH341" i="7"/>
  <c r="AG341" i="7"/>
  <c r="AF341" i="7"/>
  <c r="DD340" i="7"/>
  <c r="CS340" i="7"/>
  <c r="CH340" i="7"/>
  <c r="CC340" i="7"/>
  <c r="CC327" i="7" s="1"/>
  <c r="CC303" i="7" s="1"/>
  <c r="AI340" i="7"/>
  <c r="AH340" i="7"/>
  <c r="AG340" i="7"/>
  <c r="AF340" i="7"/>
  <c r="DD339" i="7"/>
  <c r="CS339" i="7"/>
  <c r="CI339" i="7"/>
  <c r="CH339" i="7" s="1"/>
  <c r="AI339" i="7"/>
  <c r="AH339" i="7"/>
  <c r="AG339" i="7"/>
  <c r="AF339" i="7"/>
  <c r="AE339" i="7"/>
  <c r="DD338" i="7"/>
  <c r="CT338" i="7"/>
  <c r="CS338" i="7" s="1"/>
  <c r="CI338" i="7"/>
  <c r="AI338" i="7"/>
  <c r="AH338" i="7"/>
  <c r="AG338" i="7"/>
  <c r="AF338" i="7"/>
  <c r="AE338" i="7"/>
  <c r="DD337" i="7"/>
  <c r="CS337" i="7"/>
  <c r="CI337" i="7"/>
  <c r="CH337" i="7" s="1"/>
  <c r="AJ337" i="7"/>
  <c r="AE337" i="7" s="1"/>
  <c r="AI337" i="7"/>
  <c r="AH337" i="7"/>
  <c r="AG337" i="7"/>
  <c r="AF337" i="7"/>
  <c r="DD336" i="7"/>
  <c r="CS336" i="7"/>
  <c r="CI336" i="7"/>
  <c r="CH336" i="7" s="1"/>
  <c r="AI336" i="7"/>
  <c r="AH336" i="7"/>
  <c r="AG336" i="7"/>
  <c r="AF336" i="7"/>
  <c r="AE336" i="7"/>
  <c r="DD335" i="7"/>
  <c r="CS335" i="7"/>
  <c r="CH335" i="7"/>
  <c r="AJ335" i="7"/>
  <c r="AI335" i="7"/>
  <c r="AF335" i="7"/>
  <c r="DE334" i="7"/>
  <c r="DD334" i="7" s="1"/>
  <c r="CT334" i="7"/>
  <c r="CS334" i="7" s="1"/>
  <c r="CI334" i="7"/>
  <c r="CH334" i="7" s="1"/>
  <c r="AI334" i="7"/>
  <c r="AH334" i="7"/>
  <c r="AG334" i="7"/>
  <c r="AF334" i="7"/>
  <c r="AE334" i="7"/>
  <c r="DE333" i="7"/>
  <c r="CT333" i="7"/>
  <c r="CS333" i="7" s="1"/>
  <c r="CI333" i="7"/>
  <c r="CH333" i="7" s="1"/>
  <c r="AI333" i="7"/>
  <c r="AH333" i="7"/>
  <c r="AG333" i="7"/>
  <c r="AF333" i="7"/>
  <c r="AE333" i="7"/>
  <c r="DD332" i="7"/>
  <c r="CS332" i="7"/>
  <c r="CH332" i="7"/>
  <c r="AJ332" i="7"/>
  <c r="AE332" i="7" s="1"/>
  <c r="AI332" i="7"/>
  <c r="AH332" i="7"/>
  <c r="AG332" i="7"/>
  <c r="AF332" i="7"/>
  <c r="DE331" i="7"/>
  <c r="CT331" i="7"/>
  <c r="CI331" i="7"/>
  <c r="AK327" i="7"/>
  <c r="AJ331" i="7"/>
  <c r="AI331" i="7"/>
  <c r="AH331" i="7"/>
  <c r="DD326" i="7"/>
  <c r="CS326" i="7"/>
  <c r="CI326" i="7"/>
  <c r="CH326" i="7" s="1"/>
  <c r="AI326" i="7"/>
  <c r="AH326" i="7"/>
  <c r="AG326" i="7"/>
  <c r="AF326" i="7"/>
  <c r="AE326" i="7"/>
  <c r="DD321" i="7"/>
  <c r="CS321" i="7"/>
  <c r="CH321" i="7"/>
  <c r="AI321" i="7"/>
  <c r="AH321" i="7"/>
  <c r="AG321" i="7"/>
  <c r="AF321" i="7"/>
  <c r="AE321" i="7"/>
  <c r="DE320" i="7"/>
  <c r="DD320" i="7" s="1"/>
  <c r="CT320" i="7"/>
  <c r="CS320" i="7" s="1"/>
  <c r="CI320" i="7"/>
  <c r="CH320" i="7" s="1"/>
  <c r="AM311" i="7"/>
  <c r="AK320" i="7"/>
  <c r="AF320" i="7" s="1"/>
  <c r="AI320" i="7"/>
  <c r="AH320" i="7"/>
  <c r="AG320" i="7"/>
  <c r="AE320" i="7"/>
  <c r="DD319" i="7"/>
  <c r="CT319" i="7"/>
  <c r="CS319" i="7" s="1"/>
  <c r="CI319" i="7"/>
  <c r="CH319" i="7" s="1"/>
  <c r="AJ319" i="7"/>
  <c r="AE319" i="7" s="1"/>
  <c r="AI319" i="7"/>
  <c r="AH319" i="7"/>
  <c r="AG319" i="7"/>
  <c r="AF319" i="7"/>
  <c r="DE316" i="7"/>
  <c r="DD316" i="7" s="1"/>
  <c r="CT316" i="7"/>
  <c r="CS316" i="7" s="1"/>
  <c r="CI316" i="7"/>
  <c r="AJ316" i="7"/>
  <c r="AE316" i="7" s="1"/>
  <c r="AH316" i="7"/>
  <c r="DE315" i="7"/>
  <c r="DD315" i="7" s="1"/>
  <c r="CT315" i="7"/>
  <c r="CS315" i="7" s="1"/>
  <c r="CI315" i="7"/>
  <c r="AJ315" i="7"/>
  <c r="AI315" i="7"/>
  <c r="AH315" i="7"/>
  <c r="AG315" i="7"/>
  <c r="AF315" i="7"/>
  <c r="DD314" i="7"/>
  <c r="CS314" i="7"/>
  <c r="CH314" i="7"/>
  <c r="AI314" i="7"/>
  <c r="AF314" i="7"/>
  <c r="AE314" i="7"/>
  <c r="DE313" i="7"/>
  <c r="CT313" i="7"/>
  <c r="CH313" i="7"/>
  <c r="AI313" i="7"/>
  <c r="AH313" i="7"/>
  <c r="AG313" i="7"/>
  <c r="AF313" i="7"/>
  <c r="AE313" i="7"/>
  <c r="DD312" i="7"/>
  <c r="CS312" i="7"/>
  <c r="CH312" i="7"/>
  <c r="AI312" i="7"/>
  <c r="AH312" i="7"/>
  <c r="AG312" i="7"/>
  <c r="AF312" i="7"/>
  <c r="AE312" i="7"/>
  <c r="DD310" i="7"/>
  <c r="CS310" i="7"/>
  <c r="CH310" i="7"/>
  <c r="AI310" i="7"/>
  <c r="AH310" i="7"/>
  <c r="AG310" i="7"/>
  <c r="AF310" i="7"/>
  <c r="AE310" i="7"/>
  <c r="DE121" i="7"/>
  <c r="CT121" i="7"/>
  <c r="CI121" i="7"/>
  <c r="AI121" i="7"/>
  <c r="AH121" i="7"/>
  <c r="AG121" i="7"/>
  <c r="AF121" i="7"/>
  <c r="AE121" i="7"/>
  <c r="DD308" i="7"/>
  <c r="CS308" i="7"/>
  <c r="CH308" i="7"/>
  <c r="AJ308" i="7"/>
  <c r="AI308" i="7"/>
  <c r="AH308" i="7"/>
  <c r="AG308" i="7"/>
  <c r="AF308" i="7"/>
  <c r="DD307" i="7"/>
  <c r="CS307" i="7"/>
  <c r="CH307" i="7"/>
  <c r="AI307" i="7"/>
  <c r="AH307" i="7"/>
  <c r="AG307" i="7"/>
  <c r="AF307" i="7"/>
  <c r="AE307" i="7"/>
  <c r="DD306" i="7"/>
  <c r="CS306" i="7"/>
  <c r="CH306" i="7"/>
  <c r="AI306" i="7"/>
  <c r="AH306" i="7"/>
  <c r="AG306" i="7"/>
  <c r="AF306" i="7"/>
  <c r="AE306" i="7"/>
  <c r="DE305" i="7"/>
  <c r="CT305" i="7"/>
  <c r="CI305" i="7"/>
  <c r="CI304" i="7" s="1"/>
  <c r="DE302" i="7"/>
  <c r="DD302" i="7" s="1"/>
  <c r="CT302" i="7"/>
  <c r="CS302" i="7" s="1"/>
  <c r="CH302" i="7"/>
  <c r="AH302" i="7"/>
  <c r="AG302" i="7"/>
  <c r="AF302" i="7"/>
  <c r="AE302" i="7"/>
  <c r="DE301" i="7"/>
  <c r="CT301" i="7"/>
  <c r="CS301" i="7" s="1"/>
  <c r="CH301" i="7"/>
  <c r="AL299" i="7"/>
  <c r="AJ301" i="7"/>
  <c r="AI301" i="7"/>
  <c r="AH301" i="7"/>
  <c r="AF301" i="7"/>
  <c r="DD300" i="7"/>
  <c r="CT300" i="7"/>
  <c r="CH300" i="7"/>
  <c r="AI300" i="7"/>
  <c r="AH300" i="7"/>
  <c r="AG300" i="7"/>
  <c r="AF300" i="7"/>
  <c r="AE300" i="7"/>
  <c r="DD298" i="7"/>
  <c r="CS298" i="7"/>
  <c r="CH298" i="7"/>
  <c r="AI298" i="7"/>
  <c r="AH298" i="7"/>
  <c r="AG298" i="7"/>
  <c r="AF298" i="7"/>
  <c r="AE298" i="7"/>
  <c r="DD297" i="7"/>
  <c r="CS297" i="7"/>
  <c r="CH297" i="7"/>
  <c r="AI297" i="7"/>
  <c r="AH297" i="7"/>
  <c r="AG297" i="7"/>
  <c r="AF297" i="7"/>
  <c r="AE297" i="7"/>
  <c r="DD296" i="7"/>
  <c r="CS296" i="7"/>
  <c r="CH296" i="7"/>
  <c r="AI296" i="7"/>
  <c r="AH296" i="7"/>
  <c r="AG296" i="7"/>
  <c r="AF296" i="7"/>
  <c r="AE296" i="7"/>
  <c r="DD295" i="7"/>
  <c r="CS295" i="7"/>
  <c r="CH295" i="7"/>
  <c r="AI295" i="7"/>
  <c r="AH295" i="7"/>
  <c r="AG295" i="7"/>
  <c r="AF295" i="7"/>
  <c r="AE295" i="7"/>
  <c r="DD294" i="7"/>
  <c r="CS294" i="7"/>
  <c r="CH294" i="7"/>
  <c r="AI294" i="7"/>
  <c r="AH294" i="7"/>
  <c r="AG294" i="7"/>
  <c r="AF294" i="7"/>
  <c r="AE294" i="7"/>
  <c r="DD293" i="7"/>
  <c r="CS293" i="7"/>
  <c r="CH293" i="7"/>
  <c r="AI293" i="7"/>
  <c r="AH293" i="7"/>
  <c r="AG293" i="7"/>
  <c r="AF293" i="7"/>
  <c r="AE293" i="7"/>
  <c r="DD291" i="7"/>
  <c r="CS291" i="7"/>
  <c r="CH291" i="7"/>
  <c r="AI291" i="7"/>
  <c r="AH291" i="7"/>
  <c r="AG291" i="7"/>
  <c r="AF291" i="7"/>
  <c r="AE291" i="7"/>
  <c r="DD290" i="7"/>
  <c r="CS290" i="7"/>
  <c r="CH290" i="7"/>
  <c r="AI290" i="7"/>
  <c r="AH290" i="7"/>
  <c r="AG290" i="7"/>
  <c r="AF290" i="7"/>
  <c r="AE290" i="7"/>
  <c r="DD289" i="7"/>
  <c r="CS289" i="7"/>
  <c r="CH289" i="7"/>
  <c r="AI289" i="7"/>
  <c r="AH289" i="7"/>
  <c r="AG289" i="7"/>
  <c r="AF289" i="7"/>
  <c r="AE289" i="7"/>
  <c r="DD288" i="7"/>
  <c r="CS288" i="7"/>
  <c r="CH288" i="7"/>
  <c r="AI288" i="7"/>
  <c r="AH288" i="7"/>
  <c r="AG288" i="7"/>
  <c r="AF288" i="7"/>
  <c r="AE288" i="7"/>
  <c r="DD287" i="7"/>
  <c r="CS287" i="7"/>
  <c r="CH287" i="7"/>
  <c r="AI287" i="7"/>
  <c r="AH287" i="7"/>
  <c r="AG287" i="7"/>
  <c r="AF287" i="7"/>
  <c r="AE287" i="7"/>
  <c r="DD286" i="7"/>
  <c r="CS286" i="7"/>
  <c r="CH286" i="7"/>
  <c r="AI286" i="7"/>
  <c r="AH286" i="7"/>
  <c r="AG286" i="7"/>
  <c r="AF286" i="7"/>
  <c r="AE286" i="7"/>
  <c r="DD285" i="7"/>
  <c r="CS285" i="7"/>
  <c r="CH285" i="7"/>
  <c r="AI285" i="7"/>
  <c r="AH285" i="7"/>
  <c r="AG285" i="7"/>
  <c r="AF285" i="7"/>
  <c r="AE285" i="7"/>
  <c r="DD283" i="7"/>
  <c r="CS283" i="7"/>
  <c r="CH283" i="7"/>
  <c r="AI283" i="7"/>
  <c r="AH283" i="7"/>
  <c r="AG283" i="7"/>
  <c r="AF283" i="7"/>
  <c r="AE283" i="7"/>
  <c r="DD282" i="7"/>
  <c r="CS282" i="7"/>
  <c r="CH282" i="7"/>
  <c r="AI282" i="7"/>
  <c r="AH282" i="7"/>
  <c r="AG282" i="7"/>
  <c r="AF282" i="7"/>
  <c r="AE282" i="7"/>
  <c r="DD281" i="7"/>
  <c r="CS281" i="7"/>
  <c r="CH281" i="7"/>
  <c r="CH280" i="7" s="1"/>
  <c r="AI281" i="7"/>
  <c r="AH281" i="7"/>
  <c r="AG281" i="7"/>
  <c r="AF281" i="7"/>
  <c r="AE281" i="7"/>
  <c r="DD279" i="7"/>
  <c r="CS279" i="7"/>
  <c r="CH279" i="7"/>
  <c r="AI279" i="7"/>
  <c r="AH279" i="7"/>
  <c r="AG279" i="7"/>
  <c r="AF279" i="7"/>
  <c r="AE279" i="7"/>
  <c r="DD278" i="7"/>
  <c r="CS278" i="7"/>
  <c r="CH278" i="7"/>
  <c r="AI278" i="7"/>
  <c r="AH278" i="7"/>
  <c r="AG278" i="7"/>
  <c r="AF278" i="7"/>
  <c r="AE278" i="7"/>
  <c r="DD277" i="7"/>
  <c r="CS277" i="7"/>
  <c r="CH277" i="7"/>
  <c r="AI277" i="7"/>
  <c r="AF277" i="7"/>
  <c r="AE277" i="7"/>
  <c r="DD276" i="7"/>
  <c r="CS276" i="7"/>
  <c r="CH276" i="7"/>
  <c r="AI276" i="7"/>
  <c r="AH276" i="7"/>
  <c r="AG276" i="7"/>
  <c r="AF276" i="7"/>
  <c r="AE276" i="7"/>
  <c r="DD275" i="7"/>
  <c r="CT275" i="7"/>
  <c r="CS275" i="7" s="1"/>
  <c r="CH275" i="7"/>
  <c r="BN275" i="7"/>
  <c r="AE275" i="7" s="1"/>
  <c r="AI275" i="7"/>
  <c r="AH275" i="7"/>
  <c r="AG275" i="7"/>
  <c r="AF275" i="7"/>
  <c r="DN274" i="7"/>
  <c r="DM274" i="7"/>
  <c r="DL274" i="7"/>
  <c r="DK274" i="7"/>
  <c r="DJ274" i="7"/>
  <c r="DI274" i="7"/>
  <c r="DH274" i="7"/>
  <c r="DG274" i="7"/>
  <c r="DF274" i="7"/>
  <c r="DE274" i="7"/>
  <c r="DC274" i="7"/>
  <c r="DB274" i="7"/>
  <c r="DA274" i="7"/>
  <c r="CZ274" i="7"/>
  <c r="CY274" i="7"/>
  <c r="CX274" i="7"/>
  <c r="CW274" i="7"/>
  <c r="CV274" i="7"/>
  <c r="CU274" i="7"/>
  <c r="CR274" i="7"/>
  <c r="CQ274" i="7"/>
  <c r="CP274" i="7"/>
  <c r="CO274" i="7"/>
  <c r="CN274" i="7"/>
  <c r="CM274" i="7"/>
  <c r="CL274" i="7"/>
  <c r="CK274" i="7"/>
  <c r="CJ274" i="7"/>
  <c r="CI274" i="7"/>
  <c r="CG274" i="7"/>
  <c r="CF274" i="7"/>
  <c r="CE274" i="7"/>
  <c r="CD274" i="7"/>
  <c r="CC274" i="7"/>
  <c r="CB274" i="7"/>
  <c r="CA274" i="7"/>
  <c r="BZ274" i="7"/>
  <c r="BY274" i="7"/>
  <c r="BX274" i="7"/>
  <c r="BW274" i="7"/>
  <c r="BV274" i="7"/>
  <c r="BU274" i="7"/>
  <c r="BT274" i="7"/>
  <c r="BS274" i="7"/>
  <c r="BR274" i="7"/>
  <c r="BQ274" i="7"/>
  <c r="BP274" i="7"/>
  <c r="BO274" i="7"/>
  <c r="BM274" i="7"/>
  <c r="BL274" i="7"/>
  <c r="BK274" i="7"/>
  <c r="BJ274" i="7"/>
  <c r="BI274" i="7"/>
  <c r="BH274" i="7"/>
  <c r="BG274" i="7"/>
  <c r="BF274" i="7"/>
  <c r="BE274" i="7"/>
  <c r="BD274" i="7"/>
  <c r="BC274" i="7"/>
  <c r="BB274" i="7"/>
  <c r="BA274" i="7"/>
  <c r="AZ274" i="7"/>
  <c r="AY274" i="7"/>
  <c r="AX274" i="7"/>
  <c r="AW274" i="7"/>
  <c r="AV274" i="7"/>
  <c r="AU274" i="7"/>
  <c r="AT274" i="7"/>
  <c r="AS274" i="7"/>
  <c r="AR274" i="7"/>
  <c r="AQ274" i="7"/>
  <c r="AP274" i="7"/>
  <c r="AO274" i="7"/>
  <c r="AN274" i="7"/>
  <c r="AM274" i="7"/>
  <c r="AL274" i="7"/>
  <c r="AK274" i="7"/>
  <c r="AJ274" i="7"/>
  <c r="DD273" i="7"/>
  <c r="CS273" i="7"/>
  <c r="CH273" i="7"/>
  <c r="AI273" i="7"/>
  <c r="AH273" i="7"/>
  <c r="AG273" i="7"/>
  <c r="AF273" i="7"/>
  <c r="AE273" i="7"/>
  <c r="DD272" i="7"/>
  <c r="CS272" i="7"/>
  <c r="CH272" i="7"/>
  <c r="AI272" i="7"/>
  <c r="AH272" i="7"/>
  <c r="AG272" i="7"/>
  <c r="AF272" i="7"/>
  <c r="AE272" i="7"/>
  <c r="DN271" i="7"/>
  <c r="DM271" i="7"/>
  <c r="DL271" i="7"/>
  <c r="DK271" i="7"/>
  <c r="DJ271" i="7"/>
  <c r="DI271" i="7"/>
  <c r="DH271" i="7"/>
  <c r="DG271" i="7"/>
  <c r="DF271" i="7"/>
  <c r="DE271" i="7"/>
  <c r="DC271" i="7"/>
  <c r="DB271" i="7"/>
  <c r="DA271" i="7"/>
  <c r="CZ271" i="7"/>
  <c r="CY271" i="7"/>
  <c r="CX271" i="7"/>
  <c r="CW271" i="7"/>
  <c r="CV271" i="7"/>
  <c r="CU271" i="7"/>
  <c r="CT271" i="7"/>
  <c r="CR271" i="7"/>
  <c r="CQ271" i="7"/>
  <c r="CP271" i="7"/>
  <c r="CO271" i="7"/>
  <c r="CN271" i="7"/>
  <c r="CM271" i="7"/>
  <c r="CL271" i="7"/>
  <c r="CK271" i="7"/>
  <c r="CJ271" i="7"/>
  <c r="CI271" i="7"/>
  <c r="CG271" i="7"/>
  <c r="CF271" i="7"/>
  <c r="CE271" i="7"/>
  <c r="CD271" i="7"/>
  <c r="CC271" i="7"/>
  <c r="CB271" i="7"/>
  <c r="CA271" i="7"/>
  <c r="BZ271" i="7"/>
  <c r="BY271" i="7"/>
  <c r="BX271" i="7"/>
  <c r="BW271" i="7"/>
  <c r="BV271" i="7"/>
  <c r="BU271" i="7"/>
  <c r="BT271" i="7"/>
  <c r="BS271" i="7"/>
  <c r="BR271" i="7"/>
  <c r="BQ271" i="7"/>
  <c r="BP271" i="7"/>
  <c r="BO271" i="7"/>
  <c r="BN271" i="7"/>
  <c r="BM271" i="7"/>
  <c r="BL271" i="7"/>
  <c r="BK271" i="7"/>
  <c r="BJ271" i="7"/>
  <c r="BI271" i="7"/>
  <c r="BH271" i="7"/>
  <c r="BG271" i="7"/>
  <c r="BF271" i="7"/>
  <c r="BE271" i="7"/>
  <c r="BD271" i="7"/>
  <c r="BC271" i="7"/>
  <c r="BB271" i="7"/>
  <c r="BA271" i="7"/>
  <c r="AZ271" i="7"/>
  <c r="AY271" i="7"/>
  <c r="AX271" i="7"/>
  <c r="AW271" i="7"/>
  <c r="AV271" i="7"/>
  <c r="AU271" i="7"/>
  <c r="AT271" i="7"/>
  <c r="AS271" i="7"/>
  <c r="AR271" i="7"/>
  <c r="AQ271" i="7"/>
  <c r="AP271" i="7"/>
  <c r="AO271" i="7"/>
  <c r="AN271" i="7"/>
  <c r="AM271" i="7"/>
  <c r="AL271" i="7"/>
  <c r="AK271" i="7"/>
  <c r="AJ271" i="7"/>
  <c r="DD270" i="7"/>
  <c r="CS270" i="7"/>
  <c r="CH270" i="7"/>
  <c r="AO270" i="7"/>
  <c r="AE270" i="7" s="1"/>
  <c r="AI270" i="7"/>
  <c r="AH270" i="7"/>
  <c r="AG270" i="7"/>
  <c r="AF270" i="7"/>
  <c r="DD269" i="7"/>
  <c r="CS269" i="7"/>
  <c r="CH269" i="7"/>
  <c r="AI269" i="7"/>
  <c r="AH269" i="7"/>
  <c r="AG269" i="7"/>
  <c r="AF269" i="7"/>
  <c r="AE269" i="7"/>
  <c r="DD268" i="7"/>
  <c r="CS268" i="7"/>
  <c r="CH268" i="7"/>
  <c r="AI268" i="7"/>
  <c r="AH268" i="7"/>
  <c r="AG268" i="7"/>
  <c r="AF268" i="7"/>
  <c r="AE268" i="7"/>
  <c r="DD267" i="7"/>
  <c r="CS267" i="7"/>
  <c r="CH267" i="7"/>
  <c r="AJ267" i="7"/>
  <c r="AI267" i="7"/>
  <c r="AH267" i="7"/>
  <c r="AG267" i="7"/>
  <c r="AF267" i="7"/>
  <c r="DD266" i="7"/>
  <c r="CS266" i="7"/>
  <c r="CH266" i="7"/>
  <c r="AI266" i="7"/>
  <c r="AH266" i="7"/>
  <c r="AG266" i="7"/>
  <c r="AF266" i="7"/>
  <c r="AE266" i="7"/>
  <c r="DD265" i="7"/>
  <c r="CS265" i="7"/>
  <c r="CH265" i="7"/>
  <c r="AJ265" i="7"/>
  <c r="AE265" i="7" s="1"/>
  <c r="AI265" i="7"/>
  <c r="AH265" i="7"/>
  <c r="AG265" i="7"/>
  <c r="AF265" i="7"/>
  <c r="DD264" i="7"/>
  <c r="CS264" i="7"/>
  <c r="CH264" i="7"/>
  <c r="AI264" i="7"/>
  <c r="AH264" i="7"/>
  <c r="AG264" i="7"/>
  <c r="AF264" i="7"/>
  <c r="AE264" i="7"/>
  <c r="DN263" i="7"/>
  <c r="DM263" i="7"/>
  <c r="DL263" i="7"/>
  <c r="DK263" i="7"/>
  <c r="DJ263" i="7"/>
  <c r="DI263" i="7"/>
  <c r="DH263" i="7"/>
  <c r="DG263" i="7"/>
  <c r="DF263" i="7"/>
  <c r="DE263" i="7"/>
  <c r="DC263" i="7"/>
  <c r="DB263" i="7"/>
  <c r="DA263" i="7"/>
  <c r="CZ263" i="7"/>
  <c r="CY263" i="7"/>
  <c r="CX263" i="7"/>
  <c r="CW263" i="7"/>
  <c r="CV263" i="7"/>
  <c r="CU263" i="7"/>
  <c r="CT263" i="7"/>
  <c r="CR263" i="7"/>
  <c r="CQ263" i="7"/>
  <c r="CP263" i="7"/>
  <c r="CO263" i="7"/>
  <c r="CN263" i="7"/>
  <c r="CM263" i="7"/>
  <c r="CL263" i="7"/>
  <c r="CK263" i="7"/>
  <c r="CJ263" i="7"/>
  <c r="CI263" i="7"/>
  <c r="CG263" i="7"/>
  <c r="CF263" i="7"/>
  <c r="CE263" i="7"/>
  <c r="CD263" i="7"/>
  <c r="CC263" i="7"/>
  <c r="CB263" i="7"/>
  <c r="CA263" i="7"/>
  <c r="BZ263" i="7"/>
  <c r="BY263" i="7"/>
  <c r="BX263" i="7"/>
  <c r="BW263" i="7"/>
  <c r="BV263" i="7"/>
  <c r="BU263" i="7"/>
  <c r="BT263" i="7"/>
  <c r="BS263" i="7"/>
  <c r="BR263" i="7"/>
  <c r="BQ263" i="7"/>
  <c r="BP263" i="7"/>
  <c r="BO263" i="7"/>
  <c r="BN263" i="7"/>
  <c r="BM263" i="7"/>
  <c r="BL263" i="7"/>
  <c r="BK263" i="7"/>
  <c r="BJ263" i="7"/>
  <c r="BI263" i="7"/>
  <c r="BH263" i="7"/>
  <c r="BG263" i="7"/>
  <c r="BF263" i="7"/>
  <c r="BE263" i="7"/>
  <c r="BD263" i="7"/>
  <c r="BC263" i="7"/>
  <c r="BB263" i="7"/>
  <c r="BA263" i="7"/>
  <c r="AZ263" i="7"/>
  <c r="AY263" i="7"/>
  <c r="AX263" i="7"/>
  <c r="AW263" i="7"/>
  <c r="AV263" i="7"/>
  <c r="AU263" i="7"/>
  <c r="AT263" i="7"/>
  <c r="AS263" i="7"/>
  <c r="AR263" i="7"/>
  <c r="AQ263" i="7"/>
  <c r="AP263" i="7"/>
  <c r="AN263" i="7"/>
  <c r="AM263" i="7"/>
  <c r="AL263" i="7"/>
  <c r="AK263" i="7"/>
  <c r="DD262" i="7"/>
  <c r="CS262" i="7"/>
  <c r="CH262" i="7"/>
  <c r="AI262" i="7"/>
  <c r="AH262" i="7"/>
  <c r="AG262" i="7"/>
  <c r="AF262" i="7"/>
  <c r="AE262" i="7"/>
  <c r="DD261" i="7"/>
  <c r="CS261" i="7"/>
  <c r="CH261" i="7"/>
  <c r="AI261" i="7"/>
  <c r="AH261" i="7"/>
  <c r="AG261" i="7"/>
  <c r="AF261" i="7"/>
  <c r="AE261" i="7"/>
  <c r="DN260" i="7"/>
  <c r="DM260" i="7"/>
  <c r="DL260" i="7"/>
  <c r="DK260" i="7"/>
  <c r="DJ260" i="7"/>
  <c r="DI260" i="7"/>
  <c r="DH260" i="7"/>
  <c r="DG260" i="7"/>
  <c r="DF260" i="7"/>
  <c r="DE260" i="7"/>
  <c r="DC260" i="7"/>
  <c r="DB260" i="7"/>
  <c r="DA260" i="7"/>
  <c r="CZ260" i="7"/>
  <c r="CY260" i="7"/>
  <c r="CX260" i="7"/>
  <c r="CW260" i="7"/>
  <c r="CV260" i="7"/>
  <c r="CU260" i="7"/>
  <c r="CT260" i="7"/>
  <c r="CR260" i="7"/>
  <c r="CQ260" i="7"/>
  <c r="CP260" i="7"/>
  <c r="CO260" i="7"/>
  <c r="CN260" i="7"/>
  <c r="CM260" i="7"/>
  <c r="CL260" i="7"/>
  <c r="CK260" i="7"/>
  <c r="CJ260" i="7"/>
  <c r="CI260" i="7"/>
  <c r="CG260" i="7"/>
  <c r="CF260" i="7"/>
  <c r="CE260" i="7"/>
  <c r="CD260" i="7"/>
  <c r="CC260" i="7"/>
  <c r="CB260" i="7"/>
  <c r="CA260" i="7"/>
  <c r="BZ260" i="7"/>
  <c r="BY260" i="7"/>
  <c r="BX260" i="7"/>
  <c r="BW260" i="7"/>
  <c r="BV260" i="7"/>
  <c r="BU260" i="7"/>
  <c r="BT260" i="7"/>
  <c r="BS260" i="7"/>
  <c r="BR260" i="7"/>
  <c r="BQ260" i="7"/>
  <c r="BP260" i="7"/>
  <c r="BO260" i="7"/>
  <c r="BN260" i="7"/>
  <c r="BM260" i="7"/>
  <c r="BL260" i="7"/>
  <c r="BK260" i="7"/>
  <c r="BJ260" i="7"/>
  <c r="BI260" i="7"/>
  <c r="BH260" i="7"/>
  <c r="BG260" i="7"/>
  <c r="BF260" i="7"/>
  <c r="BE260" i="7"/>
  <c r="BD260" i="7"/>
  <c r="BC260" i="7"/>
  <c r="BB260" i="7"/>
  <c r="BA260" i="7"/>
  <c r="AZ260" i="7"/>
  <c r="AY260" i="7"/>
  <c r="AX260" i="7"/>
  <c r="AW260" i="7"/>
  <c r="AV260" i="7"/>
  <c r="AU260" i="7"/>
  <c r="AT260" i="7"/>
  <c r="AS260" i="7"/>
  <c r="AR260" i="7"/>
  <c r="AQ260" i="7"/>
  <c r="AP260" i="7"/>
  <c r="AO260" i="7"/>
  <c r="AN260" i="7"/>
  <c r="AM260" i="7"/>
  <c r="AL260" i="7"/>
  <c r="AK260" i="7"/>
  <c r="AJ260" i="7"/>
  <c r="DD259" i="7"/>
  <c r="CS259" i="7"/>
  <c r="CH259" i="7"/>
  <c r="AI259" i="7"/>
  <c r="AH259" i="7"/>
  <c r="AG259" i="7"/>
  <c r="AF259" i="7"/>
  <c r="AE259" i="7"/>
  <c r="DD258" i="7"/>
  <c r="CS258" i="7"/>
  <c r="CH258" i="7"/>
  <c r="AI258" i="7"/>
  <c r="AH258" i="7"/>
  <c r="AG258" i="7"/>
  <c r="AF258" i="7"/>
  <c r="AE258" i="7"/>
  <c r="DD257" i="7"/>
  <c r="CS257" i="7"/>
  <c r="CH257" i="7"/>
  <c r="AI257" i="7"/>
  <c r="AH257" i="7"/>
  <c r="AG257" i="7"/>
  <c r="AF257" i="7"/>
  <c r="AE257" i="7"/>
  <c r="DD256" i="7"/>
  <c r="CS256" i="7"/>
  <c r="CH256" i="7"/>
  <c r="AI256" i="7"/>
  <c r="AG256" i="7"/>
  <c r="AF256" i="7"/>
  <c r="AE256" i="7"/>
  <c r="DN255" i="7"/>
  <c r="DM255" i="7"/>
  <c r="DL255" i="7"/>
  <c r="DK255" i="7"/>
  <c r="DJ255" i="7"/>
  <c r="DI255" i="7"/>
  <c r="DH255" i="7"/>
  <c r="DG255" i="7"/>
  <c r="DF255" i="7"/>
  <c r="DE255" i="7"/>
  <c r="DC255" i="7"/>
  <c r="DB255" i="7"/>
  <c r="DA255" i="7"/>
  <c r="CZ255" i="7"/>
  <c r="CY255" i="7"/>
  <c r="CX255" i="7"/>
  <c r="CW255" i="7"/>
  <c r="CV255" i="7"/>
  <c r="CU255" i="7"/>
  <c r="CT255" i="7"/>
  <c r="CR255" i="7"/>
  <c r="CQ255" i="7"/>
  <c r="CP255" i="7"/>
  <c r="CO255" i="7"/>
  <c r="CN255" i="7"/>
  <c r="CM255" i="7"/>
  <c r="CL255" i="7"/>
  <c r="CK255" i="7"/>
  <c r="CJ255" i="7"/>
  <c r="CI255" i="7"/>
  <c r="CG255" i="7"/>
  <c r="CF255" i="7"/>
  <c r="CE255" i="7"/>
  <c r="CD255" i="7"/>
  <c r="CC255" i="7"/>
  <c r="CB255" i="7"/>
  <c r="CA255" i="7"/>
  <c r="BZ255" i="7"/>
  <c r="BY255" i="7"/>
  <c r="BX255" i="7"/>
  <c r="BW255" i="7"/>
  <c r="BV255" i="7"/>
  <c r="BU255" i="7"/>
  <c r="BT255" i="7"/>
  <c r="BS255" i="7"/>
  <c r="BR255" i="7"/>
  <c r="BQ255" i="7"/>
  <c r="BP255" i="7"/>
  <c r="BO255" i="7"/>
  <c r="BN255" i="7"/>
  <c r="BM255" i="7"/>
  <c r="BL255" i="7"/>
  <c r="BK255" i="7"/>
  <c r="BJ255" i="7"/>
  <c r="BI255" i="7"/>
  <c r="BH255" i="7"/>
  <c r="BG255" i="7"/>
  <c r="BF255" i="7"/>
  <c r="BE255" i="7"/>
  <c r="BD255" i="7"/>
  <c r="BC255" i="7"/>
  <c r="BB255" i="7"/>
  <c r="BA255" i="7"/>
  <c r="AZ255" i="7"/>
  <c r="AY255" i="7"/>
  <c r="AX255" i="7"/>
  <c r="AW255" i="7"/>
  <c r="AV255" i="7"/>
  <c r="AU255" i="7"/>
  <c r="AT255" i="7"/>
  <c r="AS255" i="7"/>
  <c r="AR255" i="7"/>
  <c r="AQ255" i="7"/>
  <c r="AP255" i="7"/>
  <c r="AO255" i="7"/>
  <c r="AN255" i="7"/>
  <c r="AM255" i="7"/>
  <c r="AL255" i="7"/>
  <c r="AK255" i="7"/>
  <c r="AJ255" i="7"/>
  <c r="DD254" i="7"/>
  <c r="CS254" i="7"/>
  <c r="CH254" i="7"/>
  <c r="AI254" i="7"/>
  <c r="AH254" i="7"/>
  <c r="AG254" i="7"/>
  <c r="AF254" i="7"/>
  <c r="AE254" i="7"/>
  <c r="DF251" i="7"/>
  <c r="DD251" i="7" s="1"/>
  <c r="CU251" i="7"/>
  <c r="CS251" i="7" s="1"/>
  <c r="CJ251" i="7"/>
  <c r="CH251" i="7" s="1"/>
  <c r="BN251" i="7"/>
  <c r="BN249" i="7" s="1"/>
  <c r="AI251" i="7"/>
  <c r="DD250" i="7"/>
  <c r="CS250" i="7"/>
  <c r="CH250" i="7"/>
  <c r="AI250" i="7"/>
  <c r="AH250" i="7"/>
  <c r="AG250" i="7"/>
  <c r="AF250" i="7"/>
  <c r="AE250" i="7"/>
  <c r="DN249" i="7"/>
  <c r="DM249" i="7"/>
  <c r="DL249" i="7"/>
  <c r="DK249" i="7"/>
  <c r="DJ249" i="7"/>
  <c r="DI249" i="7"/>
  <c r="DH249" i="7"/>
  <c r="DG249" i="7"/>
  <c r="DE249" i="7"/>
  <c r="DC249" i="7"/>
  <c r="DB249" i="7"/>
  <c r="DA249" i="7"/>
  <c r="CZ249" i="7"/>
  <c r="CY249" i="7"/>
  <c r="CX249" i="7"/>
  <c r="CW249" i="7"/>
  <c r="CV249" i="7"/>
  <c r="CT249" i="7"/>
  <c r="CR249" i="7"/>
  <c r="CQ249" i="7"/>
  <c r="CP249" i="7"/>
  <c r="CO249" i="7"/>
  <c r="CN249" i="7"/>
  <c r="CM249" i="7"/>
  <c r="CL249" i="7"/>
  <c r="CK249" i="7"/>
  <c r="CI249" i="7"/>
  <c r="CG249" i="7"/>
  <c r="CF249" i="7"/>
  <c r="CE249" i="7"/>
  <c r="CD249" i="7"/>
  <c r="CC249" i="7"/>
  <c r="CB249" i="7"/>
  <c r="CA249" i="7"/>
  <c r="BZ249" i="7"/>
  <c r="BY249" i="7"/>
  <c r="BX249" i="7"/>
  <c r="BW249" i="7"/>
  <c r="BV249" i="7"/>
  <c r="BU249" i="7"/>
  <c r="BT249" i="7"/>
  <c r="BS249" i="7"/>
  <c r="BR249" i="7"/>
  <c r="BQ249" i="7"/>
  <c r="BP249" i="7"/>
  <c r="BO249" i="7"/>
  <c r="BM249" i="7"/>
  <c r="BL249" i="7"/>
  <c r="BK249" i="7"/>
  <c r="BJ249" i="7"/>
  <c r="BI249" i="7"/>
  <c r="BH249" i="7"/>
  <c r="BG249" i="7"/>
  <c r="BF249" i="7"/>
  <c r="BE249" i="7"/>
  <c r="BD249" i="7"/>
  <c r="BC249" i="7"/>
  <c r="BB249" i="7"/>
  <c r="BA249" i="7"/>
  <c r="AZ249" i="7"/>
  <c r="AY249" i="7"/>
  <c r="AX249" i="7"/>
  <c r="AW249" i="7"/>
  <c r="AV249" i="7"/>
  <c r="AU249" i="7"/>
  <c r="AT249" i="7"/>
  <c r="AS249" i="7"/>
  <c r="AR249" i="7"/>
  <c r="AQ249" i="7"/>
  <c r="AP249" i="7"/>
  <c r="AO249" i="7"/>
  <c r="AN249" i="7"/>
  <c r="AM249" i="7"/>
  <c r="AL249" i="7"/>
  <c r="AK249" i="7"/>
  <c r="DD247" i="7"/>
  <c r="CS247" i="7"/>
  <c r="CH247" i="7"/>
  <c r="AI247" i="7"/>
  <c r="AH247" i="7"/>
  <c r="AG247" i="7"/>
  <c r="AF247" i="7"/>
  <c r="AE247" i="7"/>
  <c r="DD246" i="7"/>
  <c r="CS246" i="7"/>
  <c r="CH246" i="7"/>
  <c r="AI246" i="7"/>
  <c r="AH246" i="7"/>
  <c r="AG246" i="7"/>
  <c r="AF246" i="7"/>
  <c r="AE246" i="7"/>
  <c r="DN245" i="7"/>
  <c r="DM245" i="7"/>
  <c r="DL245" i="7"/>
  <c r="DK245" i="7"/>
  <c r="DJ245" i="7"/>
  <c r="DI245" i="7"/>
  <c r="DH245" i="7"/>
  <c r="DG245" i="7"/>
  <c r="DF245" i="7"/>
  <c r="DE245" i="7"/>
  <c r="DC245" i="7"/>
  <c r="DB245" i="7"/>
  <c r="DA245" i="7"/>
  <c r="CZ245" i="7"/>
  <c r="CY245" i="7"/>
  <c r="CX245" i="7"/>
  <c r="CW245" i="7"/>
  <c r="CV245" i="7"/>
  <c r="CU245" i="7"/>
  <c r="CT245" i="7"/>
  <c r="CR245" i="7"/>
  <c r="CQ245" i="7"/>
  <c r="CP245" i="7"/>
  <c r="CO245" i="7"/>
  <c r="CN245" i="7"/>
  <c r="CM245" i="7"/>
  <c r="CL245" i="7"/>
  <c r="CK245" i="7"/>
  <c r="CJ245" i="7"/>
  <c r="CI245" i="7"/>
  <c r="CG245" i="7"/>
  <c r="CF245" i="7"/>
  <c r="CE245" i="7"/>
  <c r="CD245" i="7"/>
  <c r="CC245" i="7"/>
  <c r="CB245" i="7"/>
  <c r="CA245" i="7"/>
  <c r="BZ245" i="7"/>
  <c r="BY245" i="7"/>
  <c r="BX245" i="7"/>
  <c r="BW245" i="7"/>
  <c r="BV245" i="7"/>
  <c r="BU245" i="7"/>
  <c r="BT245" i="7"/>
  <c r="BS245" i="7"/>
  <c r="BR245" i="7"/>
  <c r="BQ245" i="7"/>
  <c r="BP245" i="7"/>
  <c r="BO245" i="7"/>
  <c r="BN245" i="7"/>
  <c r="BM245" i="7"/>
  <c r="BL245" i="7"/>
  <c r="BK245" i="7"/>
  <c r="BJ245" i="7"/>
  <c r="BI245" i="7"/>
  <c r="BH245" i="7"/>
  <c r="BG245" i="7"/>
  <c r="BF245" i="7"/>
  <c r="BE245" i="7"/>
  <c r="BD245" i="7"/>
  <c r="BC245" i="7"/>
  <c r="BB245" i="7"/>
  <c r="BA245" i="7"/>
  <c r="AZ245" i="7"/>
  <c r="AY245" i="7"/>
  <c r="AX245" i="7"/>
  <c r="AW245" i="7"/>
  <c r="AV245" i="7"/>
  <c r="AU245" i="7"/>
  <c r="AT245" i="7"/>
  <c r="AS245" i="7"/>
  <c r="AR245" i="7"/>
  <c r="AQ245" i="7"/>
  <c r="AP245" i="7"/>
  <c r="AO245" i="7"/>
  <c r="AN245" i="7"/>
  <c r="AM245" i="7"/>
  <c r="AL245" i="7"/>
  <c r="AK245" i="7"/>
  <c r="AJ245" i="7"/>
  <c r="DD244" i="7"/>
  <c r="CS244" i="7"/>
  <c r="CH244" i="7"/>
  <c r="DD243" i="7"/>
  <c r="CS243" i="7"/>
  <c r="CH243" i="7"/>
  <c r="DD242" i="7"/>
  <c r="CS242" i="7"/>
  <c r="CH242" i="7"/>
  <c r="AI242" i="7"/>
  <c r="AI241" i="7" s="1"/>
  <c r="AH242" i="7"/>
  <c r="AH241" i="7" s="1"/>
  <c r="F36" i="5" s="1"/>
  <c r="AG242" i="7"/>
  <c r="AG241" i="7" s="1"/>
  <c r="E36" i="5" s="1"/>
  <c r="AF242" i="7"/>
  <c r="AF241" i="7" s="1"/>
  <c r="D36" i="5" s="1"/>
  <c r="AE242" i="7"/>
  <c r="AE241" i="7" s="1"/>
  <c r="DN241" i="7"/>
  <c r="DM241" i="7"/>
  <c r="DL241" i="7"/>
  <c r="DK241" i="7"/>
  <c r="DJ241" i="7"/>
  <c r="DI241" i="7"/>
  <c r="DH241" i="7"/>
  <c r="DG241" i="7"/>
  <c r="DF241" i="7"/>
  <c r="DE241" i="7"/>
  <c r="DC241" i="7"/>
  <c r="DB241" i="7"/>
  <c r="DA241" i="7"/>
  <c r="CZ241" i="7"/>
  <c r="CY241" i="7"/>
  <c r="CX241" i="7"/>
  <c r="CW241" i="7"/>
  <c r="CV241" i="7"/>
  <c r="CU241" i="7"/>
  <c r="CT241" i="7"/>
  <c r="CR241" i="7"/>
  <c r="CQ241" i="7"/>
  <c r="CP241" i="7"/>
  <c r="CO241" i="7"/>
  <c r="CN241" i="7"/>
  <c r="CM241" i="7"/>
  <c r="CL241" i="7"/>
  <c r="CK241" i="7"/>
  <c r="CJ241" i="7"/>
  <c r="CI241" i="7"/>
  <c r="CG241" i="7"/>
  <c r="CF241" i="7"/>
  <c r="CE241" i="7"/>
  <c r="CD241" i="7"/>
  <c r="CC241" i="7"/>
  <c r="CB241" i="7"/>
  <c r="CA241" i="7"/>
  <c r="BZ241" i="7"/>
  <c r="BY241" i="7"/>
  <c r="BX241" i="7"/>
  <c r="BW241" i="7"/>
  <c r="BV241" i="7"/>
  <c r="BU241" i="7"/>
  <c r="BT241" i="7"/>
  <c r="BS241" i="7"/>
  <c r="BR241" i="7"/>
  <c r="BQ241" i="7"/>
  <c r="BP241" i="7"/>
  <c r="BO241" i="7"/>
  <c r="BN241" i="7"/>
  <c r="BM241" i="7"/>
  <c r="BL241" i="7"/>
  <c r="BK241" i="7"/>
  <c r="BJ241" i="7"/>
  <c r="BI241" i="7"/>
  <c r="BH241" i="7"/>
  <c r="BG241" i="7"/>
  <c r="BF241" i="7"/>
  <c r="BE241" i="7"/>
  <c r="BD241" i="7"/>
  <c r="BC241" i="7"/>
  <c r="BB241" i="7"/>
  <c r="BA241" i="7"/>
  <c r="AZ241" i="7"/>
  <c r="AY241" i="7"/>
  <c r="AX241" i="7"/>
  <c r="AW241" i="7"/>
  <c r="AV241" i="7"/>
  <c r="AU241" i="7"/>
  <c r="AT241" i="7"/>
  <c r="AS241" i="7"/>
  <c r="AR241" i="7"/>
  <c r="AQ241" i="7"/>
  <c r="AP241" i="7"/>
  <c r="AO241" i="7"/>
  <c r="AN241" i="7"/>
  <c r="AM241" i="7"/>
  <c r="AL241" i="7"/>
  <c r="AK241" i="7"/>
  <c r="AJ241" i="7"/>
  <c r="DD240" i="7"/>
  <c r="CS240" i="7"/>
  <c r="CH240" i="7"/>
  <c r="AI240" i="7"/>
  <c r="AG240" i="7"/>
  <c r="AF240" i="7"/>
  <c r="AE240" i="7"/>
  <c r="DD239" i="7"/>
  <c r="CS239" i="7"/>
  <c r="CH239" i="7"/>
  <c r="AI239" i="7"/>
  <c r="AG239" i="7"/>
  <c r="AF239" i="7"/>
  <c r="AE239" i="7"/>
  <c r="DN238" i="7"/>
  <c r="DM238" i="7"/>
  <c r="DL238" i="7"/>
  <c r="DK238" i="7"/>
  <c r="DJ238" i="7"/>
  <c r="DI238" i="7"/>
  <c r="DH238" i="7"/>
  <c r="DG238" i="7"/>
  <c r="DF238" i="7"/>
  <c r="DE238" i="7"/>
  <c r="DC238" i="7"/>
  <c r="DB238" i="7"/>
  <c r="DA238" i="7"/>
  <c r="CZ238" i="7"/>
  <c r="CY238" i="7"/>
  <c r="CX238" i="7"/>
  <c r="CW238" i="7"/>
  <c r="CV238" i="7"/>
  <c r="CU238" i="7"/>
  <c r="CT238" i="7"/>
  <c r="CR238" i="7"/>
  <c r="CQ238" i="7"/>
  <c r="CP238" i="7"/>
  <c r="CO238" i="7"/>
  <c r="CN238" i="7"/>
  <c r="CM238" i="7"/>
  <c r="CL238" i="7"/>
  <c r="CK238" i="7"/>
  <c r="CJ238" i="7"/>
  <c r="CI238" i="7"/>
  <c r="CG238" i="7"/>
  <c r="CF238" i="7"/>
  <c r="CE238" i="7"/>
  <c r="CD238" i="7"/>
  <c r="CC238" i="7"/>
  <c r="CB238" i="7"/>
  <c r="CA238" i="7"/>
  <c r="BZ238" i="7"/>
  <c r="BY238" i="7"/>
  <c r="BX238" i="7"/>
  <c r="BW238" i="7"/>
  <c r="BV238" i="7"/>
  <c r="BU238" i="7"/>
  <c r="BT238" i="7"/>
  <c r="BS238" i="7"/>
  <c r="BR238" i="7"/>
  <c r="BQ238" i="7"/>
  <c r="BP238" i="7"/>
  <c r="BO238" i="7"/>
  <c r="BN238" i="7"/>
  <c r="BM238" i="7"/>
  <c r="BL238" i="7"/>
  <c r="BK238" i="7"/>
  <c r="BJ238" i="7"/>
  <c r="BI238" i="7"/>
  <c r="BH238" i="7"/>
  <c r="BG238" i="7"/>
  <c r="BF238" i="7"/>
  <c r="BE238" i="7"/>
  <c r="BD238" i="7"/>
  <c r="BC238" i="7"/>
  <c r="BB238" i="7"/>
  <c r="BA238" i="7"/>
  <c r="AZ238" i="7"/>
  <c r="AY238" i="7"/>
  <c r="AX238" i="7"/>
  <c r="AW238" i="7"/>
  <c r="AV238" i="7"/>
  <c r="AU238" i="7"/>
  <c r="AT238" i="7"/>
  <c r="AS238" i="7"/>
  <c r="AR238" i="7"/>
  <c r="AQ238" i="7"/>
  <c r="AP238" i="7"/>
  <c r="AO238" i="7"/>
  <c r="AN238" i="7"/>
  <c r="AM238" i="7"/>
  <c r="AL238" i="7"/>
  <c r="AJ238" i="7"/>
  <c r="DD237" i="7"/>
  <c r="DD236" i="7" s="1"/>
  <c r="CS237" i="7"/>
  <c r="CS236" i="7" s="1"/>
  <c r="CH237" i="7"/>
  <c r="CH236" i="7" s="1"/>
  <c r="AI237" i="7"/>
  <c r="AI236" i="7" s="1"/>
  <c r="AH237" i="7"/>
  <c r="AH236" i="7" s="1"/>
  <c r="F34" i="5" s="1"/>
  <c r="AG237" i="7"/>
  <c r="AG236" i="7" s="1"/>
  <c r="E34" i="5" s="1"/>
  <c r="AF237" i="7"/>
  <c r="AF236" i="7" s="1"/>
  <c r="D34" i="5" s="1"/>
  <c r="AE237" i="7"/>
  <c r="AE236" i="7" s="1"/>
  <c r="DN236" i="7"/>
  <c r="DM236" i="7"/>
  <c r="DL236" i="7"/>
  <c r="DK236" i="7"/>
  <c r="DJ236" i="7"/>
  <c r="DI236" i="7"/>
  <c r="DH236" i="7"/>
  <c r="DG236" i="7"/>
  <c r="DF236" i="7"/>
  <c r="DE236" i="7"/>
  <c r="DC236" i="7"/>
  <c r="DB236" i="7"/>
  <c r="DA236" i="7"/>
  <c r="CZ236" i="7"/>
  <c r="CY236" i="7"/>
  <c r="CX236" i="7"/>
  <c r="CW236" i="7"/>
  <c r="CV236" i="7"/>
  <c r="CU236" i="7"/>
  <c r="CT236" i="7"/>
  <c r="CR236" i="7"/>
  <c r="CQ236" i="7"/>
  <c r="CP236" i="7"/>
  <c r="CO236" i="7"/>
  <c r="CN236" i="7"/>
  <c r="CM236" i="7"/>
  <c r="CL236" i="7"/>
  <c r="CK236" i="7"/>
  <c r="CJ236" i="7"/>
  <c r="CI236" i="7"/>
  <c r="CG236" i="7"/>
  <c r="CF236" i="7"/>
  <c r="CE236" i="7"/>
  <c r="CD236" i="7"/>
  <c r="CC236" i="7"/>
  <c r="CB236" i="7"/>
  <c r="CA236" i="7"/>
  <c r="BZ236" i="7"/>
  <c r="BY236" i="7"/>
  <c r="BX236" i="7"/>
  <c r="BW236" i="7"/>
  <c r="BV236" i="7"/>
  <c r="BU236" i="7"/>
  <c r="BT236" i="7"/>
  <c r="BS236" i="7"/>
  <c r="BR236" i="7"/>
  <c r="BQ236" i="7"/>
  <c r="BP236" i="7"/>
  <c r="BO236" i="7"/>
  <c r="BN236" i="7"/>
  <c r="BM236" i="7"/>
  <c r="BL236" i="7"/>
  <c r="BK236" i="7"/>
  <c r="BJ236" i="7"/>
  <c r="BI236" i="7"/>
  <c r="BH236" i="7"/>
  <c r="BG236" i="7"/>
  <c r="BF236" i="7"/>
  <c r="BE236" i="7"/>
  <c r="BD236" i="7"/>
  <c r="BC236" i="7"/>
  <c r="BB236" i="7"/>
  <c r="BA236" i="7"/>
  <c r="AZ236" i="7"/>
  <c r="AY236" i="7"/>
  <c r="AX236" i="7"/>
  <c r="AW236" i="7"/>
  <c r="AV236" i="7"/>
  <c r="AU236" i="7"/>
  <c r="AT236" i="7"/>
  <c r="AS236" i="7"/>
  <c r="AR236" i="7"/>
  <c r="AQ236" i="7"/>
  <c r="AP236" i="7"/>
  <c r="AO236" i="7"/>
  <c r="AN236" i="7"/>
  <c r="AM236" i="7"/>
  <c r="AL236" i="7"/>
  <c r="AK236" i="7"/>
  <c r="AJ236" i="7"/>
  <c r="DD235" i="7"/>
  <c r="CS235" i="7"/>
  <c r="CH235" i="7"/>
  <c r="AI235" i="7"/>
  <c r="AH235" i="7"/>
  <c r="AG235" i="7"/>
  <c r="AF235" i="7"/>
  <c r="AE235" i="7"/>
  <c r="DD234" i="7"/>
  <c r="CS234" i="7"/>
  <c r="CH234" i="7"/>
  <c r="AI234" i="7"/>
  <c r="AH234" i="7"/>
  <c r="AG234" i="7"/>
  <c r="AF234" i="7"/>
  <c r="AE234" i="7"/>
  <c r="DD233" i="7"/>
  <c r="CS233" i="7"/>
  <c r="CH233" i="7"/>
  <c r="AI233" i="7"/>
  <c r="AH233" i="7"/>
  <c r="AG233" i="7"/>
  <c r="AF233" i="7"/>
  <c r="AE233" i="7"/>
  <c r="DD232" i="7"/>
  <c r="CS232" i="7"/>
  <c r="CH232" i="7"/>
  <c r="AJ232" i="7"/>
  <c r="AI232" i="7"/>
  <c r="AH232" i="7"/>
  <c r="AG232" i="7"/>
  <c r="AF232" i="7"/>
  <c r="DN231" i="7"/>
  <c r="DM231" i="7"/>
  <c r="DL231" i="7"/>
  <c r="DK231" i="7"/>
  <c r="DJ231" i="7"/>
  <c r="DI231" i="7"/>
  <c r="DH231" i="7"/>
  <c r="DG231" i="7"/>
  <c r="DF231" i="7"/>
  <c r="DE231" i="7"/>
  <c r="DC231" i="7"/>
  <c r="DB231" i="7"/>
  <c r="DA231" i="7"/>
  <c r="CZ231" i="7"/>
  <c r="CY231" i="7"/>
  <c r="CX231" i="7"/>
  <c r="CW231" i="7"/>
  <c r="CV231" i="7"/>
  <c r="CU231" i="7"/>
  <c r="CT231" i="7"/>
  <c r="CR231" i="7"/>
  <c r="CQ231" i="7"/>
  <c r="CP231" i="7"/>
  <c r="CO231" i="7"/>
  <c r="CN231" i="7"/>
  <c r="CM231" i="7"/>
  <c r="CL231" i="7"/>
  <c r="CK231" i="7"/>
  <c r="CJ231" i="7"/>
  <c r="CI231" i="7"/>
  <c r="CG231" i="7"/>
  <c r="CF231" i="7"/>
  <c r="CE231" i="7"/>
  <c r="CD231" i="7"/>
  <c r="CC231" i="7"/>
  <c r="CB231" i="7"/>
  <c r="CA231" i="7"/>
  <c r="BZ231" i="7"/>
  <c r="BY231" i="7"/>
  <c r="BX231" i="7"/>
  <c r="BW231" i="7"/>
  <c r="BV231" i="7"/>
  <c r="BU231" i="7"/>
  <c r="BT231" i="7"/>
  <c r="BS231" i="7"/>
  <c r="BR231" i="7"/>
  <c r="BQ231" i="7"/>
  <c r="BP231" i="7"/>
  <c r="BO231" i="7"/>
  <c r="BN231" i="7"/>
  <c r="BM231" i="7"/>
  <c r="BL231" i="7"/>
  <c r="BK231" i="7"/>
  <c r="BJ231" i="7"/>
  <c r="BI231" i="7"/>
  <c r="BH231" i="7"/>
  <c r="BG231" i="7"/>
  <c r="BF231" i="7"/>
  <c r="BE231" i="7"/>
  <c r="BD231" i="7"/>
  <c r="BC231" i="7"/>
  <c r="BB231" i="7"/>
  <c r="BA231" i="7"/>
  <c r="AZ231" i="7"/>
  <c r="AY231" i="7"/>
  <c r="AX231" i="7"/>
  <c r="AW231" i="7"/>
  <c r="AV231" i="7"/>
  <c r="AU231" i="7"/>
  <c r="AT231" i="7"/>
  <c r="AS231" i="7"/>
  <c r="AR231" i="7"/>
  <c r="AQ231" i="7"/>
  <c r="AP231" i="7"/>
  <c r="AO231" i="7"/>
  <c r="AN231" i="7"/>
  <c r="AM231" i="7"/>
  <c r="AL231" i="7"/>
  <c r="AK231" i="7"/>
  <c r="DD230" i="7"/>
  <c r="CS230" i="7"/>
  <c r="CH230" i="7"/>
  <c r="AI230" i="7"/>
  <c r="AH230" i="7"/>
  <c r="AG230" i="7"/>
  <c r="AF230" i="7"/>
  <c r="AE230" i="7"/>
  <c r="DD229" i="7"/>
  <c r="CS229" i="7"/>
  <c r="CH229" i="7"/>
  <c r="AG229" i="7"/>
  <c r="AJ229" i="7"/>
  <c r="AE229" i="7" s="1"/>
  <c r="AI229" i="7"/>
  <c r="AH229" i="7"/>
  <c r="AF229" i="7"/>
  <c r="DD228" i="7"/>
  <c r="CS228" i="7"/>
  <c r="CH228" i="7"/>
  <c r="AI228" i="7"/>
  <c r="AH228" i="7"/>
  <c r="AG228" i="7"/>
  <c r="AF228" i="7"/>
  <c r="AE228" i="7"/>
  <c r="DD227" i="7"/>
  <c r="CS227" i="7"/>
  <c r="CH227" i="7"/>
  <c r="AJ227" i="7"/>
  <c r="AE227" i="7" s="1"/>
  <c r="AI227" i="7"/>
  <c r="AH227" i="7"/>
  <c r="AG227" i="7"/>
  <c r="AF227" i="7"/>
  <c r="DD226" i="7"/>
  <c r="CS226" i="7"/>
  <c r="CH226" i="7"/>
  <c r="AI226" i="7"/>
  <c r="AH226" i="7"/>
  <c r="AG226" i="7"/>
  <c r="AF226" i="7"/>
  <c r="AE226" i="7"/>
  <c r="CS225" i="7"/>
  <c r="CH225" i="7"/>
  <c r="AI225" i="7"/>
  <c r="AH225" i="7"/>
  <c r="AG225" i="7"/>
  <c r="AF225" i="7"/>
  <c r="AE225" i="7"/>
  <c r="DD224" i="7"/>
  <c r="CS224" i="7"/>
  <c r="CH224" i="7"/>
  <c r="AI224" i="7"/>
  <c r="AH224" i="7"/>
  <c r="AG224" i="7"/>
  <c r="AF224" i="7"/>
  <c r="AE224" i="7"/>
  <c r="DE223" i="7"/>
  <c r="DD223" i="7" s="1"/>
  <c r="CT223" i="7"/>
  <c r="CS223" i="7" s="1"/>
  <c r="CI223" i="7"/>
  <c r="CH223" i="7" s="1"/>
  <c r="AJ223" i="7"/>
  <c r="AI223" i="7"/>
  <c r="AH223" i="7"/>
  <c r="AG223" i="7"/>
  <c r="AF223" i="7"/>
  <c r="AD223" i="7"/>
  <c r="AC223" i="7"/>
  <c r="AB223" i="7"/>
  <c r="Z223" i="7"/>
  <c r="Y223" i="7"/>
  <c r="DD222" i="7"/>
  <c r="CS222" i="7"/>
  <c r="CH222" i="7"/>
  <c r="AI222" i="7"/>
  <c r="AH222" i="7"/>
  <c r="AG222" i="7"/>
  <c r="AF222" i="7"/>
  <c r="AE222" i="7"/>
  <c r="DN221" i="7"/>
  <c r="DM221" i="7"/>
  <c r="DL221" i="7"/>
  <c r="DK221" i="7"/>
  <c r="DJ221" i="7"/>
  <c r="DI221" i="7"/>
  <c r="DH221" i="7"/>
  <c r="DG221" i="7"/>
  <c r="DF221" i="7"/>
  <c r="DC221" i="7"/>
  <c r="DB221" i="7"/>
  <c r="DA221" i="7"/>
  <c r="CZ221" i="7"/>
  <c r="CY221" i="7"/>
  <c r="CX221" i="7"/>
  <c r="CW221" i="7"/>
  <c r="CV221" i="7"/>
  <c r="CU221" i="7"/>
  <c r="CR221" i="7"/>
  <c r="CQ221" i="7"/>
  <c r="CP221" i="7"/>
  <c r="CO221" i="7"/>
  <c r="CN221" i="7"/>
  <c r="CM221" i="7"/>
  <c r="CL221" i="7"/>
  <c r="CK221" i="7"/>
  <c r="CJ221" i="7"/>
  <c r="CG221" i="7"/>
  <c r="CF221" i="7"/>
  <c r="CE221" i="7"/>
  <c r="CD221" i="7"/>
  <c r="CC221" i="7"/>
  <c r="CB221" i="7"/>
  <c r="CA221" i="7"/>
  <c r="BZ221" i="7"/>
  <c r="BY221" i="7"/>
  <c r="BX221" i="7"/>
  <c r="BW221" i="7"/>
  <c r="BV221" i="7"/>
  <c r="BU221" i="7"/>
  <c r="BT221" i="7"/>
  <c r="BS221" i="7"/>
  <c r="BR221" i="7"/>
  <c r="BQ221" i="7"/>
  <c r="BP221" i="7"/>
  <c r="BO221" i="7"/>
  <c r="BN221" i="7"/>
  <c r="BM221" i="7"/>
  <c r="BL221" i="7"/>
  <c r="BK221" i="7"/>
  <c r="BJ221" i="7"/>
  <c r="BI221" i="7"/>
  <c r="BH221" i="7"/>
  <c r="BG221" i="7"/>
  <c r="BF221" i="7"/>
  <c r="BE221" i="7"/>
  <c r="BD221" i="7"/>
  <c r="BC221" i="7"/>
  <c r="BB221" i="7"/>
  <c r="BA221" i="7"/>
  <c r="AZ221" i="7"/>
  <c r="AY221" i="7"/>
  <c r="AX221" i="7"/>
  <c r="AW221" i="7"/>
  <c r="AV221" i="7"/>
  <c r="AU221" i="7"/>
  <c r="AT221" i="7"/>
  <c r="AS221" i="7"/>
  <c r="AR221" i="7"/>
  <c r="AQ221" i="7"/>
  <c r="AP221" i="7"/>
  <c r="AO221" i="7"/>
  <c r="AN221" i="7"/>
  <c r="AM221" i="7"/>
  <c r="AK221" i="7"/>
  <c r="DD220" i="7"/>
  <c r="DD219" i="7" s="1"/>
  <c r="CS220" i="7"/>
  <c r="CS219" i="7" s="1"/>
  <c r="CH220" i="7"/>
  <c r="CH219" i="7" s="1"/>
  <c r="AI220" i="7"/>
  <c r="AI219" i="7" s="1"/>
  <c r="AH220" i="7"/>
  <c r="AH219" i="7" s="1"/>
  <c r="F31" i="5" s="1"/>
  <c r="AG220" i="7"/>
  <c r="AG219" i="7" s="1"/>
  <c r="E31" i="5" s="1"/>
  <c r="AF220" i="7"/>
  <c r="AF219" i="7" s="1"/>
  <c r="D31" i="5" s="1"/>
  <c r="AE220" i="7"/>
  <c r="DN219" i="7"/>
  <c r="DM219" i="7"/>
  <c r="DL219" i="7"/>
  <c r="DK219" i="7"/>
  <c r="DJ219" i="7"/>
  <c r="DI219" i="7"/>
  <c r="DH219" i="7"/>
  <c r="DG219" i="7"/>
  <c r="DF219" i="7"/>
  <c r="DE219" i="7"/>
  <c r="DC219" i="7"/>
  <c r="DB219" i="7"/>
  <c r="DA219" i="7"/>
  <c r="CZ219" i="7"/>
  <c r="CY219" i="7"/>
  <c r="CX219" i="7"/>
  <c r="CW219" i="7"/>
  <c r="CV219" i="7"/>
  <c r="CU219" i="7"/>
  <c r="CT219" i="7"/>
  <c r="CR219" i="7"/>
  <c r="CQ219" i="7"/>
  <c r="CP219" i="7"/>
  <c r="CO219" i="7"/>
  <c r="CN219" i="7"/>
  <c r="CM219" i="7"/>
  <c r="CL219" i="7"/>
  <c r="CK219" i="7"/>
  <c r="CJ219" i="7"/>
  <c r="CI219" i="7"/>
  <c r="CG219" i="7"/>
  <c r="CF219" i="7"/>
  <c r="CE219" i="7"/>
  <c r="CD219" i="7"/>
  <c r="CC219" i="7"/>
  <c r="CB219" i="7"/>
  <c r="CA219" i="7"/>
  <c r="BZ219" i="7"/>
  <c r="BY219" i="7"/>
  <c r="BX219" i="7"/>
  <c r="BW219" i="7"/>
  <c r="BV219" i="7"/>
  <c r="BU219" i="7"/>
  <c r="BT219" i="7"/>
  <c r="BS219" i="7"/>
  <c r="BR219" i="7"/>
  <c r="BQ219" i="7"/>
  <c r="BP219" i="7"/>
  <c r="BO219" i="7"/>
  <c r="BN219" i="7"/>
  <c r="BM219" i="7"/>
  <c r="BL219" i="7"/>
  <c r="BK219" i="7"/>
  <c r="BJ219" i="7"/>
  <c r="BI219" i="7"/>
  <c r="BH219" i="7"/>
  <c r="BG219" i="7"/>
  <c r="BF219" i="7"/>
  <c r="BE219" i="7"/>
  <c r="BD219" i="7"/>
  <c r="BC219" i="7"/>
  <c r="BB219" i="7"/>
  <c r="BA219" i="7"/>
  <c r="AZ219" i="7"/>
  <c r="AY219" i="7"/>
  <c r="AX219" i="7"/>
  <c r="AW219" i="7"/>
  <c r="AV219" i="7"/>
  <c r="AU219" i="7"/>
  <c r="AT219" i="7"/>
  <c r="AS219" i="7"/>
  <c r="AR219" i="7"/>
  <c r="AQ219" i="7"/>
  <c r="AP219" i="7"/>
  <c r="AO219" i="7"/>
  <c r="AN219" i="7"/>
  <c r="AM219" i="7"/>
  <c r="AL219" i="7"/>
  <c r="AK219" i="7"/>
  <c r="AJ219" i="7"/>
  <c r="DD218" i="7"/>
  <c r="CS218" i="7"/>
  <c r="CH218" i="7"/>
  <c r="AI218" i="7"/>
  <c r="AH218" i="7"/>
  <c r="AG218" i="7"/>
  <c r="AF218" i="7"/>
  <c r="AE218" i="7"/>
  <c r="DD217" i="7"/>
  <c r="CS217" i="7"/>
  <c r="CH217" i="7"/>
  <c r="AJ217" i="7"/>
  <c r="AI217" i="7"/>
  <c r="AH217" i="7"/>
  <c r="AG217" i="7"/>
  <c r="AF217" i="7"/>
  <c r="DD216" i="7"/>
  <c r="CS216" i="7"/>
  <c r="CH216" i="7"/>
  <c r="AJ216" i="7"/>
  <c r="AE216" i="7" s="1"/>
  <c r="AI216" i="7"/>
  <c r="AH216" i="7"/>
  <c r="AG216" i="7"/>
  <c r="AF216" i="7"/>
  <c r="DD215" i="7"/>
  <c r="CS215" i="7"/>
  <c r="CH215" i="7"/>
  <c r="AI215" i="7"/>
  <c r="AH215" i="7"/>
  <c r="AG215" i="7"/>
  <c r="AF215" i="7"/>
  <c r="AE215" i="7"/>
  <c r="DD214" i="7"/>
  <c r="CS214" i="7"/>
  <c r="CH214" i="7"/>
  <c r="AJ214" i="7"/>
  <c r="AE214" i="7" s="1"/>
  <c r="AI214" i="7"/>
  <c r="AH214" i="7"/>
  <c r="AG214" i="7"/>
  <c r="AF214" i="7"/>
  <c r="DN213" i="7"/>
  <c r="DM213" i="7"/>
  <c r="DL213" i="7"/>
  <c r="DK213" i="7"/>
  <c r="DJ213" i="7"/>
  <c r="DI213" i="7"/>
  <c r="DH213" i="7"/>
  <c r="DG213" i="7"/>
  <c r="DF213" i="7"/>
  <c r="DE213" i="7"/>
  <c r="DC213" i="7"/>
  <c r="DB213" i="7"/>
  <c r="DA213" i="7"/>
  <c r="CZ213" i="7"/>
  <c r="CY213" i="7"/>
  <c r="CX213" i="7"/>
  <c r="CW213" i="7"/>
  <c r="CV213" i="7"/>
  <c r="CU213" i="7"/>
  <c r="CT213" i="7"/>
  <c r="CR213" i="7"/>
  <c r="CQ213" i="7"/>
  <c r="CP213" i="7"/>
  <c r="CO213" i="7"/>
  <c r="CN213" i="7"/>
  <c r="CM213" i="7"/>
  <c r="CL213" i="7"/>
  <c r="CK213" i="7"/>
  <c r="CJ213" i="7"/>
  <c r="CI213" i="7"/>
  <c r="CG213" i="7"/>
  <c r="CF213" i="7"/>
  <c r="CE213" i="7"/>
  <c r="CD213" i="7"/>
  <c r="CC213" i="7"/>
  <c r="CB213" i="7"/>
  <c r="CA213" i="7"/>
  <c r="BZ213" i="7"/>
  <c r="BY213" i="7"/>
  <c r="BX213" i="7"/>
  <c r="BW213" i="7"/>
  <c r="BV213" i="7"/>
  <c r="BU213" i="7"/>
  <c r="BT213" i="7"/>
  <c r="BS213" i="7"/>
  <c r="BR213" i="7"/>
  <c r="BQ213" i="7"/>
  <c r="BP213" i="7"/>
  <c r="BO213" i="7"/>
  <c r="BN213" i="7"/>
  <c r="BM213" i="7"/>
  <c r="BL213" i="7"/>
  <c r="BK213" i="7"/>
  <c r="BJ213" i="7"/>
  <c r="BI213" i="7"/>
  <c r="BH213" i="7"/>
  <c r="BG213" i="7"/>
  <c r="BF213" i="7"/>
  <c r="BE213" i="7"/>
  <c r="BD213" i="7"/>
  <c r="BC213" i="7"/>
  <c r="BB213" i="7"/>
  <c r="BA213" i="7"/>
  <c r="AZ213" i="7"/>
  <c r="AY213" i="7"/>
  <c r="AX213" i="7"/>
  <c r="AW213" i="7"/>
  <c r="AV213" i="7"/>
  <c r="AU213" i="7"/>
  <c r="AT213" i="7"/>
  <c r="AS213" i="7"/>
  <c r="AR213" i="7"/>
  <c r="AQ213" i="7"/>
  <c r="AP213" i="7"/>
  <c r="AO213" i="7"/>
  <c r="AN213" i="7"/>
  <c r="AM213" i="7"/>
  <c r="AL213" i="7"/>
  <c r="AK213" i="7"/>
  <c r="DD212" i="7"/>
  <c r="CS212" i="7"/>
  <c r="CH212" i="7"/>
  <c r="AI212" i="7"/>
  <c r="AH212" i="7"/>
  <c r="AG212" i="7"/>
  <c r="AF212" i="7"/>
  <c r="AE212" i="7"/>
  <c r="DD211" i="7"/>
  <c r="CS211" i="7"/>
  <c r="CH211" i="7"/>
  <c r="AI211" i="7"/>
  <c r="AH211" i="7"/>
  <c r="AG211" i="7"/>
  <c r="AF211" i="7"/>
  <c r="AE211" i="7"/>
  <c r="DN210" i="7"/>
  <c r="DM210" i="7"/>
  <c r="DL210" i="7"/>
  <c r="DK210" i="7"/>
  <c r="DJ210" i="7"/>
  <c r="DI210" i="7"/>
  <c r="DH210" i="7"/>
  <c r="DG210" i="7"/>
  <c r="DF210" i="7"/>
  <c r="DE210" i="7"/>
  <c r="DC210" i="7"/>
  <c r="DB210" i="7"/>
  <c r="DA210" i="7"/>
  <c r="CZ210" i="7"/>
  <c r="CY210" i="7"/>
  <c r="CX210" i="7"/>
  <c r="CW210" i="7"/>
  <c r="CV210" i="7"/>
  <c r="CU210" i="7"/>
  <c r="CT210" i="7"/>
  <c r="CR210" i="7"/>
  <c r="CQ210" i="7"/>
  <c r="CP210" i="7"/>
  <c r="CO210" i="7"/>
  <c r="CN210" i="7"/>
  <c r="CM210" i="7"/>
  <c r="CL210" i="7"/>
  <c r="CK210" i="7"/>
  <c r="CJ210" i="7"/>
  <c r="CI210" i="7"/>
  <c r="CG210" i="7"/>
  <c r="CF210" i="7"/>
  <c r="CE210" i="7"/>
  <c r="CD210" i="7"/>
  <c r="CC210" i="7"/>
  <c r="CB210" i="7"/>
  <c r="CA210" i="7"/>
  <c r="BZ210" i="7"/>
  <c r="BY210" i="7"/>
  <c r="BX210" i="7"/>
  <c r="BW210" i="7"/>
  <c r="BV210" i="7"/>
  <c r="BU210" i="7"/>
  <c r="BT210" i="7"/>
  <c r="BS210" i="7"/>
  <c r="BR210" i="7"/>
  <c r="BQ210" i="7"/>
  <c r="BP210" i="7"/>
  <c r="BO210" i="7"/>
  <c r="BN210" i="7"/>
  <c r="BM210" i="7"/>
  <c r="BL210" i="7"/>
  <c r="BK210" i="7"/>
  <c r="BJ210" i="7"/>
  <c r="BI210" i="7"/>
  <c r="BH210" i="7"/>
  <c r="BG210" i="7"/>
  <c r="BF210" i="7"/>
  <c r="BE210" i="7"/>
  <c r="BD210" i="7"/>
  <c r="BC210" i="7"/>
  <c r="BB210" i="7"/>
  <c r="BA210" i="7"/>
  <c r="AZ210" i="7"/>
  <c r="AY210" i="7"/>
  <c r="AX210" i="7"/>
  <c r="AW210" i="7"/>
  <c r="AV210" i="7"/>
  <c r="AU210" i="7"/>
  <c r="AT210" i="7"/>
  <c r="AS210" i="7"/>
  <c r="AR210" i="7"/>
  <c r="AQ210" i="7"/>
  <c r="AP210" i="7"/>
  <c r="AO210" i="7"/>
  <c r="AN210" i="7"/>
  <c r="AM210" i="7"/>
  <c r="AL210" i="7"/>
  <c r="AK210" i="7"/>
  <c r="AJ210" i="7"/>
  <c r="DD209" i="7"/>
  <c r="DD208" i="7" s="1"/>
  <c r="CS209" i="7"/>
  <c r="CS208" i="7" s="1"/>
  <c r="CH209" i="7"/>
  <c r="CH208" i="7" s="1"/>
  <c r="AI209" i="7"/>
  <c r="AI208" i="7" s="1"/>
  <c r="AH209" i="7"/>
  <c r="AH208" i="7" s="1"/>
  <c r="F28" i="5" s="1"/>
  <c r="AG209" i="7"/>
  <c r="AG208" i="7" s="1"/>
  <c r="E28" i="5" s="1"/>
  <c r="AF209" i="7"/>
  <c r="AF208" i="7" s="1"/>
  <c r="D28" i="5" s="1"/>
  <c r="AE209" i="7"/>
  <c r="AE208" i="7" s="1"/>
  <c r="DN208" i="7"/>
  <c r="DM208" i="7"/>
  <c r="DL208" i="7"/>
  <c r="DK208" i="7"/>
  <c r="DJ208" i="7"/>
  <c r="DI208" i="7"/>
  <c r="DH208" i="7"/>
  <c r="DG208" i="7"/>
  <c r="DF208" i="7"/>
  <c r="DE208" i="7"/>
  <c r="DC208" i="7"/>
  <c r="DB208" i="7"/>
  <c r="DA208" i="7"/>
  <c r="CZ208" i="7"/>
  <c r="CY208" i="7"/>
  <c r="CX208" i="7"/>
  <c r="CW208" i="7"/>
  <c r="CV208" i="7"/>
  <c r="CU208" i="7"/>
  <c r="CT208" i="7"/>
  <c r="CR208" i="7"/>
  <c r="CQ208" i="7"/>
  <c r="CP208" i="7"/>
  <c r="CO208" i="7"/>
  <c r="CN208" i="7"/>
  <c r="CM208" i="7"/>
  <c r="CL208" i="7"/>
  <c r="CK208" i="7"/>
  <c r="CJ208" i="7"/>
  <c r="CI208" i="7"/>
  <c r="CG208" i="7"/>
  <c r="CF208" i="7"/>
  <c r="CE208" i="7"/>
  <c r="CD208" i="7"/>
  <c r="CC208" i="7"/>
  <c r="CB208" i="7"/>
  <c r="CA208" i="7"/>
  <c r="BZ208" i="7"/>
  <c r="BY208" i="7"/>
  <c r="BX208" i="7"/>
  <c r="BW208" i="7"/>
  <c r="BV208" i="7"/>
  <c r="BU208" i="7"/>
  <c r="BT208" i="7"/>
  <c r="BS208" i="7"/>
  <c r="BR208" i="7"/>
  <c r="BQ208" i="7"/>
  <c r="BP208" i="7"/>
  <c r="BO208" i="7"/>
  <c r="BN208" i="7"/>
  <c r="BM208" i="7"/>
  <c r="BL208" i="7"/>
  <c r="BK208" i="7"/>
  <c r="BJ208" i="7"/>
  <c r="BI208" i="7"/>
  <c r="BH208" i="7"/>
  <c r="BG208" i="7"/>
  <c r="BF208" i="7"/>
  <c r="BE208" i="7"/>
  <c r="BD208" i="7"/>
  <c r="BC208" i="7"/>
  <c r="BB208" i="7"/>
  <c r="BA208" i="7"/>
  <c r="AZ208" i="7"/>
  <c r="AY208" i="7"/>
  <c r="AX208" i="7"/>
  <c r="AW208" i="7"/>
  <c r="AV208" i="7"/>
  <c r="AU208" i="7"/>
  <c r="AT208" i="7"/>
  <c r="AS208" i="7"/>
  <c r="AR208" i="7"/>
  <c r="AQ208" i="7"/>
  <c r="AP208" i="7"/>
  <c r="AO208" i="7"/>
  <c r="AN208" i="7"/>
  <c r="AM208" i="7"/>
  <c r="AL208" i="7"/>
  <c r="AK208" i="7"/>
  <c r="AJ208" i="7"/>
  <c r="DD207" i="7"/>
  <c r="DD206" i="7" s="1"/>
  <c r="CS207" i="7"/>
  <c r="CS206" i="7" s="1"/>
  <c r="CH207" i="7"/>
  <c r="CH206" i="7" s="1"/>
  <c r="AI207" i="7"/>
  <c r="AI206" i="7" s="1"/>
  <c r="AH207" i="7"/>
  <c r="AH206" i="7" s="1"/>
  <c r="F27" i="5" s="1"/>
  <c r="AG207" i="7"/>
  <c r="AG206" i="7" s="1"/>
  <c r="E27" i="5" s="1"/>
  <c r="AF207" i="7"/>
  <c r="AF206" i="7" s="1"/>
  <c r="D27" i="5" s="1"/>
  <c r="AE207" i="7"/>
  <c r="AE206" i="7" s="1"/>
  <c r="DN206" i="7"/>
  <c r="DM206" i="7"/>
  <c r="DL206" i="7"/>
  <c r="DK206" i="7"/>
  <c r="DJ206" i="7"/>
  <c r="DI206" i="7"/>
  <c r="DH206" i="7"/>
  <c r="DG206" i="7"/>
  <c r="DF206" i="7"/>
  <c r="DE206" i="7"/>
  <c r="DC206" i="7"/>
  <c r="DB206" i="7"/>
  <c r="DA206" i="7"/>
  <c r="CZ206" i="7"/>
  <c r="CY206" i="7"/>
  <c r="CX206" i="7"/>
  <c r="CW206" i="7"/>
  <c r="CV206" i="7"/>
  <c r="CU206" i="7"/>
  <c r="CT206" i="7"/>
  <c r="CR206" i="7"/>
  <c r="CQ206" i="7"/>
  <c r="CP206" i="7"/>
  <c r="CO206" i="7"/>
  <c r="CN206" i="7"/>
  <c r="CM206" i="7"/>
  <c r="CL206" i="7"/>
  <c r="CK206" i="7"/>
  <c r="CJ206" i="7"/>
  <c r="CI206" i="7"/>
  <c r="CG206" i="7"/>
  <c r="CF206" i="7"/>
  <c r="CE206" i="7"/>
  <c r="CD206" i="7"/>
  <c r="CC206" i="7"/>
  <c r="CB206" i="7"/>
  <c r="CA206" i="7"/>
  <c r="BZ206" i="7"/>
  <c r="BY206" i="7"/>
  <c r="BX206" i="7"/>
  <c r="BW206" i="7"/>
  <c r="BV206" i="7"/>
  <c r="BU206" i="7"/>
  <c r="BT206" i="7"/>
  <c r="BS206" i="7"/>
  <c r="BR206" i="7"/>
  <c r="BQ206" i="7"/>
  <c r="BP206" i="7"/>
  <c r="BO206" i="7"/>
  <c r="BN206" i="7"/>
  <c r="BM206" i="7"/>
  <c r="BL206" i="7"/>
  <c r="BK206" i="7"/>
  <c r="BJ206" i="7"/>
  <c r="BI206" i="7"/>
  <c r="BH206" i="7"/>
  <c r="BG206" i="7"/>
  <c r="BF206" i="7"/>
  <c r="BE206" i="7"/>
  <c r="BD206" i="7"/>
  <c r="BC206" i="7"/>
  <c r="BB206" i="7"/>
  <c r="BA206" i="7"/>
  <c r="AZ206" i="7"/>
  <c r="AY206" i="7"/>
  <c r="AX206" i="7"/>
  <c r="AW206" i="7"/>
  <c r="AV206" i="7"/>
  <c r="AU206" i="7"/>
  <c r="AT206" i="7"/>
  <c r="AS206" i="7"/>
  <c r="AR206" i="7"/>
  <c r="AQ206" i="7"/>
  <c r="AP206" i="7"/>
  <c r="AO206" i="7"/>
  <c r="AN206" i="7"/>
  <c r="AM206" i="7"/>
  <c r="AL206" i="7"/>
  <c r="AK206" i="7"/>
  <c r="AJ206" i="7"/>
  <c r="DD205" i="7"/>
  <c r="CS205" i="7"/>
  <c r="CH205" i="7"/>
  <c r="AI205" i="7"/>
  <c r="AH205" i="7"/>
  <c r="AG205" i="7"/>
  <c r="AF205" i="7"/>
  <c r="AE205" i="7"/>
  <c r="DD204" i="7"/>
  <c r="CS204" i="7"/>
  <c r="CH204" i="7"/>
  <c r="AI204" i="7"/>
  <c r="AH204" i="7"/>
  <c r="AG204" i="7"/>
  <c r="AF204" i="7"/>
  <c r="AE204" i="7"/>
  <c r="DN203" i="7"/>
  <c r="DM203" i="7"/>
  <c r="DL203" i="7"/>
  <c r="DK203" i="7"/>
  <c r="DJ203" i="7"/>
  <c r="DI203" i="7"/>
  <c r="DH203" i="7"/>
  <c r="DG203" i="7"/>
  <c r="DF203" i="7"/>
  <c r="DE203" i="7"/>
  <c r="DC203" i="7"/>
  <c r="DB203" i="7"/>
  <c r="DA203" i="7"/>
  <c r="CZ203" i="7"/>
  <c r="CY203" i="7"/>
  <c r="CX203" i="7"/>
  <c r="CW203" i="7"/>
  <c r="CV203" i="7"/>
  <c r="CU203" i="7"/>
  <c r="CT203" i="7"/>
  <c r="CR203" i="7"/>
  <c r="CQ203" i="7"/>
  <c r="CP203" i="7"/>
  <c r="CO203" i="7"/>
  <c r="CN203" i="7"/>
  <c r="CM203" i="7"/>
  <c r="CL203" i="7"/>
  <c r="CK203" i="7"/>
  <c r="CJ203" i="7"/>
  <c r="CI203" i="7"/>
  <c r="CG203" i="7"/>
  <c r="CF203" i="7"/>
  <c r="CE203" i="7"/>
  <c r="CD203" i="7"/>
  <c r="CC203" i="7"/>
  <c r="CB203" i="7"/>
  <c r="CA203" i="7"/>
  <c r="BZ203" i="7"/>
  <c r="BY203" i="7"/>
  <c r="BX203" i="7"/>
  <c r="BW203" i="7"/>
  <c r="BV203" i="7"/>
  <c r="BU203" i="7"/>
  <c r="BT203" i="7"/>
  <c r="BS203" i="7"/>
  <c r="BR203" i="7"/>
  <c r="BQ203" i="7"/>
  <c r="BP203" i="7"/>
  <c r="BO203" i="7"/>
  <c r="BN203" i="7"/>
  <c r="BM203" i="7"/>
  <c r="BL203" i="7"/>
  <c r="BK203" i="7"/>
  <c r="BJ203" i="7"/>
  <c r="BI203" i="7"/>
  <c r="BH203" i="7"/>
  <c r="BG203" i="7"/>
  <c r="BF203" i="7"/>
  <c r="BE203" i="7"/>
  <c r="BD203" i="7"/>
  <c r="BC203" i="7"/>
  <c r="BB203" i="7"/>
  <c r="BA203" i="7"/>
  <c r="AZ203" i="7"/>
  <c r="AY203" i="7"/>
  <c r="AX203" i="7"/>
  <c r="AW203" i="7"/>
  <c r="AV203" i="7"/>
  <c r="AU203" i="7"/>
  <c r="AT203" i="7"/>
  <c r="AS203" i="7"/>
  <c r="AR203" i="7"/>
  <c r="AQ203" i="7"/>
  <c r="AP203" i="7"/>
  <c r="AO203" i="7"/>
  <c r="AN203" i="7"/>
  <c r="AM203" i="7"/>
  <c r="AL203" i="7"/>
  <c r="AK203" i="7"/>
  <c r="AJ203" i="7"/>
  <c r="DD202" i="7"/>
  <c r="DD201" i="7" s="1"/>
  <c r="CS202" i="7"/>
  <c r="CS201" i="7" s="1"/>
  <c r="CH202" i="7"/>
  <c r="CH201" i="7" s="1"/>
  <c r="AI202" i="7"/>
  <c r="AI201" i="7" s="1"/>
  <c r="AH202" i="7"/>
  <c r="AH201" i="7" s="1"/>
  <c r="F25" i="5" s="1"/>
  <c r="AG202" i="7"/>
  <c r="AG201" i="7" s="1"/>
  <c r="E25" i="5" s="1"/>
  <c r="AF202" i="7"/>
  <c r="AF201" i="7" s="1"/>
  <c r="D25" i="5" s="1"/>
  <c r="AE202" i="7"/>
  <c r="AE201" i="7" s="1"/>
  <c r="DN201" i="7"/>
  <c r="DM201" i="7"/>
  <c r="DL201" i="7"/>
  <c r="DK201" i="7"/>
  <c r="DJ201" i="7"/>
  <c r="DI201" i="7"/>
  <c r="DH201" i="7"/>
  <c r="DG201" i="7"/>
  <c r="DF201" i="7"/>
  <c r="DE201" i="7"/>
  <c r="DC201" i="7"/>
  <c r="DB201" i="7"/>
  <c r="DA201" i="7"/>
  <c r="CZ201" i="7"/>
  <c r="CY201" i="7"/>
  <c r="CX201" i="7"/>
  <c r="CW201" i="7"/>
  <c r="CV201" i="7"/>
  <c r="CU201" i="7"/>
  <c r="CT201" i="7"/>
  <c r="CR201" i="7"/>
  <c r="CQ201" i="7"/>
  <c r="CP201" i="7"/>
  <c r="CO201" i="7"/>
  <c r="CN201" i="7"/>
  <c r="CM201" i="7"/>
  <c r="CL201" i="7"/>
  <c r="CK201" i="7"/>
  <c r="CJ201" i="7"/>
  <c r="CI201" i="7"/>
  <c r="CG201" i="7"/>
  <c r="CF201" i="7"/>
  <c r="CE201" i="7"/>
  <c r="CD201" i="7"/>
  <c r="CC201" i="7"/>
  <c r="CB201" i="7"/>
  <c r="CA201" i="7"/>
  <c r="BZ201" i="7"/>
  <c r="BY201" i="7"/>
  <c r="BX201" i="7"/>
  <c r="BW201" i="7"/>
  <c r="BV201" i="7"/>
  <c r="BU201" i="7"/>
  <c r="BT201" i="7"/>
  <c r="BS201" i="7"/>
  <c r="BR201" i="7"/>
  <c r="BQ201" i="7"/>
  <c r="BP201" i="7"/>
  <c r="BO201" i="7"/>
  <c r="BN201" i="7"/>
  <c r="BM201" i="7"/>
  <c r="BL201" i="7"/>
  <c r="BK201" i="7"/>
  <c r="BJ201" i="7"/>
  <c r="BI201" i="7"/>
  <c r="BH201" i="7"/>
  <c r="BG201" i="7"/>
  <c r="BF201" i="7"/>
  <c r="BE201" i="7"/>
  <c r="BD201" i="7"/>
  <c r="BC201" i="7"/>
  <c r="BB201" i="7"/>
  <c r="BA201" i="7"/>
  <c r="AZ201" i="7"/>
  <c r="AY201" i="7"/>
  <c r="AX201" i="7"/>
  <c r="AW201" i="7"/>
  <c r="AV201" i="7"/>
  <c r="AU201" i="7"/>
  <c r="AT201" i="7"/>
  <c r="AS201" i="7"/>
  <c r="AR201" i="7"/>
  <c r="AQ201" i="7"/>
  <c r="AP201" i="7"/>
  <c r="AO201" i="7"/>
  <c r="AN201" i="7"/>
  <c r="AM201" i="7"/>
  <c r="AL201" i="7"/>
  <c r="AK201" i="7"/>
  <c r="AJ201" i="7"/>
  <c r="DD200" i="7"/>
  <c r="CS200" i="7"/>
  <c r="CH200" i="7"/>
  <c r="AI200" i="7"/>
  <c r="AH200" i="7"/>
  <c r="AG200" i="7"/>
  <c r="AF200" i="7"/>
  <c r="AE200" i="7"/>
  <c r="DD199" i="7"/>
  <c r="CS199" i="7"/>
  <c r="CH199" i="7"/>
  <c r="AI199" i="7"/>
  <c r="AH199" i="7"/>
  <c r="AG199" i="7"/>
  <c r="AF199" i="7"/>
  <c r="AE199" i="7"/>
  <c r="DD198" i="7"/>
  <c r="CS198" i="7"/>
  <c r="CH198" i="7"/>
  <c r="AI198" i="7"/>
  <c r="AH198" i="7"/>
  <c r="AG198" i="7"/>
  <c r="AF198" i="7"/>
  <c r="DD197" i="7"/>
  <c r="CS197" i="7"/>
  <c r="CH197" i="7"/>
  <c r="AI197" i="7"/>
  <c r="AF197" i="7"/>
  <c r="AE197" i="7"/>
  <c r="DD196" i="7"/>
  <c r="CS196" i="7"/>
  <c r="CH196" i="7"/>
  <c r="AI196" i="7"/>
  <c r="AF196" i="7"/>
  <c r="AE196" i="7"/>
  <c r="DD195" i="7"/>
  <c r="CS195" i="7"/>
  <c r="CH195" i="7"/>
  <c r="AI195" i="7"/>
  <c r="AH195" i="7"/>
  <c r="AG195" i="7"/>
  <c r="AF195" i="7"/>
  <c r="AE195" i="7"/>
  <c r="DD194" i="7"/>
  <c r="CS194" i="7"/>
  <c r="CH194" i="7"/>
  <c r="AI194" i="7"/>
  <c r="AH194" i="7"/>
  <c r="AG194" i="7"/>
  <c r="AF194" i="7"/>
  <c r="AE194" i="7"/>
  <c r="DD193" i="7"/>
  <c r="CS193" i="7"/>
  <c r="CH193" i="7"/>
  <c r="AI193" i="7"/>
  <c r="AH193" i="7"/>
  <c r="AG193" i="7"/>
  <c r="AF193" i="7"/>
  <c r="AE193" i="7"/>
  <c r="DD192" i="7"/>
  <c r="CS192" i="7"/>
  <c r="CH192" i="7"/>
  <c r="AI192" i="7"/>
  <c r="AH192" i="7"/>
  <c r="AG192" i="7"/>
  <c r="AF192" i="7"/>
  <c r="AE192" i="7"/>
  <c r="DD191" i="7"/>
  <c r="CS191" i="7"/>
  <c r="CH191" i="7"/>
  <c r="AI191" i="7"/>
  <c r="AH191" i="7"/>
  <c r="AG191" i="7"/>
  <c r="AF191" i="7"/>
  <c r="AE191" i="7"/>
  <c r="DD190" i="7"/>
  <c r="CS190" i="7"/>
  <c r="CH190" i="7"/>
  <c r="AI190" i="7"/>
  <c r="AH190" i="7"/>
  <c r="AG190" i="7"/>
  <c r="AF190" i="7"/>
  <c r="AE190" i="7"/>
  <c r="DD189" i="7"/>
  <c r="CS189" i="7"/>
  <c r="CH189" i="7"/>
  <c r="AI189" i="7"/>
  <c r="AH189" i="7"/>
  <c r="AG189" i="7"/>
  <c r="AF189" i="7"/>
  <c r="AE189" i="7"/>
  <c r="DN188" i="7"/>
  <c r="DM188" i="7"/>
  <c r="DL188" i="7"/>
  <c r="DK188" i="7"/>
  <c r="DJ188" i="7"/>
  <c r="DI188" i="7"/>
  <c r="DH188" i="7"/>
  <c r="DG188" i="7"/>
  <c r="DF188" i="7"/>
  <c r="DE188" i="7"/>
  <c r="DC188" i="7"/>
  <c r="DB188" i="7"/>
  <c r="DA188" i="7"/>
  <c r="CZ188" i="7"/>
  <c r="CY188" i="7"/>
  <c r="CX188" i="7"/>
  <c r="CW188" i="7"/>
  <c r="CV188" i="7"/>
  <c r="CU188" i="7"/>
  <c r="CT188" i="7"/>
  <c r="CR188" i="7"/>
  <c r="CQ188" i="7"/>
  <c r="CP188" i="7"/>
  <c r="CO188" i="7"/>
  <c r="CN188" i="7"/>
  <c r="CM188" i="7"/>
  <c r="CL188" i="7"/>
  <c r="CK188" i="7"/>
  <c r="CJ188" i="7"/>
  <c r="CI188" i="7"/>
  <c r="CG188" i="7"/>
  <c r="CF188" i="7"/>
  <c r="CE188" i="7"/>
  <c r="CD188" i="7"/>
  <c r="CC188" i="7"/>
  <c r="CB188" i="7"/>
  <c r="CA188" i="7"/>
  <c r="BZ188" i="7"/>
  <c r="BY188" i="7"/>
  <c r="BX188" i="7"/>
  <c r="BW188" i="7"/>
  <c r="BV188" i="7"/>
  <c r="BU188" i="7"/>
  <c r="BT188" i="7"/>
  <c r="BS188" i="7"/>
  <c r="BR188" i="7"/>
  <c r="BQ188" i="7"/>
  <c r="BP188" i="7"/>
  <c r="BO188" i="7"/>
  <c r="BN188" i="7"/>
  <c r="BM188" i="7"/>
  <c r="BL188" i="7"/>
  <c r="BK188" i="7"/>
  <c r="BJ188" i="7"/>
  <c r="BI188" i="7"/>
  <c r="BH188" i="7"/>
  <c r="BG188" i="7"/>
  <c r="BF188" i="7"/>
  <c r="BE188" i="7"/>
  <c r="BD188" i="7"/>
  <c r="BC188" i="7"/>
  <c r="BB188" i="7"/>
  <c r="BA188" i="7"/>
  <c r="AZ188" i="7"/>
  <c r="AY188" i="7"/>
  <c r="AX188" i="7"/>
  <c r="AW188" i="7"/>
  <c r="AV188" i="7"/>
  <c r="AU188" i="7"/>
  <c r="AT188" i="7"/>
  <c r="AS188" i="7"/>
  <c r="AR188" i="7"/>
  <c r="AQ188" i="7"/>
  <c r="AP188" i="7"/>
  <c r="AO188" i="7"/>
  <c r="AN188" i="7"/>
  <c r="AM188" i="7"/>
  <c r="AL188" i="7"/>
  <c r="AK188" i="7"/>
  <c r="AJ188" i="7"/>
  <c r="DD186" i="7"/>
  <c r="DD185" i="7" s="1"/>
  <c r="CS186" i="7"/>
  <c r="CS185" i="7" s="1"/>
  <c r="CH186" i="7"/>
  <c r="CH185" i="7" s="1"/>
  <c r="AI186" i="7"/>
  <c r="AI185" i="7" s="1"/>
  <c r="AH186" i="7"/>
  <c r="AH185" i="7" s="1"/>
  <c r="AG186" i="7"/>
  <c r="AG185" i="7" s="1"/>
  <c r="AF186" i="7"/>
  <c r="AF185" i="7" s="1"/>
  <c r="AE186" i="7"/>
  <c r="AE185" i="7" s="1"/>
  <c r="DN185" i="7"/>
  <c r="DM185" i="7"/>
  <c r="DL185" i="7"/>
  <c r="DK185" i="7"/>
  <c r="DJ185" i="7"/>
  <c r="DI185" i="7"/>
  <c r="DH185" i="7"/>
  <c r="DG185" i="7"/>
  <c r="DF185" i="7"/>
  <c r="DE185" i="7"/>
  <c r="DC185" i="7"/>
  <c r="DB185" i="7"/>
  <c r="DA185" i="7"/>
  <c r="CZ185" i="7"/>
  <c r="CY185" i="7"/>
  <c r="CX185" i="7"/>
  <c r="CW185" i="7"/>
  <c r="CV185" i="7"/>
  <c r="CU185" i="7"/>
  <c r="CT185" i="7"/>
  <c r="CR185" i="7"/>
  <c r="CQ185" i="7"/>
  <c r="CP185" i="7"/>
  <c r="CO185" i="7"/>
  <c r="CN185" i="7"/>
  <c r="CM185" i="7"/>
  <c r="CL185" i="7"/>
  <c r="CK185" i="7"/>
  <c r="CJ185" i="7"/>
  <c r="CI185" i="7"/>
  <c r="CG185" i="7"/>
  <c r="CF185" i="7"/>
  <c r="CE185" i="7"/>
  <c r="CD185" i="7"/>
  <c r="CC185" i="7"/>
  <c r="CB185" i="7"/>
  <c r="CA185" i="7"/>
  <c r="BZ185" i="7"/>
  <c r="BY185" i="7"/>
  <c r="BX185" i="7"/>
  <c r="BW185" i="7"/>
  <c r="BV185" i="7"/>
  <c r="BU185" i="7"/>
  <c r="BT185" i="7"/>
  <c r="BS185" i="7"/>
  <c r="BR185" i="7"/>
  <c r="BQ185" i="7"/>
  <c r="BP185" i="7"/>
  <c r="BO185" i="7"/>
  <c r="BN185" i="7"/>
  <c r="BM185" i="7"/>
  <c r="BL185" i="7"/>
  <c r="BK185" i="7"/>
  <c r="BJ185" i="7"/>
  <c r="BI185" i="7"/>
  <c r="BH185" i="7"/>
  <c r="BG185" i="7"/>
  <c r="BF185" i="7"/>
  <c r="BE185" i="7"/>
  <c r="BD185" i="7"/>
  <c r="BC185" i="7"/>
  <c r="BB185" i="7"/>
  <c r="BA185" i="7"/>
  <c r="AZ185" i="7"/>
  <c r="AY185" i="7"/>
  <c r="AX185" i="7"/>
  <c r="AW185" i="7"/>
  <c r="AV185" i="7"/>
  <c r="AU185" i="7"/>
  <c r="AT185" i="7"/>
  <c r="AS185" i="7"/>
  <c r="AR185" i="7"/>
  <c r="AQ185" i="7"/>
  <c r="AP185" i="7"/>
  <c r="AO185" i="7"/>
  <c r="AN185" i="7"/>
  <c r="AM185" i="7"/>
  <c r="AL185" i="7"/>
  <c r="AK185" i="7"/>
  <c r="AJ185" i="7"/>
  <c r="DD184" i="7"/>
  <c r="CS184" i="7"/>
  <c r="CH184" i="7"/>
  <c r="AI184" i="7"/>
  <c r="AH184" i="7"/>
  <c r="AG184" i="7"/>
  <c r="AF184" i="7"/>
  <c r="AE184" i="7"/>
  <c r="DD325" i="7"/>
  <c r="CS325" i="7"/>
  <c r="CH325" i="7"/>
  <c r="AI325" i="7"/>
  <c r="AH325" i="7"/>
  <c r="AG325" i="7"/>
  <c r="AF325" i="7"/>
  <c r="AE325" i="7"/>
  <c r="DD324" i="7"/>
  <c r="CS324" i="7"/>
  <c r="CH324" i="7"/>
  <c r="AI324" i="7"/>
  <c r="AH324" i="7"/>
  <c r="AG324" i="7"/>
  <c r="AF324" i="7"/>
  <c r="AE324" i="7"/>
  <c r="DD317" i="7"/>
  <c r="CS317" i="7"/>
  <c r="CH317" i="7"/>
  <c r="AI317" i="7"/>
  <c r="AH317" i="7"/>
  <c r="AG317" i="7"/>
  <c r="AF317" i="7"/>
  <c r="AE317" i="7"/>
  <c r="DD183" i="7"/>
  <c r="CS183" i="7"/>
  <c r="CH183" i="7"/>
  <c r="CH182" i="7" s="1"/>
  <c r="AI183" i="7"/>
  <c r="AH183" i="7"/>
  <c r="AG183" i="7"/>
  <c r="AF183" i="7"/>
  <c r="AE183" i="7"/>
  <c r="AE182" i="7" s="1"/>
  <c r="DN182" i="7"/>
  <c r="DM182" i="7"/>
  <c r="DL182" i="7"/>
  <c r="DK182" i="7"/>
  <c r="DJ182" i="7"/>
  <c r="DI182" i="7"/>
  <c r="DH182" i="7"/>
  <c r="DG182" i="7"/>
  <c r="DF182" i="7"/>
  <c r="DE182" i="7"/>
  <c r="DC182" i="7"/>
  <c r="DB182" i="7"/>
  <c r="DA182" i="7"/>
  <c r="CZ182" i="7"/>
  <c r="CY182" i="7"/>
  <c r="CX182" i="7"/>
  <c r="CW182" i="7"/>
  <c r="CV182" i="7"/>
  <c r="CU182" i="7"/>
  <c r="CT182" i="7"/>
  <c r="CR182" i="7"/>
  <c r="CQ182" i="7"/>
  <c r="CP182" i="7"/>
  <c r="CO182" i="7"/>
  <c r="CN182" i="7"/>
  <c r="CM182" i="7"/>
  <c r="CL182" i="7"/>
  <c r="CK182" i="7"/>
  <c r="CJ182" i="7"/>
  <c r="CI182" i="7"/>
  <c r="CG182" i="7"/>
  <c r="CF182" i="7"/>
  <c r="CE182" i="7"/>
  <c r="CD182" i="7"/>
  <c r="CC182" i="7"/>
  <c r="CB182" i="7"/>
  <c r="CA182" i="7"/>
  <c r="BZ182" i="7"/>
  <c r="BY182" i="7"/>
  <c r="BX182" i="7"/>
  <c r="BW182" i="7"/>
  <c r="BV182" i="7"/>
  <c r="BU182" i="7"/>
  <c r="BT182" i="7"/>
  <c r="BS182" i="7"/>
  <c r="BR182" i="7"/>
  <c r="BQ182" i="7"/>
  <c r="BP182" i="7"/>
  <c r="BO182" i="7"/>
  <c r="BN182" i="7"/>
  <c r="BM182" i="7"/>
  <c r="BL182" i="7"/>
  <c r="BK182" i="7"/>
  <c r="BJ182" i="7"/>
  <c r="BI182" i="7"/>
  <c r="BH182" i="7"/>
  <c r="BG182" i="7"/>
  <c r="BF182" i="7"/>
  <c r="BE182" i="7"/>
  <c r="BD182" i="7"/>
  <c r="BC182" i="7"/>
  <c r="BB182" i="7"/>
  <c r="BA182" i="7"/>
  <c r="AZ182" i="7"/>
  <c r="AY182" i="7"/>
  <c r="AX182" i="7"/>
  <c r="AW182" i="7"/>
  <c r="AV182" i="7"/>
  <c r="AU182" i="7"/>
  <c r="AT182" i="7"/>
  <c r="AS182" i="7"/>
  <c r="AR182" i="7"/>
  <c r="AQ182" i="7"/>
  <c r="AP182" i="7"/>
  <c r="AO182" i="7"/>
  <c r="AN182" i="7"/>
  <c r="AM182" i="7"/>
  <c r="AL182" i="7"/>
  <c r="AK182" i="7"/>
  <c r="AJ182" i="7"/>
  <c r="DD181" i="7"/>
  <c r="CS181" i="7"/>
  <c r="CH181" i="7"/>
  <c r="AI181" i="7"/>
  <c r="AH181" i="7"/>
  <c r="AG181" i="7"/>
  <c r="AF181" i="7"/>
  <c r="AE181" i="7"/>
  <c r="DD180" i="7"/>
  <c r="CS180" i="7"/>
  <c r="CH180" i="7"/>
  <c r="AI180" i="7"/>
  <c r="AH180" i="7"/>
  <c r="AG180" i="7"/>
  <c r="AF180" i="7"/>
  <c r="AE180" i="7"/>
  <c r="DD179" i="7"/>
  <c r="CS179" i="7"/>
  <c r="CS178" i="7" s="1"/>
  <c r="CH179" i="7"/>
  <c r="AI179" i="7"/>
  <c r="AH179" i="7"/>
  <c r="AG179" i="7"/>
  <c r="AF179" i="7"/>
  <c r="AE179" i="7"/>
  <c r="DN178" i="7"/>
  <c r="DM178" i="7"/>
  <c r="DL178" i="7"/>
  <c r="DK178" i="7"/>
  <c r="DJ178" i="7"/>
  <c r="DI178" i="7"/>
  <c r="DH178" i="7"/>
  <c r="DG178" i="7"/>
  <c r="DF178" i="7"/>
  <c r="DE178" i="7"/>
  <c r="DC178" i="7"/>
  <c r="DB178" i="7"/>
  <c r="DA178" i="7"/>
  <c r="CZ178" i="7"/>
  <c r="CY178" i="7"/>
  <c r="CX178" i="7"/>
  <c r="CW178" i="7"/>
  <c r="CV178" i="7"/>
  <c r="CU178" i="7"/>
  <c r="CT178" i="7"/>
  <c r="CR178" i="7"/>
  <c r="CQ178" i="7"/>
  <c r="CP178" i="7"/>
  <c r="CO178" i="7"/>
  <c r="CN178" i="7"/>
  <c r="CM178" i="7"/>
  <c r="CL178" i="7"/>
  <c r="CK178" i="7"/>
  <c r="CJ178" i="7"/>
  <c r="CI178" i="7"/>
  <c r="CG178" i="7"/>
  <c r="CF178" i="7"/>
  <c r="CE178" i="7"/>
  <c r="CD178" i="7"/>
  <c r="CC178" i="7"/>
  <c r="CB178" i="7"/>
  <c r="CA178" i="7"/>
  <c r="BZ178" i="7"/>
  <c r="BY178" i="7"/>
  <c r="BX178" i="7"/>
  <c r="BW178" i="7"/>
  <c r="BV178" i="7"/>
  <c r="BU178" i="7"/>
  <c r="BT178" i="7"/>
  <c r="BS178" i="7"/>
  <c r="BR178" i="7"/>
  <c r="BQ178" i="7"/>
  <c r="BP178" i="7"/>
  <c r="BO178" i="7"/>
  <c r="BN178" i="7"/>
  <c r="BM178" i="7"/>
  <c r="BL178" i="7"/>
  <c r="BK178" i="7"/>
  <c r="BJ178" i="7"/>
  <c r="BI178" i="7"/>
  <c r="BH178" i="7"/>
  <c r="BG178" i="7"/>
  <c r="BF178" i="7"/>
  <c r="BE178" i="7"/>
  <c r="BD178" i="7"/>
  <c r="BC178" i="7"/>
  <c r="BB178" i="7"/>
  <c r="BA178" i="7"/>
  <c r="AZ178" i="7"/>
  <c r="AY178" i="7"/>
  <c r="AX178" i="7"/>
  <c r="AW178" i="7"/>
  <c r="AV178" i="7"/>
  <c r="AU178" i="7"/>
  <c r="AT178" i="7"/>
  <c r="AS178" i="7"/>
  <c r="AR178" i="7"/>
  <c r="AQ178" i="7"/>
  <c r="AP178" i="7"/>
  <c r="AO178" i="7"/>
  <c r="AN178" i="7"/>
  <c r="AM178" i="7"/>
  <c r="AL178" i="7"/>
  <c r="AK178" i="7"/>
  <c r="AJ178" i="7"/>
  <c r="DF177" i="7"/>
  <c r="CU177" i="7"/>
  <c r="CU172" i="7" s="1"/>
  <c r="CS177" i="7"/>
  <c r="CS172" i="7" s="1"/>
  <c r="CJ177" i="7"/>
  <c r="AO177" i="7"/>
  <c r="AE177" i="7" s="1"/>
  <c r="AI177" i="7"/>
  <c r="AH177" i="7"/>
  <c r="AG177" i="7"/>
  <c r="AF177" i="7"/>
  <c r="DD176" i="7"/>
  <c r="CH176" i="7"/>
  <c r="AI176" i="7"/>
  <c r="AH176" i="7"/>
  <c r="AG176" i="7"/>
  <c r="AF176" i="7"/>
  <c r="AE176" i="7"/>
  <c r="DD175" i="7"/>
  <c r="CH175" i="7"/>
  <c r="AI175" i="7"/>
  <c r="AH175" i="7"/>
  <c r="AG175" i="7"/>
  <c r="AF175" i="7"/>
  <c r="AE175" i="7"/>
  <c r="DD174" i="7"/>
  <c r="CH174" i="7"/>
  <c r="AI174" i="7"/>
  <c r="AH174" i="7"/>
  <c r="AG174" i="7"/>
  <c r="AF174" i="7"/>
  <c r="AE174" i="7"/>
  <c r="DD173" i="7"/>
  <c r="CH173" i="7"/>
  <c r="AI173" i="7"/>
  <c r="AH173" i="7"/>
  <c r="AG173" i="7"/>
  <c r="AF173" i="7"/>
  <c r="AE173" i="7"/>
  <c r="DN172" i="7"/>
  <c r="DM172" i="7"/>
  <c r="DL172" i="7"/>
  <c r="DK172" i="7"/>
  <c r="DJ172" i="7"/>
  <c r="DI172" i="7"/>
  <c r="DH172" i="7"/>
  <c r="DG172" i="7"/>
  <c r="DE172" i="7"/>
  <c r="DC172" i="7"/>
  <c r="DB172" i="7"/>
  <c r="DA172" i="7"/>
  <c r="CZ172" i="7"/>
  <c r="CY172" i="7"/>
  <c r="CX172" i="7"/>
  <c r="CW172" i="7"/>
  <c r="CV172" i="7"/>
  <c r="CT172" i="7"/>
  <c r="CR172" i="7"/>
  <c r="CQ172" i="7"/>
  <c r="CP172" i="7"/>
  <c r="CO172" i="7"/>
  <c r="CN172" i="7"/>
  <c r="CM172" i="7"/>
  <c r="CL172" i="7"/>
  <c r="CK172" i="7"/>
  <c r="CI172" i="7"/>
  <c r="CG172" i="7"/>
  <c r="CF172" i="7"/>
  <c r="CE172" i="7"/>
  <c r="CD172" i="7"/>
  <c r="CC172" i="7"/>
  <c r="CB172" i="7"/>
  <c r="CA172" i="7"/>
  <c r="BZ172" i="7"/>
  <c r="BY172" i="7"/>
  <c r="BX172" i="7"/>
  <c r="BW172" i="7"/>
  <c r="BV172" i="7"/>
  <c r="BU172" i="7"/>
  <c r="BT172" i="7"/>
  <c r="BS172" i="7"/>
  <c r="BR172" i="7"/>
  <c r="BQ172" i="7"/>
  <c r="BP172" i="7"/>
  <c r="BO172" i="7"/>
  <c r="BN172" i="7"/>
  <c r="BM172" i="7"/>
  <c r="BL172" i="7"/>
  <c r="BK172" i="7"/>
  <c r="BJ172" i="7"/>
  <c r="BI172" i="7"/>
  <c r="BH172" i="7"/>
  <c r="BG172" i="7"/>
  <c r="BF172" i="7"/>
  <c r="BE172" i="7"/>
  <c r="BD172" i="7"/>
  <c r="BC172" i="7"/>
  <c r="BB172" i="7"/>
  <c r="BA172" i="7"/>
  <c r="AZ172" i="7"/>
  <c r="AY172" i="7"/>
  <c r="AX172" i="7"/>
  <c r="AW172" i="7"/>
  <c r="AV172" i="7"/>
  <c r="AU172" i="7"/>
  <c r="AT172" i="7"/>
  <c r="AS172" i="7"/>
  <c r="AR172" i="7"/>
  <c r="AQ172" i="7"/>
  <c r="AP172" i="7"/>
  <c r="AO172" i="7"/>
  <c r="AN172" i="7"/>
  <c r="AM172" i="7"/>
  <c r="AL172" i="7"/>
  <c r="AK172" i="7"/>
  <c r="AJ172" i="7"/>
  <c r="DD330" i="7"/>
  <c r="CS330" i="7"/>
  <c r="CH330" i="7"/>
  <c r="AI330" i="7"/>
  <c r="AH330" i="7"/>
  <c r="AF330" i="7"/>
  <c r="AE330" i="7"/>
  <c r="DD329" i="7"/>
  <c r="CS329" i="7"/>
  <c r="CH329" i="7"/>
  <c r="AI329" i="7"/>
  <c r="DD322" i="7"/>
  <c r="CS322" i="7"/>
  <c r="CH322" i="7"/>
  <c r="AI322" i="7"/>
  <c r="AH322" i="7"/>
  <c r="AG322" i="7"/>
  <c r="AF322" i="7"/>
  <c r="AE322" i="7"/>
  <c r="DD328" i="7"/>
  <c r="CS328" i="7"/>
  <c r="CH328" i="7"/>
  <c r="AI328" i="7"/>
  <c r="AH328" i="7"/>
  <c r="AG328" i="7"/>
  <c r="AF328" i="7"/>
  <c r="AE328" i="7"/>
  <c r="DD171" i="7"/>
  <c r="CS171" i="7"/>
  <c r="CH171" i="7"/>
  <c r="AI171" i="7"/>
  <c r="AH171" i="7"/>
  <c r="AG171" i="7"/>
  <c r="AF171" i="7"/>
  <c r="AE171" i="7"/>
  <c r="DD170" i="7"/>
  <c r="CS170" i="7"/>
  <c r="CH170" i="7"/>
  <c r="AI170" i="7"/>
  <c r="AH170" i="7"/>
  <c r="AG170" i="7"/>
  <c r="AF170" i="7"/>
  <c r="AE170" i="7"/>
  <c r="DD169" i="7"/>
  <c r="CS169" i="7"/>
  <c r="CH169" i="7"/>
  <c r="AI169" i="7"/>
  <c r="AH169" i="7"/>
  <c r="AG169" i="7"/>
  <c r="AF169" i="7"/>
  <c r="AE169" i="7"/>
  <c r="DD168" i="7"/>
  <c r="CS168" i="7"/>
  <c r="CH168" i="7"/>
  <c r="AI168" i="7"/>
  <c r="AH168" i="7"/>
  <c r="AG168" i="7"/>
  <c r="AF168" i="7"/>
  <c r="AE168" i="7"/>
  <c r="DD167" i="7"/>
  <c r="CS167" i="7"/>
  <c r="CH167" i="7"/>
  <c r="AI167" i="7"/>
  <c r="AH167" i="7"/>
  <c r="AG167" i="7"/>
  <c r="AF167" i="7"/>
  <c r="AE167" i="7"/>
  <c r="DD166" i="7"/>
  <c r="CS166" i="7"/>
  <c r="CH166" i="7"/>
  <c r="AI166" i="7"/>
  <c r="AF166" i="7"/>
  <c r="AE166" i="7"/>
  <c r="DD164" i="7"/>
  <c r="CS164" i="7"/>
  <c r="CH164" i="7"/>
  <c r="AI164" i="7"/>
  <c r="AH164" i="7"/>
  <c r="AG164" i="7"/>
  <c r="AF164" i="7"/>
  <c r="DD163" i="7"/>
  <c r="CS163" i="7"/>
  <c r="CH163" i="7"/>
  <c r="AI163" i="7"/>
  <c r="DD162" i="7"/>
  <c r="CS162" i="7"/>
  <c r="CH162" i="7"/>
  <c r="AI162" i="7"/>
  <c r="DD161" i="7"/>
  <c r="CS161" i="7"/>
  <c r="CH161" i="7"/>
  <c r="AI161" i="7"/>
  <c r="DD160" i="7"/>
  <c r="CS160" i="7"/>
  <c r="CH160" i="7"/>
  <c r="AI160" i="7"/>
  <c r="DD159" i="7"/>
  <c r="CS159" i="7"/>
  <c r="CH159" i="7"/>
  <c r="AI159" i="7"/>
  <c r="DD158" i="7"/>
  <c r="CS158" i="7"/>
  <c r="CH158" i="7"/>
  <c r="AI158" i="7"/>
  <c r="AH158" i="7"/>
  <c r="AG158" i="7"/>
  <c r="AF158" i="7"/>
  <c r="AE158" i="7"/>
  <c r="DD157" i="7"/>
  <c r="CS157" i="7"/>
  <c r="CH157" i="7"/>
  <c r="AI157" i="7"/>
  <c r="AE157" i="7"/>
  <c r="DN156" i="7"/>
  <c r="DM156" i="7"/>
  <c r="DL156" i="7"/>
  <c r="DK156" i="7"/>
  <c r="DJ156" i="7"/>
  <c r="DI156" i="7"/>
  <c r="DH156" i="7"/>
  <c r="DG156" i="7"/>
  <c r="DF156" i="7"/>
  <c r="DE156" i="7"/>
  <c r="DC156" i="7"/>
  <c r="DB156" i="7"/>
  <c r="DA156" i="7"/>
  <c r="CZ156" i="7"/>
  <c r="CY156" i="7"/>
  <c r="CX156" i="7"/>
  <c r="CW156" i="7"/>
  <c r="CV156" i="7"/>
  <c r="CU156" i="7"/>
  <c r="CT156" i="7"/>
  <c r="CR156" i="7"/>
  <c r="CQ156" i="7"/>
  <c r="CP156" i="7"/>
  <c r="CO156" i="7"/>
  <c r="CN156" i="7"/>
  <c r="CM156" i="7"/>
  <c r="CL156" i="7"/>
  <c r="CK156" i="7"/>
  <c r="CJ156" i="7"/>
  <c r="CI156" i="7"/>
  <c r="CG156" i="7"/>
  <c r="CF156" i="7"/>
  <c r="CE156" i="7"/>
  <c r="CD156" i="7"/>
  <c r="CC156" i="7"/>
  <c r="CB156" i="7"/>
  <c r="CA156" i="7"/>
  <c r="BZ156" i="7"/>
  <c r="BY156" i="7"/>
  <c r="BX156" i="7"/>
  <c r="BW156" i="7"/>
  <c r="BV156" i="7"/>
  <c r="BU156" i="7"/>
  <c r="BT156" i="7"/>
  <c r="BS156" i="7"/>
  <c r="BR156" i="7"/>
  <c r="BQ156" i="7"/>
  <c r="BP156" i="7"/>
  <c r="BO156" i="7"/>
  <c r="BN156" i="7"/>
  <c r="BM156" i="7"/>
  <c r="BL156" i="7"/>
  <c r="BK156" i="7"/>
  <c r="BJ156" i="7"/>
  <c r="BI156" i="7"/>
  <c r="BH156" i="7"/>
  <c r="BG156" i="7"/>
  <c r="BF156" i="7"/>
  <c r="BE156" i="7"/>
  <c r="BD156" i="7"/>
  <c r="BC156" i="7"/>
  <c r="BB156" i="7"/>
  <c r="BA156" i="7"/>
  <c r="AZ156" i="7"/>
  <c r="AY156" i="7"/>
  <c r="AX156" i="7"/>
  <c r="AW156" i="7"/>
  <c r="AV156" i="7"/>
  <c r="AU156" i="7"/>
  <c r="AT156" i="7"/>
  <c r="AS156" i="7"/>
  <c r="AR156" i="7"/>
  <c r="AQ156" i="7"/>
  <c r="AP156" i="7"/>
  <c r="AO156" i="7"/>
  <c r="AN156" i="7"/>
  <c r="AM156" i="7"/>
  <c r="AL156" i="7"/>
  <c r="AK156" i="7"/>
  <c r="DD155" i="7"/>
  <c r="CS155" i="7"/>
  <c r="CH155" i="7"/>
  <c r="AI155" i="7"/>
  <c r="AF155" i="7"/>
  <c r="AE155" i="7"/>
  <c r="DD154" i="7"/>
  <c r="CS154" i="7"/>
  <c r="CH154" i="7"/>
  <c r="AI154" i="7"/>
  <c r="AH154" i="7"/>
  <c r="AG154" i="7"/>
  <c r="AF154" i="7"/>
  <c r="AE154" i="7"/>
  <c r="DD152" i="7"/>
  <c r="CS152" i="7"/>
  <c r="CH152" i="7"/>
  <c r="AI152" i="7"/>
  <c r="AH152" i="7"/>
  <c r="AG152" i="7"/>
  <c r="AF152" i="7"/>
  <c r="AE152" i="7"/>
  <c r="DD151" i="7"/>
  <c r="CS151" i="7"/>
  <c r="CH151" i="7"/>
  <c r="AI151" i="7"/>
  <c r="AH151" i="7"/>
  <c r="AG151" i="7"/>
  <c r="AF151" i="7"/>
  <c r="AE151" i="7"/>
  <c r="DD150" i="7"/>
  <c r="CS150" i="7"/>
  <c r="CH150" i="7"/>
  <c r="AI150" i="7"/>
  <c r="AH150" i="7"/>
  <c r="AG150" i="7"/>
  <c r="AF150" i="7"/>
  <c r="AE150" i="7"/>
  <c r="DD149" i="7"/>
  <c r="CS149" i="7"/>
  <c r="CH149" i="7"/>
  <c r="AI149" i="7"/>
  <c r="AH149" i="7"/>
  <c r="AG149" i="7"/>
  <c r="AF149" i="7"/>
  <c r="AE149" i="7"/>
  <c r="DD148" i="7"/>
  <c r="CS148" i="7"/>
  <c r="CH148" i="7"/>
  <c r="AI148" i="7"/>
  <c r="AH148" i="7"/>
  <c r="AG148" i="7"/>
  <c r="AF148" i="7"/>
  <c r="AE148" i="7"/>
  <c r="DD147" i="7"/>
  <c r="CS147" i="7"/>
  <c r="CH147" i="7"/>
  <c r="AI147" i="7"/>
  <c r="AH147" i="7"/>
  <c r="AG147" i="7"/>
  <c r="AF147" i="7"/>
  <c r="AE147" i="7"/>
  <c r="DD146" i="7"/>
  <c r="CS146" i="7"/>
  <c r="CH146" i="7"/>
  <c r="AE146" i="7"/>
  <c r="AI146" i="7"/>
  <c r="AH146" i="7"/>
  <c r="AG146" i="7"/>
  <c r="AF146" i="7"/>
  <c r="DD144" i="7"/>
  <c r="CS144" i="7"/>
  <c r="CH144" i="7"/>
  <c r="AI144" i="7"/>
  <c r="AH144" i="7"/>
  <c r="AG144" i="7"/>
  <c r="AF144" i="7"/>
  <c r="AE144" i="7"/>
  <c r="DD143" i="7"/>
  <c r="CS143" i="7"/>
  <c r="CH143" i="7"/>
  <c r="AI143" i="7"/>
  <c r="AH143" i="7"/>
  <c r="AG143" i="7"/>
  <c r="AF143" i="7"/>
  <c r="AE143" i="7"/>
  <c r="DD142" i="7"/>
  <c r="CS142" i="7"/>
  <c r="CH142" i="7"/>
  <c r="AI142" i="7"/>
  <c r="AH142" i="7"/>
  <c r="AG142" i="7"/>
  <c r="AF142" i="7"/>
  <c r="AE142" i="7"/>
  <c r="DD141" i="7"/>
  <c r="CS141" i="7"/>
  <c r="CH141" i="7"/>
  <c r="AI141" i="7"/>
  <c r="AH141" i="7"/>
  <c r="AG141" i="7"/>
  <c r="AF141" i="7"/>
  <c r="AE141" i="7"/>
  <c r="DD140" i="7"/>
  <c r="CS140" i="7"/>
  <c r="CH140" i="7"/>
  <c r="AI140" i="7"/>
  <c r="AH140" i="7"/>
  <c r="AG140" i="7"/>
  <c r="AF140" i="7"/>
  <c r="AE140" i="7"/>
  <c r="DN139" i="7"/>
  <c r="DM139" i="7"/>
  <c r="DL139" i="7"/>
  <c r="DK139" i="7"/>
  <c r="DJ139" i="7"/>
  <c r="DI139" i="7"/>
  <c r="DH139" i="7"/>
  <c r="DG139" i="7"/>
  <c r="DF139" i="7"/>
  <c r="DE139" i="7"/>
  <c r="DC139" i="7"/>
  <c r="DB139" i="7"/>
  <c r="DA139" i="7"/>
  <c r="CZ139" i="7"/>
  <c r="CY139" i="7"/>
  <c r="CX139" i="7"/>
  <c r="CW139" i="7"/>
  <c r="CV139" i="7"/>
  <c r="CU139" i="7"/>
  <c r="CT139" i="7"/>
  <c r="CR139" i="7"/>
  <c r="CQ139" i="7"/>
  <c r="CP139" i="7"/>
  <c r="CO139" i="7"/>
  <c r="CN139" i="7"/>
  <c r="CM139" i="7"/>
  <c r="CL139" i="7"/>
  <c r="CK139" i="7"/>
  <c r="CJ139" i="7"/>
  <c r="CI139" i="7"/>
  <c r="CG139" i="7"/>
  <c r="CF139" i="7"/>
  <c r="CE139" i="7"/>
  <c r="CD139" i="7"/>
  <c r="CC139" i="7"/>
  <c r="CB139" i="7"/>
  <c r="CA139" i="7"/>
  <c r="BZ139" i="7"/>
  <c r="BY139" i="7"/>
  <c r="BX139" i="7"/>
  <c r="BW139" i="7"/>
  <c r="BV139" i="7"/>
  <c r="BU139" i="7"/>
  <c r="BT139" i="7"/>
  <c r="BS139" i="7"/>
  <c r="BR139" i="7"/>
  <c r="BQ139" i="7"/>
  <c r="BP139" i="7"/>
  <c r="BO139" i="7"/>
  <c r="BN139" i="7"/>
  <c r="BM139" i="7"/>
  <c r="BL139" i="7"/>
  <c r="BK139" i="7"/>
  <c r="BJ139" i="7"/>
  <c r="BI139" i="7"/>
  <c r="BH139" i="7"/>
  <c r="BG139" i="7"/>
  <c r="BF139" i="7"/>
  <c r="BE139" i="7"/>
  <c r="BD139" i="7"/>
  <c r="BC139" i="7"/>
  <c r="BB139" i="7"/>
  <c r="BA139" i="7"/>
  <c r="AZ139" i="7"/>
  <c r="AY139" i="7"/>
  <c r="AX139" i="7"/>
  <c r="AW139" i="7"/>
  <c r="AV139" i="7"/>
  <c r="AU139" i="7"/>
  <c r="AT139" i="7"/>
  <c r="AS139" i="7"/>
  <c r="AR139" i="7"/>
  <c r="AQ139" i="7"/>
  <c r="AP139" i="7"/>
  <c r="AO139" i="7"/>
  <c r="AN139" i="7"/>
  <c r="AM139" i="7"/>
  <c r="AL139" i="7"/>
  <c r="AK139" i="7"/>
  <c r="AJ139" i="7"/>
  <c r="DD138" i="7"/>
  <c r="CS138" i="7"/>
  <c r="CH138" i="7"/>
  <c r="AI138" i="7"/>
  <c r="AH138" i="7"/>
  <c r="AG138" i="7"/>
  <c r="AF138" i="7"/>
  <c r="AE138" i="7"/>
  <c r="DD137" i="7"/>
  <c r="CS137" i="7"/>
  <c r="CH137" i="7"/>
  <c r="AI137" i="7"/>
  <c r="AH137" i="7"/>
  <c r="AG137" i="7"/>
  <c r="AF137" i="7"/>
  <c r="AE137" i="7"/>
  <c r="DN136" i="7"/>
  <c r="DM136" i="7"/>
  <c r="DL136" i="7"/>
  <c r="DK136" i="7"/>
  <c r="DJ136" i="7"/>
  <c r="DI136" i="7"/>
  <c r="DH136" i="7"/>
  <c r="DG136" i="7"/>
  <c r="DF136" i="7"/>
  <c r="DE136" i="7"/>
  <c r="DC136" i="7"/>
  <c r="DB136" i="7"/>
  <c r="DA136" i="7"/>
  <c r="CZ136" i="7"/>
  <c r="CY136" i="7"/>
  <c r="CX136" i="7"/>
  <c r="CW136" i="7"/>
  <c r="CV136" i="7"/>
  <c r="CU136" i="7"/>
  <c r="CT136" i="7"/>
  <c r="CR136" i="7"/>
  <c r="CQ136" i="7"/>
  <c r="CP136" i="7"/>
  <c r="CO136" i="7"/>
  <c r="CN136" i="7"/>
  <c r="CM136" i="7"/>
  <c r="CL136" i="7"/>
  <c r="CK136" i="7"/>
  <c r="CJ136" i="7"/>
  <c r="CI136" i="7"/>
  <c r="CG136" i="7"/>
  <c r="CF136" i="7"/>
  <c r="CE136" i="7"/>
  <c r="CD136" i="7"/>
  <c r="CC136" i="7"/>
  <c r="CB136" i="7"/>
  <c r="CA136" i="7"/>
  <c r="BZ136" i="7"/>
  <c r="BY136" i="7"/>
  <c r="BX136" i="7"/>
  <c r="BW136" i="7"/>
  <c r="BV136" i="7"/>
  <c r="BU136" i="7"/>
  <c r="BT136" i="7"/>
  <c r="BS136" i="7"/>
  <c r="BR136" i="7"/>
  <c r="BQ136" i="7"/>
  <c r="BP136" i="7"/>
  <c r="BO136" i="7"/>
  <c r="BN136" i="7"/>
  <c r="BM136" i="7"/>
  <c r="BL136" i="7"/>
  <c r="BK136" i="7"/>
  <c r="BJ136" i="7"/>
  <c r="BI136" i="7"/>
  <c r="BH136" i="7"/>
  <c r="BG136" i="7"/>
  <c r="BF136" i="7"/>
  <c r="BE136" i="7"/>
  <c r="BD136" i="7"/>
  <c r="BC136" i="7"/>
  <c r="BB136" i="7"/>
  <c r="BA136" i="7"/>
  <c r="AZ136" i="7"/>
  <c r="AY136" i="7"/>
  <c r="AX136" i="7"/>
  <c r="AW136" i="7"/>
  <c r="AV136" i="7"/>
  <c r="AU136" i="7"/>
  <c r="AT136" i="7"/>
  <c r="AS136" i="7"/>
  <c r="AR136" i="7"/>
  <c r="AQ136" i="7"/>
  <c r="AP136" i="7"/>
  <c r="AO136" i="7"/>
  <c r="AN136" i="7"/>
  <c r="AM136" i="7"/>
  <c r="AL136" i="7"/>
  <c r="AK136" i="7"/>
  <c r="AJ136" i="7"/>
  <c r="DD135" i="7"/>
  <c r="CS135" i="7"/>
  <c r="CH135" i="7"/>
  <c r="AI135" i="7"/>
  <c r="AH135" i="7"/>
  <c r="AG135" i="7"/>
  <c r="AF135" i="7"/>
  <c r="AE135" i="7"/>
  <c r="DD134" i="7"/>
  <c r="CS134" i="7"/>
  <c r="CH134" i="7"/>
  <c r="AI134" i="7"/>
  <c r="AH134" i="7"/>
  <c r="AG134" i="7"/>
  <c r="AF134" i="7"/>
  <c r="AE134" i="7"/>
  <c r="DD133" i="7"/>
  <c r="CS133" i="7"/>
  <c r="CH133" i="7"/>
  <c r="AI133" i="7"/>
  <c r="AH133" i="7"/>
  <c r="AG133" i="7"/>
  <c r="AF133" i="7"/>
  <c r="AE133" i="7"/>
  <c r="DD132" i="7"/>
  <c r="CS132" i="7"/>
  <c r="CH132" i="7"/>
  <c r="AI132" i="7"/>
  <c r="AH132" i="7"/>
  <c r="AG132" i="7"/>
  <c r="AE132" i="7"/>
  <c r="DD131" i="7"/>
  <c r="CS131" i="7"/>
  <c r="CH131" i="7"/>
  <c r="AI131" i="7"/>
  <c r="AH131" i="7"/>
  <c r="AG131" i="7"/>
  <c r="AF131" i="7"/>
  <c r="AE131" i="7"/>
  <c r="DD130" i="7"/>
  <c r="CS130" i="7"/>
  <c r="CH130" i="7"/>
  <c r="AI130" i="7"/>
  <c r="AH130" i="7"/>
  <c r="AG130" i="7"/>
  <c r="AF130" i="7"/>
  <c r="AE130" i="7"/>
  <c r="AD130" i="7"/>
  <c r="AC130" i="7"/>
  <c r="DD129" i="7"/>
  <c r="CS129" i="7"/>
  <c r="CH129" i="7"/>
  <c r="AI129" i="7"/>
  <c r="AH129" i="7"/>
  <c r="AG129" i="7"/>
  <c r="AF129" i="7"/>
  <c r="AE129" i="7"/>
  <c r="DD128" i="7"/>
  <c r="CS128" i="7"/>
  <c r="CH128" i="7"/>
  <c r="AI128" i="7"/>
  <c r="AH128" i="7"/>
  <c r="AG128" i="7"/>
  <c r="AF128" i="7"/>
  <c r="AE128" i="7"/>
  <c r="DD127" i="7"/>
  <c r="CS127" i="7"/>
  <c r="CH127" i="7"/>
  <c r="AI127" i="7"/>
  <c r="AH127" i="7"/>
  <c r="AG127" i="7"/>
  <c r="AF127" i="7"/>
  <c r="AE127" i="7"/>
  <c r="DD126" i="7"/>
  <c r="CS126" i="7"/>
  <c r="CH126" i="7"/>
  <c r="AI126" i="7"/>
  <c r="AH126" i="7"/>
  <c r="AG126" i="7"/>
  <c r="AF126" i="7"/>
  <c r="AE126" i="7"/>
  <c r="DN125" i="7"/>
  <c r="DM125" i="7"/>
  <c r="DL125" i="7"/>
  <c r="DK125" i="7"/>
  <c r="DJ125" i="7"/>
  <c r="DI125" i="7"/>
  <c r="DH125" i="7"/>
  <c r="DG125" i="7"/>
  <c r="DF125" i="7"/>
  <c r="DE125" i="7"/>
  <c r="DC125" i="7"/>
  <c r="DB125" i="7"/>
  <c r="DA125" i="7"/>
  <c r="CZ125" i="7"/>
  <c r="CY125" i="7"/>
  <c r="CX125" i="7"/>
  <c r="CW125" i="7"/>
  <c r="CV125" i="7"/>
  <c r="CU125" i="7"/>
  <c r="CT125" i="7"/>
  <c r="CR125" i="7"/>
  <c r="CQ125" i="7"/>
  <c r="CP125" i="7"/>
  <c r="CO125" i="7"/>
  <c r="CN125" i="7"/>
  <c r="CM125" i="7"/>
  <c r="CL125" i="7"/>
  <c r="CK125" i="7"/>
  <c r="CJ125" i="7"/>
  <c r="CI125" i="7"/>
  <c r="CG125" i="7"/>
  <c r="CF125" i="7"/>
  <c r="CE125" i="7"/>
  <c r="CD125" i="7"/>
  <c r="CC125" i="7"/>
  <c r="CB125" i="7"/>
  <c r="CA125" i="7"/>
  <c r="BZ125" i="7"/>
  <c r="BY125" i="7"/>
  <c r="BX125" i="7"/>
  <c r="BW125" i="7"/>
  <c r="BV125" i="7"/>
  <c r="BU125" i="7"/>
  <c r="BT125" i="7"/>
  <c r="BS125" i="7"/>
  <c r="BR125" i="7"/>
  <c r="BQ125" i="7"/>
  <c r="BP125" i="7"/>
  <c r="BO125" i="7"/>
  <c r="BN125" i="7"/>
  <c r="BM125" i="7"/>
  <c r="BL125" i="7"/>
  <c r="BK125" i="7"/>
  <c r="BJ125" i="7"/>
  <c r="BI125" i="7"/>
  <c r="BH125" i="7"/>
  <c r="BG125" i="7"/>
  <c r="BF125" i="7"/>
  <c r="BE125" i="7"/>
  <c r="BD125" i="7"/>
  <c r="BC125" i="7"/>
  <c r="BB125" i="7"/>
  <c r="BA125" i="7"/>
  <c r="AZ125" i="7"/>
  <c r="AY125" i="7"/>
  <c r="AX125" i="7"/>
  <c r="AW125" i="7"/>
  <c r="AV125" i="7"/>
  <c r="AU125" i="7"/>
  <c r="AT125" i="7"/>
  <c r="AS125" i="7"/>
  <c r="AR125" i="7"/>
  <c r="AQ125" i="7"/>
  <c r="AP125" i="7"/>
  <c r="AO125" i="7"/>
  <c r="AN125" i="7"/>
  <c r="AM125" i="7"/>
  <c r="AL125" i="7"/>
  <c r="AK125" i="7"/>
  <c r="AJ125" i="7"/>
  <c r="DD124" i="7"/>
  <c r="CS124" i="7"/>
  <c r="CH124" i="7"/>
  <c r="AI124" i="7"/>
  <c r="AH124" i="7"/>
  <c r="AG124" i="7"/>
  <c r="AF124" i="7"/>
  <c r="AE124" i="7"/>
  <c r="DD123" i="7"/>
  <c r="CS123" i="7"/>
  <c r="CH123" i="7"/>
  <c r="AI123" i="7"/>
  <c r="AH123" i="7"/>
  <c r="AG123" i="7"/>
  <c r="AF123" i="7"/>
  <c r="AE123" i="7"/>
  <c r="DD122" i="7"/>
  <c r="CS122" i="7"/>
  <c r="CH122" i="7"/>
  <c r="AI122" i="7"/>
  <c r="AH122" i="7"/>
  <c r="AG122" i="7"/>
  <c r="AF122" i="7"/>
  <c r="AE122" i="7"/>
  <c r="DD119" i="7"/>
  <c r="CS119" i="7"/>
  <c r="CH119" i="7"/>
  <c r="AI119" i="7"/>
  <c r="AH119" i="7"/>
  <c r="AG119" i="7"/>
  <c r="AF119" i="7"/>
  <c r="AE119" i="7"/>
  <c r="DD116" i="7"/>
  <c r="CS116" i="7"/>
  <c r="CH116" i="7"/>
  <c r="AI116" i="7"/>
  <c r="AH116" i="7"/>
  <c r="AG116" i="7"/>
  <c r="AF116" i="7"/>
  <c r="AE116" i="7"/>
  <c r="DD115" i="7"/>
  <c r="CS115" i="7"/>
  <c r="CH115" i="7"/>
  <c r="AI115" i="7"/>
  <c r="AH115" i="7"/>
  <c r="AG115" i="7"/>
  <c r="AF115" i="7"/>
  <c r="AE115" i="7"/>
  <c r="DD114" i="7"/>
  <c r="CS114" i="7"/>
  <c r="CH114" i="7"/>
  <c r="AI114" i="7"/>
  <c r="AE114" i="7"/>
  <c r="DD113" i="7"/>
  <c r="CS113" i="7"/>
  <c r="CH113" i="7"/>
  <c r="AI113" i="7"/>
  <c r="AF113" i="7"/>
  <c r="AE113" i="7"/>
  <c r="DD112" i="7"/>
  <c r="CS112" i="7"/>
  <c r="CH112" i="7"/>
  <c r="DD111" i="7"/>
  <c r="CS111" i="7"/>
  <c r="CH111" i="7"/>
  <c r="AI111" i="7"/>
  <c r="AH111" i="7"/>
  <c r="AG111" i="7"/>
  <c r="AF111" i="7"/>
  <c r="AE111" i="7"/>
  <c r="DD110" i="7"/>
  <c r="CS110" i="7"/>
  <c r="CH110" i="7"/>
  <c r="AI110" i="7"/>
  <c r="AH110" i="7"/>
  <c r="AG110" i="7"/>
  <c r="AF110" i="7"/>
  <c r="AE110" i="7"/>
  <c r="DD109" i="7"/>
  <c r="CS109" i="7"/>
  <c r="CH109" i="7"/>
  <c r="AI109" i="7"/>
  <c r="AH109" i="7"/>
  <c r="AG109" i="7"/>
  <c r="AF109" i="7"/>
  <c r="AE109" i="7"/>
  <c r="DF107" i="7"/>
  <c r="DD107" i="7" s="1"/>
  <c r="CU107" i="7"/>
  <c r="CS107" i="7" s="1"/>
  <c r="CJ107" i="7"/>
  <c r="CH107" i="7" s="1"/>
  <c r="AO107" i="7"/>
  <c r="AE107" i="7" s="1"/>
  <c r="AI107" i="7"/>
  <c r="AH107" i="7"/>
  <c r="AG107" i="7"/>
  <c r="AF107" i="7"/>
  <c r="DD106" i="7"/>
  <c r="CS106" i="7"/>
  <c r="CH106" i="7"/>
  <c r="AI106" i="7"/>
  <c r="AH106" i="7"/>
  <c r="AE106" i="7"/>
  <c r="DD105" i="7"/>
  <c r="CS105" i="7"/>
  <c r="CH105" i="7"/>
  <c r="AI105" i="7"/>
  <c r="AE105" i="7"/>
  <c r="DD104" i="7"/>
  <c r="CS104" i="7"/>
  <c r="CH104" i="7"/>
  <c r="AI104" i="7"/>
  <c r="AH104" i="7"/>
  <c r="AG104" i="7"/>
  <c r="AF104" i="7"/>
  <c r="AE104" i="7"/>
  <c r="DE103" i="7"/>
  <c r="DD103" i="7" s="1"/>
  <c r="CT103" i="7"/>
  <c r="CS103" i="7" s="1"/>
  <c r="CI103" i="7"/>
  <c r="CH103" i="7" s="1"/>
  <c r="AJ103" i="7"/>
  <c r="AE103" i="7" s="1"/>
  <c r="AI103" i="7"/>
  <c r="DD102" i="7"/>
  <c r="CS102" i="7"/>
  <c r="CH102" i="7"/>
  <c r="AI102" i="7"/>
  <c r="AH102" i="7"/>
  <c r="AG102" i="7"/>
  <c r="AF102" i="7"/>
  <c r="AE102" i="7"/>
  <c r="DD101" i="7"/>
  <c r="CS101" i="7"/>
  <c r="CH101" i="7"/>
  <c r="AI101" i="7"/>
  <c r="AH101" i="7"/>
  <c r="AG101" i="7"/>
  <c r="AF101" i="7"/>
  <c r="AE101" i="7"/>
  <c r="DD100" i="7"/>
  <c r="CS100" i="7"/>
  <c r="CH100" i="7"/>
  <c r="AI100" i="7"/>
  <c r="AH100" i="7"/>
  <c r="AG100" i="7"/>
  <c r="AF100" i="7"/>
  <c r="AE100" i="7"/>
  <c r="DD99" i="7"/>
  <c r="CS99" i="7"/>
  <c r="CH99" i="7"/>
  <c r="AI99" i="7"/>
  <c r="AH99" i="7"/>
  <c r="AG99" i="7"/>
  <c r="AF99" i="7"/>
  <c r="AE99" i="7"/>
  <c r="DD98" i="7"/>
  <c r="CS98" i="7"/>
  <c r="CH98" i="7"/>
  <c r="AI98" i="7"/>
  <c r="AH98" i="7"/>
  <c r="AG98" i="7"/>
  <c r="AE98" i="7"/>
  <c r="DD97" i="7"/>
  <c r="CS97" i="7"/>
  <c r="CH97" i="7"/>
  <c r="AI97" i="7"/>
  <c r="AE97" i="7"/>
  <c r="DD96" i="7"/>
  <c r="CS96" i="7"/>
  <c r="CH96" i="7"/>
  <c r="AI96" i="7"/>
  <c r="AH96" i="7"/>
  <c r="AG96" i="7"/>
  <c r="AF96" i="7"/>
  <c r="AE96" i="7"/>
  <c r="DD95" i="7"/>
  <c r="CS95" i="7"/>
  <c r="CH95" i="7"/>
  <c r="AE95" i="7"/>
  <c r="DD94" i="7"/>
  <c r="CS94" i="7"/>
  <c r="CH94" i="7"/>
  <c r="AI94" i="7"/>
  <c r="AH94" i="7"/>
  <c r="AG94" i="7"/>
  <c r="AF94" i="7"/>
  <c r="AE94" i="7"/>
  <c r="DD93" i="7"/>
  <c r="CS93" i="7"/>
  <c r="CH93" i="7"/>
  <c r="AI93" i="7"/>
  <c r="AH93" i="7"/>
  <c r="AG93" i="7"/>
  <c r="AF93" i="7"/>
  <c r="AE93" i="7"/>
  <c r="DD92" i="7"/>
  <c r="CS92" i="7"/>
  <c r="CH92" i="7"/>
  <c r="AI92" i="7"/>
  <c r="AE92" i="7"/>
  <c r="DD91" i="7"/>
  <c r="CS91" i="7"/>
  <c r="CH91" i="7"/>
  <c r="AI91" i="7"/>
  <c r="AH91" i="7"/>
  <c r="AG91" i="7"/>
  <c r="AF91" i="7"/>
  <c r="AE91" i="7"/>
  <c r="DD90" i="7"/>
  <c r="CS90" i="7"/>
  <c r="CH90" i="7"/>
  <c r="AI90" i="7"/>
  <c r="AF90" i="7"/>
  <c r="AE90" i="7"/>
  <c r="DD89" i="7"/>
  <c r="CS89" i="7"/>
  <c r="CH89" i="7"/>
  <c r="AI89" i="7"/>
  <c r="AH89" i="7"/>
  <c r="AG89" i="7"/>
  <c r="AF89" i="7"/>
  <c r="AE89" i="7"/>
  <c r="DD88" i="7"/>
  <c r="CS88" i="7"/>
  <c r="CH88" i="7"/>
  <c r="AI88" i="7"/>
  <c r="AH88" i="7"/>
  <c r="AG88" i="7"/>
  <c r="AF88" i="7"/>
  <c r="AE88" i="7"/>
  <c r="DD87" i="7"/>
  <c r="CS87" i="7"/>
  <c r="CH87" i="7"/>
  <c r="AI87" i="7"/>
  <c r="AH87" i="7"/>
  <c r="AG87" i="7"/>
  <c r="AF87" i="7"/>
  <c r="AE87" i="7"/>
  <c r="DD86" i="7"/>
  <c r="CS86" i="7"/>
  <c r="CH86" i="7"/>
  <c r="AI86" i="7"/>
  <c r="AH86" i="7"/>
  <c r="AG86" i="7"/>
  <c r="AF86" i="7"/>
  <c r="AE86" i="7"/>
  <c r="DD85" i="7"/>
  <c r="CS85" i="7"/>
  <c r="CH85" i="7"/>
  <c r="AI85" i="7"/>
  <c r="AH85" i="7"/>
  <c r="AG85" i="7"/>
  <c r="AF85" i="7"/>
  <c r="AE85" i="7"/>
  <c r="DD84" i="7"/>
  <c r="CS84" i="7"/>
  <c r="CH84" i="7"/>
  <c r="AI84" i="7"/>
  <c r="AH84" i="7"/>
  <c r="AG84" i="7"/>
  <c r="AF84" i="7"/>
  <c r="AE84" i="7"/>
  <c r="DD83" i="7"/>
  <c r="CS83" i="7"/>
  <c r="CH83" i="7"/>
  <c r="AJ83" i="7"/>
  <c r="AE83" i="7" s="1"/>
  <c r="AI83" i="7"/>
  <c r="AH83" i="7"/>
  <c r="AG83" i="7"/>
  <c r="AF83" i="7"/>
  <c r="DD82" i="7"/>
  <c r="CS82" i="7"/>
  <c r="CH82" i="7"/>
  <c r="AI82" i="7"/>
  <c r="AH82" i="7"/>
  <c r="AG82" i="7"/>
  <c r="AF82" i="7"/>
  <c r="AE82" i="7"/>
  <c r="DD81" i="7"/>
  <c r="CS81" i="7"/>
  <c r="CH81" i="7"/>
  <c r="AI81" i="7"/>
  <c r="AH81" i="7"/>
  <c r="AG81" i="7"/>
  <c r="AF81" i="7"/>
  <c r="AE81" i="7"/>
  <c r="DD80" i="7"/>
  <c r="CS80" i="7"/>
  <c r="CH80" i="7"/>
  <c r="AI80" i="7"/>
  <c r="AH80" i="7"/>
  <c r="AG80" i="7"/>
  <c r="AF80" i="7"/>
  <c r="AE80" i="7"/>
  <c r="DD79" i="7"/>
  <c r="CS79" i="7"/>
  <c r="CH79" i="7"/>
  <c r="AI79" i="7"/>
  <c r="AH79" i="7"/>
  <c r="AG79" i="7"/>
  <c r="AF79" i="7"/>
  <c r="AE79" i="7"/>
  <c r="DD78" i="7"/>
  <c r="CS78" i="7"/>
  <c r="CH78" i="7"/>
  <c r="AI78" i="7"/>
  <c r="AH78" i="7"/>
  <c r="AG78" i="7"/>
  <c r="AF78" i="7"/>
  <c r="AE78" i="7"/>
  <c r="DD77" i="7"/>
  <c r="CS77" i="7"/>
  <c r="CH77" i="7"/>
  <c r="AI77" i="7"/>
  <c r="AH77" i="7"/>
  <c r="AG77" i="7"/>
  <c r="AF77" i="7"/>
  <c r="AE77" i="7"/>
  <c r="DD76" i="7"/>
  <c r="CS76" i="7"/>
  <c r="CH76" i="7"/>
  <c r="AI76" i="7"/>
  <c r="AH76" i="7"/>
  <c r="AG76" i="7"/>
  <c r="AF76" i="7"/>
  <c r="AE76" i="7"/>
  <c r="DD75" i="7"/>
  <c r="CS75" i="7"/>
  <c r="CH75" i="7"/>
  <c r="AI75" i="7"/>
  <c r="AH75" i="7"/>
  <c r="AG75" i="7"/>
  <c r="AF75" i="7"/>
  <c r="AE75" i="7"/>
  <c r="DD74" i="7"/>
  <c r="CS74" i="7"/>
  <c r="CH74" i="7"/>
  <c r="AI74" i="7"/>
  <c r="AH74" i="7"/>
  <c r="AG74" i="7"/>
  <c r="AF74" i="7"/>
  <c r="AE74" i="7"/>
  <c r="DN73" i="7"/>
  <c r="DM73" i="7"/>
  <c r="DL73" i="7"/>
  <c r="DK73" i="7"/>
  <c r="DJ73" i="7"/>
  <c r="DI73" i="7"/>
  <c r="DH73" i="7"/>
  <c r="DG73" i="7"/>
  <c r="DC73" i="7"/>
  <c r="DB73" i="7"/>
  <c r="DA73" i="7"/>
  <c r="CZ73" i="7"/>
  <c r="CY73" i="7"/>
  <c r="CX73" i="7"/>
  <c r="CW73" i="7"/>
  <c r="CV73" i="7"/>
  <c r="CR73" i="7"/>
  <c r="CQ73" i="7"/>
  <c r="CP73" i="7"/>
  <c r="CO73" i="7"/>
  <c r="CN73" i="7"/>
  <c r="CM73" i="7"/>
  <c r="CL73" i="7"/>
  <c r="CK73" i="7"/>
  <c r="CG73" i="7"/>
  <c r="CF73" i="7"/>
  <c r="CE73" i="7"/>
  <c r="CD73" i="7"/>
  <c r="CC73" i="7"/>
  <c r="CB73" i="7"/>
  <c r="CA73" i="7"/>
  <c r="BZ73" i="7"/>
  <c r="BY73" i="7"/>
  <c r="BX73" i="7"/>
  <c r="BW73" i="7"/>
  <c r="BV73" i="7"/>
  <c r="BU73" i="7"/>
  <c r="BT73" i="7"/>
  <c r="BS73" i="7"/>
  <c r="BR73" i="7"/>
  <c r="BQ73" i="7"/>
  <c r="BP73" i="7"/>
  <c r="BO73" i="7"/>
  <c r="BN73" i="7"/>
  <c r="BM73" i="7"/>
  <c r="BL73" i="7"/>
  <c r="BK73" i="7"/>
  <c r="BJ73" i="7"/>
  <c r="BI73" i="7"/>
  <c r="BH73" i="7"/>
  <c r="BG73" i="7"/>
  <c r="BF73" i="7"/>
  <c r="BE73" i="7"/>
  <c r="BD73" i="7"/>
  <c r="BC73" i="7"/>
  <c r="BB73" i="7"/>
  <c r="BA73" i="7"/>
  <c r="AZ73" i="7"/>
  <c r="AY73" i="7"/>
  <c r="AX73" i="7"/>
  <c r="AW73" i="7"/>
  <c r="AV73" i="7"/>
  <c r="AU73" i="7"/>
  <c r="AT73" i="7"/>
  <c r="AS73" i="7"/>
  <c r="AR73" i="7"/>
  <c r="AQ73" i="7"/>
  <c r="AP73" i="7"/>
  <c r="AO73" i="7"/>
  <c r="AN73" i="7"/>
  <c r="AM73" i="7"/>
  <c r="AL73" i="7"/>
  <c r="AK73" i="7"/>
  <c r="DD72" i="7"/>
  <c r="CS72" i="7"/>
  <c r="CH72" i="7"/>
  <c r="AI72" i="7"/>
  <c r="AH72" i="7"/>
  <c r="AG72" i="7"/>
  <c r="AF72" i="7"/>
  <c r="AE72" i="7"/>
  <c r="DD71" i="7"/>
  <c r="CS71" i="7"/>
  <c r="CH71" i="7"/>
  <c r="CC71" i="7"/>
  <c r="AE71" i="7" s="1"/>
  <c r="AI71" i="7"/>
  <c r="AH71" i="7"/>
  <c r="AG71" i="7"/>
  <c r="AF71" i="7"/>
  <c r="DD70" i="7"/>
  <c r="CS70" i="7"/>
  <c r="CH70" i="7"/>
  <c r="AY70" i="7"/>
  <c r="AE70" i="7" s="1"/>
  <c r="AI70" i="7"/>
  <c r="AH70" i="7"/>
  <c r="AG70" i="7"/>
  <c r="AF70" i="7"/>
  <c r="DD69" i="7"/>
  <c r="CS69" i="7"/>
  <c r="CH69" i="7"/>
  <c r="AI69" i="7"/>
  <c r="AH69" i="7"/>
  <c r="AG69" i="7"/>
  <c r="AF69" i="7"/>
  <c r="AE69" i="7"/>
  <c r="DD68" i="7"/>
  <c r="CS68" i="7"/>
  <c r="CH68" i="7"/>
  <c r="AI68" i="7"/>
  <c r="AH68" i="7"/>
  <c r="AG68" i="7"/>
  <c r="AF68" i="7"/>
  <c r="AE68" i="7"/>
  <c r="DD67" i="7"/>
  <c r="CS67" i="7"/>
  <c r="CH67" i="7"/>
  <c r="AI67" i="7"/>
  <c r="AH67" i="7"/>
  <c r="AG67" i="7"/>
  <c r="AF67" i="7"/>
  <c r="AE67" i="7"/>
  <c r="DD66" i="7"/>
  <c r="CS66" i="7"/>
  <c r="CH66" i="7"/>
  <c r="AI66" i="7"/>
  <c r="AH66" i="7"/>
  <c r="AG66" i="7"/>
  <c r="AF66" i="7"/>
  <c r="AE66" i="7"/>
  <c r="DD65" i="7"/>
  <c r="CS65" i="7"/>
  <c r="CH65" i="7"/>
  <c r="CC65" i="7"/>
  <c r="AE65" i="7" s="1"/>
  <c r="AI65" i="7"/>
  <c r="AH65" i="7"/>
  <c r="AG65" i="7"/>
  <c r="AF65" i="7"/>
  <c r="DD64" i="7"/>
  <c r="CS64" i="7"/>
  <c r="CH64" i="7"/>
  <c r="AI64" i="7"/>
  <c r="AH64" i="7"/>
  <c r="AG64" i="7"/>
  <c r="AF64" i="7"/>
  <c r="AE64" i="7"/>
  <c r="DD63" i="7"/>
  <c r="CS63" i="7"/>
  <c r="CH63" i="7"/>
  <c r="AI63" i="7"/>
  <c r="AH63" i="7"/>
  <c r="AG63" i="7"/>
  <c r="AF63" i="7"/>
  <c r="AE63" i="7"/>
  <c r="DD62" i="7"/>
  <c r="CS62" i="7"/>
  <c r="CH62" i="7"/>
  <c r="AI62" i="7"/>
  <c r="AH62" i="7"/>
  <c r="AG62" i="7"/>
  <c r="AF62" i="7"/>
  <c r="AE62" i="7"/>
  <c r="DD61" i="7"/>
  <c r="CS61" i="7"/>
  <c r="CH61" i="7"/>
  <c r="AI61" i="7"/>
  <c r="AH61" i="7"/>
  <c r="AG61" i="7"/>
  <c r="AF61" i="7"/>
  <c r="AE61" i="7"/>
  <c r="DN60" i="7"/>
  <c r="DM60" i="7"/>
  <c r="DL60" i="7"/>
  <c r="DK60" i="7"/>
  <c r="DJ60" i="7"/>
  <c r="DI60" i="7"/>
  <c r="DH60" i="7"/>
  <c r="DG60" i="7"/>
  <c r="DF60" i="7"/>
  <c r="DE60" i="7"/>
  <c r="DC60" i="7"/>
  <c r="DB60" i="7"/>
  <c r="DA60" i="7"/>
  <c r="CZ60" i="7"/>
  <c r="CY60" i="7"/>
  <c r="CX60" i="7"/>
  <c r="CW60" i="7"/>
  <c r="CV60" i="7"/>
  <c r="CU60" i="7"/>
  <c r="CT60" i="7"/>
  <c r="CR60" i="7"/>
  <c r="CQ60" i="7"/>
  <c r="CP60" i="7"/>
  <c r="CO60" i="7"/>
  <c r="CN60" i="7"/>
  <c r="CM60" i="7"/>
  <c r="CL60" i="7"/>
  <c r="CK60" i="7"/>
  <c r="CJ60" i="7"/>
  <c r="CI60" i="7"/>
  <c r="CG60" i="7"/>
  <c r="CF60" i="7"/>
  <c r="CE60" i="7"/>
  <c r="CD60" i="7"/>
  <c r="CB60" i="7"/>
  <c r="CA60" i="7"/>
  <c r="BZ60" i="7"/>
  <c r="BY60" i="7"/>
  <c r="BX60" i="7"/>
  <c r="BW60" i="7"/>
  <c r="BV60" i="7"/>
  <c r="BU60" i="7"/>
  <c r="BT60" i="7"/>
  <c r="BS60" i="7"/>
  <c r="BR60" i="7"/>
  <c r="BQ60" i="7"/>
  <c r="BP60" i="7"/>
  <c r="BO60" i="7"/>
  <c r="BN60" i="7"/>
  <c r="BM60" i="7"/>
  <c r="BL60" i="7"/>
  <c r="BK60" i="7"/>
  <c r="BJ60" i="7"/>
  <c r="BI60" i="7"/>
  <c r="BH60" i="7"/>
  <c r="BG60" i="7"/>
  <c r="BF60" i="7"/>
  <c r="BE60" i="7"/>
  <c r="BD60" i="7"/>
  <c r="BC60" i="7"/>
  <c r="BB60" i="7"/>
  <c r="BA60" i="7"/>
  <c r="AZ60" i="7"/>
  <c r="AX60" i="7"/>
  <c r="AW60" i="7"/>
  <c r="AV60" i="7"/>
  <c r="AU60" i="7"/>
  <c r="AT60" i="7"/>
  <c r="AS60" i="7"/>
  <c r="AR60" i="7"/>
  <c r="AQ60" i="7"/>
  <c r="AP60" i="7"/>
  <c r="AO60" i="7"/>
  <c r="AN60" i="7"/>
  <c r="AM60" i="7"/>
  <c r="AL60" i="7"/>
  <c r="AK60" i="7"/>
  <c r="AJ60" i="7"/>
  <c r="DD59" i="7"/>
  <c r="CS59" i="7"/>
  <c r="CH59" i="7"/>
  <c r="AI59" i="7"/>
  <c r="AH59" i="7"/>
  <c r="AG59" i="7"/>
  <c r="AF59" i="7"/>
  <c r="AE59" i="7"/>
  <c r="DD58" i="7"/>
  <c r="CS58" i="7"/>
  <c r="CH58" i="7"/>
  <c r="AI58" i="7"/>
  <c r="AH58" i="7"/>
  <c r="AG58" i="7"/>
  <c r="AF58" i="7"/>
  <c r="AE58" i="7"/>
  <c r="DD57" i="7"/>
  <c r="CS57" i="7"/>
  <c r="CH57" i="7"/>
  <c r="AI57" i="7"/>
  <c r="AH57" i="7"/>
  <c r="AG57" i="7"/>
  <c r="AF57" i="7"/>
  <c r="AE57" i="7"/>
  <c r="DD56" i="7"/>
  <c r="CS56" i="7"/>
  <c r="CH56" i="7"/>
  <c r="AG56" i="7"/>
  <c r="AZ56" i="7"/>
  <c r="AF56" i="7" s="1"/>
  <c r="AI56" i="7"/>
  <c r="AH56" i="7"/>
  <c r="AE56" i="7"/>
  <c r="DD55" i="7"/>
  <c r="CS55" i="7"/>
  <c r="CH55" i="7"/>
  <c r="AI55" i="7"/>
  <c r="AH55" i="7"/>
  <c r="AG55" i="7"/>
  <c r="AF55" i="7"/>
  <c r="AE55" i="7"/>
  <c r="DD54" i="7"/>
  <c r="CS54" i="7"/>
  <c r="CH54" i="7"/>
  <c r="AI54" i="7"/>
  <c r="AH54" i="7"/>
  <c r="AG54" i="7"/>
  <c r="AF54" i="7"/>
  <c r="AE54" i="7"/>
  <c r="DD53" i="7"/>
  <c r="CS53" i="7"/>
  <c r="CH53" i="7"/>
  <c r="AZ53" i="7"/>
  <c r="AF53" i="7" s="1"/>
  <c r="AI53" i="7"/>
  <c r="AH53" i="7"/>
  <c r="AG53" i="7"/>
  <c r="AE53" i="7"/>
  <c r="DD52" i="7"/>
  <c r="CS52" i="7"/>
  <c r="CH52" i="7"/>
  <c r="AI52" i="7"/>
  <c r="AH52" i="7"/>
  <c r="AG52" i="7"/>
  <c r="AF52" i="7"/>
  <c r="AE52" i="7"/>
  <c r="DD51" i="7"/>
  <c r="CS51" i="7"/>
  <c r="CH51" i="7"/>
  <c r="AG51" i="7"/>
  <c r="AF51" i="7"/>
  <c r="AI51" i="7"/>
  <c r="AH51" i="7"/>
  <c r="AE51" i="7"/>
  <c r="DD50" i="7"/>
  <c r="CS50" i="7"/>
  <c r="CH50" i="7"/>
  <c r="AI50" i="7"/>
  <c r="AH50" i="7"/>
  <c r="AG50" i="7"/>
  <c r="AF50" i="7"/>
  <c r="AE50" i="7"/>
  <c r="DD49" i="7"/>
  <c r="CS49" i="7"/>
  <c r="CH49" i="7"/>
  <c r="AI49" i="7"/>
  <c r="AH49" i="7"/>
  <c r="AG49" i="7"/>
  <c r="AF49" i="7"/>
  <c r="AE49" i="7"/>
  <c r="DD48" i="7"/>
  <c r="CS48" i="7"/>
  <c r="CH48" i="7"/>
  <c r="AI48" i="7"/>
  <c r="AH48" i="7"/>
  <c r="AG48" i="7"/>
  <c r="AF48" i="7"/>
  <c r="AE48" i="7"/>
  <c r="DD47" i="7"/>
  <c r="CS47" i="7"/>
  <c r="CH47" i="7"/>
  <c r="CC47" i="7"/>
  <c r="CC37" i="7" s="1"/>
  <c r="BB37" i="7"/>
  <c r="AG47" i="7"/>
  <c r="AZ47" i="7"/>
  <c r="AF47" i="7" s="1"/>
  <c r="AI47" i="7"/>
  <c r="AH47" i="7"/>
  <c r="DD46" i="7"/>
  <c r="CS46" i="7"/>
  <c r="CH46" i="7"/>
  <c r="AI46" i="7"/>
  <c r="AH46" i="7"/>
  <c r="AG46" i="7"/>
  <c r="AF46" i="7"/>
  <c r="AE46" i="7"/>
  <c r="DD45" i="7"/>
  <c r="CS45" i="7"/>
  <c r="CH45" i="7"/>
  <c r="AI45" i="7"/>
  <c r="AH45" i="7"/>
  <c r="AG45" i="7"/>
  <c r="AF45" i="7"/>
  <c r="AE45" i="7"/>
  <c r="DD44" i="7"/>
  <c r="CS44" i="7"/>
  <c r="CH44" i="7"/>
  <c r="AI44" i="7"/>
  <c r="AH44" i="7"/>
  <c r="AG44" i="7"/>
  <c r="AF44" i="7"/>
  <c r="AE44" i="7"/>
  <c r="DD43" i="7"/>
  <c r="CS43" i="7"/>
  <c r="CH43" i="7"/>
  <c r="AI43" i="7"/>
  <c r="AH43" i="7"/>
  <c r="AG43" i="7"/>
  <c r="AF43" i="7"/>
  <c r="AE43" i="7"/>
  <c r="DD42" i="7"/>
  <c r="CS42" i="7"/>
  <c r="CH42" i="7"/>
  <c r="AI42" i="7"/>
  <c r="AH42" i="7"/>
  <c r="AG42" i="7"/>
  <c r="AF42" i="7"/>
  <c r="AE42" i="7"/>
  <c r="DD41" i="7"/>
  <c r="CS41" i="7"/>
  <c r="CH41" i="7"/>
  <c r="AI41" i="7"/>
  <c r="AH41" i="7"/>
  <c r="AG41" i="7"/>
  <c r="AF41" i="7"/>
  <c r="AE41" i="7"/>
  <c r="DD40" i="7"/>
  <c r="CS40" i="7"/>
  <c r="CH40" i="7"/>
  <c r="AI40" i="7"/>
  <c r="AH40" i="7"/>
  <c r="AG40" i="7"/>
  <c r="AF40" i="7"/>
  <c r="AE40" i="7"/>
  <c r="DD39" i="7"/>
  <c r="CS39" i="7"/>
  <c r="CH39" i="7"/>
  <c r="AI39" i="7"/>
  <c r="AH39" i="7"/>
  <c r="AG39" i="7"/>
  <c r="AF39" i="7"/>
  <c r="AE39" i="7"/>
  <c r="DD38" i="7"/>
  <c r="CS38" i="7"/>
  <c r="CH38" i="7"/>
  <c r="AI38" i="7"/>
  <c r="AH38" i="7"/>
  <c r="AG38" i="7"/>
  <c r="AF38" i="7"/>
  <c r="AE38" i="7"/>
  <c r="DN37" i="7"/>
  <c r="DM37" i="7"/>
  <c r="DL37" i="7"/>
  <c r="DK37" i="7"/>
  <c r="DJ37" i="7"/>
  <c r="DI37" i="7"/>
  <c r="DH37" i="7"/>
  <c r="DG37" i="7"/>
  <c r="DF37" i="7"/>
  <c r="DE37" i="7"/>
  <c r="DC37" i="7"/>
  <c r="DB37" i="7"/>
  <c r="DA37" i="7"/>
  <c r="CZ37" i="7"/>
  <c r="CY37" i="7"/>
  <c r="CX37" i="7"/>
  <c r="CW37" i="7"/>
  <c r="CV37" i="7"/>
  <c r="CU37" i="7"/>
  <c r="CT37" i="7"/>
  <c r="CR37" i="7"/>
  <c r="CQ37" i="7"/>
  <c r="CP37" i="7"/>
  <c r="CO37" i="7"/>
  <c r="CN37" i="7"/>
  <c r="CM37" i="7"/>
  <c r="CL37" i="7"/>
  <c r="CK37" i="7"/>
  <c r="CJ37" i="7"/>
  <c r="CI37" i="7"/>
  <c r="CG37" i="7"/>
  <c r="CF37" i="7"/>
  <c r="CE37" i="7"/>
  <c r="CD37" i="7"/>
  <c r="CB37" i="7"/>
  <c r="CA37" i="7"/>
  <c r="BZ37" i="7"/>
  <c r="BY37" i="7"/>
  <c r="BX37" i="7"/>
  <c r="BW37" i="7"/>
  <c r="BV37" i="7"/>
  <c r="BU37" i="7"/>
  <c r="BT37" i="7"/>
  <c r="BS37" i="7"/>
  <c r="BR37" i="7"/>
  <c r="BQ37" i="7"/>
  <c r="BP37" i="7"/>
  <c r="BO37" i="7"/>
  <c r="BN37" i="7"/>
  <c r="BM37" i="7"/>
  <c r="BL37" i="7"/>
  <c r="BK37" i="7"/>
  <c r="BJ37" i="7"/>
  <c r="BI37" i="7"/>
  <c r="BH37" i="7"/>
  <c r="BG37" i="7"/>
  <c r="BF37" i="7"/>
  <c r="BE37" i="7"/>
  <c r="BD37" i="7"/>
  <c r="BC37" i="7"/>
  <c r="AY37" i="7"/>
  <c r="AX37" i="7"/>
  <c r="AW37" i="7"/>
  <c r="AV37" i="7"/>
  <c r="AU37" i="7"/>
  <c r="AT37" i="7"/>
  <c r="AS37" i="7"/>
  <c r="AR37" i="7"/>
  <c r="AQ37" i="7"/>
  <c r="AP37" i="7"/>
  <c r="AO37" i="7"/>
  <c r="AN37" i="7"/>
  <c r="AM37" i="7"/>
  <c r="AL37" i="7"/>
  <c r="AK37" i="7"/>
  <c r="AJ37" i="7"/>
  <c r="DD36" i="7"/>
  <c r="CS36" i="7"/>
  <c r="CH36" i="7"/>
  <c r="AI36" i="7"/>
  <c r="AH36" i="7"/>
  <c r="AG36" i="7"/>
  <c r="AF36" i="7"/>
  <c r="AE36" i="7"/>
  <c r="DD35" i="7"/>
  <c r="CS35" i="7"/>
  <c r="CH35" i="7"/>
  <c r="AI35" i="7"/>
  <c r="AH35" i="7"/>
  <c r="AG35" i="7"/>
  <c r="AF35" i="7"/>
  <c r="AE35" i="7"/>
  <c r="DD34" i="7"/>
  <c r="CS34" i="7"/>
  <c r="CH34" i="7"/>
  <c r="AI34" i="7"/>
  <c r="AH34" i="7"/>
  <c r="AG34" i="7"/>
  <c r="AF34" i="7"/>
  <c r="AE34" i="7"/>
  <c r="DD33" i="7"/>
  <c r="CS33" i="7"/>
  <c r="CH33" i="7"/>
  <c r="AI33" i="7"/>
  <c r="AH33" i="7"/>
  <c r="AG33" i="7"/>
  <c r="AF33" i="7"/>
  <c r="AE33" i="7"/>
  <c r="DD32" i="7"/>
  <c r="CS32" i="7"/>
  <c r="CH32" i="7"/>
  <c r="AI32" i="7"/>
  <c r="AH32" i="7"/>
  <c r="AG32" i="7"/>
  <c r="AF32" i="7"/>
  <c r="AE32" i="7"/>
  <c r="DD31" i="7"/>
  <c r="CS31" i="7"/>
  <c r="CH31" i="7"/>
  <c r="AI31" i="7"/>
  <c r="AH31" i="7"/>
  <c r="AG31" i="7"/>
  <c r="AF31" i="7"/>
  <c r="AE31" i="7"/>
  <c r="DD30" i="7"/>
  <c r="CS30" i="7"/>
  <c r="CH30" i="7"/>
  <c r="AI30" i="7"/>
  <c r="AH30" i="7"/>
  <c r="AG30" i="7"/>
  <c r="AF30" i="7"/>
  <c r="AE30" i="7"/>
  <c r="DD29" i="7"/>
  <c r="CS29" i="7"/>
  <c r="CH29" i="7"/>
  <c r="AI29" i="7"/>
  <c r="AH29" i="7"/>
  <c r="AG29" i="7"/>
  <c r="AF29" i="7"/>
  <c r="AE29" i="7"/>
  <c r="DD28" i="7"/>
  <c r="CS28" i="7"/>
  <c r="CH28" i="7"/>
  <c r="AI28" i="7"/>
  <c r="AH28" i="7"/>
  <c r="AG28" i="7"/>
  <c r="AF28" i="7"/>
  <c r="AE28" i="7"/>
  <c r="DD27" i="7"/>
  <c r="CS27" i="7"/>
  <c r="CH27" i="7"/>
  <c r="AI27" i="7"/>
  <c r="AH27" i="7"/>
  <c r="AG27" i="7"/>
  <c r="AF27" i="7"/>
  <c r="AE27" i="7"/>
  <c r="DD26" i="7"/>
  <c r="CS26" i="7"/>
  <c r="CH26" i="7"/>
  <c r="AI26" i="7"/>
  <c r="AH26" i="7"/>
  <c r="AG26" i="7"/>
  <c r="AF26" i="7"/>
  <c r="AE26" i="7"/>
  <c r="DD25" i="7"/>
  <c r="CS25" i="7"/>
  <c r="CH25" i="7"/>
  <c r="AI25" i="7"/>
  <c r="AH25" i="7"/>
  <c r="AG25" i="7"/>
  <c r="AF25" i="7"/>
  <c r="AE25" i="7"/>
  <c r="DD24" i="7"/>
  <c r="CS24" i="7"/>
  <c r="CH24" i="7"/>
  <c r="AI24" i="7"/>
  <c r="AH24" i="7"/>
  <c r="AG24" i="7"/>
  <c r="AF24" i="7"/>
  <c r="AE24" i="7"/>
  <c r="DD23" i="7"/>
  <c r="CS23" i="7"/>
  <c r="CH23" i="7"/>
  <c r="AI23" i="7"/>
  <c r="AH23" i="7"/>
  <c r="AG23" i="7"/>
  <c r="AF23" i="7"/>
  <c r="AE23" i="7"/>
  <c r="DD22" i="7"/>
  <c r="CS22" i="7"/>
  <c r="CH22" i="7"/>
  <c r="AI22" i="7"/>
  <c r="AH22" i="7"/>
  <c r="AG22" i="7"/>
  <c r="AF22" i="7"/>
  <c r="AE22" i="7"/>
  <c r="DD21" i="7"/>
  <c r="CS21" i="7"/>
  <c r="CH21" i="7"/>
  <c r="AI21" i="7"/>
  <c r="AH21" i="7"/>
  <c r="AG21" i="7"/>
  <c r="AF21" i="7"/>
  <c r="AE21" i="7"/>
  <c r="DD20" i="7"/>
  <c r="CS20" i="7"/>
  <c r="CH20" i="7"/>
  <c r="AI20" i="7"/>
  <c r="AH20" i="7"/>
  <c r="AG20" i="7"/>
  <c r="AF20" i="7"/>
  <c r="AE20" i="7"/>
  <c r="DD19" i="7"/>
  <c r="CS19" i="7"/>
  <c r="CH19" i="7"/>
  <c r="AI19" i="7"/>
  <c r="AH19" i="7"/>
  <c r="AG19" i="7"/>
  <c r="AF19" i="7"/>
  <c r="AE19" i="7"/>
  <c r="DD18" i="7"/>
  <c r="CS18" i="7"/>
  <c r="CH18" i="7"/>
  <c r="AI18" i="7"/>
  <c r="AH18" i="7"/>
  <c r="AG18" i="7"/>
  <c r="AF18" i="7"/>
  <c r="AE18" i="7"/>
  <c r="DD17" i="7"/>
  <c r="CS17" i="7"/>
  <c r="CH17" i="7"/>
  <c r="AI17" i="7"/>
  <c r="AH17" i="7"/>
  <c r="AG17" i="7"/>
  <c r="AF17" i="7"/>
  <c r="AE17" i="7"/>
  <c r="DN16" i="7"/>
  <c r="DM16" i="7"/>
  <c r="DL16" i="7"/>
  <c r="DK16" i="7"/>
  <c r="DJ16" i="7"/>
  <c r="DI16" i="7"/>
  <c r="DH16" i="7"/>
  <c r="DG16" i="7"/>
  <c r="DF16" i="7"/>
  <c r="DE16" i="7"/>
  <c r="DC16" i="7"/>
  <c r="DB16" i="7"/>
  <c r="DA16" i="7"/>
  <c r="CZ16" i="7"/>
  <c r="CY16" i="7"/>
  <c r="CX16" i="7"/>
  <c r="CW16" i="7"/>
  <c r="CV16" i="7"/>
  <c r="CU16" i="7"/>
  <c r="CT16" i="7"/>
  <c r="CR16" i="7"/>
  <c r="CQ16" i="7"/>
  <c r="CP16" i="7"/>
  <c r="CO16" i="7"/>
  <c r="CN16" i="7"/>
  <c r="CM16" i="7"/>
  <c r="CL16" i="7"/>
  <c r="CK16" i="7"/>
  <c r="CJ16" i="7"/>
  <c r="CI16" i="7"/>
  <c r="CG16" i="7"/>
  <c r="CF16" i="7"/>
  <c r="CE16" i="7"/>
  <c r="CD16" i="7"/>
  <c r="CC16" i="7"/>
  <c r="CB16" i="7"/>
  <c r="CA16" i="7"/>
  <c r="BZ16" i="7"/>
  <c r="BY16" i="7"/>
  <c r="BX16" i="7"/>
  <c r="BW16" i="7"/>
  <c r="BV16" i="7"/>
  <c r="BU16" i="7"/>
  <c r="BT16" i="7"/>
  <c r="BS16" i="7"/>
  <c r="BR16" i="7"/>
  <c r="BQ16" i="7"/>
  <c r="BP16" i="7"/>
  <c r="BO16" i="7"/>
  <c r="BN16" i="7"/>
  <c r="BM16" i="7"/>
  <c r="BL16" i="7"/>
  <c r="BK16" i="7"/>
  <c r="BJ16" i="7"/>
  <c r="BI16" i="7"/>
  <c r="BH16" i="7"/>
  <c r="BG16" i="7"/>
  <c r="BF16" i="7"/>
  <c r="BE16" i="7"/>
  <c r="BD16" i="7"/>
  <c r="BC16" i="7"/>
  <c r="BB16" i="7"/>
  <c r="BA16" i="7"/>
  <c r="AZ16" i="7"/>
  <c r="AY16" i="7"/>
  <c r="AX16" i="7"/>
  <c r="AW16" i="7"/>
  <c r="AV16" i="7"/>
  <c r="AU16" i="7"/>
  <c r="AT16" i="7"/>
  <c r="AS16" i="7"/>
  <c r="AR16" i="7"/>
  <c r="AQ16" i="7"/>
  <c r="AP16" i="7"/>
  <c r="AO16" i="7"/>
  <c r="AN16" i="7"/>
  <c r="AM16" i="7"/>
  <c r="AL16" i="7"/>
  <c r="AK16" i="7"/>
  <c r="AJ16" i="7"/>
  <c r="DD15" i="7"/>
  <c r="DD14" i="7" s="1"/>
  <c r="CS15" i="7"/>
  <c r="CS14" i="7" s="1"/>
  <c r="CH15" i="7"/>
  <c r="CH14" i="7" s="1"/>
  <c r="AI15" i="7"/>
  <c r="AI14" i="7" s="1"/>
  <c r="AH15" i="7"/>
  <c r="AH14" i="7" s="1"/>
  <c r="F6" i="5" s="1"/>
  <c r="AG15" i="7"/>
  <c r="AG14" i="7" s="1"/>
  <c r="E6" i="5" s="1"/>
  <c r="AF15" i="7"/>
  <c r="AF14" i="7" s="1"/>
  <c r="D6" i="5" s="1"/>
  <c r="AE15" i="7"/>
  <c r="AE14" i="7" s="1"/>
  <c r="DN14" i="7"/>
  <c r="DM14" i="7"/>
  <c r="DL14" i="7"/>
  <c r="DK14" i="7"/>
  <c r="DJ14" i="7"/>
  <c r="DI14" i="7"/>
  <c r="DH14" i="7"/>
  <c r="DG14" i="7"/>
  <c r="DF14" i="7"/>
  <c r="DE14" i="7"/>
  <c r="DC14" i="7"/>
  <c r="DB14" i="7"/>
  <c r="DA14" i="7"/>
  <c r="CZ14" i="7"/>
  <c r="CY14" i="7"/>
  <c r="CX14" i="7"/>
  <c r="CW14" i="7"/>
  <c r="CV14" i="7"/>
  <c r="CU14" i="7"/>
  <c r="CT14" i="7"/>
  <c r="CR14" i="7"/>
  <c r="CQ14" i="7"/>
  <c r="CP14" i="7"/>
  <c r="CO14" i="7"/>
  <c r="CN14" i="7"/>
  <c r="CM14" i="7"/>
  <c r="CL14" i="7"/>
  <c r="CK14" i="7"/>
  <c r="CJ14" i="7"/>
  <c r="CI14" i="7"/>
  <c r="CG14" i="7"/>
  <c r="CF14" i="7"/>
  <c r="CE14" i="7"/>
  <c r="CD14" i="7"/>
  <c r="CC14" i="7"/>
  <c r="CB14" i="7"/>
  <c r="CA14" i="7"/>
  <c r="BZ14" i="7"/>
  <c r="BY14" i="7"/>
  <c r="BX14" i="7"/>
  <c r="BW14" i="7"/>
  <c r="BV14" i="7"/>
  <c r="BU14" i="7"/>
  <c r="BT14" i="7"/>
  <c r="BS14" i="7"/>
  <c r="BR14" i="7"/>
  <c r="BQ14" i="7"/>
  <c r="BP14" i="7"/>
  <c r="BO14" i="7"/>
  <c r="BN14" i="7"/>
  <c r="BM14" i="7"/>
  <c r="BL14" i="7"/>
  <c r="BK14" i="7"/>
  <c r="BJ14" i="7"/>
  <c r="BI14" i="7"/>
  <c r="BH14" i="7"/>
  <c r="BG14" i="7"/>
  <c r="BF14" i="7"/>
  <c r="BE14" i="7"/>
  <c r="BD14" i="7"/>
  <c r="BC14" i="7"/>
  <c r="BB14" i="7"/>
  <c r="BA14" i="7"/>
  <c r="AZ14" i="7"/>
  <c r="AY14" i="7"/>
  <c r="AX14" i="7"/>
  <c r="AW14" i="7"/>
  <c r="AV14" i="7"/>
  <c r="AU14" i="7"/>
  <c r="AT14" i="7"/>
  <c r="AS14" i="7"/>
  <c r="AR14" i="7"/>
  <c r="AQ14" i="7"/>
  <c r="AP14" i="7"/>
  <c r="AO14" i="7"/>
  <c r="AN14" i="7"/>
  <c r="AM14" i="7"/>
  <c r="AL14" i="7"/>
  <c r="AK14" i="7"/>
  <c r="AJ14" i="7"/>
  <c r="DD13" i="7"/>
  <c r="DD12" i="7" s="1"/>
  <c r="CS13" i="7"/>
  <c r="CS12" i="7" s="1"/>
  <c r="CH13" i="7"/>
  <c r="CH12" i="7" s="1"/>
  <c r="AI13" i="7"/>
  <c r="AI12" i="7" s="1"/>
  <c r="AH13" i="7"/>
  <c r="AH12" i="7" s="1"/>
  <c r="F5" i="5" s="1"/>
  <c r="AG13" i="7"/>
  <c r="AG12" i="7" s="1"/>
  <c r="E5" i="5" s="1"/>
  <c r="AF13" i="7"/>
  <c r="AF12" i="7" s="1"/>
  <c r="D5" i="5" s="1"/>
  <c r="AE13" i="7"/>
  <c r="AE12" i="7" s="1"/>
  <c r="DN12" i="7"/>
  <c r="DM12" i="7"/>
  <c r="DL12" i="7"/>
  <c r="DK12" i="7"/>
  <c r="DJ12" i="7"/>
  <c r="DI12" i="7"/>
  <c r="DH12" i="7"/>
  <c r="DG12" i="7"/>
  <c r="DF12" i="7"/>
  <c r="DE12" i="7"/>
  <c r="DC12" i="7"/>
  <c r="DB12" i="7"/>
  <c r="DA12" i="7"/>
  <c r="CZ12" i="7"/>
  <c r="CY12" i="7"/>
  <c r="CX12" i="7"/>
  <c r="CW12" i="7"/>
  <c r="CV12" i="7"/>
  <c r="CU12" i="7"/>
  <c r="CT12" i="7"/>
  <c r="CR12" i="7"/>
  <c r="CQ12" i="7"/>
  <c r="CP12" i="7"/>
  <c r="CO12" i="7"/>
  <c r="CN12" i="7"/>
  <c r="CM12" i="7"/>
  <c r="CL12" i="7"/>
  <c r="CK12" i="7"/>
  <c r="CJ12" i="7"/>
  <c r="CI12" i="7"/>
  <c r="CG12" i="7"/>
  <c r="CF12" i="7"/>
  <c r="CE12" i="7"/>
  <c r="CD12" i="7"/>
  <c r="CC12" i="7"/>
  <c r="CB12" i="7"/>
  <c r="CA12" i="7"/>
  <c r="BZ12" i="7"/>
  <c r="BY12" i="7"/>
  <c r="BX12" i="7"/>
  <c r="BW12" i="7"/>
  <c r="BV12" i="7"/>
  <c r="BU12" i="7"/>
  <c r="BT12" i="7"/>
  <c r="BS12" i="7"/>
  <c r="BR12" i="7"/>
  <c r="BQ12" i="7"/>
  <c r="BP12" i="7"/>
  <c r="BO12" i="7"/>
  <c r="BN12" i="7"/>
  <c r="BM12" i="7"/>
  <c r="BL12" i="7"/>
  <c r="BK12" i="7"/>
  <c r="BJ12" i="7"/>
  <c r="BI12" i="7"/>
  <c r="BH12" i="7"/>
  <c r="BG12" i="7"/>
  <c r="BF12" i="7"/>
  <c r="BE12" i="7"/>
  <c r="BD12" i="7"/>
  <c r="BC12" i="7"/>
  <c r="BB12" i="7"/>
  <c r="BA12" i="7"/>
  <c r="AZ12" i="7"/>
  <c r="AY12" i="7"/>
  <c r="AX12" i="7"/>
  <c r="AW12" i="7"/>
  <c r="AV12" i="7"/>
  <c r="AU12" i="7"/>
  <c r="AT12" i="7"/>
  <c r="AS12" i="7"/>
  <c r="AR12" i="7"/>
  <c r="AQ12" i="7"/>
  <c r="AP12" i="7"/>
  <c r="AO12" i="7"/>
  <c r="AN12" i="7"/>
  <c r="AM12" i="7"/>
  <c r="AL12" i="7"/>
  <c r="AK12" i="7"/>
  <c r="AJ12" i="7"/>
  <c r="DD11" i="7"/>
  <c r="CS11" i="7"/>
  <c r="CH11" i="7"/>
  <c r="AI11" i="7"/>
  <c r="AH11" i="7"/>
  <c r="AG11" i="7"/>
  <c r="AF11" i="7"/>
  <c r="AE11" i="7"/>
  <c r="DD10" i="7"/>
  <c r="CS10" i="7"/>
  <c r="CH10" i="7"/>
  <c r="AI10" i="7"/>
  <c r="AH10" i="7"/>
  <c r="AG10" i="7"/>
  <c r="AF10" i="7"/>
  <c r="AE10" i="7"/>
  <c r="DN9" i="7"/>
  <c r="DM9" i="7"/>
  <c r="DL9" i="7"/>
  <c r="DK9" i="7"/>
  <c r="DJ9" i="7"/>
  <c r="DI9" i="7"/>
  <c r="DH9" i="7"/>
  <c r="DG9" i="7"/>
  <c r="DF9" i="7"/>
  <c r="DE9" i="7"/>
  <c r="DC9" i="7"/>
  <c r="DB9" i="7"/>
  <c r="DA9" i="7"/>
  <c r="CZ9" i="7"/>
  <c r="CY9" i="7"/>
  <c r="CX9" i="7"/>
  <c r="CW9" i="7"/>
  <c r="CV9" i="7"/>
  <c r="CU9" i="7"/>
  <c r="CT9" i="7"/>
  <c r="CR9" i="7"/>
  <c r="CQ9" i="7"/>
  <c r="CP9" i="7"/>
  <c r="CO9" i="7"/>
  <c r="CN9" i="7"/>
  <c r="CM9" i="7"/>
  <c r="CL9" i="7"/>
  <c r="CK9" i="7"/>
  <c r="CJ9" i="7"/>
  <c r="CI9" i="7"/>
  <c r="CG9" i="7"/>
  <c r="CF9" i="7"/>
  <c r="CE9" i="7"/>
  <c r="CD9" i="7"/>
  <c r="CC9" i="7"/>
  <c r="CB9" i="7"/>
  <c r="CA9" i="7"/>
  <c r="BZ9" i="7"/>
  <c r="BY9" i="7"/>
  <c r="BX9" i="7"/>
  <c r="BW9" i="7"/>
  <c r="BV9" i="7"/>
  <c r="BU9" i="7"/>
  <c r="BT9" i="7"/>
  <c r="BS9" i="7"/>
  <c r="BR9" i="7"/>
  <c r="BQ9" i="7"/>
  <c r="BP9" i="7"/>
  <c r="BO9" i="7"/>
  <c r="BN9" i="7"/>
  <c r="BM9" i="7"/>
  <c r="BL9" i="7"/>
  <c r="BK9" i="7"/>
  <c r="BJ9" i="7"/>
  <c r="BI9" i="7"/>
  <c r="BH9" i="7"/>
  <c r="BG9" i="7"/>
  <c r="BF9" i="7"/>
  <c r="BE9" i="7"/>
  <c r="BD9" i="7"/>
  <c r="BC9" i="7"/>
  <c r="BB9" i="7"/>
  <c r="BA9" i="7"/>
  <c r="AZ9" i="7"/>
  <c r="AY9" i="7"/>
  <c r="AX9" i="7"/>
  <c r="AW9" i="7"/>
  <c r="AV9" i="7"/>
  <c r="AU9" i="7"/>
  <c r="AT9" i="7"/>
  <c r="AS9" i="7"/>
  <c r="AR9" i="7"/>
  <c r="AQ9" i="7"/>
  <c r="AP9" i="7"/>
  <c r="AO9" i="7"/>
  <c r="AN9" i="7"/>
  <c r="AM9" i="7"/>
  <c r="AL9" i="7"/>
  <c r="AK9" i="7"/>
  <c r="AJ9" i="7"/>
  <c r="AE9" i="7" l="1"/>
  <c r="DF73" i="7"/>
  <c r="AH9" i="7"/>
  <c r="AE178" i="7"/>
  <c r="AE139" i="7"/>
  <c r="AF178" i="7"/>
  <c r="D20" i="5" s="1"/>
  <c r="CH178" i="7"/>
  <c r="AE136" i="7"/>
  <c r="CJ73" i="7"/>
  <c r="CU73" i="7"/>
  <c r="CS9" i="7"/>
  <c r="DD280" i="7"/>
  <c r="AE165" i="7"/>
  <c r="CH284" i="7"/>
  <c r="AG284" i="7"/>
  <c r="E46" i="5" s="1"/>
  <c r="AE238" i="7"/>
  <c r="AH280" i="7"/>
  <c r="F45" i="5" s="1"/>
  <c r="DD292" i="7"/>
  <c r="DD284" i="7"/>
  <c r="CS284" i="7"/>
  <c r="AH292" i="7"/>
  <c r="F47" i="5" s="1"/>
  <c r="AE292" i="7"/>
  <c r="CH292" i="7"/>
  <c r="AE284" i="7"/>
  <c r="AI284" i="7"/>
  <c r="AI280" i="7"/>
  <c r="AF280" i="7"/>
  <c r="D45" i="5" s="1"/>
  <c r="AF292" i="7"/>
  <c r="D47" i="5" s="1"/>
  <c r="AI165" i="7"/>
  <c r="AE203" i="7"/>
  <c r="AI292" i="7"/>
  <c r="AE260" i="7"/>
  <c r="AE280" i="7"/>
  <c r="AE210" i="7"/>
  <c r="DD238" i="7"/>
  <c r="DD145" i="7"/>
  <c r="AE274" i="7"/>
  <c r="AF284" i="7"/>
  <c r="D46" i="5" s="1"/>
  <c r="AG9" i="7"/>
  <c r="E4" i="5" s="1"/>
  <c r="AG292" i="7"/>
  <c r="E47" i="5" s="1"/>
  <c r="AE245" i="7"/>
  <c r="CS292" i="7"/>
  <c r="AG280" i="7"/>
  <c r="E45" i="5" s="1"/>
  <c r="CS280" i="7"/>
  <c r="AE118" i="7"/>
  <c r="AI118" i="7"/>
  <c r="CH165" i="7"/>
  <c r="AH284" i="7"/>
  <c r="F46" i="5" s="1"/>
  <c r="DD178" i="7"/>
  <c r="AE145" i="7"/>
  <c r="CS145" i="7"/>
  <c r="CS108" i="7"/>
  <c r="AH118" i="7"/>
  <c r="F12" i="5" s="1"/>
  <c r="DD108" i="7"/>
  <c r="CH108" i="7"/>
  <c r="AH108" i="7"/>
  <c r="F11" i="5" s="1"/>
  <c r="AG118" i="7"/>
  <c r="E12" i="5" s="1"/>
  <c r="AG108" i="7"/>
  <c r="E11" i="5" s="1"/>
  <c r="AF118" i="7"/>
  <c r="D12" i="5" s="1"/>
  <c r="CS121" i="7"/>
  <c r="CS118" i="7" s="1"/>
  <c r="CT118" i="7"/>
  <c r="DD121" i="7"/>
  <c r="DD118" i="7" s="1"/>
  <c r="DE118" i="7"/>
  <c r="CH121" i="7"/>
  <c r="CH118" i="7" s="1"/>
  <c r="CI118" i="7"/>
  <c r="AE108" i="7"/>
  <c r="AF108" i="7"/>
  <c r="D11" i="5" s="1"/>
  <c r="AI108" i="7"/>
  <c r="AJ311" i="7"/>
  <c r="AE301" i="7"/>
  <c r="AE299" i="7" s="1"/>
  <c r="AJ299" i="7"/>
  <c r="DD301" i="7"/>
  <c r="DD299" i="7" s="1"/>
  <c r="DE299" i="7"/>
  <c r="DE248" i="7" s="1"/>
  <c r="CH315" i="7"/>
  <c r="CI311" i="7"/>
  <c r="AG331" i="7"/>
  <c r="AG301" i="7"/>
  <c r="AG299" i="7" s="1"/>
  <c r="E48" i="5" s="1"/>
  <c r="CS313" i="7"/>
  <c r="CS311" i="7" s="1"/>
  <c r="CT311" i="7"/>
  <c r="CH331" i="7"/>
  <c r="CI327" i="7"/>
  <c r="CS300" i="7"/>
  <c r="CS299" i="7" s="1"/>
  <c r="CT299" i="7"/>
  <c r="DD305" i="7"/>
  <c r="DD304" i="7" s="1"/>
  <c r="DE304" i="7"/>
  <c r="DE311" i="7"/>
  <c r="AG316" i="7"/>
  <c r="AG311" i="7" s="1"/>
  <c r="E51" i="5" s="1"/>
  <c r="AL311" i="7"/>
  <c r="AE331" i="7"/>
  <c r="AJ327" i="7"/>
  <c r="CS331" i="7"/>
  <c r="CT327" i="7"/>
  <c r="CS305" i="7"/>
  <c r="CS304" i="7" s="1"/>
  <c r="CT304" i="7"/>
  <c r="AF316" i="7"/>
  <c r="AF311" i="7" s="1"/>
  <c r="D51" i="5" s="1"/>
  <c r="AK311" i="7"/>
  <c r="AK303" i="7" s="1"/>
  <c r="AE308" i="7"/>
  <c r="DO308" i="7" s="1"/>
  <c r="AJ304" i="7"/>
  <c r="DD331" i="7"/>
  <c r="DE327" i="7"/>
  <c r="AE60" i="7"/>
  <c r="AH274" i="7"/>
  <c r="F44" i="5" s="1"/>
  <c r="AE125" i="7"/>
  <c r="AI299" i="7"/>
  <c r="AF165" i="7"/>
  <c r="AS8" i="7"/>
  <c r="BE8" i="7"/>
  <c r="BI8" i="7"/>
  <c r="BM8" i="7"/>
  <c r="BQ8" i="7"/>
  <c r="CG8" i="7"/>
  <c r="CL8" i="7"/>
  <c r="CP8" i="7"/>
  <c r="CU8" i="7"/>
  <c r="CY8" i="7"/>
  <c r="DC8" i="7"/>
  <c r="DH8" i="7"/>
  <c r="DL8" i="7"/>
  <c r="AK8" i="7"/>
  <c r="AO8" i="7"/>
  <c r="AW8" i="7"/>
  <c r="BF8" i="7"/>
  <c r="BJ8" i="7"/>
  <c r="BN8" i="7"/>
  <c r="BR8" i="7"/>
  <c r="BV8" i="7"/>
  <c r="BZ8" i="7"/>
  <c r="CD8" i="7"/>
  <c r="CV8" i="7"/>
  <c r="CZ8" i="7"/>
  <c r="DI8" i="7"/>
  <c r="DM8" i="7"/>
  <c r="BU8" i="7"/>
  <c r="BY8" i="7"/>
  <c r="AI327" i="7"/>
  <c r="AM187" i="7"/>
  <c r="AQ187" i="7"/>
  <c r="AU187" i="7"/>
  <c r="AY187" i="7"/>
  <c r="BC187" i="7"/>
  <c r="BG187" i="7"/>
  <c r="BK187" i="7"/>
  <c r="BO187" i="7"/>
  <c r="BS187" i="7"/>
  <c r="BW187" i="7"/>
  <c r="CA187" i="7"/>
  <c r="CE187" i="7"/>
  <c r="CJ187" i="7"/>
  <c r="CN187" i="7"/>
  <c r="CR187" i="7"/>
  <c r="CW187" i="7"/>
  <c r="DA187" i="7"/>
  <c r="DF187" i="7"/>
  <c r="DJ187" i="7"/>
  <c r="DN187" i="7"/>
  <c r="CK187" i="7"/>
  <c r="CO187" i="7"/>
  <c r="CX187" i="7"/>
  <c r="DB187" i="7"/>
  <c r="DG187" i="7"/>
  <c r="DK187" i="7"/>
  <c r="AM248" i="7"/>
  <c r="AU248" i="7"/>
  <c r="AY248" i="7"/>
  <c r="BC248" i="7"/>
  <c r="BG248" i="7"/>
  <c r="BK248" i="7"/>
  <c r="CL248" i="7"/>
  <c r="CP248" i="7"/>
  <c r="DJ248" i="7"/>
  <c r="DN248" i="7"/>
  <c r="AG274" i="7"/>
  <c r="E44" i="5" s="1"/>
  <c r="CH299" i="7"/>
  <c r="AL248" i="7"/>
  <c r="AP248" i="7"/>
  <c r="AT248" i="7"/>
  <c r="AX248" i="7"/>
  <c r="BB248" i="7"/>
  <c r="BF248" i="7"/>
  <c r="BJ248" i="7"/>
  <c r="BO248" i="7"/>
  <c r="BS248" i="7"/>
  <c r="BW248" i="7"/>
  <c r="CA248" i="7"/>
  <c r="CE248" i="7"/>
  <c r="CK248" i="7"/>
  <c r="CO248" i="7"/>
  <c r="CY248" i="7"/>
  <c r="DC248" i="7"/>
  <c r="DI248" i="7"/>
  <c r="DM248" i="7"/>
  <c r="AF274" i="7"/>
  <c r="D44" i="5" s="1"/>
  <c r="AQ248" i="7"/>
  <c r="AT8" i="7"/>
  <c r="AV187" i="7"/>
  <c r="BH187" i="7"/>
  <c r="BT187" i="7"/>
  <c r="CB187" i="7"/>
  <c r="BP248" i="7"/>
  <c r="BT248" i="7"/>
  <c r="BX248" i="7"/>
  <c r="CB248" i="7"/>
  <c r="CF248" i="7"/>
  <c r="CV248" i="7"/>
  <c r="CZ248" i="7"/>
  <c r="AF299" i="7"/>
  <c r="D48" i="5" s="1"/>
  <c r="AP8" i="7"/>
  <c r="CQ8" i="7"/>
  <c r="AN187" i="7"/>
  <c r="BD187" i="7"/>
  <c r="BP187" i="7"/>
  <c r="CF187" i="7"/>
  <c r="AM8" i="7"/>
  <c r="AQ8" i="7"/>
  <c r="AU8" i="7"/>
  <c r="BC8" i="7"/>
  <c r="BG8" i="7"/>
  <c r="BK8" i="7"/>
  <c r="BO8" i="7"/>
  <c r="BS8" i="7"/>
  <c r="BW8" i="7"/>
  <c r="CA8" i="7"/>
  <c r="CE8" i="7"/>
  <c r="CN8" i="7"/>
  <c r="CR8" i="7"/>
  <c r="CW8" i="7"/>
  <c r="DA8" i="7"/>
  <c r="DJ8" i="7"/>
  <c r="DN8" i="7"/>
  <c r="F4" i="5"/>
  <c r="AG145" i="7"/>
  <c r="E16" i="5" s="1"/>
  <c r="AK187" i="7"/>
  <c r="AO187" i="7"/>
  <c r="AS187" i="7"/>
  <c r="AW187" i="7"/>
  <c r="BA187" i="7"/>
  <c r="BE187" i="7"/>
  <c r="BI187" i="7"/>
  <c r="BM187" i="7"/>
  <c r="BQ187" i="7"/>
  <c r="BU187" i="7"/>
  <c r="BY187" i="7"/>
  <c r="CC187" i="7"/>
  <c r="CG187" i="7"/>
  <c r="CL187" i="7"/>
  <c r="CP187" i="7"/>
  <c r="CU187" i="7"/>
  <c r="CY187" i="7"/>
  <c r="DC187" i="7"/>
  <c r="DH187" i="7"/>
  <c r="DL187" i="7"/>
  <c r="AN248" i="7"/>
  <c r="AR248" i="7"/>
  <c r="AV248" i="7"/>
  <c r="AZ248" i="7"/>
  <c r="BD248" i="7"/>
  <c r="BH248" i="7"/>
  <c r="BL248" i="7"/>
  <c r="BQ248" i="7"/>
  <c r="BU248" i="7"/>
  <c r="BY248" i="7"/>
  <c r="CC248" i="7"/>
  <c r="CG248" i="7"/>
  <c r="CM248" i="7"/>
  <c r="CQ248" i="7"/>
  <c r="CW248" i="7"/>
  <c r="DA248" i="7"/>
  <c r="DG248" i="7"/>
  <c r="DK248" i="7"/>
  <c r="AH311" i="7"/>
  <c r="AE255" i="7"/>
  <c r="AL8" i="7"/>
  <c r="AX8" i="7"/>
  <c r="BB8" i="7"/>
  <c r="CM8" i="7"/>
  <c r="AR187" i="7"/>
  <c r="AZ187" i="7"/>
  <c r="BL187" i="7"/>
  <c r="BX187" i="7"/>
  <c r="AN8" i="7"/>
  <c r="AR8" i="7"/>
  <c r="AV8" i="7"/>
  <c r="BD8" i="7"/>
  <c r="BH8" i="7"/>
  <c r="BL8" i="7"/>
  <c r="BP8" i="7"/>
  <c r="BT8" i="7"/>
  <c r="BX8" i="7"/>
  <c r="CB8" i="7"/>
  <c r="CF8" i="7"/>
  <c r="CK8" i="7"/>
  <c r="CO8" i="7"/>
  <c r="CX8" i="7"/>
  <c r="DB8" i="7"/>
  <c r="DG8" i="7"/>
  <c r="DK8" i="7"/>
  <c r="AP187" i="7"/>
  <c r="AT187" i="7"/>
  <c r="AX187" i="7"/>
  <c r="BB187" i="7"/>
  <c r="BF187" i="7"/>
  <c r="BJ187" i="7"/>
  <c r="BN187" i="7"/>
  <c r="BR187" i="7"/>
  <c r="BV187" i="7"/>
  <c r="BZ187" i="7"/>
  <c r="CD187" i="7"/>
  <c r="CM187" i="7"/>
  <c r="CQ187" i="7"/>
  <c r="CV187" i="7"/>
  <c r="CZ187" i="7"/>
  <c r="DI187" i="7"/>
  <c r="DM187" i="7"/>
  <c r="AK248" i="7"/>
  <c r="AS248" i="7"/>
  <c r="AW248" i="7"/>
  <c r="BA248" i="7"/>
  <c r="BE248" i="7"/>
  <c r="BI248" i="7"/>
  <c r="BM248" i="7"/>
  <c r="BR248" i="7"/>
  <c r="BV248" i="7"/>
  <c r="BZ248" i="7"/>
  <c r="CD248" i="7"/>
  <c r="CI248" i="7"/>
  <c r="CN248" i="7"/>
  <c r="CR248" i="7"/>
  <c r="CX248" i="7"/>
  <c r="DB248" i="7"/>
  <c r="DH248" i="7"/>
  <c r="DL248" i="7"/>
  <c r="AH299" i="7"/>
  <c r="F48" i="5" s="1"/>
  <c r="AI311" i="7"/>
  <c r="AG165" i="7"/>
  <c r="AG260" i="7"/>
  <c r="E41" i="5" s="1"/>
  <c r="AH145" i="7"/>
  <c r="F16" i="5" s="1"/>
  <c r="AE16" i="7"/>
  <c r="CS165" i="7"/>
  <c r="CH145" i="7"/>
  <c r="DD165" i="7"/>
  <c r="AI145" i="7"/>
  <c r="AF145" i="7"/>
  <c r="D16" i="5" s="1"/>
  <c r="AH165" i="7"/>
  <c r="AE156" i="7"/>
  <c r="AE73" i="7"/>
  <c r="DD136" i="7"/>
  <c r="AE172" i="7"/>
  <c r="AE271" i="7"/>
  <c r="AE188" i="7"/>
  <c r="AF182" i="7"/>
  <c r="D21" i="5" s="1"/>
  <c r="AE47" i="7"/>
  <c r="DO47" i="7" s="1"/>
  <c r="CT274" i="7"/>
  <c r="AI139" i="7"/>
  <c r="DD271" i="7"/>
  <c r="CJ249" i="7"/>
  <c r="CJ248" i="7" s="1"/>
  <c r="CU249" i="7"/>
  <c r="CU248" i="7" s="1"/>
  <c r="AZ37" i="7"/>
  <c r="AZ8" i="7" s="1"/>
  <c r="BN274" i="7"/>
  <c r="BN248" i="7" s="1"/>
  <c r="DF249" i="7"/>
  <c r="DF248" i="7" s="1"/>
  <c r="AG203" i="7"/>
  <c r="E26" i="5" s="1"/>
  <c r="CH245" i="7"/>
  <c r="BA37" i="7"/>
  <c r="BA8" i="7" s="1"/>
  <c r="CI73" i="7"/>
  <c r="DE73" i="7"/>
  <c r="AY60" i="7"/>
  <c r="AY8" i="7" s="1"/>
  <c r="CT73" i="7"/>
  <c r="AO263" i="7"/>
  <c r="AO248" i="7" s="1"/>
  <c r="AG271" i="7"/>
  <c r="E43" i="5" s="1"/>
  <c r="AH271" i="7"/>
  <c r="F43" i="5" s="1"/>
  <c r="AF210" i="7"/>
  <c r="D29" i="5" s="1"/>
  <c r="AG245" i="7"/>
  <c r="E37" i="5" s="1"/>
  <c r="CH203" i="7"/>
  <c r="AI9" i="7"/>
  <c r="DD182" i="7"/>
  <c r="E22" i="5"/>
  <c r="F22" i="5"/>
  <c r="D22" i="5"/>
  <c r="AH238" i="7"/>
  <c r="F35" i="5" s="1"/>
  <c r="AJ156" i="7"/>
  <c r="AJ73" i="7"/>
  <c r="AL221" i="7"/>
  <c r="AL187" i="7" s="1"/>
  <c r="CI221" i="7"/>
  <c r="CI187" i="7" s="1"/>
  <c r="CT221" i="7"/>
  <c r="CT187" i="7" s="1"/>
  <c r="DE221" i="7"/>
  <c r="DE187" i="7" s="1"/>
  <c r="DD333" i="7"/>
  <c r="DO333" i="7" s="1"/>
  <c r="AF139" i="7"/>
  <c r="D15" i="5" s="1"/>
  <c r="AG238" i="7"/>
  <c r="E35" i="5" s="1"/>
  <c r="DD9" i="7"/>
  <c r="AH136" i="7"/>
  <c r="F14" i="5" s="1"/>
  <c r="CH260" i="7"/>
  <c r="CS255" i="7"/>
  <c r="AI136" i="7"/>
  <c r="AF255" i="7"/>
  <c r="D40" i="5" s="1"/>
  <c r="AF136" i="7"/>
  <c r="D14" i="5" s="1"/>
  <c r="AG178" i="7"/>
  <c r="E20" i="5" s="1"/>
  <c r="AI260" i="7"/>
  <c r="AI245" i="7"/>
  <c r="AI271" i="7"/>
  <c r="AG210" i="7"/>
  <c r="E29" i="5" s="1"/>
  <c r="DD210" i="7"/>
  <c r="AI203" i="7"/>
  <c r="CS245" i="7"/>
  <c r="CH255" i="7"/>
  <c r="AI172" i="7"/>
  <c r="DD125" i="7"/>
  <c r="AF203" i="7"/>
  <c r="D26" i="5" s="1"/>
  <c r="CS203" i="7"/>
  <c r="CS182" i="7"/>
  <c r="CH210" i="7"/>
  <c r="CS231" i="7"/>
  <c r="CS210" i="7"/>
  <c r="CS260" i="7"/>
  <c r="AH210" i="7"/>
  <c r="F29" i="5" s="1"/>
  <c r="AF238" i="7"/>
  <c r="D35" i="5" s="1"/>
  <c r="CH136" i="7"/>
  <c r="DO344" i="7"/>
  <c r="AF172" i="7"/>
  <c r="D19" i="5" s="1"/>
  <c r="AG172" i="7"/>
  <c r="E19" i="5" s="1"/>
  <c r="DD139" i="7"/>
  <c r="AH182" i="7"/>
  <c r="F21" i="5" s="1"/>
  <c r="AG255" i="7"/>
  <c r="E40" i="5" s="1"/>
  <c r="CH271" i="7"/>
  <c r="CS238" i="7"/>
  <c r="AI178" i="7"/>
  <c r="AH125" i="7"/>
  <c r="F13" i="5" s="1"/>
  <c r="AF125" i="7"/>
  <c r="D13" i="5" s="1"/>
  <c r="CH156" i="7"/>
  <c r="AF156" i="7"/>
  <c r="D17" i="5" s="1"/>
  <c r="AI182" i="7"/>
  <c r="AF9" i="7"/>
  <c r="CH9" i="7"/>
  <c r="AI125" i="7"/>
  <c r="CH139" i="7"/>
  <c r="AG156" i="7"/>
  <c r="E17" i="5" s="1"/>
  <c r="CS156" i="7"/>
  <c r="AH139" i="7"/>
  <c r="F15" i="5" s="1"/>
  <c r="AI156" i="7"/>
  <c r="AG139" i="7"/>
  <c r="E15" i="5" s="1"/>
  <c r="CS139" i="7"/>
  <c r="AH172" i="7"/>
  <c r="F19" i="5" s="1"/>
  <c r="AH178" i="7"/>
  <c r="F20" i="5" s="1"/>
  <c r="AG182" i="7"/>
  <c r="E21" i="5" s="1"/>
  <c r="DD16" i="7"/>
  <c r="DO346" i="7"/>
  <c r="DD245" i="7"/>
  <c r="AH213" i="7"/>
  <c r="F30" i="5" s="1"/>
  <c r="CH60" i="7"/>
  <c r="AG188" i="7"/>
  <c r="AF260" i="7"/>
  <c r="D41" i="5" s="1"/>
  <c r="AH249" i="7"/>
  <c r="AI249" i="7"/>
  <c r="CH238" i="7"/>
  <c r="DO174" i="7"/>
  <c r="DD241" i="7"/>
  <c r="DO198" i="7"/>
  <c r="DO173" i="7"/>
  <c r="DO199" i="7"/>
  <c r="AF245" i="7"/>
  <c r="D37" i="5" s="1"/>
  <c r="DO176" i="7"/>
  <c r="DO197" i="7"/>
  <c r="DO200" i="7"/>
  <c r="AG73" i="7"/>
  <c r="E10" i="5" s="1"/>
  <c r="DO127" i="7"/>
  <c r="DO128" i="7"/>
  <c r="DO129" i="7"/>
  <c r="DO175" i="7"/>
  <c r="AI221" i="7"/>
  <c r="DO229" i="7"/>
  <c r="AF263" i="7"/>
  <c r="D42" i="5" s="1"/>
  <c r="CH263" i="7"/>
  <c r="DO266" i="7"/>
  <c r="DO270" i="7"/>
  <c r="DO293" i="7"/>
  <c r="DO296" i="7"/>
  <c r="DO297" i="7"/>
  <c r="DO298" i="7"/>
  <c r="DO71" i="7"/>
  <c r="DO112" i="7"/>
  <c r="CH213" i="7"/>
  <c r="DO103" i="7"/>
  <c r="DO107" i="7"/>
  <c r="DO328" i="7"/>
  <c r="AI231" i="7"/>
  <c r="AI274" i="7"/>
  <c r="DO281" i="7"/>
  <c r="DO310" i="7"/>
  <c r="CS271" i="7"/>
  <c r="DO57" i="7"/>
  <c r="DO58" i="7"/>
  <c r="DO72" i="7"/>
  <c r="CS37" i="7"/>
  <c r="DO148" i="7"/>
  <c r="DO149" i="7"/>
  <c r="DO151" i="7"/>
  <c r="DO152" i="7"/>
  <c r="DO154" i="7"/>
  <c r="DO155" i="7"/>
  <c r="DD263" i="7"/>
  <c r="AF60" i="7"/>
  <c r="D9" i="5" s="1"/>
  <c r="CS73" i="7"/>
  <c r="DO18" i="7"/>
  <c r="DO19" i="7"/>
  <c r="DO20" i="7"/>
  <c r="AI16" i="7"/>
  <c r="DO23" i="7"/>
  <c r="DO24" i="7"/>
  <c r="DO25" i="7"/>
  <c r="DO28" i="7"/>
  <c r="DO29" i="7"/>
  <c r="DO30" i="7"/>
  <c r="DO31" i="7"/>
  <c r="DO32" i="7"/>
  <c r="AG37" i="7"/>
  <c r="E8" i="5" s="1"/>
  <c r="DO52" i="7"/>
  <c r="DO53" i="7"/>
  <c r="AG60" i="7"/>
  <c r="E9" i="5" s="1"/>
  <c r="CS60" i="7"/>
  <c r="DO76" i="7"/>
  <c r="DO77" i="7"/>
  <c r="DO79" i="7"/>
  <c r="DO80" i="7"/>
  <c r="DO81" i="7"/>
  <c r="DO82" i="7"/>
  <c r="DO83" i="7"/>
  <c r="DO87" i="7"/>
  <c r="DO90" i="7"/>
  <c r="DO91" i="7"/>
  <c r="DO95" i="7"/>
  <c r="DO96" i="7"/>
  <c r="DO97" i="7"/>
  <c r="DO99" i="7"/>
  <c r="DO100" i="7"/>
  <c r="DO101" i="7"/>
  <c r="DO102" i="7"/>
  <c r="AH255" i="7"/>
  <c r="DD255" i="7"/>
  <c r="DO35" i="7"/>
  <c r="AG221" i="7"/>
  <c r="E32" i="5" s="1"/>
  <c r="AG231" i="7"/>
  <c r="E33" i="5" s="1"/>
  <c r="DO244" i="7"/>
  <c r="CH241" i="7"/>
  <c r="DO34" i="7"/>
  <c r="DD37" i="7"/>
  <c r="AH37" i="7"/>
  <c r="F8" i="5" s="1"/>
  <c r="DO166" i="7"/>
  <c r="DO106" i="7"/>
  <c r="DO137" i="7"/>
  <c r="DO138" i="7"/>
  <c r="DO157" i="7"/>
  <c r="DO158" i="7"/>
  <c r="DO160" i="7"/>
  <c r="DO161" i="7"/>
  <c r="DO162" i="7"/>
  <c r="DO163" i="7"/>
  <c r="DO164" i="7"/>
  <c r="DO179" i="7"/>
  <c r="DO186" i="7"/>
  <c r="DO185" i="7" s="1"/>
  <c r="AH203" i="7"/>
  <c r="F26" i="5" s="1"/>
  <c r="DD203" i="7"/>
  <c r="DO211" i="7"/>
  <c r="AI210" i="7"/>
  <c r="CS213" i="7"/>
  <c r="DO220" i="7"/>
  <c r="DO219" i="7" s="1"/>
  <c r="DO222" i="7"/>
  <c r="CH221" i="7"/>
  <c r="AI238" i="7"/>
  <c r="AF249" i="7"/>
  <c r="DO256" i="7"/>
  <c r="AI255" i="7"/>
  <c r="DO259" i="7"/>
  <c r="DO326" i="7"/>
  <c r="DO334" i="7"/>
  <c r="DO339" i="7"/>
  <c r="DO56" i="7"/>
  <c r="DO85" i="7"/>
  <c r="DO86" i="7"/>
  <c r="DO109" i="7"/>
  <c r="DO110" i="7"/>
  <c r="DO115" i="7"/>
  <c r="DO116" i="7"/>
  <c r="DO132" i="7"/>
  <c r="DO133" i="7"/>
  <c r="DO134" i="7"/>
  <c r="DO144" i="7"/>
  <c r="DO330" i="7"/>
  <c r="DO183" i="7"/>
  <c r="DO184" i="7"/>
  <c r="DO189" i="7"/>
  <c r="DO192" i="7"/>
  <c r="DO193" i="7"/>
  <c r="DO194" i="7"/>
  <c r="CS188" i="7"/>
  <c r="DO215" i="7"/>
  <c r="AI213" i="7"/>
  <c r="DO216" i="7"/>
  <c r="DD213" i="7"/>
  <c r="DO224" i="7"/>
  <c r="DO225" i="7"/>
  <c r="AF231" i="7"/>
  <c r="D33" i="5" s="1"/>
  <c r="DO233" i="7"/>
  <c r="DO235" i="7"/>
  <c r="DO38" i="7"/>
  <c r="DO43" i="7"/>
  <c r="DO44" i="7"/>
  <c r="DO48" i="7"/>
  <c r="DO49" i="7"/>
  <c r="DO50" i="7"/>
  <c r="DO51" i="7"/>
  <c r="AI60" i="7"/>
  <c r="DO63" i="7"/>
  <c r="DO64" i="7"/>
  <c r="DO65" i="7"/>
  <c r="DO68" i="7"/>
  <c r="DO69" i="7"/>
  <c r="DO119" i="7"/>
  <c r="AG136" i="7"/>
  <c r="E14" i="5" s="1"/>
  <c r="CS136" i="7"/>
  <c r="DO169" i="7"/>
  <c r="AF188" i="7"/>
  <c r="CH188" i="7"/>
  <c r="AG213" i="7"/>
  <c r="E30" i="5" s="1"/>
  <c r="AF213" i="7"/>
  <c r="D30" i="5" s="1"/>
  <c r="DO218" i="7"/>
  <c r="AE219" i="7"/>
  <c r="CH231" i="7"/>
  <c r="DO247" i="7"/>
  <c r="AG249" i="7"/>
  <c r="CH249" i="7"/>
  <c r="AH260" i="7"/>
  <c r="F41" i="5" s="1"/>
  <c r="DD260" i="7"/>
  <c r="DO264" i="7"/>
  <c r="AI263" i="7"/>
  <c r="AH263" i="7"/>
  <c r="F42" i="5" s="1"/>
  <c r="DD274" i="7"/>
  <c r="DO226" i="7"/>
  <c r="DO227" i="7"/>
  <c r="DO230" i="7"/>
  <c r="AH231" i="7"/>
  <c r="F33" i="5" s="1"/>
  <c r="DD231" i="7"/>
  <c r="DO242" i="7"/>
  <c r="DD249" i="7"/>
  <c r="DO272" i="7"/>
  <c r="DO273" i="7"/>
  <c r="DO275" i="7"/>
  <c r="DO276" i="7"/>
  <c r="DO278" i="7"/>
  <c r="DO285" i="7"/>
  <c r="DO288" i="7"/>
  <c r="DO289" i="7"/>
  <c r="DO290" i="7"/>
  <c r="DO307" i="7"/>
  <c r="DO314" i="7"/>
  <c r="DO342" i="7"/>
  <c r="DO343" i="7"/>
  <c r="DO345" i="7"/>
  <c r="DO347" i="7"/>
  <c r="AH245" i="7"/>
  <c r="F37" i="5" s="1"/>
  <c r="CS249" i="7"/>
  <c r="AG263" i="7"/>
  <c r="E42" i="5" s="1"/>
  <c r="CS263" i="7"/>
  <c r="AF271" i="7"/>
  <c r="D43" i="5" s="1"/>
  <c r="CH274" i="7"/>
  <c r="DO319" i="7"/>
  <c r="DO337" i="7"/>
  <c r="AH16" i="7"/>
  <c r="F7" i="5" s="1"/>
  <c r="DO13" i="7"/>
  <c r="DO12" i="7" s="1"/>
  <c r="DO15" i="7"/>
  <c r="DO14" i="7" s="1"/>
  <c r="CH16" i="7"/>
  <c r="AF16" i="7"/>
  <c r="D7" i="5" s="1"/>
  <c r="DO21" i="7"/>
  <c r="DO22" i="7"/>
  <c r="DO33" i="7"/>
  <c r="AF37" i="7"/>
  <c r="D8" i="5" s="1"/>
  <c r="CH37" i="7"/>
  <c r="DO40" i="7"/>
  <c r="DO41" i="7"/>
  <c r="DO42" i="7"/>
  <c r="DO59" i="7"/>
  <c r="DO66" i="7"/>
  <c r="DO67" i="7"/>
  <c r="DD73" i="7"/>
  <c r="DO84" i="7"/>
  <c r="DO88" i="7"/>
  <c r="DO89" i="7"/>
  <c r="DO104" i="7"/>
  <c r="DO105" i="7"/>
  <c r="DO114" i="7"/>
  <c r="DO123" i="7"/>
  <c r="DO124" i="7"/>
  <c r="CH125" i="7"/>
  <c r="DO140" i="7"/>
  <c r="DO146" i="7"/>
  <c r="DO167" i="7"/>
  <c r="DO168" i="7"/>
  <c r="DO170" i="7"/>
  <c r="DO322" i="7"/>
  <c r="DO329" i="7"/>
  <c r="DO180" i="7"/>
  <c r="DO324" i="7"/>
  <c r="DO325" i="7"/>
  <c r="DO10" i="7"/>
  <c r="DO11" i="7"/>
  <c r="AG16" i="7"/>
  <c r="E7" i="5" s="1"/>
  <c r="CS16" i="7"/>
  <c r="DO26" i="7"/>
  <c r="DO27" i="7"/>
  <c r="DO36" i="7"/>
  <c r="DO45" i="7"/>
  <c r="DO46" i="7"/>
  <c r="DO54" i="7"/>
  <c r="DO55" i="7"/>
  <c r="DD60" i="7"/>
  <c r="DO70" i="7"/>
  <c r="DO74" i="7"/>
  <c r="AI73" i="7"/>
  <c r="DO75" i="7"/>
  <c r="AH73" i="7"/>
  <c r="F10" i="5" s="1"/>
  <c r="DO92" i="7"/>
  <c r="DO93" i="7"/>
  <c r="DO94" i="7"/>
  <c r="AG125" i="7"/>
  <c r="E13" i="5" s="1"/>
  <c r="CS125" i="7"/>
  <c r="DO130" i="7"/>
  <c r="DO131" i="7"/>
  <c r="DO141" i="7"/>
  <c r="DO142" i="7"/>
  <c r="DO143" i="7"/>
  <c r="DO147" i="7"/>
  <c r="AH156" i="7"/>
  <c r="F17" i="5" s="1"/>
  <c r="DD156" i="7"/>
  <c r="DO171" i="7"/>
  <c r="DD177" i="7"/>
  <c r="DD172" i="7" s="1"/>
  <c r="DF172" i="7"/>
  <c r="DO181" i="7"/>
  <c r="AI188" i="7"/>
  <c r="DO190" i="7"/>
  <c r="AH188" i="7"/>
  <c r="DD188" i="7"/>
  <c r="CC60" i="7"/>
  <c r="CC8" i="7" s="1"/>
  <c r="DO61" i="7"/>
  <c r="DO62" i="7"/>
  <c r="AH60" i="7"/>
  <c r="F9" i="5" s="1"/>
  <c r="AF73" i="7"/>
  <c r="D10" i="5" s="1"/>
  <c r="CH73" i="7"/>
  <c r="DO78" i="7"/>
  <c r="DO98" i="7"/>
  <c r="DO126" i="7"/>
  <c r="DO135" i="7"/>
  <c r="DO150" i="7"/>
  <c r="DO159" i="7"/>
  <c r="CH177" i="7"/>
  <c r="CJ172" i="7"/>
  <c r="DO17" i="7"/>
  <c r="AI37" i="7"/>
  <c r="DO39" i="7"/>
  <c r="DO111" i="7"/>
  <c r="DO122" i="7"/>
  <c r="DO317" i="7"/>
  <c r="DO204" i="7"/>
  <c r="DO113" i="7"/>
  <c r="DO191" i="7"/>
  <c r="DO205" i="7"/>
  <c r="DO209" i="7"/>
  <c r="DO208" i="7" s="1"/>
  <c r="DO212" i="7"/>
  <c r="AE217" i="7"/>
  <c r="DO217" i="7" s="1"/>
  <c r="AJ213" i="7"/>
  <c r="AH221" i="7"/>
  <c r="F32" i="5" s="1"/>
  <c r="DD221" i="7"/>
  <c r="AE232" i="7"/>
  <c r="AE231" i="7" s="1"/>
  <c r="AJ231" i="7"/>
  <c r="DO237" i="7"/>
  <c r="DO236" i="7" s="1"/>
  <c r="DO239" i="7"/>
  <c r="DO240" i="7"/>
  <c r="CS241" i="7"/>
  <c r="DO246" i="7"/>
  <c r="DO257" i="7"/>
  <c r="DO265" i="7"/>
  <c r="DO195" i="7"/>
  <c r="DO196" i="7"/>
  <c r="DO234" i="7"/>
  <c r="DO294" i="7"/>
  <c r="DO202" i="7"/>
  <c r="DO201" i="7" s="1"/>
  <c r="DO207" i="7"/>
  <c r="DO206" i="7" s="1"/>
  <c r="DO214" i="7"/>
  <c r="AF221" i="7"/>
  <c r="D32" i="5" s="1"/>
  <c r="AE223" i="7"/>
  <c r="AE221" i="7" s="1"/>
  <c r="AJ221" i="7"/>
  <c r="CS221" i="7"/>
  <c r="DO228" i="7"/>
  <c r="DO243" i="7"/>
  <c r="DO286" i="7"/>
  <c r="DO258" i="7"/>
  <c r="AE267" i="7"/>
  <c r="DO267" i="7" s="1"/>
  <c r="AJ263" i="7"/>
  <c r="DO282" i="7"/>
  <c r="DO287" i="7"/>
  <c r="DO295" i="7"/>
  <c r="AE305" i="7"/>
  <c r="AI305" i="7"/>
  <c r="AI304" i="7" s="1"/>
  <c r="AG305" i="7"/>
  <c r="AE340" i="7"/>
  <c r="DO340" i="7" s="1"/>
  <c r="DO254" i="7"/>
  <c r="DO261" i="7"/>
  <c r="DO268" i="7"/>
  <c r="DO269" i="7"/>
  <c r="CS274" i="7"/>
  <c r="DO277" i="7"/>
  <c r="DO283" i="7"/>
  <c r="DO291" i="7"/>
  <c r="DO302" i="7"/>
  <c r="CH316" i="7"/>
  <c r="AE335" i="7"/>
  <c r="DO335" i="7" s="1"/>
  <c r="DO250" i="7"/>
  <c r="AE251" i="7"/>
  <c r="AE249" i="7" s="1"/>
  <c r="AJ249" i="7"/>
  <c r="DO262" i="7"/>
  <c r="DO279" i="7"/>
  <c r="AF305" i="7"/>
  <c r="AF304" i="7" s="1"/>
  <c r="AF331" i="7"/>
  <c r="DO320" i="7"/>
  <c r="DO321" i="7"/>
  <c r="DO336" i="7"/>
  <c r="DO341" i="7"/>
  <c r="CH305" i="7"/>
  <c r="CH304" i="7" s="1"/>
  <c r="DO312" i="7"/>
  <c r="DD313" i="7"/>
  <c r="DD311" i="7" s="1"/>
  <c r="AH305" i="7"/>
  <c r="DO306" i="7"/>
  <c r="AE315" i="7"/>
  <c r="AE311" i="7" s="1"/>
  <c r="DO332" i="7"/>
  <c r="CH338" i="7"/>
  <c r="DO338" i="7" s="1"/>
  <c r="DF8" i="7" l="1"/>
  <c r="BP348" i="7"/>
  <c r="BQ348" i="7"/>
  <c r="CJ8" i="7"/>
  <c r="CJ348" i="7" s="1"/>
  <c r="F51" i="5"/>
  <c r="F40" i="5"/>
  <c r="DE8" i="7"/>
  <c r="AE304" i="7"/>
  <c r="CH311" i="7"/>
  <c r="AJ303" i="7"/>
  <c r="DO301" i="7"/>
  <c r="DO331" i="7"/>
  <c r="DO327" i="7" s="1"/>
  <c r="CT248" i="7"/>
  <c r="CI8" i="7"/>
  <c r="CT8" i="7"/>
  <c r="CS327" i="7"/>
  <c r="CS303" i="7" s="1"/>
  <c r="DO121" i="7"/>
  <c r="DO118" i="7" s="1"/>
  <c r="DO300" i="7"/>
  <c r="DO108" i="7"/>
  <c r="CI303" i="7"/>
  <c r="DE303" i="7"/>
  <c r="CT303" i="7"/>
  <c r="AI303" i="7"/>
  <c r="AJ248" i="7"/>
  <c r="AJ187" i="7"/>
  <c r="CS8" i="7"/>
  <c r="AJ8" i="7"/>
  <c r="CS248" i="7"/>
  <c r="E39" i="5"/>
  <c r="AG248" i="7"/>
  <c r="N8" i="5" s="1"/>
  <c r="D24" i="5"/>
  <c r="AF187" i="7"/>
  <c r="L7" i="5" s="1"/>
  <c r="D39" i="5"/>
  <c r="AF248" i="7"/>
  <c r="L8" i="5" s="1"/>
  <c r="E24" i="5"/>
  <c r="AG187" i="7"/>
  <c r="N7" i="5" s="1"/>
  <c r="DD327" i="7"/>
  <c r="DD303" i="7" s="1"/>
  <c r="AE327" i="7"/>
  <c r="AG8" i="7"/>
  <c r="AI187" i="7"/>
  <c r="DD248" i="7"/>
  <c r="CS187" i="7"/>
  <c r="AI248" i="7"/>
  <c r="CH327" i="7"/>
  <c r="F39" i="5"/>
  <c r="AH248" i="7"/>
  <c r="D4" i="5"/>
  <c r="AF8" i="7"/>
  <c r="DD187" i="7"/>
  <c r="F24" i="5"/>
  <c r="AH187" i="7"/>
  <c r="P7" i="5" s="1"/>
  <c r="DO284" i="7"/>
  <c r="CH248" i="7"/>
  <c r="CH187" i="7"/>
  <c r="DO280" i="7"/>
  <c r="DO292" i="7"/>
  <c r="DD8" i="7"/>
  <c r="AI8" i="7"/>
  <c r="AH8" i="7"/>
  <c r="AF327" i="7"/>
  <c r="D52" i="5" s="1"/>
  <c r="AH304" i="7"/>
  <c r="AG304" i="7"/>
  <c r="DO145" i="7"/>
  <c r="DO165" i="7"/>
  <c r="AE263" i="7"/>
  <c r="AE213" i="7"/>
  <c r="AE37" i="7"/>
  <c r="AY348" i="7"/>
  <c r="BS348" i="7"/>
  <c r="CM348" i="7"/>
  <c r="BE348" i="7"/>
  <c r="AO348" i="7"/>
  <c r="CU348" i="7"/>
  <c r="BX348" i="7"/>
  <c r="BJ348" i="7"/>
  <c r="DK348" i="7"/>
  <c r="BT348" i="7"/>
  <c r="AN348" i="7"/>
  <c r="DH348" i="7"/>
  <c r="BD348" i="7"/>
  <c r="CD348" i="7"/>
  <c r="BY348" i="7"/>
  <c r="BI348" i="7"/>
  <c r="CY348" i="7"/>
  <c r="DA348" i="7"/>
  <c r="DG348" i="7"/>
  <c r="AZ348" i="7"/>
  <c r="DJ348" i="7"/>
  <c r="DB348" i="7"/>
  <c r="BN348" i="7"/>
  <c r="CW348" i="7"/>
  <c r="CK348" i="7"/>
  <c r="CX348" i="7"/>
  <c r="CO348" i="7"/>
  <c r="BO348" i="7"/>
  <c r="CP348" i="7"/>
  <c r="AT348" i="7"/>
  <c r="DI348" i="7"/>
  <c r="DC348" i="7"/>
  <c r="CL348" i="7"/>
  <c r="DL348" i="7"/>
  <c r="CR348" i="7"/>
  <c r="CZ348" i="7"/>
  <c r="DM348" i="7"/>
  <c r="AU348" i="7"/>
  <c r="AP348" i="7"/>
  <c r="CN348" i="7"/>
  <c r="CV348" i="7"/>
  <c r="DF348" i="7"/>
  <c r="CQ348" i="7"/>
  <c r="DN348" i="7"/>
  <c r="D50" i="5"/>
  <c r="DO182" i="7"/>
  <c r="DO9" i="7"/>
  <c r="DO125" i="7"/>
  <c r="DO178" i="7"/>
  <c r="DO156" i="7"/>
  <c r="DO316" i="7"/>
  <c r="DO238" i="7"/>
  <c r="DO271" i="7"/>
  <c r="DO274" i="7"/>
  <c r="DO241" i="7"/>
  <c r="DO213" i="7"/>
  <c r="DO210" i="7"/>
  <c r="DO245" i="7"/>
  <c r="DO16" i="7"/>
  <c r="DO37" i="7"/>
  <c r="DO177" i="7"/>
  <c r="DO172" i="7" s="1"/>
  <c r="DO260" i="7"/>
  <c r="DO255" i="7"/>
  <c r="DO263" i="7"/>
  <c r="DO188" i="7"/>
  <c r="DO60" i="7"/>
  <c r="DO136" i="7"/>
  <c r="DO313" i="7"/>
  <c r="DO139" i="7"/>
  <c r="DO251" i="7"/>
  <c r="DO249" i="7" s="1"/>
  <c r="CH172" i="7"/>
  <c r="CH8" i="7" s="1"/>
  <c r="DO315" i="7"/>
  <c r="DO223" i="7"/>
  <c r="DO221" i="7" s="1"/>
  <c r="DO232" i="7"/>
  <c r="DO231" i="7" s="1"/>
  <c r="DO203" i="7"/>
  <c r="DO305" i="7"/>
  <c r="DO304" i="7" s="1"/>
  <c r="DO73" i="7"/>
  <c r="P8" i="5" l="1"/>
  <c r="CH303" i="7"/>
  <c r="DO299" i="7"/>
  <c r="DO248" i="7" s="1"/>
  <c r="DO311" i="7"/>
  <c r="DO303" i="7" s="1"/>
  <c r="F50" i="5"/>
  <c r="DO187" i="7"/>
  <c r="DO8" i="7"/>
  <c r="E50" i="5"/>
  <c r="AF303" i="7"/>
  <c r="CT348" i="7"/>
  <c r="AJ348" i="7"/>
  <c r="AI348" i="7"/>
  <c r="CS348" i="7"/>
  <c r="AK348" i="7"/>
  <c r="F18" i="5"/>
  <c r="CC348" i="7"/>
  <c r="DE348" i="7"/>
  <c r="AE187" i="7"/>
  <c r="AE248" i="7"/>
  <c r="AE303" i="7"/>
  <c r="CI348" i="7"/>
  <c r="AE8" i="7" l="1"/>
  <c r="AE348" i="7" s="1"/>
  <c r="P6" i="5"/>
  <c r="L9" i="5"/>
  <c r="E18" i="5"/>
  <c r="E3" i="5" s="1"/>
  <c r="DD348" i="7"/>
  <c r="CH348" i="7"/>
  <c r="DO348" i="7"/>
  <c r="D18" i="5" l="1"/>
  <c r="N6" i="5"/>
  <c r="K9" i="5"/>
  <c r="K8" i="5"/>
  <c r="K7" i="5"/>
  <c r="J6" i="5"/>
  <c r="K6" i="5"/>
  <c r="L6" i="5" l="1"/>
  <c r="AF348" i="7"/>
  <c r="F23" i="5"/>
  <c r="F38" i="5"/>
  <c r="F3" i="5" l="1"/>
  <c r="E23" i="5" l="1"/>
  <c r="E38" i="5" l="1"/>
  <c r="D38" i="5" l="1"/>
  <c r="M8" i="5" l="1"/>
  <c r="D23" i="5"/>
  <c r="M7" i="5" l="1"/>
  <c r="D3" i="5"/>
  <c r="O6" i="5" l="1"/>
  <c r="M6" i="5"/>
  <c r="D49" i="5" l="1"/>
  <c r="O7" i="5"/>
  <c r="Q7" i="5"/>
  <c r="O8" i="5"/>
  <c r="Q8" i="5"/>
  <c r="D54" i="5" l="1"/>
  <c r="M9" i="5" l="1"/>
  <c r="L10" i="5"/>
  <c r="Q6" i="5"/>
  <c r="M10" i="5" l="1"/>
  <c r="AL335" i="7" l="1"/>
  <c r="AM335" i="7"/>
  <c r="AM327" i="7" l="1"/>
  <c r="AM303" i="7" s="1"/>
  <c r="AM348" i="7" s="1"/>
  <c r="AH335" i="7"/>
  <c r="AH327" i="7" s="1"/>
  <c r="AG335" i="7"/>
  <c r="AG327" i="7" s="1"/>
  <c r="AL327" i="7"/>
  <c r="AL303" i="7" s="1"/>
  <c r="AL348" i="7" s="1"/>
  <c r="E52" i="5" l="1"/>
  <c r="E49" i="5" s="1"/>
  <c r="E54" i="5" s="1"/>
  <c r="AG303" i="7"/>
  <c r="F52" i="5"/>
  <c r="F49" i="5" s="1"/>
  <c r="F54" i="5" s="1"/>
  <c r="AH303" i="7"/>
  <c r="N9" i="5" l="1"/>
  <c r="AG348" i="7"/>
  <c r="P9" i="5"/>
  <c r="AH348" i="7"/>
  <c r="P10" i="5" l="1"/>
  <c r="Q10" i="5" s="1"/>
  <c r="Q9" i="5"/>
  <c r="N10" i="5"/>
  <c r="O10" i="5" s="1"/>
  <c r="O9" i="5"/>
</calcChain>
</file>

<file path=xl/comments1.xml><?xml version="1.0" encoding="utf-8"?>
<comments xmlns="http://schemas.openxmlformats.org/spreadsheetml/2006/main">
  <authors>
    <author>Usuario</author>
    <author>Lenovo</author>
    <author>AUXPLANEACION03</author>
    <author>AUXPLANEACION32</author>
  </authors>
  <commentList>
    <comment ref="Q115" authorId="0" shapeId="0">
      <text>
        <r>
          <rPr>
            <b/>
            <sz val="9"/>
            <color indexed="81"/>
            <rFont val="Tahoma"/>
            <family val="2"/>
          </rPr>
          <t xml:space="preserve">UsuaBo esta en el POAI </t>
        </r>
      </text>
    </comment>
    <comment ref="R115" authorId="0" shapeId="0">
      <text>
        <r>
          <rPr>
            <b/>
            <sz val="9"/>
            <color indexed="81"/>
            <rFont val="Tahoma"/>
            <family val="2"/>
          </rPr>
          <t xml:space="preserve">UsuaBo esta en el POAI </t>
        </r>
      </text>
    </comment>
    <comment ref="Q116" authorId="0" shapeId="0">
      <text>
        <r>
          <rPr>
            <b/>
            <sz val="9"/>
            <color indexed="81"/>
            <rFont val="Tahoma"/>
            <family val="2"/>
          </rPr>
          <t>Usuario:</t>
        </r>
        <r>
          <rPr>
            <sz val="9"/>
            <color indexed="81"/>
            <rFont val="Tahoma"/>
            <family val="2"/>
          </rPr>
          <t xml:space="preserve">
NO ESTA EN EL POAI </t>
        </r>
      </text>
    </comment>
    <comment ref="R116" authorId="0" shapeId="0">
      <text>
        <r>
          <rPr>
            <b/>
            <sz val="9"/>
            <color indexed="81"/>
            <rFont val="Tahoma"/>
            <family val="2"/>
          </rPr>
          <t>Usuario:</t>
        </r>
        <r>
          <rPr>
            <sz val="9"/>
            <color indexed="81"/>
            <rFont val="Tahoma"/>
            <family val="2"/>
          </rPr>
          <t xml:space="preserve">
NO ESTA EN EL POAI </t>
        </r>
      </text>
    </comment>
    <comment ref="Q117" authorId="0" shapeId="0">
      <text>
        <r>
          <rPr>
            <b/>
            <sz val="9"/>
            <color indexed="81"/>
            <rFont val="Tahoma"/>
            <family val="2"/>
          </rPr>
          <t>Usuario:</t>
        </r>
        <r>
          <rPr>
            <sz val="9"/>
            <color indexed="81"/>
            <rFont val="Tahoma"/>
            <family val="2"/>
          </rPr>
          <t xml:space="preserve">
NO ESTA EN EL POAI</t>
        </r>
      </text>
    </comment>
    <comment ref="Q119" authorId="0" shapeId="0">
      <text>
        <r>
          <rPr>
            <b/>
            <sz val="9"/>
            <color indexed="81"/>
            <rFont val="Tahoma"/>
            <family val="2"/>
          </rPr>
          <t>Usuario:</t>
        </r>
        <r>
          <rPr>
            <sz val="9"/>
            <color indexed="81"/>
            <rFont val="Tahoma"/>
            <family val="2"/>
          </rPr>
          <t xml:space="preserve">
NO ESTA EN EL POAI </t>
        </r>
      </text>
    </comment>
    <comment ref="R119" authorId="0" shapeId="0">
      <text>
        <r>
          <rPr>
            <b/>
            <sz val="9"/>
            <color indexed="81"/>
            <rFont val="Tahoma"/>
            <family val="2"/>
          </rPr>
          <t>Usuario:</t>
        </r>
        <r>
          <rPr>
            <sz val="9"/>
            <color indexed="81"/>
            <rFont val="Tahoma"/>
            <family val="2"/>
          </rPr>
          <t xml:space="preserve">
NO ESTA EN EL POAI </t>
        </r>
      </text>
    </comment>
    <comment ref="Q122" authorId="0" shapeId="0">
      <text>
        <r>
          <rPr>
            <b/>
            <sz val="9"/>
            <color indexed="81"/>
            <rFont val="Tahoma"/>
            <family val="2"/>
          </rPr>
          <t>Usuario:</t>
        </r>
        <r>
          <rPr>
            <sz val="9"/>
            <color indexed="81"/>
            <rFont val="Tahoma"/>
            <family val="2"/>
          </rPr>
          <t xml:space="preserve">
NO ESTA EN EL POAI </t>
        </r>
      </text>
    </comment>
    <comment ref="R122" authorId="0" shapeId="0">
      <text>
        <r>
          <rPr>
            <b/>
            <sz val="9"/>
            <color indexed="81"/>
            <rFont val="Tahoma"/>
            <family val="2"/>
          </rPr>
          <t>Usuario:</t>
        </r>
        <r>
          <rPr>
            <sz val="9"/>
            <color indexed="81"/>
            <rFont val="Tahoma"/>
            <family val="2"/>
          </rPr>
          <t xml:space="preserve">
NO ESTA EN EL POAI </t>
        </r>
      </text>
    </comment>
    <comment ref="Q123" authorId="0" shapeId="0">
      <text>
        <r>
          <rPr>
            <b/>
            <sz val="9"/>
            <color indexed="81"/>
            <rFont val="Tahoma"/>
            <family val="2"/>
          </rPr>
          <t>Usuario:</t>
        </r>
        <r>
          <rPr>
            <sz val="9"/>
            <color indexed="81"/>
            <rFont val="Tahoma"/>
            <family val="2"/>
          </rPr>
          <t xml:space="preserve">
NO ESTA EN EL POAI </t>
        </r>
      </text>
    </comment>
    <comment ref="R123" authorId="0" shapeId="0">
      <text>
        <r>
          <rPr>
            <b/>
            <sz val="9"/>
            <color indexed="81"/>
            <rFont val="Tahoma"/>
            <family val="2"/>
          </rPr>
          <t>Usuario:</t>
        </r>
        <r>
          <rPr>
            <sz val="9"/>
            <color indexed="81"/>
            <rFont val="Tahoma"/>
            <family val="2"/>
          </rPr>
          <t xml:space="preserve">
NO ESTA EN EL POAI </t>
        </r>
      </text>
    </comment>
    <comment ref="H168" authorId="1" shapeId="0">
      <text>
        <r>
          <rPr>
            <b/>
            <sz val="9"/>
            <color indexed="81"/>
            <rFont val="Tahoma"/>
            <family val="2"/>
          </rPr>
          <t>Lenovo:</t>
        </r>
        <r>
          <rPr>
            <sz val="9"/>
            <color indexed="81"/>
            <rFont val="Tahoma"/>
            <family val="2"/>
          </rPr>
          <t xml:space="preserve">
revisar si se puede poner el porcentaje, sujeto a la ejecución del presupuesto y a las solicitudes de ayudes
</t>
        </r>
      </text>
    </comment>
    <comment ref="Y177" authorId="2" shapeId="0">
      <text>
        <r>
          <rPr>
            <b/>
            <sz val="9"/>
            <color indexed="81"/>
            <rFont val="Tahoma"/>
            <family val="2"/>
          </rPr>
          <t>AUXPLANEACION03:</t>
        </r>
        <r>
          <rPr>
            <sz val="9"/>
            <color indexed="81"/>
            <rFont val="Tahoma"/>
            <family val="2"/>
          </rPr>
          <t xml:space="preserve">
Promotora 4
</t>
        </r>
      </text>
    </comment>
    <comment ref="V228" authorId="3" shapeId="0">
      <text>
        <r>
          <rPr>
            <b/>
            <sz val="9"/>
            <color indexed="81"/>
            <rFont val="Tahoma"/>
            <family val="2"/>
          </rPr>
          <t>AUXPLANEACION32:</t>
        </r>
        <r>
          <rPr>
            <sz val="9"/>
            <color indexed="81"/>
            <rFont val="Tahoma"/>
            <family val="2"/>
          </rPr>
          <t xml:space="preserve">
Fortalecimiento de las Agencias de Inversión.</t>
        </r>
      </text>
    </comment>
    <comment ref="Y251" authorId="2" shapeId="0">
      <text>
        <r>
          <rPr>
            <b/>
            <sz val="9"/>
            <color indexed="81"/>
            <rFont val="Tahoma"/>
            <family val="2"/>
          </rPr>
          <t>AUXPLANEACION03:</t>
        </r>
        <r>
          <rPr>
            <sz val="9"/>
            <color indexed="81"/>
            <rFont val="Tahoma"/>
            <family val="2"/>
          </rPr>
          <t xml:space="preserve">
Proviquindio 20</t>
        </r>
      </text>
    </comment>
    <comment ref="Y252" authorId="2" shapeId="0">
      <text>
        <r>
          <rPr>
            <b/>
            <sz val="9"/>
            <color indexed="81"/>
            <rFont val="Tahoma"/>
            <family val="2"/>
          </rPr>
          <t>AUXPLANEACION03:</t>
        </r>
        <r>
          <rPr>
            <sz val="9"/>
            <color indexed="81"/>
            <rFont val="Tahoma"/>
            <family val="2"/>
          </rPr>
          <t xml:space="preserve">
Proviquindio 20</t>
        </r>
      </text>
    </comment>
    <comment ref="Y253" authorId="2" shapeId="0">
      <text>
        <r>
          <rPr>
            <b/>
            <sz val="9"/>
            <color indexed="81"/>
            <rFont val="Tahoma"/>
            <family val="2"/>
          </rPr>
          <t>AUXPLANEACION03:</t>
        </r>
        <r>
          <rPr>
            <sz val="9"/>
            <color indexed="81"/>
            <rFont val="Tahoma"/>
            <family val="2"/>
          </rPr>
          <t xml:space="preserve">
Proviquindio 20</t>
        </r>
      </text>
    </comment>
    <comment ref="Q305" authorId="0" shapeId="0">
      <text>
        <r>
          <rPr>
            <b/>
            <sz val="9"/>
            <color indexed="81"/>
            <rFont val="Tahoma"/>
            <family val="2"/>
          </rPr>
          <t>Usuario:</t>
        </r>
        <r>
          <rPr>
            <sz val="9"/>
            <color indexed="81"/>
            <rFont val="Tahoma"/>
            <family val="2"/>
          </rPr>
          <t xml:space="preserve">
Lo valores no coinciden </t>
        </r>
      </text>
    </comment>
    <comment ref="R305" authorId="0" shapeId="0">
      <text>
        <r>
          <rPr>
            <b/>
            <sz val="9"/>
            <color indexed="81"/>
            <rFont val="Tahoma"/>
            <family val="2"/>
          </rPr>
          <t>Usuario:</t>
        </r>
        <r>
          <rPr>
            <sz val="9"/>
            <color indexed="81"/>
            <rFont val="Tahoma"/>
            <family val="2"/>
          </rPr>
          <t xml:space="preserve">
Lo valores no coinciden </t>
        </r>
      </text>
    </comment>
    <comment ref="Q308" authorId="0" shapeId="0">
      <text>
        <r>
          <rPr>
            <b/>
            <sz val="9"/>
            <color indexed="81"/>
            <rFont val="Tahoma"/>
            <family val="2"/>
          </rPr>
          <t>Usuario:</t>
        </r>
        <r>
          <rPr>
            <sz val="9"/>
            <color indexed="81"/>
            <rFont val="Tahoma"/>
            <family val="2"/>
          </rPr>
          <t xml:space="preserve">
los valores no coinciden</t>
        </r>
      </text>
    </comment>
    <comment ref="R308" authorId="0" shapeId="0">
      <text>
        <r>
          <rPr>
            <b/>
            <sz val="9"/>
            <color indexed="81"/>
            <rFont val="Tahoma"/>
            <family val="2"/>
          </rPr>
          <t>Usuario:</t>
        </r>
        <r>
          <rPr>
            <sz val="9"/>
            <color indexed="81"/>
            <rFont val="Tahoma"/>
            <family val="2"/>
          </rPr>
          <t xml:space="preserve">
los valores no coinciden</t>
        </r>
      </text>
    </comment>
    <comment ref="Q309" authorId="0" shapeId="0">
      <text>
        <r>
          <rPr>
            <b/>
            <sz val="9"/>
            <color indexed="81"/>
            <rFont val="Tahoma"/>
            <family val="2"/>
          </rPr>
          <t xml:space="preserve">Usuar
No coinciden los valores </t>
        </r>
      </text>
    </comment>
    <comment ref="R309" authorId="0" shapeId="0">
      <text>
        <r>
          <rPr>
            <b/>
            <sz val="9"/>
            <color indexed="81"/>
            <rFont val="Tahoma"/>
            <family val="2"/>
          </rPr>
          <t xml:space="preserve">Usuar
No coinciden los valores </t>
        </r>
      </text>
    </comment>
  </commentList>
</comments>
</file>

<file path=xl/sharedStrings.xml><?xml version="1.0" encoding="utf-8"?>
<sst xmlns="http://schemas.openxmlformats.org/spreadsheetml/2006/main" count="4471" uniqueCount="1733">
  <si>
    <t>1 de 1</t>
  </si>
  <si>
    <t>Índice de Gestión del Modelo Integrado de Planeación y de Gestión MIPG  de la Administración Departamental</t>
  </si>
  <si>
    <t>Implementación de  las Dimensiones y Politicas  del Modelo Integrado de Planeación y de Gestión MIPG</t>
  </si>
  <si>
    <t>Estrategias  de actualización, depuración, seguimiento y evaluación de las bases de datos  del Pasivo Pensional  de la Administración Departamental.</t>
  </si>
  <si>
    <t>Porcentaje promedio  de participación de ciudadanos en los eventos de elección popular.</t>
  </si>
  <si>
    <t>Implementación del Plan de Acción del Sistema Departamental de Servicio a la Ciudadanía SDSC</t>
  </si>
  <si>
    <t>LIDERAZGO, GOBERNABILIDAD Y TRANSPARENCIA</t>
  </si>
  <si>
    <t>Fortalecimiento técnico y logístico del  Consejo Territorial de Planeación Departamental, como representantes de la sociedad civil en la planeación  del desarrollo integral  de la entidad territorial</t>
  </si>
  <si>
    <t>M</t>
  </si>
  <si>
    <t>I</t>
  </si>
  <si>
    <t>Instrumentos de planificación para el ordenamiento y la gestión territorial departamental (Plan de Desarrollo Departamental PDD, Ordenamiento Territorial, Sistema de Información Geográfica, Mecanismos de Integración, Catastro multipropósito etc.).</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</si>
  <si>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</si>
  <si>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</si>
  <si>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Entes territoriales  con servicio de asistencia técnica en la Medición del Desempeño Municipal.</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</si>
  <si>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</si>
  <si>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</si>
  <si>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</si>
  <si>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Estrategia para el mejoramiento del Índice de Desempeño Fiscal en la Administración Departamental.</t>
  </si>
  <si>
    <t xml:space="preserve">Programa para el cumplimiento de las políticas y prácticas contables para la administración departamental         </t>
  </si>
  <si>
    <t>INCLUSIÓN SOCIAL Y EQUIDAD</t>
  </si>
  <si>
    <t>Promoción al acceso a la justicia."Tú y yo con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</si>
  <si>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</si>
  <si>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Índice Departamental de Competitividad</t>
  </si>
  <si>
    <t>Calidad, cobertura y fortalecimiento de la educación inicial, prescolar, básica y media." Tú y yo con educación y de calidad"</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</si>
  <si>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</si>
  <si>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</si>
  <si>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Promoción y acceso efectivo a procesos culturales y artísticos. "Tú y yo somos cultura Quindiana"</t>
  </si>
  <si>
    <t>Servicio de mantenimiento de infraestructura cultural</t>
  </si>
  <si>
    <t>Cobertura de municipios que participan en programas de recreación, actividad física y deporte social y comunitario en el Departamento del Quindío.
Cobertura de ligas apoyadas en el departamento del Quindío.
Porcentaje de medallería del departamento del Quindío en los Juegos Nacionales.</t>
  </si>
  <si>
    <t>Formación y preparación de deportistas. "Tú y yo campeones"</t>
  </si>
  <si>
    <t>Piscinas construidas y dotadas</t>
  </si>
  <si>
    <t>Cobertura de municipios del departamento del Quindío, con programas de atención a la población habitante de calle.</t>
  </si>
  <si>
    <t>Centros de atención integral para personas con discapacidad construidos y dotados</t>
  </si>
  <si>
    <t>PRODUCTIVIDAD Y COMPETITIVIDAD</t>
  </si>
  <si>
    <t>Infraestructura productiva y comercialización. "Tú y yo con agro competitivo"</t>
  </si>
  <si>
    <t>Crecimiento económico del sector agropecuario (PIB)</t>
  </si>
  <si>
    <t>Plantas de beneficio animal adecuadas</t>
  </si>
  <si>
    <t>Plazas de mercado adecuadas</t>
  </si>
  <si>
    <t xml:space="preserve">Productividad y competitividad de las empresas colombianas. "Tú y yo con empresas competitivas" </t>
  </si>
  <si>
    <t>Índice Departamental de Competitividad Turìstica
Tasa de sempleo</t>
  </si>
  <si>
    <t>Mirador turístico construido</t>
  </si>
  <si>
    <t>TERRITORIO, AMBIENTE Y DESARROLLO SOSTENIBLE</t>
  </si>
  <si>
    <t>Infraestructura red vial regional. "Tú y yo con movilidad vial"</t>
  </si>
  <si>
    <t>3202</t>
  </si>
  <si>
    <t>Conservación de la biodiversidad y sus servicios ecosistémicos. "Tú y yo en territorios biodiversos"</t>
  </si>
  <si>
    <t xml:space="preserve">Porcentaje de Ecosistemas protegidos y/o en procesos de restauración en el Departamento </t>
  </si>
  <si>
    <t xml:space="preserve">Infraestructura ecoturística construida </t>
  </si>
  <si>
    <t>Ordenamiento Ambiental Territorial. "Tú y yo planificamos con sentido ambiental"</t>
  </si>
  <si>
    <t>Obras para estabilización de taludes</t>
  </si>
  <si>
    <t>Obras de infraestructura para mitigación y atención a desastres</t>
  </si>
  <si>
    <t>Acceso a soluciones de vivienda. "Tú y yo con vivienda digna"</t>
  </si>
  <si>
    <t>Deficid cualitativo de viviendas por hogares</t>
  </si>
  <si>
    <t>Acceso de la población a los servicios de agua potable y saneamiento básico. "Tú y yo con calidad del agua"</t>
  </si>
  <si>
    <t>4003018</t>
  </si>
  <si>
    <t>Alcantarillados construidos</t>
  </si>
  <si>
    <t>4003025</t>
  </si>
  <si>
    <t>Servicios de apoyo financiero para la ejecución de proyectos de acueductos y alcantarillado</t>
  </si>
  <si>
    <t>4003028</t>
  </si>
  <si>
    <t>Servicios de educación informal en agua potable y saneamiento básico</t>
  </si>
  <si>
    <t>Estudios de pre inversión e inversión</t>
  </si>
  <si>
    <t>Salones comunales adecuados</t>
  </si>
  <si>
    <t>Promoción de los métodos de resolución de conflictos. "Tú y yo resolvemos los conflictos"</t>
  </si>
  <si>
    <t>Servicio de asistencia técnica para la implementación de los métodos de resolución de conflictos</t>
  </si>
  <si>
    <t>Sistema penitenciario y carcelario en el marco de los derechos humanos. "Quindío respeta derechos penitenciarios"</t>
  </si>
  <si>
    <t>Servicio de resocialización de personas privadas de la libertad</t>
  </si>
  <si>
    <t>Servicio de gestión de riesgos y desastres en establecimientos educativos</t>
  </si>
  <si>
    <t>Atención, asistencia y reparación integral a las víctimas. "Tú y yo con reparación integral"</t>
  </si>
  <si>
    <t>Cobertura de la población victima atendida con procesos de atención, prevención y asistencia humanitaria</t>
  </si>
  <si>
    <t>Servicio de orientación y comunicación a las víctimas</t>
  </si>
  <si>
    <t>Servicio de ayuda y atención humanitaria</t>
  </si>
  <si>
    <t>Servicio de asistencia técnica para la participación de las víctimas</t>
  </si>
  <si>
    <t>Cobertura de víctimas atendidas con la línea de emprendimiento y fortalecimiento.</t>
  </si>
  <si>
    <t>Servicio de apoyo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</si>
  <si>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</si>
  <si>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</si>
  <si>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Inclusión social y productiva para la población en situación de vulnerabilidad. "Tú y yo, población vulnerable incluida"</t>
  </si>
  <si>
    <t>Cobertura de la población excombatiente atendida con procesos de atención y asistencia humanitaria</t>
  </si>
  <si>
    <t>PENDIENTE DNP</t>
  </si>
  <si>
    <t>Servicio de atención y asistencia para la población excombatiente del Departamento del Quindío</t>
  </si>
  <si>
    <t>Fortalecimiento de la convivencia y la seguridad ciudadana. "Tú y yo seguros"</t>
  </si>
  <si>
    <t>Fortalecimiento institucional a organismos de seguridad</t>
  </si>
  <si>
    <t>Cobertura de asistencia a los municipios del departamento del Quindío en los procesos de la garantia y prevención de derechos humanos.</t>
  </si>
  <si>
    <t>Servicio de apoyo para la implementación de medidas en derechos humanos y derecho internacional humanitario</t>
  </si>
  <si>
    <t>Servicio de asistencia técnica</t>
  </si>
  <si>
    <t>Documentos de estudios técnicos para el ordenamiento ambiental territorial</t>
  </si>
  <si>
    <t>Cobertura de   personas capacitadas en Gestión del Riesgo de Desastres  en el Departamento del Quindio, bajo el marco de Ciudades resilientes</t>
  </si>
  <si>
    <t>Servicio de educación informal</t>
  </si>
  <si>
    <t>Cobertura de atención  del Sistema Departamental de Gestión del Riesgo de Desastres del Quindío.</t>
  </si>
  <si>
    <t>Servicio de promoción a la participación ciudadana</t>
  </si>
  <si>
    <t>Implementar la Política de Libertad Religiosa</t>
  </si>
  <si>
    <t>Fortalecimiento de los organismos  de acción comunal (OAC)  de los doce municipios del Departamento en lo relacionado a sus procesos formativos, participativos, de organización y  gestión.</t>
  </si>
  <si>
    <t xml:space="preserve">Formulación de la  Política Pública Departamental para la  Acción Comunal </t>
  </si>
  <si>
    <t>.Cobertura en formación artística y cultural
.Tasa de consumo de sustancias sicoactivas por 100.000 habitantes en el departamento del Quindío.</t>
  </si>
  <si>
    <t>Servicio de educación informal en áreas artísticas y culturales</t>
  </si>
  <si>
    <t>Servicio de circulación artística y cultural</t>
  </si>
  <si>
    <t>Servicios bibliotecarios</t>
  </si>
  <si>
    <t>Servicio de divulgación y publicaciones</t>
  </si>
  <si>
    <t>Servicio de información para el sector artístico y cultural</t>
  </si>
  <si>
    <t>Servicio de asistencia técnica en gestión artística y cultural</t>
  </si>
  <si>
    <t>Gestión, protección y salvaguardia del patrimonio cultural colombiano. "Tú y yo protectores del patrimonio cultural"</t>
  </si>
  <si>
    <t>Servicio de asistencia técnica en el manejo y gestión del patrimonio arqueológico, antropológico e histórico.</t>
  </si>
  <si>
    <t>3302070</t>
  </si>
  <si>
    <t>Servicio de divulgación y publicación del Patrimonio cultural</t>
  </si>
  <si>
    <t>Servicio de apoyo y consolidación de las Comisiones Regionales de Competitividad - CRC</t>
  </si>
  <si>
    <t>Servicio de asistencia técnica a las Mipymes para el acceso a nuevos mercados</t>
  </si>
  <si>
    <t>Documentos de planeación</t>
  </si>
  <si>
    <t>Servicio de asistencia técnica a los entes territoriales para el desarrollo turístico</t>
  </si>
  <si>
    <t>Servicio de promoción turística</t>
  </si>
  <si>
    <t>Generación y formalización del empleo. "Tú y yo con empleo de calidad"</t>
  </si>
  <si>
    <t>Servicios de apoyo financiero para la creación de empresas</t>
  </si>
  <si>
    <t>Servicio de información y monitoreo del mercado de trabajo</t>
  </si>
  <si>
    <t>Inclusión productiva de pequeños productores rurales. "Tú y yo con oportunidades para el pequeño campesino"</t>
  </si>
  <si>
    <t>Servicio de asesoría para el fortalecimiento de la asociatividad</t>
  </si>
  <si>
    <t>Servicio de apoyo financiero para proyectos productivos</t>
  </si>
  <si>
    <t>Servicio de apoyo financiero para el acceso a activos productivos y de comercialización</t>
  </si>
  <si>
    <t>Servicio de apoyo a la comercialización</t>
  </si>
  <si>
    <t>Servicio de apoyo para el acceso a maquinaria y equipos</t>
  </si>
  <si>
    <t>Servicio de apoyo para el fomento organizativo de la Agricultura Campesina, Familiar y Comunitaria</t>
  </si>
  <si>
    <t>Servicio de acompañamiento productivo y empresarial</t>
  </si>
  <si>
    <t>Servicio de apoyo en la formulación y estructuración de proyectos</t>
  </si>
  <si>
    <t>Servicios financieros y gestión del riesgo para las actividades agropecuarias y rurales. "Tú y yo con un campo protegido"</t>
  </si>
  <si>
    <t>Servicio de apoyo a la implementación de mecanismos y herramientas para el conocimiento, reducción y manejo de riesgos agropecuarios</t>
  </si>
  <si>
    <t>Ordenamiento social y uso productivo del territorio rural. "Tú y yo con un campo planificado"</t>
  </si>
  <si>
    <t>Documentos de lineamientos técnicos</t>
  </si>
  <si>
    <t>Servicio de apoyo para el fomento de la formalidad</t>
  </si>
  <si>
    <t>Aprovechamiento de mercados externos. "Tú y yo a los mercados internacionales"</t>
  </si>
  <si>
    <t>Sanidad agropecuaria e inocuidad agroalimentaria. "Tú y yo con un agro saludable"</t>
  </si>
  <si>
    <t>Servicio de divulgación y socialización</t>
  </si>
  <si>
    <t>Ciencia, tecnología e innovación agropecuaria. "Tú y yo con un agro interconectado"</t>
  </si>
  <si>
    <t>Servicio de información actualizado</t>
  </si>
  <si>
    <t>Centros logísticos agropecuarios adecuados</t>
  </si>
  <si>
    <t>Infraestructura de pos cosecha adecuada</t>
  </si>
  <si>
    <t>Servicio de procesamiento de caña panelera</t>
  </si>
  <si>
    <t>Servicio de asistencia técnica para emprendedores y/o empresas en edad temprana</t>
  </si>
  <si>
    <t>Servicio de asistencia técnica para el desarrollo de iniciativas clústeres</t>
  </si>
  <si>
    <t>3201</t>
  </si>
  <si>
    <t>Fortalecimiento del desempeño ambiental de los sectores productivos. "Tú y yo guardianes de la biodiversidad.</t>
  </si>
  <si>
    <t>Documentos de lineamientos técnicos para mejorar la calidad ambiental de las áreas urbanas</t>
  </si>
  <si>
    <t>Servicio de recuperación de cuerpos de agua lénticos y lóticos</t>
  </si>
  <si>
    <t>3204</t>
  </si>
  <si>
    <t>Gestión de la información y el conocimiento ambiental. "Tú y yo conscientes con la naturaleza"</t>
  </si>
  <si>
    <t>Servicio de apoyo financiero a emprendimientos</t>
  </si>
  <si>
    <t>3206</t>
  </si>
  <si>
    <t>Gestión del cambio climático para un desarrollo bajo en carbono y resiliente al clima. "Tú y yo preparados para el cambio climático"</t>
  </si>
  <si>
    <t>Servicio de producción de plántulas en viveros</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</si>
  <si>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</si>
  <si>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Encuentros ciudadanos en el Departamento del Quindio en aplicación de la Política de Transparencia, Acceso a la Información Pública y Lucha contra la Corrupción.  </t>
  </si>
  <si>
    <t>Tasa de deserción escolar intra -anual</t>
  </si>
  <si>
    <t>Servicio de fomento para la permanencia en programas de educación formal</t>
  </si>
  <si>
    <t>Tasa de cobertura bruta en transición
Tasa de cobertura bruta en educación básica
Tasa de cobertura en educación media
Tasa de deserción escolar intra-anual
Tasa de repitencia</t>
  </si>
  <si>
    <t>Servicio de apoyo a la permanencia con alimentación escolar</t>
  </si>
  <si>
    <t>Servicio de apoyo a la permanencia con transporte escolar</t>
  </si>
  <si>
    <t xml:space="preserve">Tasa de cobertura bruta en educación básica
Tasa de cobertura en educación media
</t>
  </si>
  <si>
    <t>Servicio de apoyo para la implementación de la estrategia educativa del sistema de responsabilidad penal para adolescentes</t>
  </si>
  <si>
    <t>Tasa de cobertura bruta en educación básica
Tasa de cobertura en educación media
Tasa de Analfabetismo
Tasa de deserción escolar intra-anual
Tasa de repitencia</t>
  </si>
  <si>
    <t>Servicio educación formal por modelos educativos flexibles</t>
  </si>
  <si>
    <t xml:space="preserve">Tasa de cobertura bruta en transición
Tasa de cobertura bruta en educación básica
Tasa de cobertura en educación media
</t>
  </si>
  <si>
    <t>Servicio educativo</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</si>
  <si>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</si>
  <si>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</si>
  <si>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Servicios de asistencia técnica en innovación educativa en la educación inicial, preescolar, básica y media</t>
  </si>
  <si>
    <t>Infraestructura de Instituciones Educativas construida, mejorada, ampliada, mantenida, y/o reforzada.</t>
  </si>
  <si>
    <t xml:space="preserve">Tasa de cobertura bruta en transición
Tasa de cobertura bruta en educación básica
Tasa de cobertura en educación media 
Tasa de deserción escolar intra-anual </t>
  </si>
  <si>
    <t>Servicio de acondicionamiento de ambientes de aprendizaje</t>
  </si>
  <si>
    <t>Tasa de cobertura bruta en transición</t>
  </si>
  <si>
    <t>Servicio de atención integral para la primera infancia</t>
  </si>
  <si>
    <t>Servicio de accesibilidad a contenidos web para fines pedagógicos</t>
  </si>
  <si>
    <t>Porcentaje de estudiantes de grado 11 con dominio de inglés a nivel B1 (preintermedio)</t>
  </si>
  <si>
    <t>Servicio educativo de promoción del bilingüismo para docentes</t>
  </si>
  <si>
    <t>Servicio de monitoreo y seguimiento a la gestión del sector educativo</t>
  </si>
  <si>
    <t>Fortalecimiento de la educación media para la articulación con la educación superior o terciaria. "Tú y yo preparados para la educación superior"</t>
  </si>
  <si>
    <t>Tasa de cobertura en educación superior</t>
  </si>
  <si>
    <t>Servicio de apoyo para el acceso y la permanencia a la educación superior o terciaria</t>
  </si>
  <si>
    <t>Salud Pública, "Tú y yo con salud de calidad"</t>
  </si>
  <si>
    <t>Razón de mortalidad materna (por 100.000 nacidos vivos)
Porcentaje de atención institucional del parto.
Tasa  de mujeres de 10 a 14 años que han sido madres o están en embarazo.
Tasa de mujeres de 15 a 19 años que han sido madres o están en embarazo.
Prevalencia de VIH/SIDA en población de 15 a 49 años de edad.
Tasa de mortalidad asociada a VIH/SIDA.
Porcentaje transmisión materno -infantil del VIH.
Cobertura de tratamiento antiretroviral</t>
  </si>
  <si>
    <t xml:space="preserve">Servicio de gestión del riesgo en temas de salud sexual y reproductiva </t>
  </si>
  <si>
    <t xml:space="preserve">Servicio de gestión del riesgo en temas de trastornos mentales </t>
  </si>
  <si>
    <t>Cobertura  de municipios   con  jóvenes en riesgo psicosocial impactados en los  Barrios vulnerables del Departamento del Quindío</t>
  </si>
  <si>
    <t>Servicio de educación informal al sector artístico y cultural</t>
  </si>
  <si>
    <t xml:space="preserve">Cobertura  en la  implementación y seguimiento de las   Rutas integrales de atención  a la primera infancia </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</si>
  <si>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que participan en una actividad remunerada  o no  x cada 100.000 habitantes  en el departamento del Quindío
Tasa  de mujeres de 12 a 14 años que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</si>
  <si>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</si>
  <si>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Tasa de Violencia Intrafamiliar x 100.000 Habitantes en el Departamento del Quindío.
Tasa de violencia de Género</t>
  </si>
  <si>
    <t>Rutas integrales de atención en violencia intrafamiliar y  violencia de género</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</si>
  <si>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</si>
  <si>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</si>
  <si>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</si>
  <si>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</si>
  <si>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</si>
  <si>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</si>
  <si>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 xml:space="preserve">Cobertura de municipios del departamemto apoyados con  emprendimientos juveniles </t>
  </si>
  <si>
    <t>Servicio de asistencia técnica para fortalecimiento de unidades productivas colectivas para la generación de ingresos</t>
  </si>
  <si>
    <t>Cobertura para la atención al ciudadano migrante a través del plan de atención y de repatriación.</t>
  </si>
  <si>
    <t>Servicio de gestión de oferta social para la población vulnerable</t>
  </si>
  <si>
    <t>Servicio de acompañamiento familiar y comunitario para la superación de la pobreza</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</si>
  <si>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</si>
  <si>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</si>
  <si>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 xml:space="preserve">Tasa planes de vida de los cabildos  indígenas construidos e implementados </t>
  </si>
  <si>
    <t xml:space="preserve">Apoyar la construcción e Implementación de los  Planes de vida de los cabildos Indígenas asentados en el Departamento del Quindío </t>
  </si>
  <si>
    <t>Tasa de  planes de vida de los resguardos  indígenas construidos e implementados</t>
  </si>
  <si>
    <t xml:space="preserve">Apoyar la construcción e Implementación de los  Planes de vida de los resguardos indígenas  asentados en el Departamento del Quindío </t>
  </si>
  <si>
    <t>Cobertura  de población diferencial,  comunidades negras, afros raizales y Palenqueras asentadas en el departamento del Quindío con una  política publica .</t>
  </si>
  <si>
    <t>4104035</t>
  </si>
  <si>
    <t>Servicios de atención integral a población en condición de discapacidad</t>
  </si>
  <si>
    <t>4104026</t>
  </si>
  <si>
    <t>Servicio de articulación de oferta social para la población habitante de calle</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</si>
  <si>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</si>
  <si>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 xml:space="preserve">Tasa de Violencia Intrafamiliar x 100.000 Habitantes en el Departamento del Quindío.
Tasa de violencia de Género
Tasa  de mujeres de 12 a 14 años que han sido madres o están en embarazo X 100.000 habitantes en el Departamento del Quindío
Tasa de participación femenina en cargos de elección popular en el  departamento del Quindío
Cobertura de Asociaciones de mujeres fortalecidas  </t>
  </si>
  <si>
    <t xml:space="preserve">Revisar, ajustar e implementar la política pública de equidad de género para la mujer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</si>
  <si>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</si>
  <si>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</si>
  <si>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Tasa de Suicidio  x 100.000 Habitantes en el Departamento del Quindío.
Tasa de Violencia Intrafamiliar x 100.000 Habitantes en el Departamento del Quindío.
Cobertura de municipios del departamento con procesos de implementación de proyectos  productivos  para las personas con discapacidad</t>
  </si>
  <si>
    <t xml:space="preserve">Mejorar las condiciones de calidad de vida de la población, el acceso incluyente y equitativo a la oferta de servicios del Estado y la ampliación de oportunidades para los Quindianos. </t>
  </si>
  <si>
    <t xml:space="preserve">Cobertura de Asociaciones de mujeres fortalecidas  </t>
  </si>
  <si>
    <t>1702011</t>
  </si>
  <si>
    <t>Servicio de asesoría para el fortalecimiento de la Asociatividad</t>
  </si>
  <si>
    <t>Derechos fundamentales del trabajo y fortalecimiento del diálogo social. "Tú y yo con una niñez protegida"</t>
  </si>
  <si>
    <t>Tasa  de Niños, Niñas y Adolescentes que participan en una actividad remunerada  o no  x cada 100.000 habitantes  en el departamento del Quindío</t>
  </si>
  <si>
    <t>Servicio de educación informal para la prevención integral del trabajo infantil</t>
  </si>
  <si>
    <t>Tasa de participación femenina en cargos de elección popular en el  departamento del Quindío</t>
  </si>
  <si>
    <t xml:space="preserve">Inspección, vigilancia y control. "Tú y yo con salud certificada" </t>
  </si>
  <si>
    <t>Mortalidad por diarreica aguda (EDA) menores 5 años (numero de muertes anual)</t>
  </si>
  <si>
    <t>Servicio de concepto sanitario</t>
  </si>
  <si>
    <t>Prevalencia de niños menores de 5 años con desnutrición aguda</t>
  </si>
  <si>
    <t>Servicio de asistencia técnica en inspección, vigilancia y control</t>
  </si>
  <si>
    <t>Mortalidad por infección respiratoria aguda (IRA) menores 5 años (numero de muertes anual)</t>
  </si>
  <si>
    <t>Mortalidad por dengue (casos)</t>
  </si>
  <si>
    <t>Servicio de promoción, prevención, vigilancia y control de vectores y zoonosis</t>
  </si>
  <si>
    <t>Tasa de mortalidad en menores de 1 año (por 1000 nacidos vivos).</t>
  </si>
  <si>
    <t>Servicio de evaluación, aprobación y seguimiento de planes de gestión integral del riesgo</t>
  </si>
  <si>
    <t>Tasa mortalidad en menores de 5 años (por 1.000 nacidos vivos).</t>
  </si>
  <si>
    <t>Servicio de inspección, vigilancia y control</t>
  </si>
  <si>
    <t>Porcentaje de población asegurada al SGSSS
Opotunidad en la presunción diagnóstica y tratamiento oncológico en menores de 18 años (alta y media)</t>
  </si>
  <si>
    <t>Tasa de violencia de género</t>
  </si>
  <si>
    <t>Servicio de adopción y seguimiento de acciones y medidas especiales</t>
  </si>
  <si>
    <t>Servicio de análisis de laboratorio</t>
  </si>
  <si>
    <t>Tasa ajustada por edad de mortalidad asociada a cáncer de cuello uterino (por 100.000 mujeres).</t>
  </si>
  <si>
    <t>Servicio de auditoría y visitas inspectivas</t>
  </si>
  <si>
    <t>Servicio de información de vigilancia epidemiológica</t>
  </si>
  <si>
    <t>Opotunidad en la presunción diagnóstica y tratamiento oncológico en menores de 18 años (alta y media)</t>
  </si>
  <si>
    <t>Servicio de información para la gestión de la inspección, vigilancia y control sanitario</t>
  </si>
  <si>
    <t>Razón de mortalidad materna (por 100.000 nacidos vivos)</t>
  </si>
  <si>
    <t>Servicio de certificaciones en buenas practicas</t>
  </si>
  <si>
    <t>Porcentaje de atención institucional del parto por personal calificado.</t>
  </si>
  <si>
    <t>Porcentaje de población asegurada al SGSSS</t>
  </si>
  <si>
    <t>Servicios de comunicación y divulgación en inspección, vigilancia y control</t>
  </si>
  <si>
    <t>Porcentaje de nacidos vivos con 4 o mas controles prenatales</t>
  </si>
  <si>
    <t>Servicio del ejercicio del procedimiento administrativo sancionatorio</t>
  </si>
  <si>
    <t>Porcentaje transmisión materno -infantil del VIH.</t>
  </si>
  <si>
    <t>Servicio de gestión de peticiones, quejas, reclamos y denuncias</t>
  </si>
  <si>
    <t>Servicio de implementación de estrategias para el fortalecimiento del control social en salud</t>
  </si>
  <si>
    <t>Servicio de gestión del riesgo para temas de consumo, aprovechamiento biológico, calidad e inocuidad de los alimentos.</t>
  </si>
  <si>
    <t>Servicios de promoción de la salud y prevención de riesgos asociados a condiciones no transmisibles</t>
  </si>
  <si>
    <t>Tasa de mortalidad por malaria.</t>
  </si>
  <si>
    <t xml:space="preserve">Servicio de educación informal en temas de salud pública </t>
  </si>
  <si>
    <t>Tasa  de mujeres de 10 a 14 años que han sido madres o están en embarazo.
Tasa de mujeres de 15 a 19 años que han sido madres o están en embarazo.</t>
  </si>
  <si>
    <t>Letalidad por dengue.</t>
  </si>
  <si>
    <t>Formular el Plan de Fortalecimiento de Capacidades en Salud Ambiental en coordinación con el Consejo Territorial de Salud Ambiental COTSA</t>
  </si>
  <si>
    <t>Implementar el protocolo de vigilancia sanitaria y ambiental de los efectos en salud relacionados con la contaminación del aire en los 11 municipios de competencia departamental.</t>
  </si>
  <si>
    <t>Mortalidad por dengue (casos)
Letalidad por dengue.</t>
  </si>
  <si>
    <t>Implementar la estrategia de entornos saludables en articulación intersectorial y sectorial en los entornos de vivienda, educativo, institucional y comunitario con énfasis en la Atención Primaria en Salud Ambiental APSA.</t>
  </si>
  <si>
    <t xml:space="preserve">Implementación de la estrategia de movilidad saludable, segura y sostenible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</si>
  <si>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</si>
  <si>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consumo de sustancias psicoactivas</t>
  </si>
  <si>
    <t>Tasa ajustada por edad de mortalidad asociada a cáncer de cuello uterino (por 100.000 mujeres).
Opotunidad en la presunción diagnóstica y tratamiento oncológico en menores de 18 años (alta y media)</t>
  </si>
  <si>
    <t>Servicio de gestión del riesgo para abordar condiciones crónicas prevalentes</t>
  </si>
  <si>
    <t>Cobertura de vacunación con DPT en menores de 1 año
Cobertura de vacunación con Triple Viral en niños de 1 año
Cobertura útil con esquema completo de vacunación para la edad (triple viral a los 5 años)</t>
  </si>
  <si>
    <t>Cuartos fríos adecuados</t>
  </si>
  <si>
    <t>Cobertura útil con esquema completo de vacunación para la edad (triple viral a los 5 años)
Mortalidad por infección respiratoria aguda (IRA) menores 5 años (numero de muertes anual)
Mortalidad por diarreica aguda (EDA) menores 5 años (numero de muertes anual)
Tasa de mortalidad por malaria.</t>
  </si>
  <si>
    <t>Servicio de gestión del riesgo para enfermedades emergentes, reemergentes y desatendidas</t>
  </si>
  <si>
    <t>Servicio de gestión del riesgo para enfermedades inmunoprevenibles</t>
  </si>
  <si>
    <t>Servicios de atención en salud pública en situaciones de emergencias y desastres</t>
  </si>
  <si>
    <t>Servicio de gestión del riesgo para abordar situaciones prevalentes de origen laboral</t>
  </si>
  <si>
    <t>Porcentaje de atención institucional del parto.</t>
  </si>
  <si>
    <t>Servicio de promoción de afiliaciones al régimen contributivo del Sistema General de Seguridad Social de las personas con capacidad de pago</t>
  </si>
  <si>
    <t>Cobertura de tratamiento antiretroviral</t>
  </si>
  <si>
    <t>Servicios de reconocimientos para el cumplimiento de metas de calidad, financiera, producción y transferencias especiales.</t>
  </si>
  <si>
    <t>Servicios de reconocimientos de deuda</t>
  </si>
  <si>
    <t>Tasa de mujeres de 15 a 19 años que han sido madres o están en embarazo.</t>
  </si>
  <si>
    <t>Tasa de crecimiento de puntos de acceso a internet gratis 
Índice Departamental de Competitividad
Tasa de Desempleo</t>
  </si>
  <si>
    <t>Nivel de avance alto en el Índice de Gobierno digital
Índice Departamental de Competitividad
Tasa de Desempleo</t>
  </si>
  <si>
    <t>Servicio de educación informal en tecnologías de la información y las comunicaciones.</t>
  </si>
  <si>
    <t>Fomento del desarrollo de aplicaciones, software y contenidos para impulsar la apropiación de las Tecnologías de la Información y las Comunicaciones (TIC) "Quindío paraiso empresarial TIC-Quindío TIC"</t>
  </si>
  <si>
    <t>3903</t>
  </si>
  <si>
    <t xml:space="preserve">Desarrollo tecnológico e innovación para el crecimiento empresarial </t>
  </si>
  <si>
    <t>Tasa de crecimiento de empresas en el sector productivo transformadas digitalmente</t>
  </si>
  <si>
    <t>Servicio de apoyo para la transferencia de conocimiento y tecnología</t>
  </si>
  <si>
    <t>Generación de una cultura que valora y gestiona el conocimiento y la innovación.</t>
  </si>
  <si>
    <t>Incremento de emprendimientos y/o empresas de base tecnologica</t>
  </si>
  <si>
    <t>3904018</t>
  </si>
  <si>
    <t>Nivel de avance alto en el Índice de Gobierno digital</t>
  </si>
  <si>
    <t>Desarrollos digitales</t>
  </si>
  <si>
    <t>Servicio de educación informal en Gestión TI y en Seguridad y Privacidad de la Información</t>
  </si>
  <si>
    <t>Servicio de Escuelas Deportivas</t>
  </si>
  <si>
    <t>Servicio de promoción de la actividad física, la recreación y el deporte</t>
  </si>
  <si>
    <t>Formular e  implementar una  política pública para el desarrollo y acceso al deporte, la recreación, la actividad física, la educación física y el uso adecuado del tiempo libre, como ejes de transformación humana y social en el departamento del Quindío</t>
  </si>
  <si>
    <t>Servicio de asistencia técnica para la promoción del deporte</t>
  </si>
  <si>
    <t>Deficit cualitativo de viviendas por hogares</t>
  </si>
  <si>
    <t>Deficit cuantitativo de viviendas por hogares</t>
  </si>
  <si>
    <t>Seguridad de Transporte. "Tú y yo seguros en la vía"</t>
  </si>
  <si>
    <t>Formular e Implementar una estrategia de movilidad saludable, segura y sostenible.</t>
  </si>
  <si>
    <t>Formular e Implementar un programa de control, prevención y atención del tránsito y el transporte en los municipios y vías de jurisdicción del IDTQ.</t>
  </si>
  <si>
    <t>Infraestructura  en  puentes  con procesos  de construcción, mejoramiento, ampliación, mantenimiento y/o reforzamiento</t>
  </si>
  <si>
    <t>No. Línea Estratégica</t>
  </si>
  <si>
    <t>Fuente</t>
  </si>
  <si>
    <t xml:space="preserve">Código Sector 
KPT
</t>
  </si>
  <si>
    <t>Nombre Sector
KPT</t>
  </si>
  <si>
    <t>Código Sector FUT</t>
  </si>
  <si>
    <t>Nombre Sector FUT</t>
  </si>
  <si>
    <t>Producto</t>
  </si>
  <si>
    <t>Valor total</t>
  </si>
  <si>
    <t>Ingresos Corrientes de Libre Destinación - ICLD</t>
  </si>
  <si>
    <t>Ingresos Corrientes de Destinación Específica- ICDE</t>
  </si>
  <si>
    <t>SGP Educación</t>
  </si>
  <si>
    <t>SGP Salud</t>
  </si>
  <si>
    <t>SGP Agua Potable y Saneamiento Básico</t>
  </si>
  <si>
    <t>SGP Asignaciones Especiales</t>
  </si>
  <si>
    <t xml:space="preserve"> Sistema General de Regalías - SGR</t>
  </si>
  <si>
    <t>Cofinanciación</t>
  </si>
  <si>
    <t>Crédito</t>
  </si>
  <si>
    <t>Otros</t>
  </si>
  <si>
    <t xml:space="preserve"> Ingresos Corrientes de Libre Destinación - ICLD</t>
  </si>
  <si>
    <t>Valor totaL</t>
  </si>
  <si>
    <t>SGP Asignaciones Especiales34</t>
  </si>
  <si>
    <t>Mejorar las condiciones de calidad de vida de la población, el acceso incluyente y equitativo a la oferta de servicios del Estado y la ampliación de oportunidades para los quindianos</t>
  </si>
  <si>
    <t>33,13 Homicidios X 100.000 habitantes
481 Casos x 100.000 habitantes
171 Casos x 100.000 habitantes    
146 Casos x 100.000 habitantes      
112 Casos x 100.000 habitantes
61 casos x 100.000 habitantes</t>
  </si>
  <si>
    <t>2019
2019
2019
2019
2019
2019</t>
  </si>
  <si>
    <t>Policia Nacional
Policia Nacional
Policia Nacional
Policia Nacional
Policia Nacional
Policia Nacional</t>
  </si>
  <si>
    <t>29 Homicidios X 100.000 habitantes
320 Casos x 100.000 habitantes
140 Casos x 100.000 habitantes       
 125 Casos x 100.000 habitantes      
85 Casos x 100.000 habitantes
49 casos x100.000 habitantes</t>
  </si>
  <si>
    <t>Justicia y del Derecho</t>
  </si>
  <si>
    <t>Justicia y Seguridad</t>
  </si>
  <si>
    <t>1.1</t>
  </si>
  <si>
    <t>1.1.1</t>
  </si>
  <si>
    <t>Entidades territoriales asistidas técnicamente</t>
  </si>
  <si>
    <t xml:space="preserve">Mejorar las condiciones de calidad de vida de la población, el acceso incluyente y equitativo a la oferta de servicios del Estado y la ampliación de oportunidades para los quindianos.  
 </t>
  </si>
  <si>
    <t>1.2</t>
  </si>
  <si>
    <t>1.2.1</t>
  </si>
  <si>
    <t>Infraestructura de las Instituciones de Seguridad del Estado construida, mejorada, ampliada, mantenida, y/o reforzada</t>
  </si>
  <si>
    <t>2.1</t>
  </si>
  <si>
    <t>2.1.1</t>
  </si>
  <si>
    <t>Instituciones públicas y privadas asistidas técnicamente en métodos de resolución de conflictos</t>
  </si>
  <si>
    <t>3.1</t>
  </si>
  <si>
    <t>3.1.1</t>
  </si>
  <si>
    <t>Fortalecer la productividad y competitividad en el Departamento, apoyando los sectores productivos consolidados y promisorios, y la dinamización del Sistema Regional de competitividad, sumado a las inversiones de Ciencia, Tecnología e Innovación, y la proyección regional, nacional e internacional del Departamento del Quindío.</t>
  </si>
  <si>
    <t>DANE - Cuentas departamentales</t>
  </si>
  <si>
    <t>Agricultura y desarrollo rural</t>
  </si>
  <si>
    <t>Promoción del Desarrollo</t>
  </si>
  <si>
    <t>4.1</t>
  </si>
  <si>
    <t>4.1.1</t>
  </si>
  <si>
    <t>170200700</t>
  </si>
  <si>
    <t>Proyectos productivos cofinanciados</t>
  </si>
  <si>
    <t>4.2</t>
  </si>
  <si>
    <t>1702009</t>
  </si>
  <si>
    <t>4.2.1</t>
  </si>
  <si>
    <t>170200900</t>
  </si>
  <si>
    <t>Productores apoyados con activos productivos y de comercialización</t>
  </si>
  <si>
    <t>4.3</t>
  </si>
  <si>
    <t>4.3.1</t>
  </si>
  <si>
    <t>170201100</t>
  </si>
  <si>
    <t>Asociaciones fortalecidas</t>
  </si>
  <si>
    <t>Agropecuario</t>
  </si>
  <si>
    <t>4.4</t>
  </si>
  <si>
    <t>4.4.1</t>
  </si>
  <si>
    <t>170201400</t>
  </si>
  <si>
    <t>Productores beneficiados con acceso a maquinaria y equipo</t>
  </si>
  <si>
    <t>4.5</t>
  </si>
  <si>
    <t>1702017</t>
  </si>
  <si>
    <t>4.5.1</t>
  </si>
  <si>
    <t>170201700</t>
  </si>
  <si>
    <t>Productores agropecuarios apoyados</t>
  </si>
  <si>
    <t>4.6</t>
  </si>
  <si>
    <t>4.6.1</t>
  </si>
  <si>
    <t>170202100</t>
  </si>
  <si>
    <t>Unidades productivas beneficiadas</t>
  </si>
  <si>
    <t>4.7</t>
  </si>
  <si>
    <t>1702023</t>
  </si>
  <si>
    <t>4.7.1</t>
  </si>
  <si>
    <t>170202301</t>
  </si>
  <si>
    <t>Planes de Desarrollo Agropecuario y Rural elaborados</t>
  </si>
  <si>
    <t>4.8</t>
  </si>
  <si>
    <t>Servicios de acompañamiento en la implementación de Planes de desarrollo agropecuario y rural</t>
  </si>
  <si>
    <t>4.8.1</t>
  </si>
  <si>
    <t>170202400</t>
  </si>
  <si>
    <t>Planes de Desarrollo Agropecuario y Rural acompañados</t>
  </si>
  <si>
    <t>promoción del Desarrollo</t>
  </si>
  <si>
    <t>4.9</t>
  </si>
  <si>
    <t>4.9.1</t>
  </si>
  <si>
    <t>170202500</t>
  </si>
  <si>
    <t>Proyectos estructurados</t>
  </si>
  <si>
    <t>4.10</t>
  </si>
  <si>
    <t>4.10.1</t>
  </si>
  <si>
    <t>170203800</t>
  </si>
  <si>
    <t>Organizaciones de productores formales apoyadas</t>
  </si>
  <si>
    <t>4.10.2</t>
  </si>
  <si>
    <t>170203801</t>
  </si>
  <si>
    <t>Productores apoyados para la participación en mercados campesinos</t>
  </si>
  <si>
    <t xml:space="preserve">Fortalecer la productividad y competitividad en el Departamento, apoyando los sectores productivos consolidados y promisorios, y la dinamización del Sistema Regional de competitividad, sumado a las inversiones de Ciencia, Tecnología e Innovación, y la proyección regional, nacional e internacional del Departamento del Quindío. </t>
  </si>
  <si>
    <t>Secretaria de Familia Gobernación del Quindío, Oficina de la mujer y la equidad.</t>
  </si>
  <si>
    <t>Desarrollo Comunitario</t>
  </si>
  <si>
    <t>4.3.2</t>
  </si>
  <si>
    <t>Asociaciones de mujeres fortalecidas</t>
  </si>
  <si>
    <t>5.1</t>
  </si>
  <si>
    <t>5.1.1</t>
  </si>
  <si>
    <t>170301300</t>
  </si>
  <si>
    <t>Personas beneficiadas</t>
  </si>
  <si>
    <t>6.1</t>
  </si>
  <si>
    <t>1704002</t>
  </si>
  <si>
    <t>6.1.1</t>
  </si>
  <si>
    <t>170400203</t>
  </si>
  <si>
    <t>Documentos de lineamientos para el ordenamiento social y productivo elaborados</t>
  </si>
  <si>
    <t>6.2</t>
  </si>
  <si>
    <t>1704017</t>
  </si>
  <si>
    <t>6.2.1</t>
  </si>
  <si>
    <t>170401700</t>
  </si>
  <si>
    <t xml:space="preserve">Personas sensibilizadas en la formalización </t>
  </si>
  <si>
    <t>7.1</t>
  </si>
  <si>
    <t>1706004</t>
  </si>
  <si>
    <t>Servicio de apoyo financiero para la participación en Ferias nacionales e internacionales</t>
  </si>
  <si>
    <t>7.1.1</t>
  </si>
  <si>
    <t>170600400</t>
  </si>
  <si>
    <t>Participaciones en ferias nacionales e internacionales</t>
  </si>
  <si>
    <t>8.1</t>
  </si>
  <si>
    <t>1707069</t>
  </si>
  <si>
    <t>8.1.1</t>
  </si>
  <si>
    <t>170706900</t>
  </si>
  <si>
    <t>Eventos realizados</t>
  </si>
  <si>
    <t>9.1</t>
  </si>
  <si>
    <t>1708016</t>
  </si>
  <si>
    <t>9.1.1</t>
  </si>
  <si>
    <t>170801600</t>
  </si>
  <si>
    <t>Documentos de lineamientos técnicos elaborados</t>
  </si>
  <si>
    <t>9.2</t>
  </si>
  <si>
    <t>1708051</t>
  </si>
  <si>
    <t>9.2.1</t>
  </si>
  <si>
    <t>170805100</t>
  </si>
  <si>
    <t>Sistemas de información actualizados</t>
  </si>
  <si>
    <t>10.1</t>
  </si>
  <si>
    <t>1709019</t>
  </si>
  <si>
    <t>10.1.1</t>
  </si>
  <si>
    <t>170901900</t>
  </si>
  <si>
    <t>10.2</t>
  </si>
  <si>
    <t>1709034</t>
  </si>
  <si>
    <t>10.2.1</t>
  </si>
  <si>
    <t>170903400</t>
  </si>
  <si>
    <t>10.5</t>
  </si>
  <si>
    <t>1709093</t>
  </si>
  <si>
    <t>10.5.1</t>
  </si>
  <si>
    <t>170909300</t>
  </si>
  <si>
    <t>Trapiches paneleros con servicio de procesamiento de caña.</t>
  </si>
  <si>
    <t>10.4</t>
  </si>
  <si>
    <t>10.4.1</t>
  </si>
  <si>
    <t>10.3</t>
  </si>
  <si>
    <t>10.3.1</t>
  </si>
  <si>
    <t xml:space="preserve">Mejorar las condiciones de calidad de vida de la población, el acceso incluyente y equitativo a la oferta de servicios del Estado y la ampliación de oportunidades para los quindianos. </t>
  </si>
  <si>
    <t>89,22
89</t>
  </si>
  <si>
    <t>2018
2018</t>
  </si>
  <si>
    <t>MSPS - BDUA
SIVIGILA</t>
  </si>
  <si>
    <t>100
95</t>
  </si>
  <si>
    <t>Salud</t>
  </si>
  <si>
    <t>11.1</t>
  </si>
  <si>
    <t>11.1.1</t>
  </si>
  <si>
    <t>Documentos técnicos publicados y/o socializados</t>
  </si>
  <si>
    <t>DANE - RUAF</t>
  </si>
  <si>
    <t>11.2</t>
  </si>
  <si>
    <t>11.2.1</t>
  </si>
  <si>
    <t>Conceptos sanitarios expedidos</t>
  </si>
  <si>
    <t>11.3</t>
  </si>
  <si>
    <t>11.3.1</t>
  </si>
  <si>
    <t>Certificaciones expedidas</t>
  </si>
  <si>
    <t>11.4</t>
  </si>
  <si>
    <t>11.4.1</t>
  </si>
  <si>
    <t>visitas realizadas</t>
  </si>
  <si>
    <t>11.4.2</t>
  </si>
  <si>
    <t xml:space="preserve">Informes de los resultados obtenidos en la vigilancia sanitaria </t>
  </si>
  <si>
    <t>1
1,5
2,97</t>
  </si>
  <si>
    <t>2018
2018
2018</t>
  </si>
  <si>
    <t>DANE - RUAF
SSDQ-BASE DE DATOS NUTRICION
SIVICAP QUINDIO</t>
  </si>
  <si>
    <t>0
1
2,3</t>
  </si>
  <si>
    <t>11.5</t>
  </si>
  <si>
    <t>11.5.1</t>
  </si>
  <si>
    <t>Análisis realizados</t>
  </si>
  <si>
    <t>Instituto Nacionalde Medicina Legal y Ciencias Forenses</t>
  </si>
  <si>
    <t>11.6</t>
  </si>
  <si>
    <t>11.6.1</t>
  </si>
  <si>
    <t>Acciones y medidas especiales ejecutadas</t>
  </si>
  <si>
    <t>11.7</t>
  </si>
  <si>
    <t>11.7.1</t>
  </si>
  <si>
    <t>Auditorías y visitas inspectivas realizadas</t>
  </si>
  <si>
    <t>11.8</t>
  </si>
  <si>
    <t>11.8.1</t>
  </si>
  <si>
    <t xml:space="preserve">Procesos con aplicación del procedimiento administrativo sancionatorio tramitados </t>
  </si>
  <si>
    <t>SSDQ-BASE DE DATOS NUTRICION</t>
  </si>
  <si>
    <t>11.9</t>
  </si>
  <si>
    <t>11.9.1</t>
  </si>
  <si>
    <t>Asistencias técnica en Inspección, Vigilancia y Control realizadas</t>
  </si>
  <si>
    <t>11.10</t>
  </si>
  <si>
    <t>11.10.1</t>
  </si>
  <si>
    <t>Estrategias para el fortalecimiento del control social en salud implementadas</t>
  </si>
  <si>
    <t>11.11</t>
  </si>
  <si>
    <t>11.11.1</t>
  </si>
  <si>
    <t>Informes de evaluación, aprobación y seguimiento de Planes de Gestión Integral de Riesgo realizados</t>
  </si>
  <si>
    <t>Minsalud SIVIGILA</t>
  </si>
  <si>
    <t>11.12</t>
  </si>
  <si>
    <t>11.12.1</t>
  </si>
  <si>
    <t>Preguntas Quejas Reclamos y Denuncias Gestionadas</t>
  </si>
  <si>
    <t>11.13</t>
  </si>
  <si>
    <t>11.13.1</t>
  </si>
  <si>
    <t>Informes de evento generados en la vigencia</t>
  </si>
  <si>
    <t>11.14</t>
  </si>
  <si>
    <t>11.14.1</t>
  </si>
  <si>
    <t>Asistencias técnicas realizadas</t>
  </si>
  <si>
    <t>11.15</t>
  </si>
  <si>
    <t>11.15.1</t>
  </si>
  <si>
    <t>Municipios categorías 4, 5 y 6 que formulen y ejecuten real y efectivamente acciones de promoción, prevención, vigilancia y control de vectores y zoonosis realizados</t>
  </si>
  <si>
    <t>SIVIGILA</t>
  </si>
  <si>
    <t>11.16</t>
  </si>
  <si>
    <t>11.16.1</t>
  </si>
  <si>
    <t>Usuarios del sistema</t>
  </si>
  <si>
    <t>MSPS - BDUA</t>
  </si>
  <si>
    <t>11.17</t>
  </si>
  <si>
    <t>11.17.1</t>
  </si>
  <si>
    <t>Eventos de rendición de cuentas realizados</t>
  </si>
  <si>
    <t>11.18</t>
  </si>
  <si>
    <t>11.18.1</t>
  </si>
  <si>
    <t>Municipios con procesos de vigilancia epidemiológica de plaguicidas organofosforados y carbamatos realizados.</t>
  </si>
  <si>
    <t>11.19</t>
  </si>
  <si>
    <t>11.19.1</t>
  </si>
  <si>
    <t xml:space="preserve">Modelo de IVC sanitario operando </t>
  </si>
  <si>
    <t>12.15</t>
  </si>
  <si>
    <t>Centros reguladores de urgencias, emergencias y desastres funcionando y dotado.</t>
  </si>
  <si>
    <t>12.15.1</t>
  </si>
  <si>
    <t>Centros reguladores de urgencias, emergencias y desastres dotados y funcionando.</t>
  </si>
  <si>
    <t>96,1
99,9
95,6</t>
  </si>
  <si>
    <t>MSPS 
MSPS
PAI-WEB</t>
  </si>
  <si>
    <t>12.1</t>
  </si>
  <si>
    <t>12.1.1</t>
  </si>
  <si>
    <t>12.2</t>
  </si>
  <si>
    <t>12.2.1</t>
  </si>
  <si>
    <t>12.3</t>
  </si>
  <si>
    <t>12.3.1</t>
  </si>
  <si>
    <t xml:space="preserve">Documentos de planeación en epidemiología y demografía elaborados </t>
  </si>
  <si>
    <t>12.4</t>
  </si>
  <si>
    <t>12.4.1</t>
  </si>
  <si>
    <t>Personas capacitadas</t>
  </si>
  <si>
    <t>12.5</t>
  </si>
  <si>
    <t>12.5.1</t>
  </si>
  <si>
    <t>Campañas de gestión del riesgo en temas de consumo de sustancias psicoactivas implementadas</t>
  </si>
  <si>
    <t>0
99,56
2,06
47,27
52.3
13,3
0
85,9</t>
  </si>
  <si>
    <t>2018
2018
2018
2018
2018
2018
2018
2018</t>
  </si>
  <si>
    <t>DANE - RUAF
DANE - RUAF
DANE - RUAF
DANE - RUAF
SIVIGILA
DANE - RUAF
Minsalud SIVIGILA
Minsalud</t>
  </si>
  <si>
    <t>0
99,57
2
40
52,3
13
0
90</t>
  </si>
  <si>
    <t>12.6</t>
  </si>
  <si>
    <t>12.6.1</t>
  </si>
  <si>
    <t>Campañas de gestión del riesgo en temas de salud sexual y reproductiva implementadas.</t>
  </si>
  <si>
    <t>81,5
10,77
0
11,19
12,51
6,8</t>
  </si>
  <si>
    <t>2018
2018
2018
2018
2018
2013</t>
  </si>
  <si>
    <t>Instituto Nacional de Medicina Legal y Ciencias Forenses.
Observatorio de Drogas de Colombia</t>
  </si>
  <si>
    <t>71,12
9,45
0
10,1
11
6,0</t>
  </si>
  <si>
    <t>12.7</t>
  </si>
  <si>
    <t>12.7.1</t>
  </si>
  <si>
    <t>Campañas de gestión del riesgo en temas de trastornos mentales implementadas</t>
  </si>
  <si>
    <t>8,11
89</t>
  </si>
  <si>
    <t>DANE - RUAF
SIVIGILA</t>
  </si>
  <si>
    <t>6,5
95</t>
  </si>
  <si>
    <t>12.8</t>
  </si>
  <si>
    <t>12.8.1</t>
  </si>
  <si>
    <t>Campañas de gestión del riesgo para abordar condiciones crónicas prevalentes implementadas</t>
  </si>
  <si>
    <t>12.9</t>
  </si>
  <si>
    <t>12.9.1</t>
  </si>
  <si>
    <t>Campañas de gestión del riesgo para abordar situaciones prevalentes de origen laboral implementadas</t>
  </si>
  <si>
    <t>95,6
8,72
1
0</t>
  </si>
  <si>
    <t>2018
2018
2018
2018</t>
  </si>
  <si>
    <t>PAI-WEB
DANE - RUAF
DANE - RUAF
DANE - RUAF</t>
  </si>
  <si>
    <t>95,6
8,6
0
0</t>
  </si>
  <si>
    <t>12.10</t>
  </si>
  <si>
    <t>12.10.1</t>
  </si>
  <si>
    <t>Campañas de gestión del riesgo para enfermedades emergentes, reemergentes y desatendidas implementadas.</t>
  </si>
  <si>
    <t>12.11</t>
  </si>
  <si>
    <t>12.11.1</t>
  </si>
  <si>
    <t>Campañas de gestión del riesgo para enfermedades inmunoprevenibles  implementadas</t>
  </si>
  <si>
    <t>12.12</t>
  </si>
  <si>
    <t>12.12.1</t>
  </si>
  <si>
    <t>Campañas de gestión del riesgo para temas de consumo, aprovechamiento biológico, calidad e inocuidad de los alimentos implementadas</t>
  </si>
  <si>
    <t>12.13</t>
  </si>
  <si>
    <t>12.13.1</t>
  </si>
  <si>
    <t>Personas en capacidad de ser atendidas</t>
  </si>
  <si>
    <t>12.14</t>
  </si>
  <si>
    <t>12.14.1</t>
  </si>
  <si>
    <t>Campañas de promoción de la salud y prevención de riesgos asociados a condiciones no transmisibles implementadas</t>
  </si>
  <si>
    <t>2,06
47,27</t>
  </si>
  <si>
    <t>DANE - RUAF
DANE - RUAF</t>
  </si>
  <si>
    <t>2
40</t>
  </si>
  <si>
    <t>12.16</t>
  </si>
  <si>
    <t>12.16.1</t>
  </si>
  <si>
    <t>Entidades Administradoras de Planes Básicos EAPB con Rutas de obligatorio cumplimiento Implementadas</t>
  </si>
  <si>
    <t>12.17</t>
  </si>
  <si>
    <t>12.17.1</t>
  </si>
  <si>
    <t>Protocolo implementado</t>
  </si>
  <si>
    <t>12.18</t>
  </si>
  <si>
    <t>12.18.1</t>
  </si>
  <si>
    <t xml:space="preserve">Estrategia de entornos saludables en articulación intersectorial y sectorial implementada </t>
  </si>
  <si>
    <t>0
0</t>
  </si>
  <si>
    <t>12.19</t>
  </si>
  <si>
    <t>12.19.1</t>
  </si>
  <si>
    <t>Plan Departamental en Salud Ambiental de adaptación al cambio climático implementado</t>
  </si>
  <si>
    <t>12.20</t>
  </si>
  <si>
    <t>12.20.1</t>
  </si>
  <si>
    <t>12.21</t>
  </si>
  <si>
    <t>12.21.1</t>
  </si>
  <si>
    <t xml:space="preserve">Estrategia de movilidad saludable, segura y sostenible   implementada </t>
  </si>
  <si>
    <t>12.22</t>
  </si>
  <si>
    <t>Adaptar e implementar la Política Pública de Salud Mental para el Departamento del Quindío</t>
  </si>
  <si>
    <t>12.22.1</t>
  </si>
  <si>
    <t xml:space="preserve">Política pública en Salud Mental adaptada e Implementada  </t>
  </si>
  <si>
    <t>Cobertura útil con esquema completo de vacunación para la edad (triple viral a los 5 años)
Porcentaje de nacidos vivos con 4 o mas controles prenatales</t>
  </si>
  <si>
    <t>95,6
93,18</t>
  </si>
  <si>
    <t>PAI-WEB
DANE - RUAF</t>
  </si>
  <si>
    <t>95,6
95</t>
  </si>
  <si>
    <t>13.1</t>
  </si>
  <si>
    <t>Hospitales de primer nivel de atención dotados</t>
  </si>
  <si>
    <t>13.1.1</t>
  </si>
  <si>
    <t>13.2</t>
  </si>
  <si>
    <t>Hospitales de segundo nivel de atención dotados</t>
  </si>
  <si>
    <t>13.2.1</t>
  </si>
  <si>
    <t>Porcentaje de atención institucional del parto.
Porcentaje de atención institucional del parto por personal calificado.</t>
  </si>
  <si>
    <t>99,57
99,68</t>
  </si>
  <si>
    <t>DANE - RUAF
DANE-RUAF</t>
  </si>
  <si>
    <t>13.3</t>
  </si>
  <si>
    <t>Hospitales de tercer nivel de atención dotados</t>
  </si>
  <si>
    <t>13.3.1</t>
  </si>
  <si>
    <t>13.4</t>
  </si>
  <si>
    <t>Servicio de apoyo a la prestación del servicio de transporte de pacientes</t>
  </si>
  <si>
    <t>13.4.1</t>
  </si>
  <si>
    <t>Entidades de la red pública en salud apoyadas en la adquisición de ambulancias</t>
  </si>
  <si>
    <t>13.5</t>
  </si>
  <si>
    <t>Servicio de apoyo con tecnologías para la prestación de los servicios en salud</t>
  </si>
  <si>
    <t>13.5.1</t>
  </si>
  <si>
    <t>Población inimputable atendida</t>
  </si>
  <si>
    <t>Minsalud</t>
  </si>
  <si>
    <t>13.5.2</t>
  </si>
  <si>
    <t>Pacientes atendidos</t>
  </si>
  <si>
    <t>13.6</t>
  </si>
  <si>
    <t>Servicio de asistencia técnica a Instituciones Prestadoras de Servicios de salud</t>
  </si>
  <si>
    <t>13.6.1</t>
  </si>
  <si>
    <t>Instituciones Prestadoras de Servicios de salud asistidas técnicamente</t>
  </si>
  <si>
    <t>13.7</t>
  </si>
  <si>
    <t>13.7.1</t>
  </si>
  <si>
    <t>Personas con capacidad de pago afiliadas</t>
  </si>
  <si>
    <t>13.8</t>
  </si>
  <si>
    <t>Servicio de cofinanciación para la continuidad del régimen subsidiado en salud en 11 municipios del departamento.</t>
  </si>
  <si>
    <t>13.8.1</t>
  </si>
  <si>
    <t>Personas afiliadas</t>
  </si>
  <si>
    <t>13.9</t>
  </si>
  <si>
    <t>13.9.1</t>
  </si>
  <si>
    <t>Porcentaje de recursos transferidos</t>
  </si>
  <si>
    <t>13.10</t>
  </si>
  <si>
    <t>13.10.1</t>
  </si>
  <si>
    <t>Porcentaje de recursos pagados</t>
  </si>
  <si>
    <t>Cobertura del servicio de energía del sector rural</t>
  </si>
  <si>
    <t>Empresa de energía del Quindío EDEQ EPM</t>
  </si>
  <si>
    <t>Minas y energía</t>
  </si>
  <si>
    <t xml:space="preserve">Consolidación productiva del sector de energía eléctrica  </t>
  </si>
  <si>
    <t>14.1</t>
  </si>
  <si>
    <t>Redes domiciliarias de energía eléctrica instaladas</t>
  </si>
  <si>
    <t>14.1.1</t>
  </si>
  <si>
    <t>210204501</t>
  </si>
  <si>
    <t>Viviendas en zonas rurales conectadas a la red del sistema de distribución local de energía eléctrica</t>
  </si>
  <si>
    <t>Mejorar las condiciones d calidad de vida de la población, el acceso incluyente y equitativo a la oferta de servicios del Estado y la ampliación de oportunidades para los quindianos</t>
  </si>
  <si>
    <t>61,96% 
84,55% 
78,22% 
4,40% 
4,06% 
0,84%</t>
  </si>
  <si>
    <t>2018
2018
2018
2018
2018
2018</t>
  </si>
  <si>
    <t>Ministerio de Educación Nacional Ministerio de Educación Nacional Ministerio de Educación Nacional 
DANE / Censo Nacional de Población y Vivienda 2018 
Ministerio de Educación Nacional 
Ministerio de Educación Nacional</t>
  </si>
  <si>
    <t xml:space="preserve">64% 
85% 
80% 
4,20% 
3,50% 
0,50% </t>
  </si>
  <si>
    <t>Educación</t>
  </si>
  <si>
    <t>15.1</t>
  </si>
  <si>
    <t>15.1.1</t>
  </si>
  <si>
    <t>Documentos de planeación para la educación inicial, preescolar, básica y media emitidos</t>
  </si>
  <si>
    <t>15.2</t>
  </si>
  <si>
    <t>15.2.1</t>
  </si>
  <si>
    <t>Entidades y organizaciones asistidas técnicamente</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</si>
  <si>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</si>
  <si>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 xml:space="preserve">12% 
40% 
10% 
21% 
20,68% </t>
  </si>
  <si>
    <t>2017 
2017 
2017 
2017 
2019</t>
  </si>
  <si>
    <t>ICFES 
ICFES 
ICFES 
ICFES 
ICFES</t>
  </si>
  <si>
    <t>10% 
30% 
8% 
18% 
25,86%</t>
  </si>
  <si>
    <t>15.3</t>
  </si>
  <si>
    <t>Servicio de evaluación de la calidad de la educación preescolar, básica o media.</t>
  </si>
  <si>
    <t>15.3.1</t>
  </si>
  <si>
    <t>Estudiantes evaluados con pruebas de calidad educativa</t>
  </si>
  <si>
    <t>15.4</t>
  </si>
  <si>
    <t>Servicio de fortalecimiento a las capacidades de los docentes de educación preescolar, básica y media</t>
  </si>
  <si>
    <t>15.4.1</t>
  </si>
  <si>
    <t>Docentes de educación inicial, preescolar, básica y media beneficiados con estrategias de mejoramiento de sus capacidades</t>
  </si>
  <si>
    <t>15.5</t>
  </si>
  <si>
    <t>15.5.1</t>
  </si>
  <si>
    <t>15.6</t>
  </si>
  <si>
    <t>15.6.1</t>
  </si>
  <si>
    <t>Entidades territoriales con seguimiento y evaluación a la gestión.</t>
  </si>
  <si>
    <t>Cobertura en asistencia técnica a la educación inicial (0 a 4 años)</t>
  </si>
  <si>
    <t>N/D</t>
  </si>
  <si>
    <t>Secretaría de Educación Departamental del Quindío</t>
  </si>
  <si>
    <t>15.7</t>
  </si>
  <si>
    <t>Servicio de información para la gestión de la educación inicial y preescolar en condiciones de calidad</t>
  </si>
  <si>
    <t>15.7.1</t>
  </si>
  <si>
    <t xml:space="preserve">Entidades territoriales que hacen seguimiento a las condiciones de calidad de los prestadores de educación inicial o preescolar a través del Sistema de Información de Primera Infancia -SIPI- </t>
  </si>
  <si>
    <t>61,96% 
84,55% 
78,22% 
4,06%</t>
  </si>
  <si>
    <t>Ministerio de Educación Nacional Ministerio de Educación Nacional  
Ministerio de Educacón Nacional 
Ministerio de Educacón Nacional</t>
  </si>
  <si>
    <t xml:space="preserve">64% 
85% 
80% 
3,50% </t>
  </si>
  <si>
    <t>15.8</t>
  </si>
  <si>
    <t>15.8.1</t>
  </si>
  <si>
    <t>Ambientes de aprendizaje en funcionamiento</t>
  </si>
  <si>
    <t>61,96% 
84,55% 
78,22% 
4,06% 
0,84%</t>
  </si>
  <si>
    <t>2018
2018
2018
2018
2018</t>
  </si>
  <si>
    <t>Ministerio de Educación Nacional Ministerio de Educación Nacional Ministerio de Educación Nacional 
Ministerior de Educación Nacional
Ministerio de Educación Nacional</t>
  </si>
  <si>
    <t xml:space="preserve">64% 
85% 
80% 
3,50% 
0,50% </t>
  </si>
  <si>
    <t>15.9</t>
  </si>
  <si>
    <t>15.9.1</t>
  </si>
  <si>
    <t>Beneficiarios de la alimentación escolar</t>
  </si>
  <si>
    <t>15.10</t>
  </si>
  <si>
    <t>15.10.1</t>
  </si>
  <si>
    <t>Beneficiarios de transporte escolar</t>
  </si>
  <si>
    <t xml:space="preserve">
84,55% 
78,22% 
4,40% 
4,06% 
0,84%</t>
  </si>
  <si>
    <t xml:space="preserve">
2018
2018
2018
2018
2018</t>
  </si>
  <si>
    <t>Ministerio de Educación Nacional Ministerio de Educación Nacional
DANE / Censo Nacional de Población y Vivienda 2018
Ministerio de Educación Nacional 
Ministerio de Educación Nacional</t>
  </si>
  <si>
    <t xml:space="preserve">85% 
80% 
4,20% 
3,50% 
0,50% </t>
  </si>
  <si>
    <t>15.11</t>
  </si>
  <si>
    <t>15.11.1</t>
  </si>
  <si>
    <t>Beneficiarios atendidos con modelos educativos flexibles</t>
  </si>
  <si>
    <t xml:space="preserve">Tasa de Analfabetismo </t>
  </si>
  <si>
    <t xml:space="preserve">
DANE / Censo Nacional de Población y Vivienda 2018 </t>
  </si>
  <si>
    <t>15.12</t>
  </si>
  <si>
    <t>Servicio de alfabetización</t>
  </si>
  <si>
    <t>15.12.1</t>
  </si>
  <si>
    <t xml:space="preserve">Personas beneficiarias con modelos de alfabetización </t>
  </si>
  <si>
    <t>4.06%</t>
  </si>
  <si>
    <t>Ministerio de Educación Nacional</t>
  </si>
  <si>
    <t>15.13</t>
  </si>
  <si>
    <t>15.13.1</t>
  </si>
  <si>
    <t>Personas beneficiarias de estrategias de permanencia</t>
  </si>
  <si>
    <t>ICFES</t>
  </si>
  <si>
    <t>15.14</t>
  </si>
  <si>
    <t>Servicios educativos de promoción del bilingüismo</t>
  </si>
  <si>
    <t>15.14.1</t>
  </si>
  <si>
    <t>Estudiantes beneficiados con estrategias de promoción del bilingüismo</t>
  </si>
  <si>
    <t>15.14.2</t>
  </si>
  <si>
    <t>Instituciones educativas fortalecidas en competencias comunicativas en un segundo idioma</t>
  </si>
  <si>
    <t xml:space="preserve">Tasa de cobertura bruta en educación media 
Años promedio de estudio (población de 15 a 24 años) </t>
  </si>
  <si>
    <t>78,22% 
66,87%</t>
  </si>
  <si>
    <t>2018 
2018</t>
  </si>
  <si>
    <t>Ministerio de Educación Nacional 
DANE / Censo Nacional de Población y Vivienda 2018</t>
  </si>
  <si>
    <t>80% 
70%</t>
  </si>
  <si>
    <t>15.15</t>
  </si>
  <si>
    <t>Servicio de articulación entre la educación media y el sector productivo.</t>
  </si>
  <si>
    <t>15.15.1</t>
  </si>
  <si>
    <t xml:space="preserve">Programas y proyectos de educación pertinente articulados con el sector productivo </t>
  </si>
  <si>
    <t>15.16</t>
  </si>
  <si>
    <t>15.16.1</t>
  </si>
  <si>
    <t>Instituciones educativas oficiales que implementan el nivel preescolar en el marco de la atención integral</t>
  </si>
  <si>
    <t>15.17</t>
  </si>
  <si>
    <t>Servicios de atención psicosocial a estudiantes y docentes</t>
  </si>
  <si>
    <t>15.17.1</t>
  </si>
  <si>
    <t xml:space="preserve">Personas atendidas </t>
  </si>
  <si>
    <t>15.18</t>
  </si>
  <si>
    <t>15.18.1</t>
  </si>
  <si>
    <t>Instituciones educativas asistidas técnicamente en innovación educativa</t>
  </si>
  <si>
    <t>15.19</t>
  </si>
  <si>
    <t>Servicios de información en materia educativa</t>
  </si>
  <si>
    <t>15.19.1</t>
  </si>
  <si>
    <t>Observatorio implementado</t>
  </si>
  <si>
    <t>15.20</t>
  </si>
  <si>
    <t>15.20.1</t>
  </si>
  <si>
    <t>Estudiantes con acceso a contenidos web en el establecimiento educativo</t>
  </si>
  <si>
    <t>15.20.2</t>
  </si>
  <si>
    <t>Establecimientos educativos conectados a internet</t>
  </si>
  <si>
    <t>15.21</t>
  </si>
  <si>
    <t>Servicio de fomento para la prevención de riesgos sociales en entornos escolares</t>
  </si>
  <si>
    <t>15.21.1</t>
  </si>
  <si>
    <t>Entidades territoriales con estrategias para la prevención de riesgos sociales en los entornos escolares implementadas</t>
  </si>
  <si>
    <t>84,55% 78,22%</t>
  </si>
  <si>
    <t xml:space="preserve">Ministerio de Educación Nacional Ministerio de Educación Nacional </t>
  </si>
  <si>
    <t xml:space="preserve">85% 
80% </t>
  </si>
  <si>
    <t>15.22</t>
  </si>
  <si>
    <t>15.22.1</t>
  </si>
  <si>
    <t>Entidades Territoriales certificadas con asistencia técnica para el fortalecimiento de la estrategia educativa del sistema de responsabilidad penal para adolescentes</t>
  </si>
  <si>
    <t>15.23</t>
  </si>
  <si>
    <t>15.23.1</t>
  </si>
  <si>
    <t>Docentes beneficiados con estrategias de promoción del bilingüismo</t>
  </si>
  <si>
    <t>84,55% 
78,22%</t>
  </si>
  <si>
    <t>15.24</t>
  </si>
  <si>
    <t>15.24.1</t>
  </si>
  <si>
    <t>Proyectos apoyados</t>
  </si>
  <si>
    <t>15.25</t>
  </si>
  <si>
    <t>Estudios de preinversión</t>
  </si>
  <si>
    <t>15.25.1</t>
  </si>
  <si>
    <t>Estudios o diseños realizados</t>
  </si>
  <si>
    <t>Ministerio de Educación Nacional/SNIES</t>
  </si>
  <si>
    <t>15.26</t>
  </si>
  <si>
    <t>Servicio de orientación vocacional</t>
  </si>
  <si>
    <t>15.26.1</t>
  </si>
  <si>
    <t>Estudiantes vinculados a procesos de orientación vocacional</t>
  </si>
  <si>
    <t>15.27</t>
  </si>
  <si>
    <t>Servicio de apoyo para el fortalecimiento de escuelas de padres</t>
  </si>
  <si>
    <t>15.27.1</t>
  </si>
  <si>
    <t>Escuelas de padres apoyadas</t>
  </si>
  <si>
    <t>15.28</t>
  </si>
  <si>
    <t>15.28.1</t>
  </si>
  <si>
    <t>Establecimientos educativos con acciones de gestión del riesgo implementadas</t>
  </si>
  <si>
    <t xml:space="preserve">Ministerio de Educación Nacional Ministerio de Educación Nacional  
Ministerio de Educacón Nacional 
Ministerio de Educacón Nacional
</t>
  </si>
  <si>
    <t>64% 
85% 
80% 
3,50% 
100%</t>
  </si>
  <si>
    <t>15.29</t>
  </si>
  <si>
    <t>Infraestructura educativa dotada</t>
  </si>
  <si>
    <t>15.29.1</t>
  </si>
  <si>
    <t>Sedes dotadas</t>
  </si>
  <si>
    <t>15.31</t>
  </si>
  <si>
    <t>Documento para la planeación estratégica en TI</t>
  </si>
  <si>
    <t>15.31.1</t>
  </si>
  <si>
    <t>Planes de Mejoramiento de los sistemas de información de las secretarías de educación implementados</t>
  </si>
  <si>
    <t>Ministerio de Educación Nacional Ministerio de Educación Nacional Ministerio de Educación Nacional 
Ministerior de Educación Nacional</t>
  </si>
  <si>
    <t>15.32</t>
  </si>
  <si>
    <t>15.32.1</t>
  </si>
  <si>
    <t xml:space="preserve">61,96% 
84,55% 
78,22% </t>
  </si>
  <si>
    <t xml:space="preserve">Ministerio de Educación Nacional Ministerio de Educación Nacional Ministerio de Educación Nacional </t>
  </si>
  <si>
    <t xml:space="preserve">64% 
85% 
80% </t>
  </si>
  <si>
    <t>15.30</t>
  </si>
  <si>
    <t>15.30.1</t>
  </si>
  <si>
    <t>Establecimientos educativos en operación</t>
  </si>
  <si>
    <t xml:space="preserve">orientada a los procesos de inversión en los sectores sociales tendientes a mejorar las condiciones de calidad de vida de la población, el acceso incluyente y equitativo a la oferta de servicios del Estado y la ampliación de oportunidades para las personas. </t>
  </si>
  <si>
    <t>57%
5,52
15,2</t>
  </si>
  <si>
    <t>2018
2018
2019</t>
  </si>
  <si>
    <t>Portal de datos abiertos.gov
Consejo Privado de Competitividad. Universidad del Rosario.
Observatorio económico del departamento</t>
  </si>
  <si>
    <t>Tecnologías de la información y las comunicaciones</t>
  </si>
  <si>
    <t>16.2</t>
  </si>
  <si>
    <t>Servicio de acceso Zonas Wifi</t>
  </si>
  <si>
    <t>16.2.1</t>
  </si>
  <si>
    <t>Zonas Wifi en áreas rurales instaladas</t>
  </si>
  <si>
    <t>16.4</t>
  </si>
  <si>
    <t>Servicio de acceso y uso de Tecnologías de la Información y las Comunicaciones</t>
  </si>
  <si>
    <t>16.4.1</t>
  </si>
  <si>
    <t>Centros de acceso comunitario en zonas urbanas funcionando</t>
  </si>
  <si>
    <t>16.4.2</t>
  </si>
  <si>
    <t>Soluciones de conectividad en instituciones públicas instaladas</t>
  </si>
  <si>
    <t>41,87%
5,52
15,2</t>
  </si>
  <si>
    <t>Ministerio de Tecnologias de la Inofrmacion y de las Comunicaciones 
Consejo Privado de Competitividad. Universidad del Rosario.
Observatorio económico del departamento</t>
  </si>
  <si>
    <t>16.5</t>
  </si>
  <si>
    <t>16.5.1</t>
  </si>
  <si>
    <t>Personas capacitadas en tecnologías de la información y las comunicaciones</t>
  </si>
  <si>
    <t>16.3</t>
  </si>
  <si>
    <t>Servicio de asistencia técnica para proyectos en Tecnologías de la Información y las Comunicaciones</t>
  </si>
  <si>
    <t>16.3.1</t>
  </si>
  <si>
    <t>Municipios asistidos en diseño, implementación, ejecución y/ o liquidación  de proyectos</t>
  </si>
  <si>
    <t>16.1</t>
  </si>
  <si>
    <t>16.1.1</t>
  </si>
  <si>
    <t>Documentos de planeación elaborados</t>
  </si>
  <si>
    <t>16.6</t>
  </si>
  <si>
    <t>Servicio de educación para el trabajo en temas de uso pedagógico de tecnologías de la información y las comunicaciones.</t>
  </si>
  <si>
    <t>16.6.1</t>
  </si>
  <si>
    <t>Docentes formados en uso pedagógico de tecnologías de la información y las comunicaciones.</t>
  </si>
  <si>
    <t>16.7</t>
  </si>
  <si>
    <t>Servicio de telecomunicaciones para el envío de alertas tempranas a la población.</t>
  </si>
  <si>
    <t>16.7.1</t>
  </si>
  <si>
    <t xml:space="preserve">Disponibilidad del servicio  de telecomunicaciones para el envío de alertas tempranas a la población. </t>
  </si>
  <si>
    <t>Fortalecer las capacidades institucionales de la administración departamental, para generar condiciones de gobernanza territorial, participación, administración eficiente y transparente, planificación y seguimiento de la gestión institucional, y gobierno abierto.</t>
  </si>
  <si>
    <t>17.5</t>
  </si>
  <si>
    <t>Servicio de asistencia técnica a empresas de la industria de Tecnologías de la Información para mejorar sus capacidades de comercialización e innovación</t>
  </si>
  <si>
    <t>17.5.1</t>
  </si>
  <si>
    <t>Empresas beneficiadas con actividades de fortalecimiento  de la industria TI</t>
  </si>
  <si>
    <t>17.8</t>
  </si>
  <si>
    <t>Servicio de promoción de la industria de Tecnologías de la Información</t>
  </si>
  <si>
    <t>17.8.1</t>
  </si>
  <si>
    <t xml:space="preserve">Eventos para  promoción  de productos y Servicio de la industria TI realizados </t>
  </si>
  <si>
    <t>17.4</t>
  </si>
  <si>
    <t>Servicio de asistencia técnica a emprendedores y empresas</t>
  </si>
  <si>
    <t>17.4.1</t>
  </si>
  <si>
    <t>Emprendedores y empresas asistidas técnicamente</t>
  </si>
  <si>
    <t>17.7</t>
  </si>
  <si>
    <t>Servicio de Investigación, Desarrollo e Innovación para la industria de las Tecnologías de la Información</t>
  </si>
  <si>
    <t>17.7.1</t>
  </si>
  <si>
    <t>Modelos para el desarrollo de actividades I+D+i en la industria TIC nacional desarrollados</t>
  </si>
  <si>
    <t xml:space="preserve">Tasa de crecimiento de puntos de acceso a internet gratis </t>
  </si>
  <si>
    <t>Portal de datos abiertos.gov</t>
  </si>
  <si>
    <t>17.9</t>
  </si>
  <si>
    <t>Servicio de educación informal en Teletrabajo</t>
  </si>
  <si>
    <t>17.9.1</t>
  </si>
  <si>
    <t xml:space="preserve">Personas y/o entidades (públicas y privadas) de la comunidad capacitadas en teletrabajo </t>
  </si>
  <si>
    <t>17.11</t>
  </si>
  <si>
    <t>Servicio de educación informal para aumentar la calidad y cantidad de talento humano para la industria TI</t>
  </si>
  <si>
    <t>17.11.1</t>
  </si>
  <si>
    <t>Personas capacitadas en programas informales de Tecnologías de la Información</t>
  </si>
  <si>
    <t>Ministerio de Tecnologías de la Información y de las Comunicaciones</t>
  </si>
  <si>
    <t xml:space="preserve">Fortalecimiento Institucional </t>
  </si>
  <si>
    <t>17.1</t>
  </si>
  <si>
    <t>17.1.1</t>
  </si>
  <si>
    <t>Productos digitales desarrollados</t>
  </si>
  <si>
    <t xml:space="preserve">
72,91%</t>
  </si>
  <si>
    <t>17.2</t>
  </si>
  <si>
    <t>Documentos de evaluación</t>
  </si>
  <si>
    <t>17.2.1</t>
  </si>
  <si>
    <t>Documentos de evaluación de programas enfocados en generar competencias TIC</t>
  </si>
  <si>
    <t>17.3</t>
  </si>
  <si>
    <t>Documentos metodológicos</t>
  </si>
  <si>
    <t>17.3.1</t>
  </si>
  <si>
    <t>Documento metodológico del modelo de acompañamiento para la implementación de la Estrategia de Gobierno digital elaborado</t>
  </si>
  <si>
    <t>17.6</t>
  </si>
  <si>
    <t>Servicio de educación informal para la implementación de la Estrategia de Gobierno digital</t>
  </si>
  <si>
    <t>17.6.1</t>
  </si>
  <si>
    <t>Personas capacitadas para la implementación de la Estrategia de Gobierno digital</t>
  </si>
  <si>
    <t>17.10</t>
  </si>
  <si>
    <t>17.10.1</t>
  </si>
  <si>
    <t>Personas capacitadas para en Gestión TI y en Seguridad y Privacidad de la Información</t>
  </si>
  <si>
    <t>17.12</t>
  </si>
  <si>
    <t>17.12.1</t>
  </si>
  <si>
    <t>Garantizar la movilidad y conectividad vehicular de las diferentes vias del Departamento del Quindio</t>
  </si>
  <si>
    <t>ÍNDICE DEPARTAMENTAL
DE COMPETITIVIDAD  - Consejo Privado de Competitividad</t>
  </si>
  <si>
    <t>Transporte</t>
  </si>
  <si>
    <t>18.1</t>
  </si>
  <si>
    <t>18.1.1</t>
  </si>
  <si>
    <t>Infraestructura en puentes construida, mejorada, ampliada, mantenida y/o reforzada</t>
  </si>
  <si>
    <t>18.2</t>
  </si>
  <si>
    <t>18.2.1</t>
  </si>
  <si>
    <t xml:space="preserve">Infraestructura  vial    construída, mejorada, ampliada,  mantenida, y/o  reforzada </t>
  </si>
  <si>
    <t>garantizar la movilidad y conectividad vehicular de las diferentes vias del Departamento del Quindio</t>
  </si>
  <si>
    <t>18.3</t>
  </si>
  <si>
    <t>Estudios y diseños de infraestructura vial.</t>
  </si>
  <si>
    <t>18.3.1</t>
  </si>
  <si>
    <t>Estudios y diseños de infraestructura vial elaborado.</t>
  </si>
  <si>
    <t>Garantizar la sostenibilidad ambiental y protección de las condiciones biofísicas del territorio quindiano, así como las dinámicas de la planificación territorial, y la dotación de factores de infraestructura vial, de vivienda, de servicios públicos, y de equipamientos, entre otros</t>
  </si>
  <si>
    <t>Agencia Nacional de Seguridad Vial</t>
  </si>
  <si>
    <t>19.1</t>
  </si>
  <si>
    <t>19.1.1</t>
  </si>
  <si>
    <t xml:space="preserve">Estrategia de movilidad saludable, segura y sostenible  formulada e implementada </t>
  </si>
  <si>
    <t>19.2</t>
  </si>
  <si>
    <t>19.2.1</t>
  </si>
  <si>
    <t>Programa de formación cultural  de la seguridad en la vía formulado e implementado.</t>
  </si>
  <si>
    <t>19.3</t>
  </si>
  <si>
    <t>19.3.1</t>
  </si>
  <si>
    <t>Programa de control y atención del tránsito y el transporte formulado e implementado</t>
  </si>
  <si>
    <t>19.4</t>
  </si>
  <si>
    <t>19.4.1</t>
  </si>
  <si>
    <t>Programa de Señalización y demarcación en los municipios y vías de jurisdicción del IDTQ diseñado e Implementado</t>
  </si>
  <si>
    <t xml:space="preserve">Garantizar la sostenibilidad ambiental y protección de las condiciones biofísicas del territorio quindiano, así como las dinámicas de la planificación territorial, y la dotación de factores de infraestructura vial, de vivienda, de servicios públicos, y de equipamientos, entre otros.  </t>
  </si>
  <si>
    <t>100%
25</t>
  </si>
  <si>
    <t>2019
2018</t>
  </si>
  <si>
    <t>Unidad Departamental en Gestión del Riesgo de Desastres. 
IDEAM</t>
  </si>
  <si>
    <t>100%
28</t>
  </si>
  <si>
    <t>Ambiente y desarrollo sostenible</t>
  </si>
  <si>
    <t xml:space="preserve">Prevenció y atención de desastres </t>
  </si>
  <si>
    <t>23.1</t>
  </si>
  <si>
    <t>23.1.1</t>
  </si>
  <si>
    <t>Documentos de estudios técnicos para el conocimiento y reducción del riesgo de desastres elaborados</t>
  </si>
  <si>
    <t>23.5</t>
  </si>
  <si>
    <t>23.5.1</t>
  </si>
  <si>
    <t xml:space="preserve">Obras de infraestructura para mitigación y atención a desastres realizadas </t>
  </si>
  <si>
    <t>ND</t>
  </si>
  <si>
    <t>Secretaría de Familia/ Oficina de Juventud.</t>
  </si>
  <si>
    <t>Cultura</t>
  </si>
  <si>
    <t>cultura</t>
  </si>
  <si>
    <t>25.1</t>
  </si>
  <si>
    <t>25.1.1</t>
  </si>
  <si>
    <t>Capacitaciones de educación informal realizadas</t>
  </si>
  <si>
    <t>Mejorar las condiciones de calidad de vida de la población, el acceso incluyente y equitativo a la oferta de servicios del Estado y la ampliación de oportunidades para los quindianos.</t>
  </si>
  <si>
    <t>0,44%
6,8%</t>
  </si>
  <si>
    <t>2019
2013</t>
  </si>
  <si>
    <t>Secretaría de Cultura-La Llave del Saber
Plan Biocultura</t>
  </si>
  <si>
    <t>3%
6,0%</t>
  </si>
  <si>
    <t>25.6</t>
  </si>
  <si>
    <t>25.6.1</t>
  </si>
  <si>
    <t>25.2</t>
  </si>
  <si>
    <t>Servicio de educación formal al sector artístico y cultural</t>
  </si>
  <si>
    <t>25.2.1</t>
  </si>
  <si>
    <t>Cupos de educación formal ofertados</t>
  </si>
  <si>
    <t>37%
6,8%</t>
  </si>
  <si>
    <t>Secretaría de Cultura Plan Biocultura</t>
  </si>
  <si>
    <t>47,0%
6,0%</t>
  </si>
  <si>
    <t>25.5</t>
  </si>
  <si>
    <t>25.5.1</t>
  </si>
  <si>
    <t>330108500</t>
  </si>
  <si>
    <t>Usuarios atendidos</t>
  </si>
  <si>
    <t>25.9</t>
  </si>
  <si>
    <t>25.9.1</t>
  </si>
  <si>
    <t>330110000</t>
  </si>
  <si>
    <t>Publicaciones realizadas</t>
  </si>
  <si>
    <t>9%
6,8%</t>
  </si>
  <si>
    <t>15%
6,0%</t>
  </si>
  <si>
    <t>25.4</t>
  </si>
  <si>
    <t>25.4.1</t>
  </si>
  <si>
    <t>Producciones artísticas en circulación</t>
  </si>
  <si>
    <t>Tasa de participación en procesos y actividades artísticas y culturales.
Tasa de consumo de sustancias sicoactivas por 100.000 habitantes en el departamento del Quindío.</t>
  </si>
  <si>
    <t>2019
2013
2019</t>
  </si>
  <si>
    <t>25.3</t>
  </si>
  <si>
    <t>25.3.1</t>
  </si>
  <si>
    <t>330106800</t>
  </si>
  <si>
    <t>Infraestructura cultural intervenida</t>
  </si>
  <si>
    <t>25.7</t>
  </si>
  <si>
    <t>25.7.1</t>
  </si>
  <si>
    <t>330109500</t>
  </si>
  <si>
    <t>Personas asistidas técnicamente</t>
  </si>
  <si>
    <t>Secretaría de Cultura 
Plan Biocultura</t>
  </si>
  <si>
    <t>25.8</t>
  </si>
  <si>
    <t>25.8.1</t>
  </si>
  <si>
    <t>330109900</t>
  </si>
  <si>
    <t>Sistema de información del sector artístico y cultural en operación</t>
  </si>
  <si>
    <t>97,0%
6,8%</t>
  </si>
  <si>
    <t>100%
6,0%</t>
  </si>
  <si>
    <t>26.1</t>
  </si>
  <si>
    <t>26.1.1</t>
  </si>
  <si>
    <t>330204200</t>
  </si>
  <si>
    <t xml:space="preserve">Asistencias técnicas realizadas a entidades territoriales </t>
  </si>
  <si>
    <t>26.2</t>
  </si>
  <si>
    <t>26.2.1</t>
  </si>
  <si>
    <t>330207000</t>
  </si>
  <si>
    <t>16,5
15,2</t>
  </si>
  <si>
    <t>2018
2019</t>
  </si>
  <si>
    <t>DANE - Cuentas departamentales
Observatorio econímico departamento</t>
  </si>
  <si>
    <t xml:space="preserve">18,1
13,5
</t>
  </si>
  <si>
    <t>Comercio, Industria y Turismo</t>
  </si>
  <si>
    <t>27.3</t>
  </si>
  <si>
    <t>3502017</t>
  </si>
  <si>
    <t>27.3.1</t>
  </si>
  <si>
    <t>350201701</t>
  </si>
  <si>
    <t xml:space="preserve">Necesidades empresariales atendidas a partir de emprendimientos </t>
  </si>
  <si>
    <t>Índice Departamental de Competitividad
Tasa de sempleo</t>
  </si>
  <si>
    <t>5,52
15,2</t>
  </si>
  <si>
    <t>2019
2019</t>
  </si>
  <si>
    <t>Consejo Privado de Competitividad &amp; Universidad del Rosario.
Observatorio económico del departamento</t>
  </si>
  <si>
    <t>27.1</t>
  </si>
  <si>
    <t>3502006</t>
  </si>
  <si>
    <t>27.1.1</t>
  </si>
  <si>
    <t>350200600</t>
  </si>
  <si>
    <t xml:space="preserve">Planes de trabajo concertados con las CRC para su consolidación </t>
  </si>
  <si>
    <t>27.2</t>
  </si>
  <si>
    <t>3502007</t>
  </si>
  <si>
    <t>27.2.1</t>
  </si>
  <si>
    <t>350200700</t>
  </si>
  <si>
    <t>Clústeres asistidos en la implementación de los planes de acción</t>
  </si>
  <si>
    <t>27.4</t>
  </si>
  <si>
    <t>3502022</t>
  </si>
  <si>
    <t>27.4.1</t>
  </si>
  <si>
    <t>350202200</t>
  </si>
  <si>
    <t>Empresas asistidas técnicamente</t>
  </si>
  <si>
    <t>5,62
15,2</t>
  </si>
  <si>
    <t>Centro de pensamiento turístico-Colombia (Cotelco-Unicafam)
Observatorio económico del departamento</t>
  </si>
  <si>
    <t>27.5</t>
  </si>
  <si>
    <t>3502039</t>
  </si>
  <si>
    <t>27.5.1</t>
  </si>
  <si>
    <t>350203900</t>
  </si>
  <si>
    <t>27.5.2</t>
  </si>
  <si>
    <t>350203910</t>
  </si>
  <si>
    <t>Proyectos de infraestructura turística apoyados</t>
  </si>
  <si>
    <t>27.6</t>
  </si>
  <si>
    <t>3502046</t>
  </si>
  <si>
    <t>27.6.1</t>
  </si>
  <si>
    <t>Campañas realizadas</t>
  </si>
  <si>
    <t>27.7</t>
  </si>
  <si>
    <t>3502047</t>
  </si>
  <si>
    <t>27.7.1</t>
  </si>
  <si>
    <t>350204700</t>
  </si>
  <si>
    <t>27.8</t>
  </si>
  <si>
    <t>27.8.1</t>
  </si>
  <si>
    <t>Índice Departamental de Competitividad.
Tasa de desempleo.</t>
  </si>
  <si>
    <t xml:space="preserve">Consejo Privado de Competitividad &amp; Universidad del Rosario </t>
  </si>
  <si>
    <t>Trabajo</t>
  </si>
  <si>
    <t>28.1</t>
  </si>
  <si>
    <t>3602018</t>
  </si>
  <si>
    <t>28.1.1</t>
  </si>
  <si>
    <t>360201800</t>
  </si>
  <si>
    <t>Planes de negocio financiados</t>
  </si>
  <si>
    <t>28.2</t>
  </si>
  <si>
    <t>3602029</t>
  </si>
  <si>
    <t>Servicio de asistencia técnica para la generación y formalización del empleo</t>
  </si>
  <si>
    <t>28.2.1</t>
  </si>
  <si>
    <t>360202904</t>
  </si>
  <si>
    <t>Talleres de oferta institucional realizados</t>
  </si>
  <si>
    <t>28.3</t>
  </si>
  <si>
    <t>28.3.1</t>
  </si>
  <si>
    <t>360203000</t>
  </si>
  <si>
    <t>Reportes realizados</t>
  </si>
  <si>
    <t>Consejo Privado de Competitividad &amp; Universidad del Rosario 
Observatorio económico del departamento</t>
  </si>
  <si>
    <t>28.4</t>
  </si>
  <si>
    <t>3602032</t>
  </si>
  <si>
    <t>Servicio de asesoría técnica para el emprendimiento</t>
  </si>
  <si>
    <t>28.4.1</t>
  </si>
  <si>
    <t>360203201</t>
  </si>
  <si>
    <t>Emprendimientos fortalecidos</t>
  </si>
  <si>
    <t>0,6</t>
  </si>
  <si>
    <t>Sistema de Información Integrado para el Registro y Erradicación del Trabajo Infantil y sus Peores Formas, Ministerio del Trabajo- SIRITI</t>
  </si>
  <si>
    <t>Atención a Grupos Vulnerables Promoción Social</t>
  </si>
  <si>
    <t>29.1</t>
  </si>
  <si>
    <t>29.1.1</t>
  </si>
  <si>
    <t>360400600</t>
  </si>
  <si>
    <t>Ciencia, Tecnolgía e Innovación</t>
  </si>
  <si>
    <t>32.1</t>
  </si>
  <si>
    <t>Servicio para el fortalecimiento de capacidades institucionales para el fomento de vocación científica</t>
  </si>
  <si>
    <t>32.1.1</t>
  </si>
  <si>
    <t>Instituciones educativas que participan en programas que fomentan la cultura de la Ciencia, la Tecnología y la Innovación fortalecidas</t>
  </si>
  <si>
    <t>15.10%</t>
  </si>
  <si>
    <t>Censo DANE, para el año 2018</t>
  </si>
  <si>
    <t>33.7</t>
  </si>
  <si>
    <t>4001031</t>
  </si>
  <si>
    <t>Servicio de apoyo financiero para adquisición de vivienda</t>
  </si>
  <si>
    <t>33.7.1</t>
  </si>
  <si>
    <t>400103103</t>
  </si>
  <si>
    <t>Equipamientos construidos</t>
  </si>
  <si>
    <t xml:space="preserve">.Cobertura de acueducto .
.Cobertura  de alcantarillado </t>
  </si>
  <si>
    <t>100%.
94%</t>
  </si>
  <si>
    <t>SECRETARIA DE AGUAS E INFREAESTRUCTURA</t>
  </si>
  <si>
    <t>Vivienda</t>
  </si>
  <si>
    <t>Agua Potable y Saneamiento Básico</t>
  </si>
  <si>
    <t>34.1</t>
  </si>
  <si>
    <t>34.1.1</t>
  </si>
  <si>
    <t>Plantas de tratamiento de aguas residuales  construidas</t>
  </si>
  <si>
    <t>34.2</t>
  </si>
  <si>
    <t>34.2.1</t>
  </si>
  <si>
    <t>Proyectos de acueducto y alcantarillado en área urbana financiados</t>
  </si>
  <si>
    <t>34.3</t>
  </si>
  <si>
    <t>4003026</t>
  </si>
  <si>
    <t>Servicios de apoyo financiero para la ejecución de proyectos de acueductos y de manejo de aguas residuales</t>
  </si>
  <si>
    <t>34.3.1</t>
  </si>
  <si>
    <t>Proyectos de acueducto y de manejo de aguas residuales en área rural financiados</t>
  </si>
  <si>
    <t>34.4</t>
  </si>
  <si>
    <t>34.4.1</t>
  </si>
  <si>
    <t>Eventos de educación informal en agua y saneamiento básico realizados</t>
  </si>
  <si>
    <t>34.5</t>
  </si>
  <si>
    <t>34.5.1</t>
  </si>
  <si>
    <t xml:space="preserve">Estudios o diseños realizados </t>
  </si>
  <si>
    <t>Unidad para la Atención y Reparación Integral a las Víctimas - Corte a 31 de Diciembre de 2019</t>
  </si>
  <si>
    <t>35.1</t>
  </si>
  <si>
    <t>35.1.1</t>
  </si>
  <si>
    <t>Iniciativas de memoria histórica asistidas técnicamente</t>
  </si>
  <si>
    <t>Unidad para la Atención y Reparación Integral a las Víctimas - Corte a 31 de Diciembre de 2019 - Oficina de Derechos Humanos, Secretaría de Interior</t>
  </si>
  <si>
    <t>35.2</t>
  </si>
  <si>
    <t>35.2.1</t>
  </si>
  <si>
    <t>Solicitudes tramitadas</t>
  </si>
  <si>
    <t>35.3</t>
  </si>
  <si>
    <t>35.3.1</t>
  </si>
  <si>
    <t>Personas víctimas con ayuda humanitaria</t>
  </si>
  <si>
    <t>35.4</t>
  </si>
  <si>
    <t>4101038</t>
  </si>
  <si>
    <t>35.4.1</t>
  </si>
  <si>
    <t>Eventos de participación realizados</t>
  </si>
  <si>
    <t xml:space="preserve">Unidad para la Atención y Reparación Integral a las Víctimas </t>
  </si>
  <si>
    <t>35.5</t>
  </si>
  <si>
    <t>4101073</t>
  </si>
  <si>
    <t>35.5.1</t>
  </si>
  <si>
    <t>Hogares con asistencia técnica para la generación de ingresos</t>
  </si>
  <si>
    <t>85,04
61,80
97,96
535,38
0,72
14,13
81,5</t>
  </si>
  <si>
    <t>2018
2018
2018
2018
2018
2018
2018</t>
  </si>
  <si>
    <t>Instituto Nacional de Medicina Legal y Ciencias Forense.
Instituto Nacional de Medicina Legal y Ciencias Forense.
Sistema único de Información de la Niñez del Sistema Nacional de Bienestar Familiar (SUIN).
Instituto Nacional de Medicina Legal y Ciencias Forense.
Instituto Nacional de Medicina Legal y Ciencias Forense.</t>
  </si>
  <si>
    <t>80.00
61,4
97, 67
535, 08
0,48
12,00
71,12</t>
  </si>
  <si>
    <t>36.1</t>
  </si>
  <si>
    <t>36.1.1</t>
  </si>
  <si>
    <t>410202200</t>
  </si>
  <si>
    <t xml:space="preserve">Eventos de divulgación realizados </t>
  </si>
  <si>
    <t>85,04
81,5</t>
  </si>
  <si>
    <t>Instituto Nacional de Medicina Legal y Ciencias Forense
Instituto Nacional de Medicina Legal y Ciencias Forense</t>
  </si>
  <si>
    <t>80.00
71,12</t>
  </si>
  <si>
    <t>36.2</t>
  </si>
  <si>
    <t>36.2.1</t>
  </si>
  <si>
    <t>Capacitación en activación de las Rutas Integrales de Atención en Violencia Intrafamiliar y de Género, a trabajadores de Supermercados y Tenderos de los Municipios realizadas</t>
  </si>
  <si>
    <t xml:space="preserve"> Secretaría de Familia </t>
  </si>
  <si>
    <t>36.3</t>
  </si>
  <si>
    <t xml:space="preserve">Implementar y realizar seguimiento a las Rutas Integrales de Atención </t>
  </si>
  <si>
    <t>36.3.1</t>
  </si>
  <si>
    <t xml:space="preserve">Numero de rutas integrales de atención  a la  primera infancia implementadas y con seguimiento </t>
  </si>
  <si>
    <t xml:space="preserve">Secretaría de Familia </t>
  </si>
  <si>
    <t>36.4</t>
  </si>
  <si>
    <t>36.4.1</t>
  </si>
  <si>
    <t>Modelo de atención integral de entornos protectores implementado</t>
  </si>
  <si>
    <t>36.5</t>
  </si>
  <si>
    <t>36.5.1</t>
  </si>
  <si>
    <t xml:space="preserve">Atención integral a niños y niñas en primera infancia en espacios socialmente no convencionales implementados </t>
  </si>
  <si>
    <t>ICBF regional Quindío-Sistema de Responsabilidad Penal para Adolescentes</t>
  </si>
  <si>
    <t>36.6</t>
  </si>
  <si>
    <t>36.6.1</t>
  </si>
  <si>
    <t>Niños, niñas, adolescentes y jóvenes atendidos en los servicios de restablecimiento en la administración de justicia</t>
  </si>
  <si>
    <t>61,80
97,96
535,38
0,72
11,19
0,6
0.21
6,8</t>
  </si>
  <si>
    <t>Instituto Nacional de Medicina Legal y Ciencias Forense
Instituto Nacional de Medicina Legal y Ciencias Forense
Instituto Nacional de Medicina Legal y Ciencias Forense
Sistema único de Información de la Niñez del Sistema Nacional de Bienestar Familiar (SUIN).
FORENSIS- MEDICINA LEGAL
Sistema de Información Integrado para el Registro y Erradicación del Trabajo Infantil y sus Peores Formas, Ministerio del Trabajo- SIRITI
Secretaría de Salud Departamental</t>
  </si>
  <si>
    <t>61,4
97, 67
535, 08
0,48
10,1
0,4
0,19
6,0</t>
  </si>
  <si>
    <t>36.7</t>
  </si>
  <si>
    <t>36.7.1</t>
  </si>
  <si>
    <t xml:space="preserve">Política Pública de Primera Infancia, Infancia y Adolescencia, revisada, ajustada e implementada. </t>
  </si>
  <si>
    <t>85,04
14,13
81,5
10,77
0,6
0.21
100%</t>
  </si>
  <si>
    <t>Instituto Nacional de Medicina Legal y Ciencias Forense
Instituto Nacional de Medicina Legal y Ciencias Forense
Instituto Nacional de Medicina Legal y Ciencias Forense
FORENSIS- MEDICINA LEGAL
Sistema de Información Integrado para el Registro y Erradicación del Trabajo Infantil y sus Peores Formas, Ministerio del Trabajo- SIRITI
Secretaría de Salud Departamental
Secretaría de Familia- Dirección de Adulto Mayor y Discapacidad</t>
  </si>
  <si>
    <t>80,00
12,00
71,12
9,45
0,4
0.19
100%</t>
  </si>
  <si>
    <t>36.8</t>
  </si>
  <si>
    <t xml:space="preserve">Implementar la  Política Pública para la Protección, el Fortalecimiento y el Desarrollo Integral de la Familia Quindiana </t>
  </si>
  <si>
    <t>36.8.1</t>
  </si>
  <si>
    <t>Política Pública de Familia  implementada</t>
  </si>
  <si>
    <t xml:space="preserve">10,77
14,13
81,5
85,04
6,8
No Disponible
ND
</t>
  </si>
  <si>
    <t>FORENSIS- MEDICINA LEGAL
Instituto Nacional de Medicina Legal y Ciencias Forense
Instituto Nacional de Medicina Legal y Ciencias Forense
Instituto Nacional de Medicina Legal y Ciencias Forense
Observatorio de Drogas de Colombia
ICBF regional Quindío-Sistema de Responsabilidad Penal para Adolescentes
Secretaría de Familia/ Oficina de Juventud.</t>
  </si>
  <si>
    <t>9,45
12,00
71,12
80,00
6,0
100%
100%</t>
  </si>
  <si>
    <t>36.9</t>
  </si>
  <si>
    <t xml:space="preserve">Implementar  la Política Pública de Juventud </t>
  </si>
  <si>
    <t>36.9.1</t>
  </si>
  <si>
    <t>Política Pública de Juventud implementada</t>
  </si>
  <si>
    <t>37.1</t>
  </si>
  <si>
    <t>37.1.1</t>
  </si>
  <si>
    <t>Comunidades con acompañamiento familiar.</t>
  </si>
  <si>
    <t>37.4</t>
  </si>
  <si>
    <t>37.4.1</t>
  </si>
  <si>
    <t>Unidades productivas colectivas con asistencia técnica</t>
  </si>
  <si>
    <t>Secretaría de Familia- Dirección de Adulto Mayor y Discapacidad</t>
  </si>
  <si>
    <t>37.3</t>
  </si>
  <si>
    <t>37.3.1</t>
  </si>
  <si>
    <t>Unidades productivas colectivas fortalecidas</t>
  </si>
  <si>
    <t xml:space="preserve">Secretaria de Familia - dirección de poblaciones </t>
  </si>
  <si>
    <t>37.2</t>
  </si>
  <si>
    <t>37.2.1</t>
  </si>
  <si>
    <t>Secretaría de Familia-Dirección de Poblaciones</t>
  </si>
  <si>
    <t>37.5</t>
  </si>
  <si>
    <t>37.5.1</t>
  </si>
  <si>
    <t xml:space="preserve">Planes de vida de los cabildos indígenas  construidos  e implementados </t>
  </si>
  <si>
    <t>37.6</t>
  </si>
  <si>
    <t>37.6.1</t>
  </si>
  <si>
    <t xml:space="preserve">Planes de vida de los resguardos indígenas  construidos  e implementados </t>
  </si>
  <si>
    <t>Secretaria de Familia- Dirección de poblaciones</t>
  </si>
  <si>
    <t>37.7</t>
  </si>
  <si>
    <t>37.7.1</t>
  </si>
  <si>
    <t xml:space="preserve">Política Pública para la comunidad negra, afrocolombiana, raizal y palenquera residente en el departamento del Quindío formulada e implementada </t>
  </si>
  <si>
    <t>Agencia para la normalización y la Reincorporación - Corte al 31 de Diciembre de 2019</t>
  </si>
  <si>
    <t>37.8</t>
  </si>
  <si>
    <t>37.8.1</t>
  </si>
  <si>
    <t>Población excombatiente beneficiada</t>
  </si>
  <si>
    <t>Cobertura  de municipios del Departamento del Quindío  con el   Programas  de Rehabilitación Basada en la Comunidad  RBC</t>
  </si>
  <si>
    <t>38.3</t>
  </si>
  <si>
    <t>38.3.2</t>
  </si>
  <si>
    <t xml:space="preserve">Estrategia de rehabilitación basada en la comunidad implementada en los municipios  </t>
  </si>
  <si>
    <t>Cobertura de municipios atendidos  con el Banco de ayudas técnicas NO POS tipo Estándar, para las personas con discapacidad .</t>
  </si>
  <si>
    <t>38.3.1</t>
  </si>
  <si>
    <t xml:space="preserve">Personas atendidas con servicios integrales de atención </t>
  </si>
  <si>
    <t>38.5</t>
  </si>
  <si>
    <t xml:space="preserve">Transferencia estampilla para el bienestar del adulto mayor </t>
  </si>
  <si>
    <t>38.5.1</t>
  </si>
  <si>
    <t>Municipios con recursos transferidos con la estampilla Departamental para el bienestar del adulto mayor</t>
  </si>
  <si>
    <t>38.1</t>
  </si>
  <si>
    <t>38.1.1</t>
  </si>
  <si>
    <t xml:space="preserve">Adultos mayores atendidos con servicios integrales </t>
  </si>
  <si>
    <t>10,77
85,04
0</t>
  </si>
  <si>
    <t>2018
2018
nd</t>
  </si>
  <si>
    <t>FORENSIS- MEDICINA LEGAL
Instituto Nacional de Medicina Legal y Ciencias Forense
Secretaría de Familia- Dirección de Adulto Mayor y Discapacidad</t>
  </si>
  <si>
    <t>9,45
80,00
100%</t>
  </si>
  <si>
    <t>38.6</t>
  </si>
  <si>
    <t>38.6.1</t>
  </si>
  <si>
    <t>10,77
85,04
6,8
81,5</t>
  </si>
  <si>
    <t>2018
2018
2013
2018</t>
  </si>
  <si>
    <t>FORENSIS- MEDICINA LEGAL
Instituto Nacional de Medicina Legal y Ciencias Forense
Observatorio de Drogas de Colombia
Instituto Nacional de Medicina Legal y Ciencias Forense</t>
  </si>
  <si>
    <t>9,45
80,00
6,0
71,12</t>
  </si>
  <si>
    <t>38.7</t>
  </si>
  <si>
    <t>38.7.1</t>
  </si>
  <si>
    <t xml:space="preserve"> 85,04
81,5
0,21
19,60%
39,39%</t>
  </si>
  <si>
    <t>2018
2018
2018
2019
2018</t>
  </si>
  <si>
    <t>Instituto Nacional de Medicina Legal y Ciencias Forense
Instituto Nacional de Medicina Legal y Ciencias Forense
Secretaría de Salud Departamental
Registraduría Nacional del Estado Civil
Secretaria de Familia Gobernación del Quindío, Oficina dela mujer y la equidad.</t>
  </si>
  <si>
    <t>80,00
71,12
0.19%
21
50%</t>
  </si>
  <si>
    <t>38.8</t>
  </si>
  <si>
    <t>38.8.1</t>
  </si>
  <si>
    <t>10,77
85,04
100%
100%</t>
  </si>
  <si>
    <t>FORENSIS- MEDICINA LEGAL
Instituto Nacional de Medicina Legal y Ciencias Forense
Secretaría de Familia- Dirección de Adulto Mayor y Discapacidad
Secretaría de Familia- Dirección de Adulto Mayor y Discapacidad</t>
  </si>
  <si>
    <t>9,45
80,00
100%
100%</t>
  </si>
  <si>
    <t>38.9</t>
  </si>
  <si>
    <t xml:space="preserve">Formular e implementar la Política Pública de Adulto Mayor </t>
  </si>
  <si>
    <t>38.9.1</t>
  </si>
  <si>
    <t xml:space="preserve">Política Pública de Adulto Mayor  formulada e implementada </t>
  </si>
  <si>
    <t>38.2</t>
  </si>
  <si>
    <t>38.2.1</t>
  </si>
  <si>
    <t xml:space="preserve">Servicio de articulación habitante de calle implementado en los municipios </t>
  </si>
  <si>
    <t>38.4</t>
  </si>
  <si>
    <t>38.4.1</t>
  </si>
  <si>
    <t>Centros de atención integral para personas con Discapacidad construidos y dotados</t>
  </si>
  <si>
    <t>Indeportes Quindio</t>
  </si>
  <si>
    <t>Deporte y Recreación</t>
  </si>
  <si>
    <t>39.2</t>
  </si>
  <si>
    <t>4301037</t>
  </si>
  <si>
    <t>39.2.2</t>
  </si>
  <si>
    <t>430103704</t>
  </si>
  <si>
    <t>Municipios implementando  programas de recreación, actividad física y deporte social comunitario</t>
  </si>
  <si>
    <t>39.3</t>
  </si>
  <si>
    <t>39.3.1</t>
  </si>
  <si>
    <t>39.2.1</t>
  </si>
  <si>
    <t>Municipios vinculados al programa Supérate-Intercolegiados</t>
  </si>
  <si>
    <t>39.1</t>
  </si>
  <si>
    <t>39.1.1</t>
  </si>
  <si>
    <t>Municipios con Escuelas Deportivas</t>
  </si>
  <si>
    <t>100%
100%
1,19%</t>
  </si>
  <si>
    <t>100%
100%
100%</t>
  </si>
  <si>
    <t>39.4</t>
  </si>
  <si>
    <t>39.4.1</t>
  </si>
  <si>
    <t>Indeportes Quindio
Estadística Juegos Nacionales</t>
  </si>
  <si>
    <t>40.2</t>
  </si>
  <si>
    <t>40.2.1</t>
  </si>
  <si>
    <t xml:space="preserve">Organismos deportivos asistidos </t>
  </si>
  <si>
    <t>40.2.2</t>
  </si>
  <si>
    <t>Juegos Deportivos Realizados</t>
  </si>
  <si>
    <t>40.1</t>
  </si>
  <si>
    <t>40.1.1</t>
  </si>
  <si>
    <t xml:space="preserve">Tasa de participación femenina </t>
  </si>
  <si>
    <t>Registraduría Nacional del Estado Civil</t>
  </si>
  <si>
    <t>Gobierno Territorial</t>
  </si>
  <si>
    <t>41.2</t>
  </si>
  <si>
    <t>41.2.2</t>
  </si>
  <si>
    <t>Casa de la Mujer Empoderada implementada</t>
  </si>
  <si>
    <t>Tasa de violencia de Género</t>
  </si>
  <si>
    <t>Instituto Nacional de Medicina Legal y Ciencias Forense</t>
  </si>
  <si>
    <t>41.2.3</t>
  </si>
  <si>
    <t>Casa Refugio de la Mujer implementada</t>
  </si>
  <si>
    <t xml:space="preserve">DANE </t>
  </si>
  <si>
    <t>41.2.1</t>
  </si>
  <si>
    <t>Medidas implementadas en cumplimiento de las obligaciones internacionales en materia de Derechos Humanos y Derecho Internacional Humanitario</t>
  </si>
  <si>
    <t>41.1</t>
  </si>
  <si>
    <t>41.1.1</t>
  </si>
  <si>
    <t>41.3</t>
  </si>
  <si>
    <t>41.3.1</t>
  </si>
  <si>
    <t>Organismos de seguridad fortalecidos</t>
  </si>
  <si>
    <t>Registraduria Nacional del Estado Civil</t>
  </si>
  <si>
    <t>42.1</t>
  </si>
  <si>
    <t>Eventos de Rendición Pública de Cuentas que divulgan la gestión administrativa.</t>
  </si>
  <si>
    <t>42.1.1</t>
  </si>
  <si>
    <t xml:space="preserve">Eventos de Rendición Públicas de Cuentas realizados. </t>
  </si>
  <si>
    <t>42.2</t>
  </si>
  <si>
    <t>42.2.1</t>
  </si>
  <si>
    <t xml:space="preserve">Consejo Territorial de Planeación Departamental fortalecido.   </t>
  </si>
  <si>
    <t>42.3</t>
  </si>
  <si>
    <t>42.3.1</t>
  </si>
  <si>
    <t xml:space="preserve">Plan de Acción del Sistema Departamental de Servicio a la Ciudadanía SDSC implementado. </t>
  </si>
  <si>
    <t>42.4</t>
  </si>
  <si>
    <t>42.4.1</t>
  </si>
  <si>
    <t>Encuentros  ciudadanos realizados.</t>
  </si>
  <si>
    <t xml:space="preserve">Fortalecer las capacidades institucionales de la administración departamental, para generar condiciones de gobernanza territorial, participación, administración eficiente y transparente, planificación y seguimiento de la gestión institucional, y gobierno abierto. 
</t>
  </si>
  <si>
    <t>42.5</t>
  </si>
  <si>
    <t>42.5.1</t>
  </si>
  <si>
    <t>Municipos con organismos de acción comunal fortalecidos.</t>
  </si>
  <si>
    <t>42.6</t>
  </si>
  <si>
    <t>42.6.1</t>
  </si>
  <si>
    <t>Una Política Pública formulada.</t>
  </si>
  <si>
    <t xml:space="preserve">Fortalecer las capacidades institucionales de la administración departamental, para generar condiciones de gobernanza territorial, participación, administración eficiente y transparente, planificación y seguimiento de la gestión institucional, y gobierno abierto. </t>
  </si>
  <si>
    <t>Unidad Departamental en Gestión del Riesgo de Desastres</t>
  </si>
  <si>
    <t>43.1</t>
  </si>
  <si>
    <t>43.1.1</t>
  </si>
  <si>
    <t>43.2</t>
  </si>
  <si>
    <t>43.2.1</t>
  </si>
  <si>
    <t>Instancias territoriales asistidas</t>
  </si>
  <si>
    <t>43.3</t>
  </si>
  <si>
    <t>43.3.1</t>
  </si>
  <si>
    <t>Centro de reserva  para la atención a emergencias y desastres dotado</t>
  </si>
  <si>
    <t>Consejo privado de competitividad- Universidad del Rosario</t>
  </si>
  <si>
    <t>13.11</t>
  </si>
  <si>
    <t>13.11.1</t>
  </si>
  <si>
    <t>Infraestructura hospitalaria con procesos constructivos, mejorados, ampliados, mantenidos, y/o reforzados realizados</t>
  </si>
  <si>
    <t>Garantizar la sostenibilidad ambiental y protección de las condiciones biofísicas del territorio quindiano, así como las dinámicas de la planificación territorial, y la dotación de factores de infraestructura vial, de vivienda, de servicios públicos, y de equipamientos, entre otros.</t>
  </si>
  <si>
    <t>IDEAM
http://bart.ideam.gov.co/indiecosistemas/ind/ReportesSMBYC_CB.html</t>
  </si>
  <si>
    <t>Ambiental</t>
  </si>
  <si>
    <t>20.1</t>
  </si>
  <si>
    <t>3201008</t>
  </si>
  <si>
    <t>20.1.1</t>
  </si>
  <si>
    <t>320100805</t>
  </si>
  <si>
    <t>Campaña de monitoreo de calidad del aire realizadas</t>
  </si>
  <si>
    <t>20.2</t>
  </si>
  <si>
    <t>3201013</t>
  </si>
  <si>
    <t>20.2.1</t>
  </si>
  <si>
    <t>320101300</t>
  </si>
  <si>
    <t>21.1</t>
  </si>
  <si>
    <t>3202005</t>
  </si>
  <si>
    <t>Servicio de restauración de ecosistemas</t>
  </si>
  <si>
    <t>21.1.1</t>
  </si>
  <si>
    <t>320200500</t>
  </si>
  <si>
    <t>Áreas en proceso de restauración</t>
  </si>
  <si>
    <t>21.2</t>
  </si>
  <si>
    <t>Servicio apoyo financiero para la implementación de esquemas de pago por Servicio ambientales</t>
  </si>
  <si>
    <t>21.2.1</t>
  </si>
  <si>
    <t>320201700</t>
  </si>
  <si>
    <t xml:space="preserve">Esquemas de Pago por Servicio ambientales implementados </t>
  </si>
  <si>
    <t>21.4</t>
  </si>
  <si>
    <t>3202037</t>
  </si>
  <si>
    <t>21.4.1</t>
  </si>
  <si>
    <t>320203704</t>
  </si>
  <si>
    <t>Bosque ripario recuperado</t>
  </si>
  <si>
    <t>21.5</t>
  </si>
  <si>
    <t>Estrategia departamental para la protección y bienestar de los animales domésticos y silvestres del departamento</t>
  </si>
  <si>
    <t>21.5.1</t>
  </si>
  <si>
    <t>Estrategia  para la protección y bienestar de los animales domésticos y silvestres adoptada</t>
  </si>
  <si>
    <t>21.6</t>
  </si>
  <si>
    <t>Realizar  campaña  de sensibilización y apropiación del patrimonio ambiental en el departamento</t>
  </si>
  <si>
    <t>21.6.1</t>
  </si>
  <si>
    <t>Campaña  de sensibilización y apropiación del patrimonio ambiental realizada</t>
  </si>
  <si>
    <t>21.7</t>
  </si>
  <si>
    <t>Adquisición, mantenimiento y administración de áreas de importancia estratégica para la conservación y regulación del recurso hídrico</t>
  </si>
  <si>
    <t>21.7.1</t>
  </si>
  <si>
    <t xml:space="preserve">Numero de Hectáreas intervenidas </t>
  </si>
  <si>
    <t>IDEAM</t>
  </si>
  <si>
    <t>21.3</t>
  </si>
  <si>
    <t>21.3.1</t>
  </si>
  <si>
    <t>22.1</t>
  </si>
  <si>
    <t>3204012</t>
  </si>
  <si>
    <t>22.1.1</t>
  </si>
  <si>
    <t>320401200</t>
  </si>
  <si>
    <t xml:space="preserve">Emprendimientos apoyados </t>
  </si>
  <si>
    <t>22.2</t>
  </si>
  <si>
    <t>3204039</t>
  </si>
  <si>
    <t>Estaciones meteorológicas construidas</t>
  </si>
  <si>
    <t>22.2.1</t>
  </si>
  <si>
    <t>320403900</t>
  </si>
  <si>
    <t xml:space="preserve">Estaciones meteorológicas construidas </t>
  </si>
  <si>
    <t>23.2</t>
  </si>
  <si>
    <t>3205009</t>
  </si>
  <si>
    <t>Barreras rompe vientos recuperadas</t>
  </si>
  <si>
    <t>23.2.1</t>
  </si>
  <si>
    <t>320500900</t>
  </si>
  <si>
    <t>Barreras rompe vientos</t>
  </si>
  <si>
    <t>23.3</t>
  </si>
  <si>
    <t>23.3.1</t>
  </si>
  <si>
    <t>320501000</t>
  </si>
  <si>
    <t>Obras para estabilización de taludes realizadas</t>
  </si>
  <si>
    <t>23.4</t>
  </si>
  <si>
    <t>Obras para el control de erosión</t>
  </si>
  <si>
    <t>23.4.1</t>
  </si>
  <si>
    <t>320501400</t>
  </si>
  <si>
    <t xml:space="preserve">Área reforestada </t>
  </si>
  <si>
    <t>24.1</t>
  </si>
  <si>
    <t>3206005</t>
  </si>
  <si>
    <t>Servicio de divulgación de la información en gestión del cambio climático para un desarrollo bajo en carbono y resiliente al clima</t>
  </si>
  <si>
    <t>24.1.1</t>
  </si>
  <si>
    <t>320600500</t>
  </si>
  <si>
    <t xml:space="preserve">Campañas de información en gestión de cambio climático realizadas </t>
  </si>
  <si>
    <t>24.2</t>
  </si>
  <si>
    <t>3206014</t>
  </si>
  <si>
    <t>24.2.1</t>
  </si>
  <si>
    <t>320601400</t>
  </si>
  <si>
    <t>Plántulas producidas</t>
  </si>
  <si>
    <t>24.3</t>
  </si>
  <si>
    <t>3206015</t>
  </si>
  <si>
    <t>Estufas ecoeficientes</t>
  </si>
  <si>
    <t>24.3.1</t>
  </si>
  <si>
    <t>320601500</t>
  </si>
  <si>
    <t>Estufas ecoeficientes instaladas y en operación</t>
  </si>
  <si>
    <t xml:space="preserve">Fortalecer la productividad y competitividad en el Departamento, apoyando los sectores productivos consolidados y promisorios, y la dinamización del Sistema Regional de competitividad, sumado a las inversiones de Ciencia, Tecnología e Innovación, y la proyección regional, nacional e internacional del Departamento del Quindío.  
</t>
  </si>
  <si>
    <t>Fuente: Ilustración 2https://www.camaraarmenia.org.co/files/TIC2018.pdf</t>
  </si>
  <si>
    <t>31.1</t>
  </si>
  <si>
    <t>3903005</t>
  </si>
  <si>
    <t>31.1.1</t>
  </si>
  <si>
    <t>390300501</t>
  </si>
  <si>
    <t>Nuevas tecnologías adoptadas</t>
  </si>
  <si>
    <t xml:space="preserve">Fortalecer la productividad y competitividad en el Departamento, apoyando los sectores productivos consolidados y promisorios, y la dinamización del Sistema Regional de competitividad, sumado a las inversiones de Ciencia, Tecnología e Innovación, y la proyección regional, nacional e internacional del Departamento del Quindío. 
</t>
  </si>
  <si>
    <t>31.1.2</t>
  </si>
  <si>
    <t>390300507</t>
  </si>
  <si>
    <t>Start up generadas</t>
  </si>
  <si>
    <t xml:space="preserve">Fortalecer la productividad y competitividad en el Departamento, apoyando los sectores productivos consolidados y promisorios, y la dinamización del Sistema Regional de competitividad, sumado a las inversiones de Ciencia, Tecnología e Innovación, y la proyección regional, nacional e internacional del Departamento del Quindío.  </t>
  </si>
  <si>
    <t>31.1.3</t>
  </si>
  <si>
    <t>390300511</t>
  </si>
  <si>
    <t>Conocimiento tecnológico adquirido</t>
  </si>
  <si>
    <t>https://www.datos.gov.co/d/vruy-hj2m/visualization
https://colombiatic.mintic.gov.co/679/w3-propertyvalue-36673.html</t>
  </si>
  <si>
    <t>3904</t>
  </si>
  <si>
    <t>32.2</t>
  </si>
  <si>
    <t>Servicios de comunicación con enfoque en Ciencia Tecnología y Sociedad</t>
  </si>
  <si>
    <t>32.2.1</t>
  </si>
  <si>
    <t>Juguetes, juegos o videojuegos para la comunicación de la ciencia, tecnología e innovación producidos</t>
  </si>
  <si>
    <t>4001</t>
  </si>
  <si>
    <t>33.1</t>
  </si>
  <si>
    <t>4001001</t>
  </si>
  <si>
    <t>Servicio de asistencia técnica y jurídica en saneamiento y titulación de predios</t>
  </si>
  <si>
    <t>33.1.1</t>
  </si>
  <si>
    <t>400100100</t>
  </si>
  <si>
    <t>Entidades territoriales asistidas técnica y jurídicamente</t>
  </si>
  <si>
    <t>5.10%</t>
  </si>
  <si>
    <t>33.2</t>
  </si>
  <si>
    <t>4001014</t>
  </si>
  <si>
    <t>Viviendas de Interés Social urbanas construidas</t>
  </si>
  <si>
    <t>33.2.1</t>
  </si>
  <si>
    <t>400101400</t>
  </si>
  <si>
    <t>33.3</t>
  </si>
  <si>
    <t>4001015</t>
  </si>
  <si>
    <t>Viviendas de Interés Social urbanas mejoradas</t>
  </si>
  <si>
    <t>33.3.1</t>
  </si>
  <si>
    <t>400101500</t>
  </si>
  <si>
    <t>33.4</t>
  </si>
  <si>
    <t>4001017</t>
  </si>
  <si>
    <t>Viviendas de Interés Prioritario urbanas construidas</t>
  </si>
  <si>
    <t>33.4.1</t>
  </si>
  <si>
    <t>400101700</t>
  </si>
  <si>
    <t>33.5</t>
  </si>
  <si>
    <t>4001018</t>
  </si>
  <si>
    <t>Viviendas de Interés Prioritario urbanas mejoradas</t>
  </si>
  <si>
    <t>33.5.1</t>
  </si>
  <si>
    <t>400101800</t>
  </si>
  <si>
    <t>33.6</t>
  </si>
  <si>
    <t>4001030</t>
  </si>
  <si>
    <t>33.6.1</t>
  </si>
  <si>
    <t>400103000</t>
  </si>
  <si>
    <t>44.1</t>
  </si>
  <si>
    <t>44.1.1</t>
  </si>
  <si>
    <t>Estrategias o programas de  fomento para  acceso y  permanencia a la educación superior o terciaria implementados</t>
  </si>
  <si>
    <t>Departamento Nacional de Planeación DNP</t>
  </si>
  <si>
    <t>45.1</t>
  </si>
  <si>
    <t>45.1.1</t>
  </si>
  <si>
    <t>Número de Dimensiones y Políticas   de MIPG implementadas.</t>
  </si>
  <si>
    <t>45.3</t>
  </si>
  <si>
    <t>Banco de Programas y Proyectos del Departamento  con Procesos de fortalecimiento.</t>
  </si>
  <si>
    <t>45.3.1</t>
  </si>
  <si>
    <t>Banco de Programas y Proyectos del Departamento fortalecido</t>
  </si>
  <si>
    <t>45.4</t>
  </si>
  <si>
    <t>Observatorio económico del Departamento, con procesos de fortalecimiento</t>
  </si>
  <si>
    <t>45.4.1</t>
  </si>
  <si>
    <t>Observatorio económico del Departamento del Quindío actualizado y dotado.</t>
  </si>
  <si>
    <t>45.5</t>
  </si>
  <si>
    <t>45.5.1</t>
  </si>
  <si>
    <t xml:space="preserve">Instrumentos de planificación de ordenamiento y gestión territorial departamental implementados. </t>
  </si>
  <si>
    <t>45.6</t>
  </si>
  <si>
    <t>45.6.1</t>
  </si>
  <si>
    <t>Proceso de modernización administrativa implementada</t>
  </si>
  <si>
    <t>45.7</t>
  </si>
  <si>
    <t>Desarrollo e implementación de la Estrategia de Comunicaciones para la Administración Departamental</t>
  </si>
  <si>
    <t>45.7.1</t>
  </si>
  <si>
    <t>Estrategia de comunicaciones desarrollada e implementada</t>
  </si>
  <si>
    <t>45.8</t>
  </si>
  <si>
    <t>45.8.1</t>
  </si>
  <si>
    <t>45.9</t>
  </si>
  <si>
    <t>45.9.1</t>
  </si>
  <si>
    <t>Estrategias  de actualización, depuración, seguimiento y evaluación de las bases de datos  del Pasivo Pensional  de la Administración Departamental</t>
  </si>
  <si>
    <t>45.10</t>
  </si>
  <si>
    <t>Infraestructura institucional o de edificios públicos de atención de servicios ciudadanos con procesos constructivos, mejorados, ampliados, mantenidos y/o reforzados</t>
  </si>
  <si>
    <t>45.10.1</t>
  </si>
  <si>
    <t>Infraestructura Institucional o edificios públicos construida mejorada, ampliada, mantenida, y/o reforzada</t>
  </si>
  <si>
    <t>45.12</t>
  </si>
  <si>
    <t>Entes territoriales con servicio de asistencia  técnica del Modelo Integrado de Planeación y de Gestión MIPG</t>
  </si>
  <si>
    <t>45.12.1</t>
  </si>
  <si>
    <t>Entes Territoriales con procesos de asistencia técnica realizadas.</t>
  </si>
  <si>
    <t>45.13</t>
  </si>
  <si>
    <t>45.13.1</t>
  </si>
  <si>
    <t>45.14</t>
  </si>
  <si>
    <t>45.14.1</t>
  </si>
  <si>
    <t>45.15</t>
  </si>
  <si>
    <t>45.15.1</t>
  </si>
  <si>
    <t>45.16</t>
  </si>
  <si>
    <t>45.16.1</t>
  </si>
  <si>
    <t>45.17</t>
  </si>
  <si>
    <t>45.17.1</t>
  </si>
  <si>
    <t>Entes territoriales con procesos de asistencia técnica realizadas.</t>
  </si>
  <si>
    <t>Índice de Desempeño Fiscal Administración Departamental</t>
  </si>
  <si>
    <t>45.2</t>
  </si>
  <si>
    <t>45.2.1</t>
  </si>
  <si>
    <t>Estrategia  de fortalecimiento  del Índice de Desempeño  Fiscal implementadas.</t>
  </si>
  <si>
    <t>45.11</t>
  </si>
  <si>
    <t>45.11.1</t>
  </si>
  <si>
    <t>Programa para el cumplimiento de las políticas y prácticas contables implementado</t>
  </si>
  <si>
    <t>Mantener la infraestructura físicade los bienes de uso público de propiedad de los  municipios</t>
  </si>
  <si>
    <t>42.7</t>
  </si>
  <si>
    <t>42.7.1</t>
  </si>
  <si>
    <t>42.8</t>
  </si>
  <si>
    <t>4502001</t>
  </si>
  <si>
    <t>42.8.2</t>
  </si>
  <si>
    <t>Iniciativas para la promoción de la participación femenina en escenarios sociales y políticos implementada.</t>
  </si>
  <si>
    <t>Investigación con calidad e impacto</t>
  </si>
  <si>
    <t>30.1</t>
  </si>
  <si>
    <t>Infraestructura para la investigación adecuada</t>
  </si>
  <si>
    <t>30.1.1</t>
  </si>
  <si>
    <t>30.2</t>
  </si>
  <si>
    <t>Infraestructura para la investigación dotada</t>
  </si>
  <si>
    <t>30.2.1</t>
  </si>
  <si>
    <t>25.10</t>
  </si>
  <si>
    <t>Formulación e implementación del Plan de Cultura</t>
  </si>
  <si>
    <t>25.10.1</t>
  </si>
  <si>
    <t>Plan Decenal de cultura formulado e implementado</t>
  </si>
  <si>
    <t>34.6</t>
  </si>
  <si>
    <t xml:space="preserve">Adoptar e implementar la Política Publica de Producción Consumo Sostenible y Gestión Integral de Aseo  </t>
  </si>
  <si>
    <t>34.6.1</t>
  </si>
  <si>
    <t>Política Pública de Producción Consumo Sostenible y Gestión Integral de Aseo  adoptada e implementada.</t>
  </si>
  <si>
    <t>42.9</t>
  </si>
  <si>
    <t>42.9.1</t>
  </si>
  <si>
    <t>Política de Libertad Religiosa Implementado</t>
  </si>
  <si>
    <t>42.8.1</t>
  </si>
  <si>
    <t>Iniciativas para la promoción de la participación ciudadana implementada.</t>
  </si>
  <si>
    <t>F-PLA-05</t>
  </si>
  <si>
    <t>Octubre 1 de 2016</t>
  </si>
  <si>
    <t>Meta Cuatrenio</t>
  </si>
  <si>
    <t>Formulación e implementación del Plan Departamental en Salud Ambiental de adaptación al cambio climático.</t>
  </si>
  <si>
    <t xml:space="preserve"> </t>
  </si>
  <si>
    <t>Infraestructura hospitalaria con procesos constructivos, mejorados, ampliados, mantenidos, y/o reforzados</t>
  </si>
  <si>
    <t>Formular e implementar la política publica para la comunidad negra, afrocolombiana, raizal y palenquera residente en el departamento del Quindío</t>
  </si>
  <si>
    <t xml:space="preserve">Índice de competitividad  en el sector de infraestructura vial </t>
  </si>
  <si>
    <t>Formular e implementar un programa de formación en normas de tránsito y fomento de cultura  de la seguridad en la vía.</t>
  </si>
  <si>
    <t>Diseñar e implementar un programa de señalización y demarcación en los municipios y vías de jurisdicción del IDTQ.</t>
  </si>
  <si>
    <t>Servicio de vigilancia de la calidad del aire</t>
  </si>
  <si>
    <t>9
12</t>
  </si>
  <si>
    <t xml:space="preserve">Proceso de modernización administrativa, incluido el estudio de la viabilidad de creación de la Oficina de la Felicidad. </t>
  </si>
  <si>
    <t>i</t>
  </si>
  <si>
    <t>Nro</t>
  </si>
  <si>
    <t>Código KPT</t>
  </si>
  <si>
    <t>Nombre Programa</t>
  </si>
  <si>
    <t xml:space="preserve">Implementación del Modelo Operativo de Inspección, Vigilancia y Control IVC sanitario en los municipios de competencia departamental. </t>
  </si>
  <si>
    <t>Cobertura de municipios del departamento con procesos de implementación de proyectos productivos para las personas con discapacidad</t>
  </si>
  <si>
    <t>Cobertura de Instituciones Educativas con Planes Escolares de Gestión del Riesgo de Desastres-PEGERD</t>
  </si>
  <si>
    <t>Secretaria de Educación Deptal - Unidad Departamental en Gestión del Riesgo de Desastres</t>
  </si>
  <si>
    <t xml:space="preserve">Unidad Departamental en Gestión del Riesgo de Desastres.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</si>
  <si>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</si>
  <si>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suicidios en adolescentes (12 a 17 años)
Tasa  de Niños, Niñas y Adolescentes que participan en una actividad remunerada  o no  x cada 100.000 habitantes  en el departamento del Quindío
Tasa  de mujeres de 12 a 14 años que han sido madres o están en embarazo X 100.000 habitantes en el Departamento del Quindío
Tasa de Consumo de Sustancias Psicoactivas  x 100.000 Habitantes en el Departamento del Quindío.</t>
  </si>
  <si>
    <t>Cobertura de municipios que participan en programas de recreación, actividad física y deporte social y comunitario en el Departamento del Quindío.
Tasa de consumo de sustencias psicoactivas X100.000 habitantes en el Departamento del Quindío</t>
  </si>
  <si>
    <t>100%
6.8</t>
  </si>
  <si>
    <t>Indeportes Quindio
Obserbatorio de Dorgas de Colombia</t>
  </si>
  <si>
    <t>100%
6</t>
  </si>
  <si>
    <t>Tasa de lesionados por siniestros viales por cada 100 habitantes.
Tasa de fallecidos por siniestros viales por cada 100 habitantes.</t>
  </si>
  <si>
    <t>132.8 
17.5</t>
  </si>
  <si>
    <t>120
13.65</t>
  </si>
  <si>
    <t>PLAN DE DESARROLLO</t>
  </si>
  <si>
    <t>Nombre Estratégica</t>
  </si>
  <si>
    <t>Objetivo Priorizado</t>
  </si>
  <si>
    <t>Indicador de Bienestar</t>
  </si>
  <si>
    <t>Línea Base</t>
  </si>
  <si>
    <t>Año Base</t>
  </si>
  <si>
    <t>No. Programa
Interno</t>
  </si>
  <si>
    <t>Programa</t>
  </si>
  <si>
    <t xml:space="preserve">No. Producto Interno </t>
  </si>
  <si>
    <t>Código del Producto KPT</t>
  </si>
  <si>
    <t>Código del Programa KPT</t>
  </si>
  <si>
    <t xml:space="preserve">No. Indicador Producto Interno </t>
  </si>
  <si>
    <t>Código indicador Producto KPT</t>
  </si>
  <si>
    <t>Tipo de Meta
I/M/R</t>
  </si>
  <si>
    <t>Total Inversión Cuatrenio</t>
  </si>
  <si>
    <t xml:space="preserve">I </t>
  </si>
  <si>
    <t>Compromisos</t>
  </si>
  <si>
    <t>Obligaciones</t>
  </si>
  <si>
    <t>COMPROMISOS</t>
  </si>
  <si>
    <t>OBLIGACIONES</t>
  </si>
  <si>
    <t>Presupuesto</t>
  </si>
  <si>
    <t xml:space="preserve">% </t>
  </si>
  <si>
    <t>% Compromiso</t>
  </si>
  <si>
    <t>% Obligación</t>
  </si>
  <si>
    <t xml:space="preserve">TOTAL </t>
  </si>
  <si>
    <t>Valor Total 2020</t>
  </si>
  <si>
    <t>Obligaciones
Reservas 2019</t>
  </si>
  <si>
    <t>Matriz Plurianual</t>
  </si>
  <si>
    <t>POAI</t>
  </si>
  <si>
    <t>P</t>
  </si>
  <si>
    <t>E</t>
  </si>
  <si>
    <t>Servicio de asistencia técnica para la articulación de los operadores de los servicios de justicia</t>
  </si>
  <si>
    <t>Personas privadas de la libertad (PPL) que reciben servicio de resocialización</t>
  </si>
  <si>
    <t>contribucion 5% Obras pubicas  Ley 1738 de 2014 art 8  y Ley 1106 de 2006 art. 6</t>
  </si>
  <si>
    <t>Cobertura  de municipios del departamento del Quindio  atendidos con estudios y/o construciónde obras   para mitigación y atención a desastres realizadas.
Ecosistemas protegidos y/o en procesos de restauración en el Departamento</t>
  </si>
  <si>
    <t>Cobertura  de municipios del departamento del Quindio  atendidos con estudios y/o construción de obras   para mitigación y atención a desastres realizadas.</t>
  </si>
  <si>
    <t>DNP</t>
  </si>
  <si>
    <t>Documentos de lineamientos técnicos para mejorar la calidad ambiental de las áreas urbanas elaborados</t>
  </si>
  <si>
    <t>SGP Alimentación Escolar</t>
  </si>
  <si>
    <t>Índice Departamental de Competitividad Turìstica
Tasa de desempleo</t>
  </si>
  <si>
    <t xml:space="preserve">Cobertura de acueducto .
Cobertura  de alcantarillado </t>
  </si>
  <si>
    <t xml:space="preserve">Cobertura  de alcantarillado </t>
  </si>
  <si>
    <t xml:space="preserve">Cobertura en la  implementación del  modelo de entornos protectores y atención integral de   la primera infancia </t>
  </si>
  <si>
    <t>Tasa de Suicidio  x 100.000 Habitantes en el Departamento del Quindío.
Tasa de Violencia Intrafamiliar x 100.000 Habitantes en el Departamento del Quindío.
Cobertura a los grupos de adulto mayor del departamento del Quindío en articulación con los Municipios, en el marco de garantizar estimulación física, cognitiva, emocional y social en bienestar de una vejez activa y saludable 
Cobertura  de  centros vida y centros de bienestar del adulto mayor (Legalmente constituidos)  apoyados con los recursos  de la  Estampilla Pro adulto Mayor .</t>
  </si>
  <si>
    <t>Cobertura  de  centros vida y centros de bienestar del adulto mayor (Legalmente constituidos)  apoyados con los recursos  de la  Estampilla Pro Adulto Mayor .</t>
  </si>
  <si>
    <t>Realizar la vigilancia epidemiológica de plaguicidas en el marco del programa VEO (vigilancia epidemiológica de organofosforados y carba matos) en los municipios de competencia departamental.</t>
  </si>
  <si>
    <t xml:space="preserve"> Plan de Fortalecimiento de Capacidades en Salud Ambiental Formulado</t>
  </si>
  <si>
    <t>Tasa de violencia de género.
Tasa de Suicidio  x 100.000 Habitantes en el Departamento del Quindío.
Tasa de suicidios en niños y niñas ( 6 a 11 años)
Tasa de suicidios en adolescentes (12 a 17 años)
Tasa de suicidios (18 - 28 años)
Tasa de Consumo de Sustancias Psicoactivas  x 100.000 Habitantes en el Departamento del Quindío.</t>
  </si>
  <si>
    <t>.Tasa de participación en procesos y actividades artísticas y culturales.
.Tasa de consumo de sustancias psicoactivas por 100.000 habitantes en el departamento del Quindío.</t>
  </si>
  <si>
    <t>.Cobertura en formación artística y cultural
.Tasa de consumo de sustancias psicoactivas por 100.000 habitantes en el departamento del Quindío.</t>
  </si>
  <si>
    <t>.Tasa de lectura
.Tasa de consumo de sustancias psicoactivas por 100.000 habitantes en el departamento del Quindío.</t>
  </si>
  <si>
    <t>.Tasa de cumplimiento al Plan de Biocultura en patrimonio y del PCC.
.Tasa de consumo de sustancias psicoactivas por 100.000 habitantes en el departamento del Quindío.</t>
  </si>
  <si>
    <t>Infraestructura   vial  con procesos  de construcción, mejoramiento, ampliación, mantenimiento y/o  reforzamiento.</t>
  </si>
  <si>
    <t>Cobertura de ligas apoyadas en el departamento del Quindío.
Porcentaje de medallería del departamento del Quindío en los Juegos Nacionales.</t>
  </si>
  <si>
    <t>100%
1.19</t>
  </si>
  <si>
    <t>100%
2</t>
  </si>
  <si>
    <t>Política pública formulada e implementada</t>
  </si>
  <si>
    <t>Código KPT CCP</t>
  </si>
  <si>
    <t>Código indicador Producto KPT CCP</t>
  </si>
  <si>
    <t>Fortalecimiento a la gestión y dirección de la  administración pública Territorial. "Quindío con una administración al servicio de la ciudadanía"</t>
  </si>
  <si>
    <t>Fortalecimiento del buen gobierno para el respeto y garantía de los derechos humanos. "Quindío integrado y participativo"</t>
  </si>
  <si>
    <t>1202019</t>
  </si>
  <si>
    <t>120201900</t>
  </si>
  <si>
    <t>Infraestructura de las Instituciones de Seguridad del Estado con procesos constructivos, mejorados, ampliados, mantenidos, y/o reforzados</t>
  </si>
  <si>
    <t>Aseguramiento y Prestación integral de servicios de salud. "Tú y yo con servicios de salud"</t>
  </si>
  <si>
    <t>Salud y Protección Social</t>
  </si>
  <si>
    <t>Aseguramiento y prestación integral de servicios de salud. "Tú y yo con servicios de salud"</t>
  </si>
  <si>
    <t>Fomento a la recreación, la actividad física y el deporte para desarrollar entornos de convivencia y paz. "Tú y yo en la recreación y el deporte"</t>
  </si>
  <si>
    <t xml:space="preserve">Infraestructura  deportiva y/o recreativa con procesos   constructivos , mejorados, ampliados, mantenidos, y/o  reforzados </t>
  </si>
  <si>
    <t xml:space="preserve">Infraestructura deportiva y/o recreativa construída mejorada, ampliada, mantenida, y/o  reforzada </t>
  </si>
  <si>
    <t>Servicio de fortalecimiento a las capacidades de los docentes y agentes educativos en educación inicial o preescolar de acuerdo a los referentes nacionales</t>
  </si>
  <si>
    <t>Servicio de apoyo a proyectos pedagógicos productivos</t>
  </si>
  <si>
    <t xml:space="preserve">
Tasa de cobertura bruta en educación básica
Tasa de cobertura en educación media
</t>
  </si>
  <si>
    <t xml:space="preserve">84,55% 
78,22% </t>
  </si>
  <si>
    <t xml:space="preserve">Política de Transparencia, Acceso a la Información Pública y Lucha Contra la Corrupción  articulada   con el "Pacto por la Integridad , Transparencia y Legalidad" del Gobierno Nacional desarrollada.                                                                                   </t>
  </si>
  <si>
    <t>Facilitar el acceso y uso de las Tecnologías de la Información y las Comunicaciones (TIC) en todo el territorio nacional. "Tú y yo somos ciudadanos TIC"</t>
  </si>
  <si>
    <t>Desarrollo integral de niñas, niños, adolescentes y sus familias. "Tú y yo niños, niñas y adolescentes con desarrollo integral"</t>
  </si>
  <si>
    <t>Atención integral de población en situación permanente de desprotección social y/o familiar. "Tú y yo con atención integral"</t>
  </si>
  <si>
    <t>Gestión del riesgo de desastres y emergencias. "Tú y yo preparados en gestión del riesgo"</t>
  </si>
  <si>
    <t>Inclusión Social</t>
  </si>
  <si>
    <t>Servicio de atención a emergencias y desastres
/Servicio de fortalecimiento a las salas de crisis territorial</t>
  </si>
  <si>
    <t>3202043</t>
  </si>
  <si>
    <t>Docentes y agentes educativos beneficiarios de servicio de fortalecimiento a sus capacidades de acuerdo a los referentes nacionales</t>
  </si>
  <si>
    <t>Calidad y fomento de la educación superior. "Tú y yo preparados para la educación superior"</t>
  </si>
  <si>
    <t>450202400</t>
  </si>
  <si>
    <t>Documento de Política Pública de Primera Infancia, Infancia y Adolescencia, revisado y ajustado</t>
  </si>
  <si>
    <t>Revisar y ajustar   la Política Pública de Primera Infancia, Infancia y Adolescencia</t>
  </si>
  <si>
    <t>Implementar  la Política Pública de Primera Infancia, Infancia y Adolescencia</t>
  </si>
  <si>
    <t xml:space="preserve">Mecanismos de articulación implementados para la gestión de oferta social </t>
  </si>
  <si>
    <t>Implementar  la Política Pública de Diversidad Sexual e Identidad de Género</t>
  </si>
  <si>
    <t>Política pública de diversidad sexual e Identidad de Género implementada.</t>
  </si>
  <si>
    <t xml:space="preserve">Implementar la política pública de equidad de género para la mujer </t>
  </si>
  <si>
    <t>Política pública de la mujer y equidad de género implementada</t>
  </si>
  <si>
    <t>Documento de Política pública de la mujer y equidad de género revisada y ajustada</t>
  </si>
  <si>
    <t>Revisar, ajustar la Política Pública de  Discapacidad</t>
  </si>
  <si>
    <t>Documento de Política Pública de  Discapacidad revisado y ajustado</t>
  </si>
  <si>
    <t>1905030</t>
  </si>
  <si>
    <t>190503000</t>
  </si>
  <si>
    <t>Servicio de apoyo para la transferencia de conocimiento y tecnologías</t>
  </si>
  <si>
    <t>4301006</t>
  </si>
  <si>
    <t>430100600</t>
  </si>
  <si>
    <t>4302004</t>
  </si>
  <si>
    <t>430200401</t>
  </si>
  <si>
    <t>9/
10</t>
  </si>
  <si>
    <t>Transporte/
Ambiente</t>
  </si>
  <si>
    <t xml:space="preserve">Transporte/
Prevención y atención de desastres </t>
  </si>
  <si>
    <t>230203900</t>
  </si>
  <si>
    <t xml:space="preserve">Diseñar e implementar un modelo de atención integral en entornos protectores para la primera infancia </t>
  </si>
  <si>
    <t>16.8</t>
  </si>
  <si>
    <t>Servicio de apoyo en tecnologías de la información y las comunicaciones para la educación básica, primaria y secundaria</t>
  </si>
  <si>
    <t>16.8.1</t>
  </si>
  <si>
    <t>Relación de estudiantes por terminal de cómputo en sedes educativas oficiales</t>
  </si>
  <si>
    <t>R</t>
  </si>
  <si>
    <t>Inclusión social y reconciliación</t>
  </si>
  <si>
    <t>Vivienda, ciudad y territorio</t>
  </si>
  <si>
    <t>Instancias territoriales de coordinación institucional asistidas y apoyadas</t>
  </si>
  <si>
    <t>Recursos Propios
Ingresos Corrientes de Libre Destinación - ICLD</t>
  </si>
  <si>
    <t>0.45</t>
  </si>
  <si>
    <t>SEGUIMIENTO PLAN INDICATIVO
PLAN  DE DESARROLLO 2020-2023 "TÚ Y YO SOMOS QUINDÍO"
IV TRIMESTRE 2020</t>
  </si>
  <si>
    <t xml:space="preserve">6,02
13,5
</t>
  </si>
  <si>
    <t>6,02
13,5</t>
  </si>
  <si>
    <t>99,57
99.68</t>
  </si>
  <si>
    <t>Índice Departamental de Competitividad
Tasa de desempleo</t>
  </si>
  <si>
    <t>Crecimiento económico del sector agropecuario (PIB)
Tasa de dessempleo</t>
  </si>
  <si>
    <t>72,91%
6,02
13,5</t>
  </si>
  <si>
    <t>80,3%
6,02
13,5</t>
  </si>
  <si>
    <t xml:space="preserve">6,12
13,5
</t>
  </si>
  <si>
    <t>Mortalidad por enfermedad diarreica aguda (EDA) menores 5 años (porcentaje de muertes anual)
Prevalencia de niños menores de 5 años con desnutrición aguda
Indice de riesgo de la calidad de agua para consumo humano IRCA</t>
  </si>
  <si>
    <t>PRESUPUESTO</t>
  </si>
  <si>
    <t>AVANCE  DE EJECUCION PLAN INDICATIVO  IV TRIMESTRE DE 2020</t>
  </si>
  <si>
    <t>Línea Estratégica</t>
  </si>
  <si>
    <t>Vía secundaria construida</t>
  </si>
  <si>
    <t>Vía secundaria mejorada</t>
  </si>
  <si>
    <t>Mejoramiento de vías con soluciones tradicionales</t>
  </si>
  <si>
    <t>Indicador del Producto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</si>
</sst>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00_);_(&quot;$&quot;\ * \(#,##0.00\);_(&quot;$&quot;\ * &quot;-&quot;??_);_(@_)"/>
    <numFmt numFmtId="165" formatCode="_(* #,##0.00_);_(* \(#,##0.00\);_(* &quot;-&quot;??_);_(@_)"/>
    <numFmt numFmtId="166" formatCode="_-&quot;$&quot;\ * #,##0_-;\-&quot;$&quot;\ * #,##0_-;_-&quot;$&quot;\ * &quot;-&quot;_-;_-@_-"/>
    <numFmt numFmtId="167" formatCode="_-&quot;$&quot;\ * #,##0.00_-;\-&quot;$&quot;\ * #,##0.00_-;_-&quot;$&quot;\ * &quot;-&quot;??_-;_-@_-"/>
    <numFmt numFmtId="168" formatCode="_([$$-240A]\ * #,##0.00_);_([$$-240A]\ * \(#,##0.00\);_([$$-240A]\ * &quot;-&quot;??_);_(@_)"/>
    <numFmt numFmtId="169" formatCode="00"/>
    <numFmt numFmtId="170" formatCode="_-* #,##0.00_-;\-* #,##0.00_-;_-* &quot;-&quot;_-;_-@_-"/>
    <numFmt numFmtId="171" formatCode="0.0%"/>
    <numFmt numFmtId="172" formatCode="0.0"/>
    <numFmt numFmtId="173" formatCode="_(&quot;$&quot;\ * #,##0.000000_);_(&quot;$&quot;\ * \(#,##0.000000\);_(&quot;$&quot;\ * &quot;-&quot;??_);_(@_)"/>
    <numFmt numFmtId="174" formatCode="_(&quot;$&quot;\ * #,##0.0000000000_);_(&quot;$&quot;\ * \(#,##0.0000000000\);_(&quot;$&quot;\ * &quot;-&quot;??_);_(@_)"/>
    <numFmt numFmtId="175" formatCode="_-&quot;$&quot;* #,##0.00_-;\-&quot;$&quot;* #,##0.00_-;_-&quot;$&quot;* &quot;-&quot;_-;_-@_-"/>
    <numFmt numFmtId="176" formatCode="_-* #,##0.00\ _€_-;\-* #,##0.00\ _€_-;_-* &quot;-&quot;??\ _€_-;_-@_-"/>
    <numFmt numFmtId="177" formatCode="_ [$€-2]\ * #,##0.00_ ;_ [$€-2]\ * \-#,##0.00_ ;_ [$€-2]\ * &quot;-&quot;??_ "/>
  </numFmts>
  <fonts count="31" x14ac:knownFonts="1">
    <font>
      <sz val="11"/>
      <color theme="1"/>
      <name val="Calibri"/>
      <family val="2"/>
      <scheme val="minor"/>
    </font>
    <font>
      <sz val="11"/>
      <color theme="1"/>
      <name val="Calibri"/>
      <family val="2"/>
      <scheme val="minor"/>
    </font>
    <font>
      <b/>
      <sz val="11"/>
      <color theme="0"/>
      <name val="Calibri"/>
      <family val="2"/>
      <scheme val="minor"/>
    </font>
    <font>
      <sz val="12"/>
      <name val="Arial"/>
      <family val="2"/>
    </font>
    <font>
      <sz val="11"/>
      <color indexed="8"/>
      <name val="Calibri"/>
      <family val="2"/>
    </font>
    <font>
      <b/>
      <sz val="12"/>
      <color theme="0"/>
      <name val="Arial"/>
      <family val="2"/>
    </font>
    <font>
      <b/>
      <sz val="11"/>
      <color rgb="FF6F6F6E"/>
      <name val="Calibri"/>
      <family val="2"/>
      <scheme val="minor"/>
    </font>
    <font>
      <sz val="10"/>
      <name val="Arial"/>
      <family val="2"/>
    </font>
    <font>
      <b/>
      <sz val="9"/>
      <color indexed="81"/>
      <name val="Tahoma"/>
      <family val="2"/>
    </font>
    <font>
      <sz val="9"/>
      <color indexed="81"/>
      <name val="Tahoma"/>
      <family val="2"/>
    </font>
    <font>
      <u/>
      <sz val="11"/>
      <color theme="10"/>
      <name val="Calibri"/>
      <family val="2"/>
      <scheme val="minor"/>
    </font>
    <font>
      <sz val="11"/>
      <color rgb="FF000000"/>
      <name val="Calibri"/>
      <family val="2"/>
    </font>
    <font>
      <b/>
      <sz val="11"/>
      <color theme="1"/>
      <name val="Calibri"/>
      <family val="2"/>
      <scheme val="minor"/>
    </font>
    <font>
      <sz val="11"/>
      <color theme="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2"/>
      <name val="Arial"/>
      <family val="2"/>
    </font>
    <font>
      <sz val="12"/>
      <color theme="1"/>
      <name val="Arial"/>
      <family val="2"/>
    </font>
    <font>
      <sz val="10"/>
      <color theme="1"/>
      <name val="Arial"/>
      <family val="2"/>
    </font>
    <font>
      <b/>
      <sz val="12"/>
      <color theme="1"/>
      <name val="Arial"/>
      <family val="2"/>
    </font>
    <font>
      <sz val="12"/>
      <color theme="0"/>
      <name val="Arial"/>
      <family val="2"/>
    </font>
  </fonts>
  <fills count="44">
    <fill>
      <patternFill patternType="none"/>
    </fill>
    <fill>
      <patternFill patternType="gray125"/>
    </fill>
    <fill>
      <patternFill patternType="solid">
        <fgColor rgb="FFA5A5A5"/>
      </patternFill>
    </fill>
    <fill>
      <patternFill patternType="solid">
        <fgColor theme="0"/>
        <bgColor indexed="64"/>
      </patternFill>
    </fill>
    <fill>
      <patternFill patternType="solid">
        <fgColor rgb="FF92D050"/>
        <bgColor indexed="64"/>
      </patternFill>
    </fill>
    <fill>
      <patternFill patternType="solid">
        <fgColor rgb="FF002060"/>
        <bgColor indexed="64"/>
      </patternFill>
    </fill>
    <fill>
      <patternFill patternType="solid">
        <fgColor rgb="FF00B0F0"/>
        <bgColor indexed="64"/>
      </patternFill>
    </fill>
    <fill>
      <patternFill patternType="solid">
        <fgColor rgb="FFECECEC"/>
        <bgColor indexed="64"/>
      </patternFill>
    </fill>
    <fill>
      <patternFill patternType="solid">
        <fgColor rgb="FF522B57"/>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theme="9" tint="0.39997558519241921"/>
        <bgColor indexed="64"/>
      </patternFill>
    </fill>
    <fill>
      <patternFill patternType="solid">
        <fgColor theme="8" tint="-0.499984740745262"/>
        <bgColor indexed="64"/>
      </patternFill>
    </fill>
  </fills>
  <borders count="30">
    <border>
      <left/>
      <right/>
      <top/>
      <bottom/>
      <diagonal/>
    </border>
    <border>
      <left style="double">
        <color rgb="FF3F3F3F"/>
      </left>
      <right style="double">
        <color rgb="FF3F3F3F"/>
      </right>
      <top style="double">
        <color rgb="FF3F3F3F"/>
      </top>
      <bottom style="double">
        <color rgb="FF3F3F3F"/>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rgb="FF522B57"/>
      </left>
      <right style="thin">
        <color rgb="FF522B57"/>
      </right>
      <top style="thin">
        <color rgb="FF522B57"/>
      </top>
      <bottom style="thin">
        <color rgb="FF522B57"/>
      </bottom>
      <diagonal/>
    </border>
    <border>
      <left style="medium">
        <color rgb="FFECECEC"/>
      </left>
      <right style="medium">
        <color rgb="FFECECEC"/>
      </right>
      <top style="medium">
        <color rgb="FFECECEC"/>
      </top>
      <bottom style="medium">
        <color rgb="FFECECEC"/>
      </bottom>
      <diagonal/>
    </border>
    <border>
      <left style="thin">
        <color theme="0" tint="-4.9989318521683403E-2"/>
      </left>
      <right style="thin">
        <color theme="0" tint="-4.9989318521683403E-2"/>
      </right>
      <top/>
      <bottom style="thin">
        <color theme="0" tint="-4.9989318521683403E-2"/>
      </bottom>
      <diagonal/>
    </border>
    <border>
      <left style="thin">
        <color theme="1"/>
      </left>
      <right style="thin">
        <color theme="1"/>
      </right>
      <top style="thin">
        <color theme="1"/>
      </top>
      <bottom/>
      <diagonal/>
    </border>
    <border>
      <left style="thin">
        <color theme="0" tint="-4.9989318521683403E-2"/>
      </left>
      <right style="thin">
        <color theme="0" tint="-4.9989318521683403E-2"/>
      </right>
      <top/>
      <bottom/>
      <diagonal/>
    </border>
    <border>
      <left style="thin">
        <color indexed="64"/>
      </left>
      <right style="thin">
        <color indexed="64"/>
      </right>
      <top/>
      <bottom style="thin">
        <color theme="4" tint="0.399975585192419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s>
  <cellStyleXfs count="176">
    <xf numFmtId="168" fontId="0" fillId="0" borderId="0"/>
    <xf numFmtId="43"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165" fontId="4" fillId="0" borderId="0" applyFont="0" applyFill="0" applyBorder="0" applyAlignment="0" applyProtection="0"/>
    <xf numFmtId="165" fontId="1" fillId="0" borderId="0" applyFont="0" applyFill="0" applyBorder="0" applyAlignment="0" applyProtection="0"/>
    <xf numFmtId="168" fontId="6" fillId="7" borderId="15">
      <alignment horizontal="center" vertical="center" wrapText="1"/>
    </xf>
    <xf numFmtId="168" fontId="7" fillId="0" borderId="0"/>
    <xf numFmtId="167" fontId="1" fillId="0" borderId="0" applyFont="0" applyFill="0" applyBorder="0" applyAlignment="0" applyProtection="0"/>
    <xf numFmtId="43" fontId="1" fillId="0" borderId="0" applyFont="0" applyFill="0" applyBorder="0" applyAlignment="0" applyProtection="0"/>
    <xf numFmtId="0" fontId="1" fillId="0" borderId="0"/>
    <xf numFmtId="0" fontId="2" fillId="8" borderId="16">
      <alignment horizontal="center" vertical="center" wrapText="1"/>
    </xf>
    <xf numFmtId="164" fontId="1" fillId="0" borderId="0" applyFont="0" applyFill="0" applyBorder="0" applyAlignment="0" applyProtection="0"/>
    <xf numFmtId="0" fontId="6" fillId="7" borderId="15">
      <alignment horizontal="center" vertical="center" wrapText="1"/>
    </xf>
    <xf numFmtId="0" fontId="7" fillId="0" borderId="0"/>
    <xf numFmtId="0" fontId="10" fillId="0" borderId="0" applyNumberFormat="0" applyFill="0" applyBorder="0" applyAlignment="0" applyProtection="0"/>
    <xf numFmtId="0" fontId="11" fillId="0" borderId="0"/>
    <xf numFmtId="168" fontId="1" fillId="0" borderId="0"/>
    <xf numFmtId="0" fontId="14" fillId="0" borderId="0" applyNumberFormat="0" applyFill="0" applyBorder="0" applyAlignment="0" applyProtection="0"/>
    <xf numFmtId="0" fontId="15" fillId="0" borderId="21" applyNumberFormat="0" applyFill="0" applyAlignment="0" applyProtection="0"/>
    <xf numFmtId="0" fontId="16" fillId="0" borderId="22" applyNumberFormat="0" applyFill="0" applyAlignment="0" applyProtection="0"/>
    <xf numFmtId="0" fontId="17" fillId="0" borderId="23" applyNumberFormat="0" applyFill="0" applyAlignment="0" applyProtection="0"/>
    <xf numFmtId="0" fontId="17" fillId="0" borderId="0" applyNumberFormat="0" applyFill="0" applyBorder="0" applyAlignment="0" applyProtection="0"/>
    <xf numFmtId="0" fontId="18" fillId="12" borderId="0" applyNumberFormat="0" applyBorder="0" applyAlignment="0" applyProtection="0"/>
    <xf numFmtId="0" fontId="19" fillId="13" borderId="0" applyNumberFormat="0" applyBorder="0" applyAlignment="0" applyProtection="0"/>
    <xf numFmtId="0" fontId="20" fillId="14" borderId="24" applyNumberFormat="0" applyAlignment="0" applyProtection="0"/>
    <xf numFmtId="0" fontId="21" fillId="15" borderId="25" applyNumberFormat="0" applyAlignment="0" applyProtection="0"/>
    <xf numFmtId="0" fontId="22" fillId="15" borderId="24" applyNumberFormat="0" applyAlignment="0" applyProtection="0"/>
    <xf numFmtId="0" fontId="23" fillId="0" borderId="26" applyNumberFormat="0" applyFill="0" applyAlignment="0" applyProtection="0"/>
    <xf numFmtId="0" fontId="24" fillId="0" borderId="0" applyNumberFormat="0" applyFill="0" applyBorder="0" applyAlignment="0" applyProtection="0"/>
    <xf numFmtId="0" fontId="1" fillId="16" borderId="27" applyNumberFormat="0" applyFont="0" applyAlignment="0" applyProtection="0"/>
    <xf numFmtId="0" fontId="25" fillId="0" borderId="0" applyNumberFormat="0" applyFill="0" applyBorder="0" applyAlignment="0" applyProtection="0"/>
    <xf numFmtId="0" fontId="12" fillId="0" borderId="28" applyNumberFormat="0" applyFill="0" applyAlignment="0" applyProtection="0"/>
    <xf numFmtId="0" fontId="1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3"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4"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167" fontId="1"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8" fillId="0" borderId="0"/>
    <xf numFmtId="44" fontId="1" fillId="0" borderId="0" applyFont="0" applyFill="0" applyBorder="0" applyAlignment="0" applyProtection="0"/>
    <xf numFmtId="0" fontId="7" fillId="0" borderId="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1" fontId="1" fillId="0" borderId="0" applyFont="0" applyFill="0" applyBorder="0" applyAlignment="0" applyProtection="0"/>
    <xf numFmtId="176" fontId="1" fillId="0" borderId="0" applyFont="0" applyFill="0" applyBorder="0" applyAlignment="0" applyProtection="0"/>
    <xf numFmtId="42" fontId="7" fillId="0" borderId="0" applyFont="0" applyFill="0" applyBorder="0" applyAlignment="0" applyProtection="0"/>
    <xf numFmtId="177" fontId="1" fillId="0" borderId="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8" fontId="7"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0" borderId="0"/>
    <xf numFmtId="43" fontId="4" fillId="0" borderId="0" applyFont="0" applyFill="0" applyBorder="0" applyAlignment="0" applyProtection="0"/>
    <xf numFmtId="0" fontId="28" fillId="0" borderId="0"/>
    <xf numFmtId="166"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xf numFmtId="43" fontId="1" fillId="0" borderId="0" applyFont="0" applyFill="0" applyBorder="0" applyAlignment="0" applyProtection="0"/>
    <xf numFmtId="0" fontId="28" fillId="0" borderId="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166" fontId="1" fillId="0" borderId="0" applyFont="0" applyFill="0" applyBorder="0" applyAlignment="0" applyProtection="0"/>
  </cellStyleXfs>
  <cellXfs count="278">
    <xf numFmtId="168" fontId="0" fillId="0" borderId="0" xfId="0"/>
    <xf numFmtId="165" fontId="3" fillId="0" borderId="3" xfId="6" applyFont="1" applyFill="1" applyBorder="1" applyAlignment="1">
      <alignment horizontal="justify" vertical="center"/>
    </xf>
    <xf numFmtId="0" fontId="3" fillId="0" borderId="3" xfId="0" applyNumberFormat="1" applyFont="1" applyFill="1" applyBorder="1" applyAlignment="1">
      <alignment horizontal="justify" vertical="center" wrapText="1"/>
    </xf>
    <xf numFmtId="165" fontId="3" fillId="0" borderId="6" xfId="7" applyFont="1" applyFill="1" applyBorder="1" applyAlignment="1">
      <alignment vertical="center"/>
    </xf>
    <xf numFmtId="165" fontId="26" fillId="0" borderId="0" xfId="19" applyNumberFormat="1" applyFont="1" applyFill="1" applyBorder="1" applyAlignment="1">
      <alignment horizontal="center" vertical="center"/>
    </xf>
    <xf numFmtId="165" fontId="26" fillId="0" borderId="0" xfId="7" applyNumberFormat="1" applyFont="1" applyFill="1" applyBorder="1" applyAlignment="1">
      <alignment horizontal="center" vertical="center"/>
    </xf>
    <xf numFmtId="165" fontId="26" fillId="0" borderId="0" xfId="19" applyNumberFormat="1" applyFont="1" applyFill="1" applyBorder="1" applyAlignment="1">
      <alignment horizontal="left" vertical="center"/>
    </xf>
    <xf numFmtId="43" fontId="3" fillId="0" borderId="3" xfId="11" applyFont="1" applyFill="1" applyBorder="1" applyAlignment="1" applyProtection="1">
      <alignment horizontal="right" vertical="center"/>
      <protection locked="0"/>
    </xf>
    <xf numFmtId="43" fontId="3" fillId="0" borderId="3" xfId="11" applyFont="1" applyFill="1" applyBorder="1" applyAlignment="1">
      <alignment horizontal="right" vertical="center" wrapText="1"/>
    </xf>
    <xf numFmtId="43" fontId="3" fillId="0" borderId="6" xfId="11" applyFont="1" applyFill="1" applyBorder="1" applyAlignment="1">
      <alignment horizontal="center" vertical="center"/>
    </xf>
    <xf numFmtId="43" fontId="3" fillId="0" borderId="6" xfId="11" applyFont="1" applyFill="1" applyBorder="1" applyAlignment="1">
      <alignment horizontal="right" vertical="center" wrapText="1"/>
    </xf>
    <xf numFmtId="165" fontId="3" fillId="0" borderId="6" xfId="7" applyFont="1" applyFill="1" applyBorder="1" applyAlignment="1">
      <alignment horizontal="center" vertical="center"/>
    </xf>
    <xf numFmtId="165" fontId="3" fillId="0" borderId="6" xfId="6" applyFont="1" applyFill="1" applyBorder="1" applyAlignment="1">
      <alignment horizontal="justify" vertical="center"/>
    </xf>
    <xf numFmtId="0" fontId="3" fillId="0" borderId="3" xfId="12" applyFont="1" applyFill="1" applyBorder="1" applyAlignment="1">
      <alignment horizontal="center" vertical="center" wrapText="1"/>
    </xf>
    <xf numFmtId="1" fontId="3" fillId="0" borderId="3" xfId="12" applyNumberFormat="1" applyFont="1" applyFill="1" applyBorder="1" applyAlignment="1">
      <alignment horizontal="center" vertical="center" wrapText="1"/>
    </xf>
    <xf numFmtId="0" fontId="3" fillId="0" borderId="9" xfId="12" applyFont="1" applyFill="1" applyBorder="1" applyAlignment="1">
      <alignment horizontal="center" vertical="center" wrapText="1"/>
    </xf>
    <xf numFmtId="0" fontId="5" fillId="0" borderId="0" xfId="12" applyFont="1" applyFill="1" applyBorder="1" applyAlignment="1">
      <alignment horizontal="center" vertical="center" wrapText="1"/>
    </xf>
    <xf numFmtId="0" fontId="5" fillId="0" borderId="0" xfId="12" applyNumberFormat="1" applyFont="1" applyFill="1" applyBorder="1" applyAlignment="1">
      <alignment horizontal="left" vertical="center"/>
    </xf>
    <xf numFmtId="0" fontId="3" fillId="0" borderId="14" xfId="12" applyFont="1" applyFill="1" applyBorder="1" applyAlignment="1">
      <alignment horizontal="center" vertical="center" wrapText="1"/>
    </xf>
    <xf numFmtId="168" fontId="27" fillId="0" borderId="0" xfId="0" applyFont="1"/>
    <xf numFmtId="168" fontId="5" fillId="5" borderId="3" xfId="0" applyFont="1" applyFill="1" applyBorder="1" applyAlignment="1">
      <alignment horizontal="center"/>
    </xf>
    <xf numFmtId="168" fontId="5" fillId="5" borderId="3" xfId="0" applyFont="1" applyFill="1" applyBorder="1" applyAlignment="1">
      <alignment horizontal="center" vertical="center"/>
    </xf>
    <xf numFmtId="168" fontId="29" fillId="4" borderId="3" xfId="0" applyFont="1" applyFill="1" applyBorder="1" applyAlignment="1">
      <alignment horizontal="center" vertical="center"/>
    </xf>
    <xf numFmtId="9" fontId="26" fillId="0" borderId="3" xfId="4" applyFont="1" applyFill="1" applyBorder="1" applyAlignment="1">
      <alignment horizontal="center" vertical="center"/>
    </xf>
    <xf numFmtId="10" fontId="26" fillId="0" borderId="3" xfId="4" applyNumberFormat="1" applyFont="1" applyFill="1" applyBorder="1" applyAlignment="1">
      <alignment horizontal="center" vertical="center"/>
    </xf>
    <xf numFmtId="168" fontId="27" fillId="0" borderId="0" xfId="0" applyFont="1" applyAlignment="1">
      <alignment vertical="center"/>
    </xf>
    <xf numFmtId="168" fontId="27" fillId="0" borderId="6" xfId="0" applyFont="1" applyBorder="1" applyAlignment="1">
      <alignment vertical="center"/>
    </xf>
    <xf numFmtId="168" fontId="29" fillId="0" borderId="7" xfId="0" applyFont="1" applyBorder="1" applyAlignment="1">
      <alignment horizontal="center" vertical="center"/>
    </xf>
    <xf numFmtId="168" fontId="29" fillId="0" borderId="6" xfId="0" applyFont="1" applyBorder="1" applyAlignment="1">
      <alignment vertical="center"/>
    </xf>
    <xf numFmtId="168" fontId="29" fillId="0" borderId="8" xfId="0" applyFont="1" applyBorder="1" applyAlignment="1">
      <alignment vertical="center"/>
    </xf>
    <xf numFmtId="168" fontId="5" fillId="0" borderId="0" xfId="0" applyFont="1" applyFill="1" applyBorder="1"/>
    <xf numFmtId="168" fontId="30" fillId="0" borderId="0" xfId="0" applyFont="1" applyFill="1" applyBorder="1" applyAlignment="1">
      <alignment vertical="center"/>
    </xf>
    <xf numFmtId="168" fontId="27" fillId="0" borderId="0" xfId="0" applyFont="1" applyFill="1" applyBorder="1"/>
    <xf numFmtId="168" fontId="29" fillId="0" borderId="0" xfId="0" applyFont="1"/>
    <xf numFmtId="0" fontId="26" fillId="4" borderId="3" xfId="12" applyFont="1" applyFill="1" applyBorder="1" applyAlignment="1">
      <alignment horizontal="center" vertical="center" wrapText="1"/>
    </xf>
    <xf numFmtId="0" fontId="26" fillId="4" borderId="3" xfId="12" applyNumberFormat="1" applyFont="1" applyFill="1" applyBorder="1" applyAlignment="1">
      <alignment horizontal="left" vertical="center"/>
    </xf>
    <xf numFmtId="168" fontId="26" fillId="4" borderId="3" xfId="0" applyFont="1" applyFill="1" applyBorder="1"/>
    <xf numFmtId="168" fontId="26" fillId="4" borderId="6" xfId="0" applyFont="1" applyFill="1" applyBorder="1"/>
    <xf numFmtId="0" fontId="26" fillId="4" borderId="9" xfId="12" applyFont="1" applyFill="1" applyBorder="1" applyAlignment="1">
      <alignment horizontal="center" vertical="center" wrapText="1"/>
    </xf>
    <xf numFmtId="0" fontId="26" fillId="4" borderId="2" xfId="12" applyNumberFormat="1" applyFont="1" applyFill="1" applyBorder="1" applyAlignment="1">
      <alignment horizontal="left" vertical="center"/>
    </xf>
    <xf numFmtId="168" fontId="26" fillId="4" borderId="0" xfId="0" applyFont="1" applyFill="1" applyBorder="1"/>
    <xf numFmtId="168" fontId="3" fillId="0" borderId="3" xfId="0" applyFont="1" applyBorder="1" applyAlignment="1">
      <alignment horizontal="justify" vertical="center" wrapText="1"/>
    </xf>
    <xf numFmtId="165" fontId="3" fillId="0" borderId="0" xfId="7" applyNumberFormat="1" applyFont="1" applyFill="1" applyBorder="1" applyAlignment="1">
      <alignment horizontal="center" vertical="center"/>
    </xf>
    <xf numFmtId="165" fontId="3" fillId="0" borderId="0" xfId="19" applyNumberFormat="1" applyFont="1" applyFill="1" applyBorder="1" applyAlignment="1">
      <alignment horizontal="left" vertical="center"/>
    </xf>
    <xf numFmtId="43" fontId="3" fillId="0" borderId="3" xfId="11" applyFont="1" applyFill="1" applyBorder="1" applyAlignment="1">
      <alignment vertical="center"/>
    </xf>
    <xf numFmtId="4" fontId="3" fillId="0" borderId="29" xfId="119" applyNumberFormat="1" applyFont="1" applyFill="1" applyBorder="1" applyAlignment="1">
      <alignment horizontal="center" vertical="center" wrapText="1"/>
    </xf>
    <xf numFmtId="165" fontId="26" fillId="0" borderId="0" xfId="0" applyNumberFormat="1" applyFont="1" applyFill="1" applyBorder="1" applyAlignment="1">
      <alignment horizontal="left" vertical="center"/>
    </xf>
    <xf numFmtId="49" fontId="3" fillId="0" borderId="3" xfId="0" applyNumberFormat="1" applyFont="1" applyFill="1" applyBorder="1" applyAlignment="1">
      <alignment horizontal="center" vertical="center"/>
    </xf>
    <xf numFmtId="0" fontId="3" fillId="0" borderId="3" xfId="15" applyNumberFormat="1" applyFont="1" applyFill="1" applyBorder="1" applyAlignment="1">
      <alignment horizontal="center" vertical="center" wrapText="1"/>
    </xf>
    <xf numFmtId="4" fontId="3" fillId="0" borderId="6" xfId="130" applyNumberFormat="1" applyFont="1" applyFill="1" applyBorder="1" applyAlignment="1">
      <alignment horizontal="right" vertical="center" wrapText="1"/>
    </xf>
    <xf numFmtId="0" fontId="3" fillId="0" borderId="3" xfId="12" applyNumberFormat="1" applyFont="1" applyFill="1" applyBorder="1" applyAlignment="1">
      <alignment horizontal="center" vertical="center" wrapText="1"/>
    </xf>
    <xf numFmtId="170" fontId="3" fillId="0" borderId="3" xfId="2" applyNumberFormat="1" applyFont="1" applyFill="1" applyBorder="1" applyAlignment="1">
      <alignment vertical="center"/>
    </xf>
    <xf numFmtId="9" fontId="3" fillId="0" borderId="3" xfId="4" applyFont="1" applyFill="1" applyBorder="1" applyAlignment="1">
      <alignment horizontal="center" vertical="center"/>
    </xf>
    <xf numFmtId="168" fontId="3" fillId="0" borderId="3" xfId="0" applyFont="1" applyFill="1" applyBorder="1" applyAlignment="1">
      <alignment vertical="center"/>
    </xf>
    <xf numFmtId="10" fontId="3" fillId="0" borderId="3" xfId="4" applyNumberFormat="1" applyFont="1" applyFill="1" applyBorder="1" applyAlignment="1">
      <alignment horizontal="center" vertical="center"/>
    </xf>
    <xf numFmtId="0" fontId="3" fillId="0" borderId="3" xfId="12" applyFont="1" applyFill="1" applyBorder="1" applyAlignment="1">
      <alignment horizontal="left" vertical="center" wrapText="1"/>
    </xf>
    <xf numFmtId="43" fontId="26" fillId="4" borderId="3" xfId="1" applyNumberFormat="1" applyFont="1" applyFill="1" applyBorder="1" applyAlignment="1">
      <alignment vertical="center"/>
    </xf>
    <xf numFmtId="43" fontId="27" fillId="0" borderId="3" xfId="1" applyNumberFormat="1" applyFont="1" applyBorder="1" applyAlignment="1">
      <alignment vertical="center"/>
    </xf>
    <xf numFmtId="43" fontId="27" fillId="0" borderId="0" xfId="1" applyNumberFormat="1" applyFont="1" applyAlignment="1">
      <alignment vertical="center"/>
    </xf>
    <xf numFmtId="0" fontId="3" fillId="0" borderId="3" xfId="12" applyFont="1" applyFill="1" applyBorder="1" applyAlignment="1">
      <alignment horizontal="justify" vertical="center" wrapText="1"/>
    </xf>
    <xf numFmtId="1" fontId="3" fillId="0" borderId="3" xfId="12" applyNumberFormat="1" applyFont="1" applyFill="1" applyBorder="1" applyAlignment="1">
      <alignment horizontal="justify" vertical="center" wrapText="1"/>
    </xf>
    <xf numFmtId="0" fontId="3" fillId="0" borderId="9" xfId="12" applyFont="1" applyFill="1" applyBorder="1" applyAlignment="1">
      <alignment horizontal="justify" vertical="center" wrapText="1"/>
    </xf>
    <xf numFmtId="0" fontId="3" fillId="0" borderId="14" xfId="12" applyFont="1" applyFill="1" applyBorder="1" applyAlignment="1">
      <alignment horizontal="justify" vertical="center" wrapText="1"/>
    </xf>
    <xf numFmtId="0" fontId="26" fillId="0" borderId="11" xfId="12" applyFont="1" applyFill="1" applyBorder="1" applyAlignment="1">
      <alignment horizontal="justify" vertical="center"/>
    </xf>
    <xf numFmtId="0" fontId="5" fillId="0" borderId="3" xfId="12" applyFont="1" applyFill="1" applyBorder="1" applyAlignment="1">
      <alignment horizontal="center" vertical="center" wrapText="1"/>
    </xf>
    <xf numFmtId="0" fontId="5" fillId="10" borderId="3" xfId="12" applyFont="1" applyFill="1" applyBorder="1" applyAlignment="1">
      <alignment horizontal="center" vertical="center" wrapText="1"/>
    </xf>
    <xf numFmtId="0" fontId="5" fillId="10" borderId="8" xfId="12" applyNumberFormat="1" applyFont="1" applyFill="1" applyBorder="1" applyAlignment="1">
      <alignment horizontal="left" vertical="center"/>
    </xf>
    <xf numFmtId="0" fontId="5" fillId="10" borderId="6" xfId="12" applyFont="1" applyFill="1" applyBorder="1" applyAlignment="1">
      <alignment horizontal="center" vertical="center" wrapText="1"/>
    </xf>
    <xf numFmtId="0" fontId="5" fillId="10" borderId="8" xfId="12" applyFont="1" applyFill="1" applyBorder="1" applyAlignment="1">
      <alignment horizontal="center" vertical="center" wrapText="1"/>
    </xf>
    <xf numFmtId="0" fontId="5" fillId="10" borderId="8" xfId="12" applyFont="1" applyFill="1" applyBorder="1" applyAlignment="1">
      <alignment horizontal="left" vertical="center" wrapText="1"/>
    </xf>
    <xf numFmtId="0" fontId="5" fillId="10" borderId="2" xfId="12" applyFont="1" applyFill="1" applyBorder="1" applyAlignment="1">
      <alignment horizontal="center" vertical="center" wrapText="1"/>
    </xf>
    <xf numFmtId="0" fontId="5" fillId="10" borderId="8" xfId="13" applyNumberFormat="1" applyFont="1" applyFill="1" applyBorder="1" applyAlignment="1">
      <alignment horizontal="center" vertical="center" wrapText="1"/>
    </xf>
    <xf numFmtId="0" fontId="5" fillId="10" borderId="7" xfId="12" applyFont="1" applyFill="1" applyBorder="1" applyAlignment="1">
      <alignment horizontal="center" vertical="center" wrapText="1"/>
    </xf>
    <xf numFmtId="164" fontId="5" fillId="10" borderId="3" xfId="13" applyNumberFormat="1" applyFont="1" applyFill="1" applyBorder="1" applyAlignment="1">
      <alignment horizontal="center" vertical="center" wrapText="1"/>
    </xf>
    <xf numFmtId="0" fontId="26" fillId="0" borderId="3" xfId="12" applyFont="1" applyFill="1" applyBorder="1" applyAlignment="1">
      <alignment horizontal="center" vertical="center" wrapText="1"/>
    </xf>
    <xf numFmtId="0" fontId="26" fillId="0" borderId="9" xfId="12" applyFont="1" applyFill="1" applyBorder="1" applyAlignment="1">
      <alignment horizontal="center" vertical="center" wrapText="1"/>
    </xf>
    <xf numFmtId="0" fontId="26" fillId="0" borderId="2" xfId="12" applyNumberFormat="1" applyFont="1" applyFill="1" applyBorder="1" applyAlignment="1">
      <alignment horizontal="left" vertical="center"/>
    </xf>
    <xf numFmtId="0" fontId="26" fillId="0" borderId="3" xfId="12" applyFont="1" applyFill="1" applyBorder="1" applyAlignment="1">
      <alignment horizontal="left" vertical="center" wrapText="1"/>
    </xf>
    <xf numFmtId="0" fontId="26" fillId="0" borderId="6" xfId="12" applyFont="1" applyFill="1" applyBorder="1" applyAlignment="1">
      <alignment horizontal="center" vertical="center" wrapText="1"/>
    </xf>
    <xf numFmtId="0" fontId="26" fillId="6" borderId="18" xfId="12" applyFont="1" applyFill="1" applyBorder="1" applyAlignment="1">
      <alignment horizontal="center" vertical="center" wrapText="1"/>
    </xf>
    <xf numFmtId="0" fontId="26" fillId="6" borderId="18" xfId="12" applyNumberFormat="1" applyFont="1" applyFill="1" applyBorder="1" applyAlignment="1">
      <alignment horizontal="left" vertical="center"/>
    </xf>
    <xf numFmtId="0" fontId="26" fillId="6" borderId="7" xfId="12" applyFont="1" applyFill="1" applyBorder="1" applyAlignment="1">
      <alignment horizontal="center" vertical="center" wrapText="1"/>
    </xf>
    <xf numFmtId="0" fontId="26" fillId="6" borderId="6" xfId="13" applyNumberFormat="1" applyFont="1" applyFill="1" applyBorder="1" applyAlignment="1">
      <alignment horizontal="center" vertical="center" wrapText="1"/>
    </xf>
    <xf numFmtId="0" fontId="26" fillId="6" borderId="8" xfId="13" applyNumberFormat="1" applyFont="1" applyFill="1" applyBorder="1" applyAlignment="1">
      <alignment horizontal="center" vertical="center" wrapText="1"/>
    </xf>
    <xf numFmtId="0" fontId="26" fillId="6" borderId="8" xfId="12" applyFont="1" applyFill="1" applyBorder="1" applyAlignment="1">
      <alignment horizontal="center" vertical="center" wrapText="1"/>
    </xf>
    <xf numFmtId="164" fontId="26" fillId="6" borderId="3" xfId="13" applyNumberFormat="1" applyFont="1" applyFill="1" applyBorder="1" applyAlignment="1">
      <alignment horizontal="center" vertical="center" wrapText="1"/>
    </xf>
    <xf numFmtId="164" fontId="26" fillId="6" borderId="6" xfId="13" applyNumberFormat="1" applyFont="1" applyFill="1" applyBorder="1" applyAlignment="1">
      <alignment horizontal="center" vertical="center" wrapText="1"/>
    </xf>
    <xf numFmtId="0" fontId="3" fillId="0" borderId="7" xfId="12" applyFont="1" applyFill="1" applyBorder="1" applyAlignment="1">
      <alignment horizontal="justify" vertical="center" wrapText="1"/>
    </xf>
    <xf numFmtId="0" fontId="3" fillId="0" borderId="7" xfId="12" applyFont="1" applyFill="1" applyBorder="1" applyAlignment="1">
      <alignment horizontal="center" vertical="center" wrapText="1"/>
    </xf>
    <xf numFmtId="164" fontId="3" fillId="0" borderId="3" xfId="14" applyNumberFormat="1" applyFont="1" applyFill="1" applyBorder="1" applyAlignment="1">
      <alignment vertical="center" wrapText="1"/>
    </xf>
    <xf numFmtId="164" fontId="3" fillId="0" borderId="3" xfId="14" applyNumberFormat="1" applyFont="1" applyFill="1" applyBorder="1" applyAlignment="1">
      <alignment horizontal="center" vertical="center" wrapText="1"/>
    </xf>
    <xf numFmtId="164" fontId="3" fillId="0" borderId="3" xfId="14" applyNumberFormat="1" applyFont="1" applyFill="1" applyBorder="1" applyAlignment="1">
      <alignment horizontal="center" vertical="center"/>
    </xf>
    <xf numFmtId="164" fontId="3" fillId="0" borderId="6" xfId="14" applyNumberFormat="1" applyFont="1" applyFill="1" applyBorder="1" applyAlignment="1">
      <alignment horizontal="center" vertical="center"/>
    </xf>
    <xf numFmtId="164" fontId="26" fillId="0" borderId="3" xfId="12" applyNumberFormat="1" applyFont="1" applyFill="1" applyBorder="1" applyAlignment="1">
      <alignment horizontal="center" vertical="center"/>
    </xf>
    <xf numFmtId="0" fontId="3" fillId="0" borderId="3" xfId="15" applyNumberFormat="1" applyFont="1" applyFill="1" applyBorder="1" applyAlignment="1">
      <alignment horizontal="justify" vertical="center" wrapText="1"/>
    </xf>
    <xf numFmtId="0" fontId="3" fillId="0" borderId="7" xfId="15" applyNumberFormat="1" applyFont="1" applyFill="1" applyBorder="1" applyAlignment="1">
      <alignment horizontal="justify" vertical="center" wrapText="1"/>
    </xf>
    <xf numFmtId="0" fontId="26" fillId="6" borderId="3" xfId="12" applyFont="1" applyFill="1" applyBorder="1" applyAlignment="1">
      <alignment horizontal="center" vertical="center" wrapText="1"/>
    </xf>
    <xf numFmtId="0" fontId="26" fillId="6" borderId="3" xfId="12" applyNumberFormat="1" applyFont="1" applyFill="1" applyBorder="1" applyAlignment="1">
      <alignment horizontal="left" vertical="center"/>
    </xf>
    <xf numFmtId="0" fontId="26" fillId="6" borderId="3" xfId="13" applyNumberFormat="1" applyFont="1" applyFill="1" applyBorder="1" applyAlignment="1">
      <alignment horizontal="center" vertical="center" wrapText="1"/>
    </xf>
    <xf numFmtId="43" fontId="26" fillId="6" borderId="3" xfId="1" applyFont="1" applyFill="1" applyBorder="1" applyAlignment="1">
      <alignment horizontal="center" vertical="center" wrapText="1"/>
    </xf>
    <xf numFmtId="43" fontId="26" fillId="6" borderId="6" xfId="1" applyFont="1" applyFill="1" applyBorder="1" applyAlignment="1">
      <alignment horizontal="center" vertical="center" wrapText="1"/>
    </xf>
    <xf numFmtId="172" fontId="3" fillId="0" borderId="3" xfId="15" applyNumberFormat="1" applyFont="1" applyFill="1" applyBorder="1" applyAlignment="1">
      <alignment horizontal="center" vertical="center" wrapText="1"/>
    </xf>
    <xf numFmtId="173" fontId="3" fillId="0" borderId="3" xfId="14" applyNumberFormat="1" applyFont="1" applyFill="1" applyBorder="1" applyAlignment="1">
      <alignment horizontal="center" vertical="center"/>
    </xf>
    <xf numFmtId="1" fontId="3" fillId="0" borderId="3" xfId="12" applyNumberFormat="1" applyFont="1" applyFill="1" applyBorder="1" applyAlignment="1">
      <alignment horizontal="center" vertical="center"/>
    </xf>
    <xf numFmtId="174" fontId="3" fillId="0" borderId="3" xfId="14" applyNumberFormat="1" applyFont="1" applyFill="1" applyBorder="1" applyAlignment="1">
      <alignment horizontal="center" vertical="center"/>
    </xf>
    <xf numFmtId="168" fontId="3" fillId="0" borderId="3" xfId="0" applyFont="1" applyFill="1" applyBorder="1" applyAlignment="1">
      <alignment horizontal="justify" vertical="center" wrapText="1"/>
    </xf>
    <xf numFmtId="39" fontId="3" fillId="0" borderId="3" xfId="12" applyNumberFormat="1" applyFont="1" applyFill="1" applyBorder="1" applyAlignment="1">
      <alignment horizontal="left" vertical="center" wrapText="1"/>
    </xf>
    <xf numFmtId="2" fontId="3" fillId="0" borderId="3" xfId="12" applyNumberFormat="1" applyFont="1" applyFill="1" applyBorder="1" applyAlignment="1">
      <alignment horizontal="left" vertical="center" wrapText="1"/>
    </xf>
    <xf numFmtId="2" fontId="3" fillId="0" borderId="3" xfId="12" applyNumberFormat="1" applyFont="1" applyFill="1" applyBorder="1" applyAlignment="1">
      <alignment horizontal="justify" vertical="center" wrapText="1"/>
    </xf>
    <xf numFmtId="2" fontId="3" fillId="0" borderId="3" xfId="12" applyNumberFormat="1" applyFont="1" applyFill="1" applyBorder="1" applyAlignment="1">
      <alignment horizontal="left" vertical="center"/>
    </xf>
    <xf numFmtId="39" fontId="3" fillId="0" borderId="3" xfId="12" applyNumberFormat="1" applyFont="1" applyFill="1" applyBorder="1" applyAlignment="1">
      <alignment horizontal="justify" vertical="center" wrapText="1"/>
    </xf>
    <xf numFmtId="0" fontId="3" fillId="0" borderId="3" xfId="12" applyFont="1" applyFill="1" applyBorder="1" applyAlignment="1">
      <alignment horizontal="left" vertical="center"/>
    </xf>
    <xf numFmtId="2" fontId="3" fillId="0" borderId="3" xfId="15" applyNumberFormat="1" applyFont="1" applyFill="1" applyBorder="1" applyAlignment="1">
      <alignment horizontal="center" vertical="center" wrapText="1"/>
    </xf>
    <xf numFmtId="0" fontId="3" fillId="0" borderId="10" xfId="12" applyFont="1" applyFill="1" applyBorder="1" applyAlignment="1">
      <alignment horizontal="justify" vertical="center" wrapText="1"/>
    </xf>
    <xf numFmtId="0" fontId="3" fillId="0" borderId="10" xfId="12" applyFont="1" applyFill="1" applyBorder="1" applyAlignment="1">
      <alignment horizontal="center" vertical="center" wrapText="1"/>
    </xf>
    <xf numFmtId="172" fontId="3" fillId="0" borderId="3" xfId="12" applyNumberFormat="1" applyFont="1" applyFill="1" applyBorder="1" applyAlignment="1">
      <alignment horizontal="center" vertical="center" wrapText="1"/>
    </xf>
    <xf numFmtId="2" fontId="3" fillId="0" borderId="3" xfId="12" applyNumberFormat="1" applyFont="1" applyFill="1" applyBorder="1" applyAlignment="1">
      <alignment horizontal="center" vertical="center" wrapText="1"/>
    </xf>
    <xf numFmtId="39" fontId="3" fillId="0" borderId="3" xfId="12" applyNumberFormat="1" applyFont="1" applyFill="1" applyBorder="1" applyAlignment="1">
      <alignment horizontal="left" vertical="center"/>
    </xf>
    <xf numFmtId="0" fontId="3" fillId="0" borderId="3" xfId="15" applyNumberFormat="1" applyFont="1" applyFill="1" applyBorder="1" applyAlignment="1">
      <alignment horizontal="left" vertical="center" wrapText="1"/>
    </xf>
    <xf numFmtId="9" fontId="3" fillId="0" borderId="3" xfId="12" applyNumberFormat="1" applyFont="1" applyFill="1" applyBorder="1" applyAlignment="1">
      <alignment horizontal="left" vertical="center" wrapText="1"/>
    </xf>
    <xf numFmtId="0" fontId="3" fillId="0" borderId="3" xfId="12" applyFont="1" applyFill="1" applyBorder="1" applyAlignment="1">
      <alignment horizontal="center" vertical="center"/>
    </xf>
    <xf numFmtId="0" fontId="3" fillId="0" borderId="3" xfId="1" applyNumberFormat="1" applyFont="1" applyFill="1" applyBorder="1" applyAlignment="1">
      <alignment horizontal="center" vertical="center" wrapText="1"/>
    </xf>
    <xf numFmtId="0" fontId="3" fillId="0" borderId="7" xfId="12" applyFont="1" applyFill="1" applyBorder="1" applyAlignment="1">
      <alignment horizontal="justify" vertical="center"/>
    </xf>
    <xf numFmtId="9" fontId="3" fillId="0" borderId="3" xfId="12" applyNumberFormat="1" applyFont="1" applyFill="1" applyBorder="1" applyAlignment="1">
      <alignment horizontal="left" vertical="center"/>
    </xf>
    <xf numFmtId="1" fontId="3" fillId="0" borderId="3" xfId="1" applyNumberFormat="1" applyFont="1" applyFill="1" applyBorder="1" applyAlignment="1">
      <alignment horizontal="center" vertical="center" wrapText="1"/>
    </xf>
    <xf numFmtId="10" fontId="3" fillId="0" borderId="3" xfId="12" applyNumberFormat="1" applyFont="1" applyFill="1" applyBorder="1" applyAlignment="1">
      <alignment horizontal="left" vertical="center" wrapText="1"/>
    </xf>
    <xf numFmtId="0" fontId="26" fillId="0" borderId="3" xfId="12" applyFont="1" applyFill="1" applyBorder="1" applyAlignment="1">
      <alignment horizontal="justify" vertical="center" wrapText="1"/>
    </xf>
    <xf numFmtId="171" fontId="3" fillId="0" borderId="3" xfId="12" applyNumberFormat="1" applyFont="1" applyFill="1" applyBorder="1" applyAlignment="1">
      <alignment horizontal="left" vertical="center" wrapText="1"/>
    </xf>
    <xf numFmtId="0" fontId="3" fillId="0" borderId="3" xfId="1" applyNumberFormat="1" applyFont="1" applyFill="1" applyBorder="1" applyAlignment="1">
      <alignment horizontal="justify" vertical="center" wrapText="1"/>
    </xf>
    <xf numFmtId="0" fontId="3" fillId="0" borderId="3" xfId="17" applyFont="1" applyFill="1" applyBorder="1" applyAlignment="1">
      <alignment horizontal="justify" vertical="center" wrapText="1"/>
    </xf>
    <xf numFmtId="0" fontId="3" fillId="0" borderId="3" xfId="12" applyFont="1" applyFill="1" applyBorder="1"/>
    <xf numFmtId="0" fontId="27" fillId="0" borderId="3" xfId="12" applyFont="1" applyFill="1" applyBorder="1" applyAlignment="1">
      <alignment horizontal="center" vertical="center" wrapText="1"/>
    </xf>
    <xf numFmtId="0" fontId="27" fillId="0" borderId="3" xfId="12" applyFont="1" applyFill="1" applyBorder="1" applyAlignment="1">
      <alignment horizontal="justify" vertical="center" wrapText="1"/>
    </xf>
    <xf numFmtId="0" fontId="27" fillId="0" borderId="3" xfId="12" applyNumberFormat="1" applyFont="1" applyFill="1" applyBorder="1" applyAlignment="1">
      <alignment horizontal="center" vertical="center" wrapText="1"/>
    </xf>
    <xf numFmtId="164" fontId="27" fillId="0" borderId="3" xfId="14" applyNumberFormat="1" applyFont="1" applyFill="1" applyBorder="1" applyAlignment="1">
      <alignment horizontal="center" vertical="center"/>
    </xf>
    <xf numFmtId="164" fontId="27" fillId="0" borderId="6" xfId="14" applyNumberFormat="1" applyFont="1" applyFill="1" applyBorder="1" applyAlignment="1">
      <alignment horizontal="center" vertical="center"/>
    </xf>
    <xf numFmtId="43" fontId="3" fillId="0" borderId="3" xfId="1" applyFont="1" applyFill="1" applyBorder="1" applyAlignment="1">
      <alignment horizontal="center" vertical="center"/>
    </xf>
    <xf numFmtId="9" fontId="3" fillId="0" borderId="3" xfId="12" applyNumberFormat="1" applyFont="1" applyFill="1" applyBorder="1" applyAlignment="1">
      <alignment horizontal="center" vertical="center" wrapText="1"/>
    </xf>
    <xf numFmtId="10" fontId="3" fillId="0" borderId="3" xfId="4" applyNumberFormat="1" applyFont="1" applyFill="1" applyBorder="1" applyAlignment="1">
      <alignment horizontal="left" vertical="center" wrapText="1"/>
    </xf>
    <xf numFmtId="9" fontId="3" fillId="0" borderId="3" xfId="4" applyNumberFormat="1" applyFont="1" applyFill="1" applyBorder="1" applyAlignment="1">
      <alignment horizontal="left" vertical="center" wrapText="1"/>
    </xf>
    <xf numFmtId="2" fontId="3" fillId="0" borderId="3" xfId="1" applyNumberFormat="1" applyFont="1" applyFill="1" applyBorder="1" applyAlignment="1">
      <alignment horizontal="center" vertical="center" wrapText="1"/>
    </xf>
    <xf numFmtId="0" fontId="3" fillId="0" borderId="3" xfId="12" applyFont="1" applyFill="1" applyBorder="1" applyAlignment="1">
      <alignment vertical="center" wrapText="1"/>
    </xf>
    <xf numFmtId="0" fontId="3" fillId="0" borderId="7" xfId="12" applyFont="1" applyFill="1" applyBorder="1" applyAlignment="1">
      <alignment vertical="center" wrapText="1"/>
    </xf>
    <xf numFmtId="43" fontId="3" fillId="0" borderId="3" xfId="1" applyNumberFormat="1" applyFont="1" applyFill="1" applyBorder="1" applyAlignment="1">
      <alignment vertical="center"/>
    </xf>
    <xf numFmtId="0" fontId="3" fillId="0" borderId="3" xfId="12" applyFont="1" applyFill="1" applyBorder="1" applyAlignment="1">
      <alignment vertical="center"/>
    </xf>
    <xf numFmtId="164" fontId="3" fillId="0" borderId="3" xfId="12" applyNumberFormat="1" applyFont="1" applyFill="1" applyBorder="1" applyAlignment="1">
      <alignment vertical="center"/>
    </xf>
    <xf numFmtId="164" fontId="3" fillId="0" borderId="6" xfId="12" applyNumberFormat="1" applyFont="1" applyFill="1" applyBorder="1" applyAlignment="1">
      <alignment vertical="center"/>
    </xf>
    <xf numFmtId="1" fontId="26" fillId="6" borderId="3" xfId="12" applyNumberFormat="1" applyFont="1" applyFill="1" applyBorder="1" applyAlignment="1">
      <alignment horizontal="center" vertical="center" wrapText="1"/>
    </xf>
    <xf numFmtId="0" fontId="3" fillId="0" borderId="3" xfId="4" applyNumberFormat="1" applyFont="1" applyFill="1" applyBorder="1" applyAlignment="1">
      <alignment horizontal="left" vertical="center" wrapText="1"/>
    </xf>
    <xf numFmtId="0" fontId="3" fillId="0" borderId="7" xfId="15" applyNumberFormat="1" applyFont="1" applyFill="1" applyBorder="1" applyAlignment="1">
      <alignment horizontal="center" vertical="center" wrapText="1"/>
    </xf>
    <xf numFmtId="0" fontId="3" fillId="0" borderId="3" xfId="12" applyFont="1" applyFill="1" applyBorder="1" applyAlignment="1">
      <alignment horizontal="justify" vertical="center"/>
    </xf>
    <xf numFmtId="9" fontId="3" fillId="0" borderId="3" xfId="15" applyNumberFormat="1" applyFont="1" applyFill="1" applyBorder="1" applyAlignment="1">
      <alignment horizontal="left" vertical="center" wrapText="1"/>
    </xf>
    <xf numFmtId="49" fontId="3" fillId="0" borderId="7" xfId="12" applyNumberFormat="1" applyFont="1" applyFill="1" applyBorder="1" applyAlignment="1">
      <alignment horizontal="justify" vertical="center" wrapText="1"/>
    </xf>
    <xf numFmtId="0" fontId="5" fillId="10" borderId="3" xfId="12" applyNumberFormat="1" applyFont="1" applyFill="1" applyBorder="1" applyAlignment="1">
      <alignment horizontal="left" vertical="center"/>
    </xf>
    <xf numFmtId="0" fontId="5" fillId="10" borderId="3" xfId="12" applyFont="1" applyFill="1" applyBorder="1" applyAlignment="1">
      <alignment horizontal="left" vertical="center" wrapText="1"/>
    </xf>
    <xf numFmtId="0" fontId="5" fillId="10" borderId="3" xfId="13" applyNumberFormat="1" applyFont="1" applyFill="1" applyBorder="1" applyAlignment="1">
      <alignment horizontal="center" vertical="center" wrapText="1"/>
    </xf>
    <xf numFmtId="0" fontId="26" fillId="0" borderId="3" xfId="12" applyNumberFormat="1" applyFont="1" applyFill="1" applyBorder="1" applyAlignment="1">
      <alignment horizontal="left" vertical="center"/>
    </xf>
    <xf numFmtId="171" fontId="3" fillId="0" borderId="3" xfId="4" applyNumberFormat="1" applyFont="1" applyFill="1" applyBorder="1" applyAlignment="1">
      <alignment horizontal="left" vertical="center" wrapText="1"/>
    </xf>
    <xf numFmtId="0" fontId="3" fillId="0" borderId="3" xfId="2" applyNumberFormat="1" applyFont="1" applyFill="1" applyBorder="1" applyAlignment="1">
      <alignment horizontal="center" vertical="center" wrapText="1"/>
    </xf>
    <xf numFmtId="171" fontId="3" fillId="0" borderId="3" xfId="12" applyNumberFormat="1" applyFont="1" applyFill="1" applyBorder="1" applyAlignment="1">
      <alignment horizontal="center" vertical="center" wrapText="1"/>
    </xf>
    <xf numFmtId="2" fontId="3" fillId="0" borderId="3" xfId="16" applyNumberFormat="1" applyFont="1" applyFill="1" applyBorder="1" applyAlignment="1" applyProtection="1">
      <alignment horizontal="center" vertical="center" wrapText="1"/>
      <protection locked="0"/>
    </xf>
    <xf numFmtId="0" fontId="3" fillId="0" borderId="12" xfId="12" applyFont="1" applyFill="1" applyBorder="1" applyAlignment="1">
      <alignment horizontal="justify" vertical="center" wrapText="1"/>
    </xf>
    <xf numFmtId="164" fontId="3" fillId="0" borderId="14" xfId="14" applyNumberFormat="1" applyFont="1" applyFill="1" applyBorder="1" applyAlignment="1">
      <alignment horizontal="center" vertical="center" wrapText="1"/>
    </xf>
    <xf numFmtId="164" fontId="3" fillId="0" borderId="14" xfId="14" applyNumberFormat="1" applyFont="1" applyFill="1" applyBorder="1" applyAlignment="1">
      <alignment horizontal="center" vertical="center"/>
    </xf>
    <xf numFmtId="164" fontId="3" fillId="0" borderId="4" xfId="14" applyNumberFormat="1" applyFont="1" applyFill="1" applyBorder="1" applyAlignment="1">
      <alignment horizontal="center" vertical="center"/>
    </xf>
    <xf numFmtId="171" fontId="3" fillId="0" borderId="3" xfId="12" applyNumberFormat="1" applyFont="1" applyFill="1" applyBorder="1" applyAlignment="1">
      <alignment horizontal="left" vertical="center"/>
    </xf>
    <xf numFmtId="16" fontId="3" fillId="0" borderId="3" xfId="12" applyNumberFormat="1" applyFont="1" applyFill="1" applyBorder="1" applyAlignment="1">
      <alignment horizontal="center" vertical="center"/>
    </xf>
    <xf numFmtId="9" fontId="26" fillId="0" borderId="3" xfId="15" applyNumberFormat="1" applyFont="1" applyFill="1" applyBorder="1" applyAlignment="1">
      <alignment horizontal="left" vertical="center" wrapText="1"/>
    </xf>
    <xf numFmtId="16" fontId="3" fillId="0" borderId="3" xfId="12" applyNumberFormat="1" applyFont="1" applyFill="1" applyBorder="1" applyAlignment="1">
      <alignment horizontal="center" vertical="center" wrapText="1"/>
    </xf>
    <xf numFmtId="43" fontId="3" fillId="0" borderId="3" xfId="1" applyNumberFormat="1" applyFont="1" applyFill="1" applyBorder="1"/>
    <xf numFmtId="164" fontId="3" fillId="0" borderId="3" xfId="12" applyNumberFormat="1" applyFont="1" applyFill="1" applyBorder="1"/>
    <xf numFmtId="164" fontId="3" fillId="0" borderId="6" xfId="12" applyNumberFormat="1" applyFont="1" applyFill="1" applyBorder="1"/>
    <xf numFmtId="49" fontId="3" fillId="0" borderId="7" xfId="18" applyNumberFormat="1" applyFont="1" applyFill="1" applyBorder="1" applyAlignment="1">
      <alignment horizontal="justify" vertical="center" wrapText="1"/>
    </xf>
    <xf numFmtId="49" fontId="3" fillId="0" borderId="3" xfId="18" applyNumberFormat="1" applyFont="1" applyFill="1" applyBorder="1" applyAlignment="1">
      <alignment horizontal="center" vertical="center" wrapText="1"/>
    </xf>
    <xf numFmtId="10" fontId="3" fillId="0" borderId="3" xfId="12" applyNumberFormat="1" applyFont="1" applyFill="1" applyBorder="1" applyAlignment="1">
      <alignment horizontal="left" vertical="center"/>
    </xf>
    <xf numFmtId="164" fontId="3" fillId="0" borderId="3" xfId="14" applyNumberFormat="1" applyFont="1" applyFill="1" applyBorder="1" applyAlignment="1">
      <alignment vertical="center"/>
    </xf>
    <xf numFmtId="0" fontId="3" fillId="0" borderId="6" xfId="12" applyFont="1" applyFill="1" applyBorder="1" applyAlignment="1">
      <alignment vertical="center"/>
    </xf>
    <xf numFmtId="0" fontId="3" fillId="0" borderId="3" xfId="2" applyNumberFormat="1" applyFont="1" applyFill="1" applyBorder="1" applyAlignment="1">
      <alignment horizontal="center" vertical="center"/>
    </xf>
    <xf numFmtId="164" fontId="3" fillId="0" borderId="6" xfId="14" applyNumberFormat="1" applyFont="1" applyFill="1" applyBorder="1" applyAlignment="1">
      <alignment vertical="center"/>
    </xf>
    <xf numFmtId="49" fontId="3" fillId="0" borderId="3" xfId="15" applyNumberFormat="1" applyFont="1" applyFill="1" applyBorder="1" applyAlignment="1">
      <alignment horizontal="justify" vertical="center" wrapText="1"/>
    </xf>
    <xf numFmtId="1" fontId="3" fillId="0" borderId="3" xfId="14" applyNumberFormat="1" applyFont="1" applyFill="1" applyBorder="1" applyAlignment="1">
      <alignment horizontal="center" vertical="center"/>
    </xf>
    <xf numFmtId="172" fontId="3" fillId="0" borderId="3" xfId="14" applyNumberFormat="1" applyFont="1" applyFill="1" applyBorder="1" applyAlignment="1">
      <alignment horizontal="center" vertical="center"/>
    </xf>
    <xf numFmtId="0" fontId="3" fillId="0" borderId="6" xfId="12" applyFont="1" applyFill="1" applyBorder="1"/>
    <xf numFmtId="2" fontId="3" fillId="0" borderId="3" xfId="12" applyNumberFormat="1" applyFont="1" applyFill="1" applyBorder="1" applyAlignment="1">
      <alignment horizontal="center" vertical="center"/>
    </xf>
    <xf numFmtId="170" fontId="3" fillId="0" borderId="0" xfId="2" applyNumberFormat="1" applyFont="1" applyBorder="1"/>
    <xf numFmtId="0" fontId="3" fillId="0" borderId="0" xfId="12" applyFont="1" applyBorder="1"/>
    <xf numFmtId="0" fontId="3" fillId="0" borderId="0" xfId="12" applyFont="1" applyBorder="1" applyAlignment="1">
      <alignment horizontal="center"/>
    </xf>
    <xf numFmtId="0" fontId="3" fillId="0" borderId="0" xfId="12" applyFont="1" applyBorder="1" applyAlignment="1">
      <alignment horizontal="left"/>
    </xf>
    <xf numFmtId="170" fontId="3" fillId="0" borderId="0" xfId="2" applyNumberFormat="1" applyFont="1" applyFill="1" applyBorder="1" applyAlignment="1">
      <alignment vertical="center" wrapText="1"/>
    </xf>
    <xf numFmtId="43" fontId="3" fillId="0" borderId="0" xfId="1" applyFont="1" applyBorder="1"/>
    <xf numFmtId="164" fontId="3" fillId="0" borderId="0" xfId="12" applyNumberFormat="1" applyFont="1" applyBorder="1"/>
    <xf numFmtId="165" fontId="3" fillId="0" borderId="0" xfId="12" applyNumberFormat="1" applyFont="1" applyBorder="1"/>
    <xf numFmtId="41" fontId="3" fillId="0" borderId="0" xfId="2" applyFont="1" applyBorder="1"/>
    <xf numFmtId="170" fontId="3" fillId="0" borderId="0" xfId="2" applyNumberFormat="1" applyFont="1" applyBorder="1" applyAlignment="1">
      <alignment vertical="center"/>
    </xf>
    <xf numFmtId="44" fontId="3" fillId="0" borderId="0" xfId="12" applyNumberFormat="1" applyFont="1" applyBorder="1" applyAlignment="1">
      <alignment vertical="center"/>
    </xf>
    <xf numFmtId="0" fontId="3" fillId="0" borderId="0" xfId="12" applyFont="1" applyFill="1" applyBorder="1"/>
    <xf numFmtId="44" fontId="3" fillId="0" borderId="0" xfId="12" applyNumberFormat="1" applyFont="1" applyBorder="1"/>
    <xf numFmtId="8" fontId="3" fillId="0" borderId="0" xfId="12" applyNumberFormat="1" applyFont="1" applyFill="1" applyBorder="1"/>
    <xf numFmtId="44" fontId="3" fillId="0" borderId="0" xfId="12" applyNumberFormat="1" applyFont="1" applyFill="1" applyBorder="1"/>
    <xf numFmtId="43" fontId="3" fillId="0" borderId="0" xfId="12" applyNumberFormat="1" applyFont="1" applyBorder="1"/>
    <xf numFmtId="170" fontId="3" fillId="0" borderId="0" xfId="2" applyNumberFormat="1" applyFont="1" applyFill="1" applyBorder="1" applyAlignment="1">
      <alignment vertical="center"/>
    </xf>
    <xf numFmtId="0" fontId="3" fillId="0" borderId="0" xfId="12" applyFont="1" applyFill="1" applyBorder="1" applyAlignment="1">
      <alignment vertical="center"/>
    </xf>
    <xf numFmtId="175" fontId="3" fillId="0" borderId="0" xfId="3" applyNumberFormat="1" applyFont="1" applyFill="1" applyBorder="1" applyAlignment="1">
      <alignment horizontal="left" vertical="center"/>
    </xf>
    <xf numFmtId="175" fontId="3" fillId="0" borderId="0" xfId="3" applyNumberFormat="1" applyFont="1" applyFill="1" applyBorder="1" applyAlignment="1">
      <alignment horizontal="center" vertical="center"/>
    </xf>
    <xf numFmtId="0" fontId="3" fillId="0" borderId="6" xfId="8" applyNumberFormat="1" applyFont="1" applyFill="1" applyBorder="1">
      <alignment horizontal="center" vertical="center" wrapText="1"/>
    </xf>
    <xf numFmtId="0" fontId="3" fillId="0" borderId="0" xfId="12" applyFont="1" applyFill="1" applyBorder="1" applyAlignment="1">
      <alignment horizontal="center" vertical="center" wrapText="1"/>
    </xf>
    <xf numFmtId="0" fontId="3" fillId="0" borderId="0" xfId="12" applyFont="1" applyFill="1" applyBorder="1" applyAlignment="1">
      <alignment horizontal="center" vertical="center"/>
    </xf>
    <xf numFmtId="0" fontId="26" fillId="3" borderId="3" xfId="12" applyFont="1" applyFill="1" applyBorder="1" applyAlignment="1">
      <alignment vertical="center"/>
    </xf>
    <xf numFmtId="168" fontId="3" fillId="0" borderId="0" xfId="0" applyFont="1"/>
    <xf numFmtId="169" fontId="26" fillId="3" borderId="3" xfId="12" applyNumberFormat="1" applyFont="1" applyFill="1" applyBorder="1" applyAlignment="1">
      <alignment horizontal="left" vertical="center"/>
    </xf>
    <xf numFmtId="0" fontId="26" fillId="0" borderId="3" xfId="12" applyFont="1" applyBorder="1" applyAlignment="1">
      <alignment vertical="center"/>
    </xf>
    <xf numFmtId="0" fontId="5" fillId="5" borderId="3" xfId="12" applyFont="1" applyFill="1" applyBorder="1" applyAlignment="1">
      <alignment horizontal="center" vertical="center" wrapText="1"/>
    </xf>
    <xf numFmtId="0" fontId="5" fillId="5" borderId="3" xfId="13" applyNumberFormat="1" applyFont="1" applyFill="1" applyBorder="1" applyAlignment="1">
      <alignment horizontal="center" vertical="center" wrapText="1"/>
    </xf>
    <xf numFmtId="0" fontId="5" fillId="41" borderId="3" xfId="13" applyNumberFormat="1" applyFont="1" applyFill="1" applyBorder="1" applyAlignment="1">
      <alignment horizontal="center" vertical="center" wrapText="1"/>
    </xf>
    <xf numFmtId="0" fontId="5" fillId="11" borderId="3" xfId="13" applyNumberFormat="1" applyFont="1" applyFill="1" applyBorder="1" applyAlignment="1">
      <alignment horizontal="center" vertical="center" wrapText="1"/>
    </xf>
    <xf numFmtId="0" fontId="5" fillId="5" borderId="14" xfId="13" applyNumberFormat="1" applyFont="1" applyFill="1" applyBorder="1" applyAlignment="1">
      <alignment horizontal="center" vertical="center" wrapText="1"/>
    </xf>
    <xf numFmtId="0" fontId="5" fillId="5" borderId="4" xfId="13" applyNumberFormat="1" applyFont="1" applyFill="1" applyBorder="1" applyAlignment="1">
      <alignment horizontal="center" vertical="center" wrapText="1"/>
    </xf>
    <xf numFmtId="168" fontId="30" fillId="0" borderId="0" xfId="0" applyFont="1"/>
    <xf numFmtId="0" fontId="26" fillId="0" borderId="8" xfId="12" applyFont="1" applyFill="1" applyBorder="1" applyAlignment="1">
      <alignment horizontal="justify" vertical="center" wrapText="1"/>
    </xf>
    <xf numFmtId="0" fontId="26" fillId="0" borderId="9" xfId="12" applyFont="1" applyFill="1" applyBorder="1" applyAlignment="1">
      <alignment horizontal="justify" vertical="center" wrapText="1"/>
    </xf>
    <xf numFmtId="0" fontId="26" fillId="0" borderId="3" xfId="13" applyNumberFormat="1" applyFont="1" applyFill="1" applyBorder="1" applyAlignment="1">
      <alignment horizontal="justify" vertical="center" wrapText="1"/>
    </xf>
    <xf numFmtId="0" fontId="26" fillId="42" borderId="3" xfId="13" applyNumberFormat="1" applyFont="1" applyFill="1" applyBorder="1" applyAlignment="1">
      <alignment horizontal="center" vertical="center" wrapText="1"/>
    </xf>
    <xf numFmtId="0" fontId="26" fillId="0" borderId="14" xfId="13" applyNumberFormat="1" applyFont="1" applyFill="1" applyBorder="1" applyAlignment="1">
      <alignment horizontal="justify" vertical="center" wrapText="1"/>
    </xf>
    <xf numFmtId="0" fontId="26" fillId="0" borderId="4" xfId="13" applyNumberFormat="1" applyFont="1" applyFill="1" applyBorder="1" applyAlignment="1">
      <alignment horizontal="justify" vertical="center" wrapText="1"/>
    </xf>
    <xf numFmtId="168" fontId="3" fillId="0" borderId="0" xfId="0" applyFont="1" applyFill="1" applyAlignment="1">
      <alignment horizontal="justify"/>
    </xf>
    <xf numFmtId="168" fontId="3" fillId="0" borderId="0" xfId="0" applyFont="1" applyFill="1"/>
    <xf numFmtId="164" fontId="5" fillId="5" borderId="0" xfId="12" applyNumberFormat="1" applyFont="1" applyFill="1" applyBorder="1" applyAlignment="1">
      <alignment vertical="center"/>
    </xf>
    <xf numFmtId="164" fontId="5" fillId="5" borderId="14" xfId="12" applyNumberFormat="1" applyFont="1" applyFill="1" applyBorder="1" applyAlignment="1">
      <alignment vertical="center"/>
    </xf>
    <xf numFmtId="41" fontId="3" fillId="0" borderId="0" xfId="2" applyFont="1" applyFill="1" applyBorder="1"/>
    <xf numFmtId="0" fontId="3" fillId="0" borderId="0" xfId="12" applyFont="1" applyBorder="1" applyAlignment="1">
      <alignment vertical="center"/>
    </xf>
    <xf numFmtId="165" fontId="3" fillId="0" borderId="0" xfId="7" applyNumberFormat="1" applyFont="1" applyFill="1" applyBorder="1" applyAlignment="1">
      <alignment horizontal="left" vertical="center"/>
    </xf>
    <xf numFmtId="44" fontId="3" fillId="0" borderId="0" xfId="12" applyNumberFormat="1" applyFont="1" applyFill="1" applyBorder="1" applyAlignment="1">
      <alignment vertical="center"/>
    </xf>
    <xf numFmtId="175" fontId="3" fillId="0" borderId="0" xfId="3" applyNumberFormat="1" applyFont="1" applyBorder="1" applyAlignment="1">
      <alignment horizontal="center" vertical="center"/>
    </xf>
    <xf numFmtId="0" fontId="3" fillId="0" borderId="0" xfId="12" applyFont="1" applyFill="1" applyBorder="1" applyAlignment="1">
      <alignment horizontal="center"/>
    </xf>
    <xf numFmtId="41" fontId="3" fillId="0" borderId="0" xfId="12" applyNumberFormat="1" applyFont="1" applyBorder="1"/>
    <xf numFmtId="43" fontId="3" fillId="0" borderId="0" xfId="1" applyFont="1" applyFill="1" applyBorder="1"/>
    <xf numFmtId="164" fontId="3" fillId="0" borderId="0" xfId="12" applyNumberFormat="1" applyFont="1" applyFill="1" applyBorder="1"/>
    <xf numFmtId="0" fontId="3" fillId="0" borderId="0" xfId="12" applyFont="1"/>
    <xf numFmtId="0" fontId="3" fillId="0" borderId="0" xfId="12" applyFont="1" applyAlignment="1">
      <alignment horizontal="center"/>
    </xf>
    <xf numFmtId="0" fontId="3" fillId="0" borderId="0" xfId="12" applyFont="1" applyAlignment="1">
      <alignment horizontal="left"/>
    </xf>
    <xf numFmtId="0" fontId="3" fillId="0" borderId="19" xfId="12" applyFont="1" applyBorder="1"/>
    <xf numFmtId="0" fontId="3" fillId="0" borderId="0" xfId="12" applyFont="1" applyAlignment="1">
      <alignment vertical="center"/>
    </xf>
    <xf numFmtId="0" fontId="3" fillId="0" borderId="17" xfId="12" applyFont="1" applyBorder="1"/>
    <xf numFmtId="2" fontId="3" fillId="0" borderId="9" xfId="12" applyNumberFormat="1" applyFont="1" applyFill="1" applyBorder="1" applyAlignment="1">
      <alignment horizontal="center" vertical="center" wrapText="1"/>
    </xf>
    <xf numFmtId="0" fontId="30" fillId="0" borderId="3" xfId="12" applyFont="1" applyFill="1" applyBorder="1" applyAlignment="1">
      <alignment horizontal="center" vertical="center" wrapText="1"/>
    </xf>
    <xf numFmtId="0" fontId="30" fillId="0" borderId="3" xfId="12" applyFont="1" applyFill="1" applyBorder="1" applyAlignment="1">
      <alignment horizontal="justify" vertical="center" wrapText="1"/>
    </xf>
    <xf numFmtId="1" fontId="30" fillId="0" borderId="3" xfId="15" applyNumberFormat="1" applyFont="1" applyFill="1" applyBorder="1" applyAlignment="1">
      <alignment horizontal="center" vertical="center" wrapText="1"/>
    </xf>
    <xf numFmtId="0" fontId="30" fillId="0" borderId="3" xfId="15" applyNumberFormat="1" applyFont="1" applyFill="1" applyBorder="1" applyAlignment="1">
      <alignment horizontal="center" vertical="center" wrapText="1"/>
    </xf>
    <xf numFmtId="0" fontId="30" fillId="0" borderId="3" xfId="12" applyFont="1" applyFill="1" applyBorder="1" applyAlignment="1">
      <alignment horizontal="center" vertical="center"/>
    </xf>
    <xf numFmtId="1" fontId="30" fillId="0" borderId="3" xfId="1" applyNumberFormat="1" applyFont="1" applyFill="1" applyBorder="1" applyAlignment="1">
      <alignment horizontal="center" vertical="center" wrapText="1"/>
    </xf>
    <xf numFmtId="0" fontId="30" fillId="0" borderId="3" xfId="15" applyNumberFormat="1" applyFont="1" applyFill="1" applyBorder="1" applyAlignment="1">
      <alignment horizontal="justify" vertical="center" wrapText="1"/>
    </xf>
    <xf numFmtId="0" fontId="30" fillId="0" borderId="3" xfId="12" applyFont="1" applyFill="1" applyBorder="1" applyAlignment="1">
      <alignment horizontal="justify" vertical="center"/>
    </xf>
    <xf numFmtId="0" fontId="30" fillId="0" borderId="3" xfId="12" applyFont="1" applyFill="1" applyBorder="1" applyAlignment="1">
      <alignment vertical="center" wrapText="1"/>
    </xf>
    <xf numFmtId="0" fontId="5" fillId="0" borderId="3" xfId="15" applyNumberFormat="1" applyFont="1" applyFill="1" applyBorder="1" applyAlignment="1">
      <alignment horizontal="justify" vertical="center" wrapText="1"/>
    </xf>
    <xf numFmtId="0" fontId="5" fillId="0" borderId="3" xfId="12" applyFont="1" applyFill="1" applyBorder="1" applyAlignment="1">
      <alignment horizontal="justify" vertical="center" wrapText="1"/>
    </xf>
    <xf numFmtId="0" fontId="5" fillId="0" borderId="3" xfId="12" applyNumberFormat="1" applyFont="1" applyFill="1" applyBorder="1" applyAlignment="1">
      <alignment horizontal="left" vertical="center"/>
    </xf>
    <xf numFmtId="0" fontId="5" fillId="0" borderId="3" xfId="12" applyNumberFormat="1" applyFont="1" applyFill="1" applyBorder="1" applyAlignment="1">
      <alignment horizontal="justify" vertical="center"/>
    </xf>
    <xf numFmtId="0" fontId="5" fillId="5" borderId="3" xfId="12" applyFont="1" applyFill="1" applyBorder="1" applyAlignment="1">
      <alignment horizontal="left" vertical="center" wrapText="1"/>
    </xf>
    <xf numFmtId="0" fontId="3" fillId="3" borderId="3" xfId="12" applyFont="1" applyFill="1" applyBorder="1" applyAlignment="1">
      <alignment horizontal="center" vertical="center" wrapText="1"/>
    </xf>
    <xf numFmtId="0" fontId="26" fillId="10" borderId="9" xfId="12" applyFont="1" applyFill="1" applyBorder="1" applyAlignment="1">
      <alignment horizontal="center" vertical="center"/>
    </xf>
    <xf numFmtId="0" fontId="26" fillId="10" borderId="20" xfId="12" applyFont="1" applyFill="1" applyBorder="1" applyAlignment="1">
      <alignment horizontal="center" vertical="center"/>
    </xf>
    <xf numFmtId="0" fontId="5" fillId="11" borderId="6" xfId="13" applyNumberFormat="1" applyFont="1" applyFill="1" applyBorder="1" applyAlignment="1">
      <alignment horizontal="center" vertical="center" wrapText="1"/>
    </xf>
    <xf numFmtId="0" fontId="5" fillId="11" borderId="8" xfId="13" applyNumberFormat="1" applyFont="1" applyFill="1" applyBorder="1" applyAlignment="1">
      <alignment horizontal="center" vertical="center" wrapText="1"/>
    </xf>
    <xf numFmtId="0" fontId="5" fillId="11" borderId="7" xfId="13" applyNumberFormat="1" applyFont="1" applyFill="1" applyBorder="1" applyAlignment="1">
      <alignment horizontal="center" vertical="center" wrapText="1"/>
    </xf>
    <xf numFmtId="0" fontId="5" fillId="5" borderId="5" xfId="12" applyFont="1" applyFill="1" applyBorder="1" applyAlignment="1">
      <alignment horizontal="center" vertical="center"/>
    </xf>
    <xf numFmtId="0" fontId="5" fillId="11" borderId="5" xfId="12" applyFont="1" applyFill="1" applyBorder="1" applyAlignment="1">
      <alignment horizontal="center" vertical="center"/>
    </xf>
    <xf numFmtId="0" fontId="5" fillId="5" borderId="0" xfId="12" applyFont="1" applyFill="1" applyBorder="1" applyAlignment="1">
      <alignment horizontal="center" vertical="center"/>
    </xf>
    <xf numFmtId="0" fontId="5" fillId="5" borderId="13" xfId="12" applyFont="1" applyFill="1" applyBorder="1" applyAlignment="1">
      <alignment horizontal="center" vertical="center"/>
    </xf>
    <xf numFmtId="0" fontId="5" fillId="43" borderId="2" xfId="12" applyFont="1" applyFill="1" applyBorder="1" applyAlignment="1">
      <alignment horizontal="right"/>
    </xf>
    <xf numFmtId="0" fontId="5" fillId="5" borderId="6" xfId="12" applyFont="1" applyFill="1" applyBorder="1" applyAlignment="1">
      <alignment horizontal="center" vertical="center" wrapText="1"/>
    </xf>
    <xf numFmtId="0" fontId="5" fillId="5" borderId="8" xfId="12" applyFont="1" applyFill="1" applyBorder="1" applyAlignment="1">
      <alignment horizontal="center" vertical="center" wrapText="1"/>
    </xf>
    <xf numFmtId="0" fontId="26" fillId="0" borderId="0" xfId="12" applyFont="1" applyAlignment="1">
      <alignment horizontal="center" vertical="center" wrapText="1"/>
    </xf>
    <xf numFmtId="0" fontId="26" fillId="0" borderId="13" xfId="12" applyFont="1" applyBorder="1" applyAlignment="1">
      <alignment horizontal="center" vertical="center" wrapText="1"/>
    </xf>
    <xf numFmtId="0" fontId="5" fillId="9" borderId="5" xfId="12" applyFont="1" applyFill="1" applyBorder="1" applyAlignment="1">
      <alignment horizontal="center" vertical="center"/>
    </xf>
    <xf numFmtId="0" fontId="5" fillId="5" borderId="5" xfId="1" applyNumberFormat="1" applyFont="1" applyFill="1" applyBorder="1" applyAlignment="1">
      <alignment horizontal="center" vertical="center" wrapText="1"/>
    </xf>
    <xf numFmtId="0" fontId="26" fillId="4" borderId="6" xfId="12" applyFont="1" applyFill="1" applyBorder="1" applyAlignment="1">
      <alignment horizontal="center" vertical="center" wrapText="1"/>
    </xf>
    <xf numFmtId="0" fontId="26" fillId="4" borderId="8" xfId="12" applyFont="1" applyFill="1" applyBorder="1" applyAlignment="1">
      <alignment horizontal="center" vertical="center" wrapText="1"/>
    </xf>
    <xf numFmtId="0" fontId="26" fillId="4" borderId="7" xfId="12" applyFont="1" applyFill="1" applyBorder="1" applyAlignment="1">
      <alignment horizontal="center" vertical="center" wrapText="1"/>
    </xf>
  </cellXfs>
  <cellStyles count="176">
    <cellStyle name="20% - Énfasis1" xfId="36" builtinId="30" customBuiltin="1"/>
    <cellStyle name="20% - Énfasis2" xfId="40" builtinId="34" customBuiltin="1"/>
    <cellStyle name="20% - Énfasis3" xfId="44" builtinId="38" customBuiltin="1"/>
    <cellStyle name="20% - Énfasis4" xfId="48" builtinId="42" customBuiltin="1"/>
    <cellStyle name="20% - Énfasis5" xfId="52" builtinId="46" customBuiltin="1"/>
    <cellStyle name="20% - Énfasis6" xfId="56" builtinId="50" customBuiltin="1"/>
    <cellStyle name="40% - Énfasis1" xfId="37" builtinId="31" customBuiltin="1"/>
    <cellStyle name="40% - Énfasis2" xfId="41" builtinId="35" customBuiltin="1"/>
    <cellStyle name="40% - Énfasis3" xfId="45" builtinId="39" customBuiltin="1"/>
    <cellStyle name="40% - Énfasis4" xfId="49" builtinId="43" customBuiltin="1"/>
    <cellStyle name="40% - Énfasis5" xfId="53" builtinId="47" customBuiltin="1"/>
    <cellStyle name="40% - Énfasis6" xfId="57" builtinId="51" customBuiltin="1"/>
    <cellStyle name="60% - Énfasis1" xfId="38" builtinId="32" customBuiltin="1"/>
    <cellStyle name="60% - Énfasis2" xfId="42" builtinId="36" customBuiltin="1"/>
    <cellStyle name="60% - Énfasis3" xfId="46" builtinId="40" customBuiltin="1"/>
    <cellStyle name="60% - Énfasis4" xfId="50" builtinId="44" customBuiltin="1"/>
    <cellStyle name="60% - Énfasis5" xfId="54" builtinId="48" customBuiltin="1"/>
    <cellStyle name="60% - Énfasis6" xfId="58" builtinId="52" customBuiltin="1"/>
    <cellStyle name="Cálculo" xfId="29" builtinId="22" customBuiltin="1"/>
    <cellStyle name="Celda de comprobación" xfId="5" builtinId="23" customBuiltin="1"/>
    <cellStyle name="Celda vinculada" xfId="30" builtinId="24" customBuiltin="1"/>
    <cellStyle name="Encabezado 1" xfId="21" builtinId="16" customBuiltin="1"/>
    <cellStyle name="Encabezado 4" xfId="24" builtinId="19" customBuiltin="1"/>
    <cellStyle name="Énfasis1" xfId="35" builtinId="29" customBuiltin="1"/>
    <cellStyle name="Énfasis2" xfId="39" builtinId="33" customBuiltin="1"/>
    <cellStyle name="Énfasis3" xfId="43" builtinId="37" customBuiltin="1"/>
    <cellStyle name="Énfasis4" xfId="47" builtinId="41" customBuiltin="1"/>
    <cellStyle name="Énfasis5" xfId="51" builtinId="45" customBuiltin="1"/>
    <cellStyle name="Énfasis6" xfId="55" builtinId="49" customBuiltin="1"/>
    <cellStyle name="Entrada" xfId="27" builtinId="20" customBuiltin="1"/>
    <cellStyle name="Excel Built-in Normal 2" xfId="96"/>
    <cellStyle name="Hipervínculo" xfId="17" builtinId="8"/>
    <cellStyle name="Incorrecto" xfId="25" builtinId="27" customBuiltin="1"/>
    <cellStyle name="KPT04" xfId="8"/>
    <cellStyle name="KPT04 2" xfId="15"/>
    <cellStyle name="KPT04_Main" xfId="13"/>
    <cellStyle name="Millares" xfId="1" builtinId="3"/>
    <cellStyle name="Millares [0]" xfId="2" builtinId="6"/>
    <cellStyle name="Millares [0] 2" xfId="74"/>
    <cellStyle name="Millares [0] 2 2" xfId="137"/>
    <cellStyle name="Millares [0] 2 2 2" xfId="172"/>
    <cellStyle name="Millares [0] 2 3" xfId="151"/>
    <cellStyle name="Millares [0] 3" xfId="100"/>
    <cellStyle name="Millares [0] 3 2" xfId="171"/>
    <cellStyle name="Millares [0] 4" xfId="141"/>
    <cellStyle name="Millares [0] 4 2" xfId="173"/>
    <cellStyle name="Millares [0] 5" xfId="153"/>
    <cellStyle name="Millares 10" xfId="148"/>
    <cellStyle name="Millares 2" xfId="6"/>
    <cellStyle name="Millares 2 2" xfId="7"/>
    <cellStyle name="Millares 2 2 2" xfId="11"/>
    <cellStyle name="Millares 2 2 2 2" xfId="71"/>
    <cellStyle name="Millares 2 2 2 2 2" xfId="136"/>
    <cellStyle name="Millares 2 2 2 2 2 2" xfId="159"/>
    <cellStyle name="Millares 2 2 2 2 3" xfId="150"/>
    <cellStyle name="Millares 2 4" xfId="80"/>
    <cellStyle name="Millares 2 4 2" xfId="143"/>
    <cellStyle name="Millares 2 4 2 2" xfId="174"/>
    <cellStyle name="Millares 2 4 3" xfId="154"/>
    <cellStyle name="Millares 3" xfId="92"/>
    <cellStyle name="Millares 3 2" xfId="101"/>
    <cellStyle name="Millares 3 3" xfId="98"/>
    <cellStyle name="Millares 3 3 2" xfId="169"/>
    <cellStyle name="Millares 3 4" xfId="160"/>
    <cellStyle name="Millares 4" xfId="97"/>
    <cellStyle name="Millares 4 2" xfId="157"/>
    <cellStyle name="Millares 4 3" xfId="168"/>
    <cellStyle name="Millares 5" xfId="164"/>
    <cellStyle name="Millares 6" xfId="99"/>
    <cellStyle name="Millares 6 2" xfId="162"/>
    <cellStyle name="Millares 6 3" xfId="170"/>
    <cellStyle name="Millares 7" xfId="158"/>
    <cellStyle name="Millares 8" xfId="166"/>
    <cellStyle name="Millares 9" xfId="167"/>
    <cellStyle name="Moneda [0]" xfId="3" builtinId="7"/>
    <cellStyle name="Moneda [0] 2" xfId="78"/>
    <cellStyle name="Moneda [0] 2 2" xfId="102"/>
    <cellStyle name="Moneda [0] 2 2 2" xfId="145"/>
    <cellStyle name="Moneda [0] 2 2 2 2" xfId="175"/>
    <cellStyle name="Moneda [0] 2 2 3" xfId="156"/>
    <cellStyle name="Moneda [0] 2 3" xfId="140"/>
    <cellStyle name="Moneda 10" xfId="116"/>
    <cellStyle name="Moneda 11" xfId="121"/>
    <cellStyle name="Moneda 12" xfId="122"/>
    <cellStyle name="Moneda 13" xfId="123"/>
    <cellStyle name="Moneda 14" xfId="124"/>
    <cellStyle name="Moneda 15" xfId="125"/>
    <cellStyle name="Moneda 16" xfId="126"/>
    <cellStyle name="Moneda 2" xfId="10"/>
    <cellStyle name="Moneda 2 2" xfId="79"/>
    <cellStyle name="Moneda 2 2 2" xfId="152"/>
    <cellStyle name="Moneda 2 3" xfId="77"/>
    <cellStyle name="Moneda 2 4" xfId="108"/>
    <cellStyle name="Moneda 2 4 2" xfId="155"/>
    <cellStyle name="Moneda 2 5" xfId="139"/>
    <cellStyle name="Moneda 3" xfId="14"/>
    <cellStyle name="Moneda 3 2" xfId="95"/>
    <cellStyle name="Moneda 3 2 2" xfId="165"/>
    <cellStyle name="Moneda 4" xfId="107"/>
    <cellStyle name="Moneda 5" xfId="111"/>
    <cellStyle name="Moneda 6" xfId="112"/>
    <cellStyle name="Moneda 7" xfId="113"/>
    <cellStyle name="Moneda 8" xfId="115"/>
    <cellStyle name="Moneda 9" xfId="114"/>
    <cellStyle name="Neutral" xfId="26" builtinId="28" customBuiltin="1"/>
    <cellStyle name="Normal" xfId="0" builtinId="0"/>
    <cellStyle name="Normal 10" xfId="70"/>
    <cellStyle name="Normal 11" xfId="84"/>
    <cellStyle name="Normal 12" xfId="81"/>
    <cellStyle name="Normal 13" xfId="66"/>
    <cellStyle name="Normal 14" xfId="68"/>
    <cellStyle name="Normal 15" xfId="82"/>
    <cellStyle name="Normal 16" xfId="64"/>
    <cellStyle name="Normal 17" xfId="83"/>
    <cellStyle name="Normal 18" xfId="63"/>
    <cellStyle name="Normal 19" xfId="85"/>
    <cellStyle name="Normal 2" xfId="12"/>
    <cellStyle name="Normal 2 2" xfId="9"/>
    <cellStyle name="Normal 2 2 2" xfId="16"/>
    <cellStyle name="Normal 2 2 2 2" xfId="109"/>
    <cellStyle name="Normal 2 3" xfId="18"/>
    <cellStyle name="Normal 2 3 2" xfId="103"/>
    <cellStyle name="Normal 2 3 2 2" xfId="163"/>
    <cellStyle name="Normal 2 3 3" xfId="144"/>
    <cellStyle name="Normal 2 3 3 2" xfId="161"/>
    <cellStyle name="Normal 2 4" xfId="94"/>
    <cellStyle name="Normal 20" xfId="62"/>
    <cellStyle name="Normal 21" xfId="67"/>
    <cellStyle name="Normal 22" xfId="65"/>
    <cellStyle name="Normal 23" xfId="86"/>
    <cellStyle name="Normal 24" xfId="87"/>
    <cellStyle name="Normal 25" xfId="88"/>
    <cellStyle name="Normal 26" xfId="89"/>
    <cellStyle name="Normal 27" xfId="90"/>
    <cellStyle name="Normal 28" xfId="91"/>
    <cellStyle name="Normal 29" xfId="93"/>
    <cellStyle name="Normal 3" xfId="19"/>
    <cellStyle name="Normal 3 2" xfId="104"/>
    <cellStyle name="Normal 30" xfId="105"/>
    <cellStyle name="Normal 31" xfId="119"/>
    <cellStyle name="Normal 32" xfId="117"/>
    <cellStyle name="Normal 33" xfId="118"/>
    <cellStyle name="Normal 34" xfId="110"/>
    <cellStyle name="Normal 35" xfId="120"/>
    <cellStyle name="Normal 36" xfId="127"/>
    <cellStyle name="Normal 37" xfId="135"/>
    <cellStyle name="Normal 38" xfId="130"/>
    <cellStyle name="Normal 39" xfId="138"/>
    <cellStyle name="Normal 4" xfId="59"/>
    <cellStyle name="Normal 40" xfId="128"/>
    <cellStyle name="Normal 41" xfId="142"/>
    <cellStyle name="Normal 42" xfId="146"/>
    <cellStyle name="Normal 43" xfId="134"/>
    <cellStyle name="Normal 44" xfId="131"/>
    <cellStyle name="Normal 45" xfId="132"/>
    <cellStyle name="Normal 46" xfId="129"/>
    <cellStyle name="Normal 47" xfId="133"/>
    <cellStyle name="Normal 48" xfId="147"/>
    <cellStyle name="Normal 49" xfId="149"/>
    <cellStyle name="Normal 5" xfId="69"/>
    <cellStyle name="Normal 6" xfId="61"/>
    <cellStyle name="Normal 7" xfId="72"/>
    <cellStyle name="Normal 8" xfId="60"/>
    <cellStyle name="Normal 9" xfId="76"/>
    <cellStyle name="Notas" xfId="32" builtinId="10" customBuiltin="1"/>
    <cellStyle name="Porcentaje" xfId="4" builtinId="5"/>
    <cellStyle name="Porcentaje 2 2" xfId="73"/>
    <cellStyle name="Porcentaje 2 2 2" xfId="75"/>
    <cellStyle name="Porcentaje 2 3" xfId="106"/>
    <cellStyle name="Salida" xfId="28" builtinId="21" customBuiltin="1"/>
    <cellStyle name="Texto de advertencia" xfId="31" builtinId="11" customBuiltin="1"/>
    <cellStyle name="Texto explicativo" xfId="33" builtinId="53" customBuiltin="1"/>
    <cellStyle name="Título" xfId="20" builtinId="15" customBuiltin="1"/>
    <cellStyle name="Título 2" xfId="22" builtinId="17" customBuiltin="1"/>
    <cellStyle name="Título 3" xfId="23" builtinId="18" customBuiltin="1"/>
    <cellStyle name="Total" xfId="34" builtinId="25" customBuiltin="1"/>
  </cellStyles>
  <dxfs count="8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s-CO"/>
              <a:t>Departamento Quindío</a:t>
            </a:r>
          </a:p>
          <a:p>
            <a:pPr>
              <a:defRPr sz="1400" b="0" i="0" u="none" strike="noStrike" kern="1200" spc="0" baseline="0">
                <a:solidFill>
                  <a:sysClr val="windowText" lastClr="000000"/>
                </a:solidFill>
                <a:latin typeface="+mn-lt"/>
                <a:ea typeface="+mn-ea"/>
                <a:cs typeface="+mn-cs"/>
              </a:defRPr>
            </a:pPr>
            <a:r>
              <a:rPr lang="es-CO"/>
              <a:t>Avance de Ejecución por Línea Estratégica </a:t>
            </a:r>
          </a:p>
          <a:p>
            <a:pPr>
              <a:defRPr sz="1400" b="0" i="0" u="none" strike="noStrike" kern="1200" spc="0" baseline="0">
                <a:solidFill>
                  <a:sysClr val="windowText" lastClr="000000"/>
                </a:solidFill>
                <a:latin typeface="+mn-lt"/>
                <a:ea typeface="+mn-ea"/>
                <a:cs typeface="+mn-cs"/>
              </a:defRPr>
            </a:pPr>
            <a:r>
              <a:rPr lang="es-CO"/>
              <a:t>IV Trimestre 2020</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'PROGRAMAS PLAN INDICATIVO'!$L$5</c:f>
              <c:strCache>
                <c:ptCount val="1"/>
                <c:pt idx="0">
                  <c:v>Presupuesto</c:v>
                </c:pt>
              </c:strCache>
            </c:strRef>
          </c:tx>
          <c:spPr>
            <a:solidFill>
              <a:srgbClr val="92D050"/>
            </a:solidFill>
            <a:ln>
              <a:noFill/>
            </a:ln>
            <a:effectLst/>
            <a:sp3d/>
          </c:spPr>
          <c:invertIfNegative val="0"/>
          <c:cat>
            <c:strRef>
              <c:f>'PROGRAMAS PLAN INDICATIVO'!$K$6:$K$10</c:f>
              <c:strCache>
                <c:ptCount val="5"/>
                <c:pt idx="0">
                  <c:v>INCLUSIÓN SOCIAL Y EQUIDAD</c:v>
                </c:pt>
                <c:pt idx="1">
                  <c:v>PRODUCTIVIDAD Y COMPETITIVIDAD</c:v>
                </c:pt>
                <c:pt idx="2">
                  <c:v>TERRITORIO, AMBIENTE Y DESARROLLO SOSTENIBLE</c:v>
                </c:pt>
                <c:pt idx="3">
                  <c:v>LIDERAZGO, GOBERNABILIDAD Y TRANSPARENCIA</c:v>
                </c:pt>
                <c:pt idx="4">
                  <c:v>TOTAL </c:v>
                </c:pt>
              </c:strCache>
            </c:strRef>
          </c:cat>
          <c:val>
            <c:numRef>
              <c:f>'PROGRAMAS PLAN INDICATIVO'!$L$6:$L$10</c:f>
              <c:numCache>
                <c:formatCode>_-* #,##0.00_-;\-* #,##0.00_-;_-* "-"_-;_-@_-</c:formatCode>
                <c:ptCount val="5"/>
                <c:pt idx="0">
                  <c:v>274840500141.39999</c:v>
                </c:pt>
                <c:pt idx="1">
                  <c:v>18735671102.82</c:v>
                </c:pt>
                <c:pt idx="2">
                  <c:v>92686939190.660004</c:v>
                </c:pt>
                <c:pt idx="3">
                  <c:v>5528882739.7399998</c:v>
                </c:pt>
                <c:pt idx="4" formatCode="_([$$-240A]\ * #,##0.00_);_([$$-240A]\ * \(#,##0.00\);_([$$-240A]\ * &quot;-&quot;??_);_(@_)">
                  <c:v>391791993174.62</c:v>
                </c:pt>
              </c:numCache>
            </c:numRef>
          </c:val>
          <c:extLst>
            <c:ext xmlns:c16="http://schemas.microsoft.com/office/drawing/2014/chart" uri="{C3380CC4-5D6E-409C-BE32-E72D297353CC}">
              <c16:uniqueId val="{00000000-75B9-482A-9CF3-A87D194EC00D}"/>
            </c:ext>
          </c:extLst>
        </c:ser>
        <c:ser>
          <c:idx val="1"/>
          <c:order val="1"/>
          <c:tx>
            <c:strRef>
              <c:f>'PROGRAMAS PLAN INDICATIVO'!$M$5</c:f>
              <c:strCache>
                <c:ptCount val="1"/>
                <c:pt idx="0">
                  <c:v>% </c:v>
                </c:pt>
              </c:strCache>
            </c:strRef>
          </c:tx>
          <c:spPr>
            <a:noFill/>
            <a:ln>
              <a:noFill/>
            </a:ln>
            <a:effectLst/>
            <a:sp3d/>
          </c:spPr>
          <c:invertIfNegative val="0"/>
          <c:cat>
            <c:strRef>
              <c:f>'PROGRAMAS PLAN INDICATIVO'!$K$6:$K$10</c:f>
              <c:strCache>
                <c:ptCount val="5"/>
                <c:pt idx="0">
                  <c:v>INCLUSIÓN SOCIAL Y EQUIDAD</c:v>
                </c:pt>
                <c:pt idx="1">
                  <c:v>PRODUCTIVIDAD Y COMPETITIVIDAD</c:v>
                </c:pt>
                <c:pt idx="2">
                  <c:v>TERRITORIO, AMBIENTE Y DESARROLLO SOSTENIBLE</c:v>
                </c:pt>
                <c:pt idx="3">
                  <c:v>LIDERAZGO, GOBERNABILIDAD Y TRANSPARENCIA</c:v>
                </c:pt>
                <c:pt idx="4">
                  <c:v>TOTAL </c:v>
                </c:pt>
              </c:strCache>
            </c:strRef>
          </c:cat>
          <c:val>
            <c:numRef>
              <c:f>'PROGRAMAS PLAN INDICATIVO'!$M$6:$M$10</c:f>
              <c:numCache>
                <c:formatCode>0%</c:formatCode>
                <c:ptCount val="5"/>
                <c:pt idx="0">
                  <c:v>1</c:v>
                </c:pt>
                <c:pt idx="1">
                  <c:v>1</c:v>
                </c:pt>
                <c:pt idx="2">
                  <c:v>1</c:v>
                </c:pt>
                <c:pt idx="3">
                  <c:v>1</c:v>
                </c:pt>
                <c:pt idx="4">
                  <c:v>1</c:v>
                </c:pt>
              </c:numCache>
            </c:numRef>
          </c:val>
          <c:extLst>
            <c:ext xmlns:c16="http://schemas.microsoft.com/office/drawing/2014/chart" uri="{C3380CC4-5D6E-409C-BE32-E72D297353CC}">
              <c16:uniqueId val="{00000001-75B9-482A-9CF3-A87D194EC00D}"/>
            </c:ext>
          </c:extLst>
        </c:ser>
        <c:ser>
          <c:idx val="2"/>
          <c:order val="2"/>
          <c:tx>
            <c:strRef>
              <c:f>'PROGRAMAS PLAN INDICATIVO'!$N$5</c:f>
              <c:strCache>
                <c:ptCount val="1"/>
                <c:pt idx="0">
                  <c:v>Compromisos</c:v>
                </c:pt>
              </c:strCache>
            </c:strRef>
          </c:tx>
          <c:spPr>
            <a:solidFill>
              <a:srgbClr val="FFC000"/>
            </a:solidFill>
            <a:ln>
              <a:noFill/>
            </a:ln>
            <a:effectLst/>
            <a:sp3d/>
          </c:spPr>
          <c:invertIfNegative val="0"/>
          <c:cat>
            <c:strRef>
              <c:f>'PROGRAMAS PLAN INDICATIVO'!$K$6:$K$10</c:f>
              <c:strCache>
                <c:ptCount val="5"/>
                <c:pt idx="0">
                  <c:v>INCLUSIÓN SOCIAL Y EQUIDAD</c:v>
                </c:pt>
                <c:pt idx="1">
                  <c:v>PRODUCTIVIDAD Y COMPETITIVIDAD</c:v>
                </c:pt>
                <c:pt idx="2">
                  <c:v>TERRITORIO, AMBIENTE Y DESARROLLO SOSTENIBLE</c:v>
                </c:pt>
                <c:pt idx="3">
                  <c:v>LIDERAZGO, GOBERNABILIDAD Y TRANSPARENCIA</c:v>
                </c:pt>
                <c:pt idx="4">
                  <c:v>TOTAL </c:v>
                </c:pt>
              </c:strCache>
            </c:strRef>
          </c:cat>
          <c:val>
            <c:numRef>
              <c:f>'PROGRAMAS PLAN INDICATIVO'!$N$6:$N$10</c:f>
              <c:numCache>
                <c:formatCode>_([$$-240A]\ * #,##0.00_);_([$$-240A]\ * \(#,##0.00\);_([$$-240A]\ * "-"??_);_(@_)</c:formatCode>
                <c:ptCount val="5"/>
                <c:pt idx="0">
                  <c:v>244257111609.03329</c:v>
                </c:pt>
                <c:pt idx="1">
                  <c:v>17224626369</c:v>
                </c:pt>
                <c:pt idx="2">
                  <c:v>20810641156.849998</c:v>
                </c:pt>
                <c:pt idx="3">
                  <c:v>4122279349.3299999</c:v>
                </c:pt>
                <c:pt idx="4">
                  <c:v>286414658484.21332</c:v>
                </c:pt>
              </c:numCache>
            </c:numRef>
          </c:val>
          <c:extLst>
            <c:ext xmlns:c16="http://schemas.microsoft.com/office/drawing/2014/chart" uri="{C3380CC4-5D6E-409C-BE32-E72D297353CC}">
              <c16:uniqueId val="{00000002-75B9-482A-9CF3-A87D194EC00D}"/>
            </c:ext>
          </c:extLst>
        </c:ser>
        <c:ser>
          <c:idx val="3"/>
          <c:order val="3"/>
          <c:tx>
            <c:strRef>
              <c:f>'PROGRAMAS PLAN INDICATIVO'!$O$5</c:f>
              <c:strCache>
                <c:ptCount val="1"/>
                <c:pt idx="0">
                  <c:v>% Compromiso</c:v>
                </c:pt>
              </c:strCache>
            </c:strRef>
          </c:tx>
          <c:spPr>
            <a:noFill/>
            <a:ln>
              <a:noFill/>
            </a:ln>
            <a:effectLst/>
            <a:sp3d/>
          </c:spPr>
          <c:invertIfNegative val="0"/>
          <c:cat>
            <c:strRef>
              <c:f>'PROGRAMAS PLAN INDICATIVO'!$K$6:$K$10</c:f>
              <c:strCache>
                <c:ptCount val="5"/>
                <c:pt idx="0">
                  <c:v>INCLUSIÓN SOCIAL Y EQUIDAD</c:v>
                </c:pt>
                <c:pt idx="1">
                  <c:v>PRODUCTIVIDAD Y COMPETITIVIDAD</c:v>
                </c:pt>
                <c:pt idx="2">
                  <c:v>TERRITORIO, AMBIENTE Y DESARROLLO SOSTENIBLE</c:v>
                </c:pt>
                <c:pt idx="3">
                  <c:v>LIDERAZGO, GOBERNABILIDAD Y TRANSPARENCIA</c:v>
                </c:pt>
                <c:pt idx="4">
                  <c:v>TOTAL </c:v>
                </c:pt>
              </c:strCache>
            </c:strRef>
          </c:cat>
          <c:val>
            <c:numRef>
              <c:f>'PROGRAMAS PLAN INDICATIVO'!$O$6:$O$10</c:f>
              <c:numCache>
                <c:formatCode>0.00%</c:formatCode>
                <c:ptCount val="5"/>
                <c:pt idx="0">
                  <c:v>0.88872313754111143</c:v>
                </c:pt>
                <c:pt idx="1">
                  <c:v>0.91934931364200956</c:v>
                </c:pt>
                <c:pt idx="2">
                  <c:v>0.22452614509194055</c:v>
                </c:pt>
                <c:pt idx="3">
                  <c:v>0.74558993984449262</c:v>
                </c:pt>
                <c:pt idx="4">
                  <c:v>0.7310375491940172</c:v>
                </c:pt>
              </c:numCache>
            </c:numRef>
          </c:val>
          <c:extLst>
            <c:ext xmlns:c16="http://schemas.microsoft.com/office/drawing/2014/chart" uri="{C3380CC4-5D6E-409C-BE32-E72D297353CC}">
              <c16:uniqueId val="{00000003-75B9-482A-9CF3-A87D194EC00D}"/>
            </c:ext>
          </c:extLst>
        </c:ser>
        <c:ser>
          <c:idx val="4"/>
          <c:order val="4"/>
          <c:tx>
            <c:strRef>
              <c:f>'PROGRAMAS PLAN INDICATIVO'!$P$5</c:f>
              <c:strCache>
                <c:ptCount val="1"/>
                <c:pt idx="0">
                  <c:v>Obligaciones</c:v>
                </c:pt>
              </c:strCache>
            </c:strRef>
          </c:tx>
          <c:spPr>
            <a:solidFill>
              <a:schemeClr val="accent5"/>
            </a:solidFill>
            <a:ln>
              <a:noFill/>
            </a:ln>
            <a:effectLst/>
            <a:sp3d/>
          </c:spPr>
          <c:invertIfNegative val="0"/>
          <c:cat>
            <c:strRef>
              <c:f>'PROGRAMAS PLAN INDICATIVO'!$K$6:$K$10</c:f>
              <c:strCache>
                <c:ptCount val="5"/>
                <c:pt idx="0">
                  <c:v>INCLUSIÓN SOCIAL Y EQUIDAD</c:v>
                </c:pt>
                <c:pt idx="1">
                  <c:v>PRODUCTIVIDAD Y COMPETITIVIDAD</c:v>
                </c:pt>
                <c:pt idx="2">
                  <c:v>TERRITORIO, AMBIENTE Y DESARROLLO SOSTENIBLE</c:v>
                </c:pt>
                <c:pt idx="3">
                  <c:v>LIDERAZGO, GOBERNABILIDAD Y TRANSPARENCIA</c:v>
                </c:pt>
                <c:pt idx="4">
                  <c:v>TOTAL </c:v>
                </c:pt>
              </c:strCache>
            </c:strRef>
          </c:cat>
          <c:val>
            <c:numRef>
              <c:f>'PROGRAMAS PLAN INDICATIVO'!$P$6:$P$10</c:f>
              <c:numCache>
                <c:formatCode>_([$$-240A]\ * #,##0.00_);_([$$-240A]\ * \(#,##0.00\);_([$$-240A]\ * "-"??_);_(@_)</c:formatCode>
                <c:ptCount val="5"/>
                <c:pt idx="0">
                  <c:v>238266458478.03329</c:v>
                </c:pt>
                <c:pt idx="1">
                  <c:v>9837873963</c:v>
                </c:pt>
                <c:pt idx="2">
                  <c:v>11183504325.85</c:v>
                </c:pt>
                <c:pt idx="3">
                  <c:v>4042234335.3299999</c:v>
                </c:pt>
                <c:pt idx="4">
                  <c:v>263330071102.21329</c:v>
                </c:pt>
              </c:numCache>
            </c:numRef>
          </c:val>
          <c:extLst>
            <c:ext xmlns:c16="http://schemas.microsoft.com/office/drawing/2014/chart" uri="{C3380CC4-5D6E-409C-BE32-E72D297353CC}">
              <c16:uniqueId val="{00000004-75B9-482A-9CF3-A87D194EC00D}"/>
            </c:ext>
          </c:extLst>
        </c:ser>
        <c:ser>
          <c:idx val="5"/>
          <c:order val="5"/>
          <c:tx>
            <c:strRef>
              <c:f>'PROGRAMAS PLAN INDICATIVO'!$Q$5</c:f>
              <c:strCache>
                <c:ptCount val="1"/>
                <c:pt idx="0">
                  <c:v>% Obligación</c:v>
                </c:pt>
              </c:strCache>
            </c:strRef>
          </c:tx>
          <c:spPr>
            <a:noFill/>
            <a:ln>
              <a:noFill/>
            </a:ln>
            <a:effectLst/>
            <a:sp3d/>
          </c:spPr>
          <c:invertIfNegative val="0"/>
          <c:cat>
            <c:strRef>
              <c:f>'PROGRAMAS PLAN INDICATIVO'!$K$6:$K$10</c:f>
              <c:strCache>
                <c:ptCount val="5"/>
                <c:pt idx="0">
                  <c:v>INCLUSIÓN SOCIAL Y EQUIDAD</c:v>
                </c:pt>
                <c:pt idx="1">
                  <c:v>PRODUCTIVIDAD Y COMPETITIVIDAD</c:v>
                </c:pt>
                <c:pt idx="2">
                  <c:v>TERRITORIO, AMBIENTE Y DESARROLLO SOSTENIBLE</c:v>
                </c:pt>
                <c:pt idx="3">
                  <c:v>LIDERAZGO, GOBERNABILIDAD Y TRANSPARENCIA</c:v>
                </c:pt>
                <c:pt idx="4">
                  <c:v>TOTAL </c:v>
                </c:pt>
              </c:strCache>
            </c:strRef>
          </c:cat>
          <c:val>
            <c:numRef>
              <c:f>'PROGRAMAS PLAN INDICATIVO'!$Q$6:$Q$10</c:f>
              <c:numCache>
                <c:formatCode>0.00%</c:formatCode>
                <c:ptCount val="5"/>
                <c:pt idx="0">
                  <c:v>0.86692630218417566</c:v>
                </c:pt>
                <c:pt idx="1">
                  <c:v>0.52508788764546854</c:v>
                </c:pt>
                <c:pt idx="2">
                  <c:v>0.1206589021441864</c:v>
                </c:pt>
                <c:pt idx="3">
                  <c:v>0.73111232876682231</c:v>
                </c:pt>
                <c:pt idx="4">
                  <c:v>0.67211703069400963</c:v>
                </c:pt>
              </c:numCache>
            </c:numRef>
          </c:val>
          <c:extLst>
            <c:ext xmlns:c16="http://schemas.microsoft.com/office/drawing/2014/chart" uri="{C3380CC4-5D6E-409C-BE32-E72D297353CC}">
              <c16:uniqueId val="{00000005-75B9-482A-9CF3-A87D194EC00D}"/>
            </c:ext>
          </c:extLst>
        </c:ser>
        <c:dLbls>
          <c:showLegendKey val="0"/>
          <c:showVal val="0"/>
          <c:showCatName val="0"/>
          <c:showSerName val="0"/>
          <c:showPercent val="0"/>
          <c:showBubbleSize val="0"/>
        </c:dLbls>
        <c:gapWidth val="150"/>
        <c:shape val="box"/>
        <c:axId val="162042712"/>
        <c:axId val="290463104"/>
        <c:axId val="0"/>
      </c:bar3DChart>
      <c:catAx>
        <c:axId val="1620427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290463104"/>
        <c:crosses val="autoZero"/>
        <c:auto val="1"/>
        <c:lblAlgn val="ctr"/>
        <c:lblOffset val="100"/>
        <c:noMultiLvlLbl val="0"/>
      </c:catAx>
      <c:valAx>
        <c:axId val="290463104"/>
        <c:scaling>
          <c:orientation val="minMax"/>
        </c:scaling>
        <c:delete val="0"/>
        <c:axPos val="l"/>
        <c:numFmt formatCode="_-* #,##0.00_-;\-* #,##0.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16204271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200521</xdr:colOff>
      <xdr:row>0</xdr:row>
      <xdr:rowOff>0</xdr:rowOff>
    </xdr:from>
    <xdr:to>
      <xdr:col>2</xdr:col>
      <xdr:colOff>358019</xdr:colOff>
      <xdr:row>3</xdr:row>
      <xdr:rowOff>149678</xdr:rowOff>
    </xdr:to>
    <xdr:pic>
      <xdr:nvPicPr>
        <xdr:cNvPr id="3" name="Imagen 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7996" t="12991" r="67844" b="74319"/>
        <a:stretch>
          <a:fillRect/>
        </a:stretch>
      </xdr:blipFill>
      <xdr:spPr bwMode="auto">
        <a:xfrm>
          <a:off x="2187164" y="0"/>
          <a:ext cx="1953641" cy="966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1315638</xdr:colOff>
      <xdr:row>10</xdr:row>
      <xdr:rowOff>271462</xdr:rowOff>
    </xdr:from>
    <xdr:to>
      <xdr:col>19</xdr:col>
      <xdr:colOff>250030</xdr:colOff>
      <xdr:row>18</xdr:row>
      <xdr:rowOff>119062</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OBERNACION%20QUINDIO%202020/SGTO%20INSTRUMENTOS%202020/SGTO%20PDD%20IV%20TRIMESTRE%202020/F-PLA-47%20METAS%20%20IV%20TRIMSTRE%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OBERNACION%20QUINDIO%202020/SGTO%20INSTRUMENTOS%202020/SGTO%20PDD%20IV%20TRIMESTRE%202020/F-PLA-43%20SGTO%20POAI%20%20IV%20TRIM%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NSTRUMENTOS%20DICIEMBRE%202020\F-PLA-43%20SGTO%20POAI%20DIC%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INSTRUMENTOS%20DICIEMBRE%202020\UNIDADES%20DIC%202020\SGTO%20HACIENDA%20DIC%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LA-47 MP ADMINISTRATIVA"/>
      <sheetName val="F-PLA-47 MP PLANEACION"/>
      <sheetName val="F-PLA-47 MP HACIENDA"/>
      <sheetName val=" F-PLA-47 MP INFRAEST"/>
      <sheetName val="F-PLA-47 MP INTERIOR"/>
      <sheetName val="F-PLA-47 MP CULTURA"/>
      <sheetName val="F-PLA-47 MP TURISMO"/>
      <sheetName val="F-PLA-47 MP AGRICULTURA"/>
      <sheetName val=" F-PLA-47 PA PRIVADA"/>
      <sheetName val="F-PLA-47 MP EDUCACION"/>
      <sheetName val="F-PLA-47 MP FAMILIA "/>
      <sheetName val="F-PLA-47 MP SALUD"/>
      <sheetName val="F-PLA-47 MP TIC"/>
      <sheetName val="F-PLA-47 MP INDEPORTES"/>
      <sheetName val="F-PLA-47 PROMOTORA"/>
      <sheetName val="F-PLA-47 MP IDTQ"/>
      <sheetName val="CONSOLIDADO MP 2020"/>
    </sheetNames>
    <sheetDataSet>
      <sheetData sheetId="0"/>
      <sheetData sheetId="1"/>
      <sheetData sheetId="2"/>
      <sheetData sheetId="3"/>
      <sheetData sheetId="4"/>
      <sheetData sheetId="5"/>
      <sheetData sheetId="6"/>
      <sheetData sheetId="7"/>
      <sheetData sheetId="8"/>
      <sheetData sheetId="9"/>
      <sheetData sheetId="10"/>
      <sheetData sheetId="11">
        <row r="135">
          <cell r="Q135">
            <v>5600000</v>
          </cell>
        </row>
      </sheetData>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TO POAI DIC 30"/>
      <sheetName val="EJECUCION PROYECTOS"/>
      <sheetName val="UNIDADES"/>
      <sheetName val="PROGRAMAS "/>
      <sheetName val="LINEAS ESTRATEGICAS"/>
    </sheetNames>
    <sheetDataSet>
      <sheetData sheetId="0">
        <row r="198">
          <cell r="AC198">
            <v>141097733.03999999</v>
          </cell>
          <cell r="AD198">
            <v>34205332.039999999</v>
          </cell>
          <cell r="AE198">
            <v>34205332.039999999</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TO POAI DIC 30"/>
      <sheetName val="LISTA PROYECTOS"/>
      <sheetName val="UNIDADES"/>
      <sheetName val="PROGRAMAS "/>
      <sheetName val="LINEAS ESTRATEGICAS"/>
    </sheetNames>
    <sheetDataSet>
      <sheetData sheetId="0">
        <row r="19">
          <cell r="BH19">
            <v>153233333</v>
          </cell>
          <cell r="BI19">
            <v>116085333</v>
          </cell>
        </row>
        <row r="20">
          <cell r="BH20">
            <v>67393455</v>
          </cell>
          <cell r="BI20">
            <v>67393455</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Producto F-PLA-47"/>
      <sheetName val="Plan de Acción F-PLA-06"/>
      <sheetName val="Sgto Plan Acción F-PLA 07"/>
    </sheetNames>
    <sheetDataSet>
      <sheetData sheetId="0">
        <row r="16">
          <cell r="R16">
            <v>127550000</v>
          </cell>
        </row>
        <row r="20">
          <cell r="Q20">
            <v>127397336</v>
          </cell>
        </row>
        <row r="21">
          <cell r="Q21">
            <v>120000000</v>
          </cell>
        </row>
        <row r="22">
          <cell r="Q22">
            <v>143466664</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app.powerbi.com/view?r=eyJrIjoiNmUyZjc2ZDgtODg3OC00OTg2LWE5NDEtYTQyZjM2NzM2ZmQ2IiwidCI6IjFhMDY3M2M2LTI0ZTEtNDc2ZC1iYjRkLWJhNmE5MWEzYzU4OCIsImMiOjR9" TargetMode="External"/><Relationship Id="rId7" Type="http://schemas.openxmlformats.org/officeDocument/2006/relationships/hyperlink" Target="https://app.powerbi.com/view?r=eyJrIjoiNmUyZjc2ZDgtODg3OC00OTg2LWE5NDEtYTQyZjM2NzM2ZmQ2IiwidCI6IjFhMDY3M2M2LTI0ZTEtNDc2ZC1iYjRkLWJhNmE5MWEzYzU4OCIsImMiOjR9" TargetMode="External"/><Relationship Id="rId2" Type="http://schemas.openxmlformats.org/officeDocument/2006/relationships/hyperlink" Target="https://app.powerbi.com/view?r=eyJrIjoiNmUyZjc2ZDgtODg3OC00OTg2LWE5NDEtYTQyZjM2NzM2ZmQ2IiwidCI6IjFhMDY3M2M2LTI0ZTEtNDc2ZC1iYjRkLWJhNmE5MWEzYzU4OCIsImMiOjR9" TargetMode="External"/><Relationship Id="rId1" Type="http://schemas.openxmlformats.org/officeDocument/2006/relationships/hyperlink" Target="https://app.powerbi.com/view?r=eyJrIjoiNmUyZjc2ZDgtODg3OC00OTg2LWE5NDEtYTQyZjM2NzM2ZmQ2IiwidCI6IjFhMDY3M2M2LTI0ZTEtNDc2ZC1iYjRkLWJhNmE5MWEzYzU4OCIsImMiOjR9" TargetMode="External"/><Relationship Id="rId6" Type="http://schemas.openxmlformats.org/officeDocument/2006/relationships/hyperlink" Target="https://app.powerbi.com/view?r=eyJrIjoiNmUyZjc2ZDgtODg3OC00OTg2LWE5NDEtYTQyZjM2NzM2ZmQ2IiwidCI6IjFhMDY3M2M2LTI0ZTEtNDc2ZC1iYjRkLWJhNmE5MWEzYzU4OCIsImMiOjR9" TargetMode="External"/><Relationship Id="rId11" Type="http://schemas.openxmlformats.org/officeDocument/2006/relationships/comments" Target="../comments1.xml"/><Relationship Id="rId5" Type="http://schemas.openxmlformats.org/officeDocument/2006/relationships/hyperlink" Target="https://app.powerbi.com/view?r=eyJrIjoiNmUyZjc2ZDgtODg3OC00OTg2LWE5NDEtYTQyZjM2NzM2ZmQ2IiwidCI6IjFhMDY3M2M2LTI0ZTEtNDc2ZC1iYjRkLWJhNmE5MWEzYzU4OCIsImMiOjR9" TargetMode="External"/><Relationship Id="rId10" Type="http://schemas.openxmlformats.org/officeDocument/2006/relationships/vmlDrawing" Target="../drawings/vmlDrawing1.vml"/><Relationship Id="rId4" Type="http://schemas.openxmlformats.org/officeDocument/2006/relationships/hyperlink" Target="https://app.powerbi.com/view?r=eyJrIjoiNmUyZjc2ZDgtODg3OC00OTg2LWE5NDEtYTQyZjM2NzM2ZmQ2IiwidCI6IjFhMDY3M2M2LTI0ZTEtNDc2ZC1iYjRkLWJhNmE5MWEzYzU4OCIsImMiOjR9"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DS488"/>
  <sheetViews>
    <sheetView showGridLines="0" tabSelected="1" zoomScale="70" zoomScaleNormal="70" workbookViewId="0">
      <selection sqref="A1:DN4"/>
    </sheetView>
  </sheetViews>
  <sheetFormatPr baseColWidth="10" defaultRowHeight="15" x14ac:dyDescent="0.2"/>
  <cols>
    <col min="1" max="1" width="29.85546875" style="237" customWidth="1"/>
    <col min="2" max="2" width="26.85546875" style="237" customWidth="1"/>
    <col min="3" max="3" width="74.42578125" style="237" customWidth="1"/>
    <col min="4" max="4" width="74.28515625" style="237" customWidth="1"/>
    <col min="5" max="5" width="52.28515625" style="239" customWidth="1"/>
    <col min="6" max="6" width="19.28515625" style="237" customWidth="1"/>
    <col min="7" max="7" width="36.85546875" style="237" customWidth="1"/>
    <col min="8" max="8" width="46.140625" style="239" customWidth="1"/>
    <col min="9" max="9" width="10.85546875" style="237" customWidth="1"/>
    <col min="10" max="10" width="24.28515625" style="237" customWidth="1"/>
    <col min="11" max="11" width="9.5703125" style="237" customWidth="1"/>
    <col min="12" max="12" width="24.5703125" style="237" customWidth="1"/>
    <col min="13" max="13" width="15.85546875" style="237" customWidth="1"/>
    <col min="14" max="14" width="23.42578125" style="237" customWidth="1"/>
    <col min="15" max="15" width="17.28515625" style="237" customWidth="1"/>
    <col min="16" max="16" width="19.140625" style="237" customWidth="1"/>
    <col min="17" max="17" width="21.7109375" style="237" customWidth="1"/>
    <col min="18" max="18" width="16.140625" style="237" customWidth="1"/>
    <col min="19" max="19" width="39" style="237" customWidth="1"/>
    <col min="20" max="20" width="21.42578125" style="237" customWidth="1"/>
    <col min="21" max="21" width="26.140625" style="237" customWidth="1"/>
    <col min="22" max="22" width="23.5703125" style="237" customWidth="1"/>
    <col min="23" max="23" width="37.7109375" style="237" customWidth="1"/>
    <col min="24" max="24" width="19" style="238" customWidth="1"/>
    <col min="25" max="25" width="13" style="238" customWidth="1"/>
    <col min="26" max="26" width="10.85546875" style="238" customWidth="1"/>
    <col min="27" max="27" width="14.7109375" style="238" customWidth="1"/>
    <col min="28" max="30" width="9.7109375" style="238" customWidth="1"/>
    <col min="31" max="34" width="38.140625" style="237" customWidth="1"/>
    <col min="35" max="35" width="33.140625" style="237" customWidth="1"/>
    <col min="36" max="52" width="38.140625" style="237" customWidth="1"/>
    <col min="53" max="55" width="34.42578125" style="237" customWidth="1"/>
    <col min="56" max="56" width="30" style="237" customWidth="1"/>
    <col min="57" max="57" width="31.5703125" style="237" customWidth="1"/>
    <col min="58" max="60" width="30" style="237" customWidth="1"/>
    <col min="61" max="61" width="33.140625" style="237" customWidth="1"/>
    <col min="62" max="62" width="31.5703125" style="237" customWidth="1"/>
    <col min="63" max="65" width="33.140625" style="237" customWidth="1"/>
    <col min="66" max="66" width="32.140625" style="237" customWidth="1"/>
    <col min="67" max="67" width="31.5703125" style="237" customWidth="1"/>
    <col min="68" max="71" width="32.140625" style="237" customWidth="1"/>
    <col min="72" max="72" width="31.5703125" style="237" customWidth="1"/>
    <col min="73" max="76" width="32.140625" style="237" customWidth="1"/>
    <col min="77" max="77" width="31.5703125" style="237" customWidth="1"/>
    <col min="78" max="80" width="32.140625" style="237" customWidth="1"/>
    <col min="81" max="81" width="31.140625" style="237" customWidth="1"/>
    <col min="82" max="82" width="31.5703125" style="237" customWidth="1"/>
    <col min="83" max="83" width="32.140625" style="237" customWidth="1"/>
    <col min="84" max="84" width="36.42578125" style="237" customWidth="1"/>
    <col min="85" max="85" width="32.140625" style="237" customWidth="1"/>
    <col min="86" max="86" width="37" style="237" customWidth="1"/>
    <col min="87" max="87" width="33" style="237" customWidth="1"/>
    <col min="88" max="89" width="33.5703125" style="237" customWidth="1"/>
    <col min="90" max="90" width="32.140625" style="237" customWidth="1"/>
    <col min="91" max="91" width="29.5703125" style="237" customWidth="1"/>
    <col min="92" max="92" width="31.85546875" style="237" customWidth="1"/>
    <col min="93" max="93" width="31.5703125" style="237" customWidth="1"/>
    <col min="94" max="95" width="27.85546875" style="237" customWidth="1"/>
    <col min="96" max="96" width="30" style="237" customWidth="1"/>
    <col min="97" max="97" width="36.7109375" style="237" customWidth="1"/>
    <col min="98" max="98" width="34.7109375" style="237" customWidth="1"/>
    <col min="99" max="99" width="31" style="237" customWidth="1"/>
    <col min="100" max="100" width="32.140625" style="237" customWidth="1"/>
    <col min="101" max="101" width="30.7109375" style="237" customWidth="1"/>
    <col min="102" max="102" width="30" style="237" customWidth="1"/>
    <col min="103" max="103" width="31.42578125" style="237" customWidth="1"/>
    <col min="104" max="104" width="32.5703125" style="237" customWidth="1"/>
    <col min="105" max="106" width="27.85546875" style="237" customWidth="1"/>
    <col min="107" max="107" width="30" style="237" customWidth="1"/>
    <col min="108" max="108" width="39.85546875" style="237" customWidth="1"/>
    <col min="109" max="109" width="31.5703125" style="237" customWidth="1"/>
    <col min="110" max="110" width="34.42578125" style="237" customWidth="1"/>
    <col min="111" max="111" width="35.85546875" style="237" customWidth="1"/>
    <col min="112" max="112" width="33.85546875" style="237" customWidth="1"/>
    <col min="113" max="113" width="29.28515625" style="237" customWidth="1"/>
    <col min="114" max="114" width="33.28515625" style="237" customWidth="1"/>
    <col min="115" max="115" width="32.7109375" style="237" customWidth="1"/>
    <col min="116" max="117" width="15.7109375" style="237" customWidth="1"/>
    <col min="118" max="118" width="23.28515625" style="237" customWidth="1"/>
    <col min="119" max="119" width="37" style="241" customWidth="1"/>
    <col min="120" max="122" width="11.42578125" style="208"/>
    <col min="123" max="123" width="25.28515625" style="208" customWidth="1"/>
    <col min="124" max="16384" width="11.42578125" style="208"/>
  </cols>
  <sheetData>
    <row r="1" spans="1:119" ht="21.75" customHeight="1" x14ac:dyDescent="0.2">
      <c r="A1" s="271" t="s">
        <v>1716</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c r="AV1" s="271"/>
      <c r="AW1" s="271"/>
      <c r="AX1" s="271"/>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c r="BY1" s="271"/>
      <c r="BZ1" s="271"/>
      <c r="CA1" s="271"/>
      <c r="CB1" s="271"/>
      <c r="CC1" s="271"/>
      <c r="CD1" s="271"/>
      <c r="CE1" s="271"/>
      <c r="CF1" s="271"/>
      <c r="CG1" s="271"/>
      <c r="CH1" s="271"/>
      <c r="CI1" s="271"/>
      <c r="CJ1" s="271"/>
      <c r="CK1" s="271"/>
      <c r="CL1" s="271"/>
      <c r="CM1" s="271"/>
      <c r="CN1" s="271"/>
      <c r="CO1" s="271"/>
      <c r="CP1" s="271"/>
      <c r="CQ1" s="271"/>
      <c r="CR1" s="271"/>
      <c r="CS1" s="271"/>
      <c r="CT1" s="271"/>
      <c r="CU1" s="271"/>
      <c r="CV1" s="271"/>
      <c r="CW1" s="271"/>
      <c r="CX1" s="271"/>
      <c r="CY1" s="271"/>
      <c r="CZ1" s="271"/>
      <c r="DA1" s="271"/>
      <c r="DB1" s="271"/>
      <c r="DC1" s="271"/>
      <c r="DD1" s="271"/>
      <c r="DE1" s="271"/>
      <c r="DF1" s="271"/>
      <c r="DG1" s="271"/>
      <c r="DH1" s="271"/>
      <c r="DI1" s="271"/>
      <c r="DJ1" s="271"/>
      <c r="DK1" s="271"/>
      <c r="DL1" s="271"/>
      <c r="DM1" s="271"/>
      <c r="DN1" s="272"/>
      <c r="DO1" s="207" t="s">
        <v>1567</v>
      </c>
    </row>
    <row r="2" spans="1:119" ht="21.75" customHeight="1" x14ac:dyDescent="0.2">
      <c r="A2" s="271"/>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c r="AV2" s="271"/>
      <c r="AW2" s="271"/>
      <c r="AX2" s="271"/>
      <c r="AY2" s="271"/>
      <c r="AZ2" s="271"/>
      <c r="BA2" s="271"/>
      <c r="BB2" s="271"/>
      <c r="BC2" s="271"/>
      <c r="BD2" s="271"/>
      <c r="BE2" s="271"/>
      <c r="BF2" s="271"/>
      <c r="BG2" s="271"/>
      <c r="BH2" s="271"/>
      <c r="BI2" s="271"/>
      <c r="BJ2" s="271"/>
      <c r="BK2" s="271"/>
      <c r="BL2" s="271"/>
      <c r="BM2" s="271"/>
      <c r="BN2" s="271"/>
      <c r="BO2" s="271"/>
      <c r="BP2" s="271"/>
      <c r="BQ2" s="271"/>
      <c r="BR2" s="271"/>
      <c r="BS2" s="271"/>
      <c r="BT2" s="271"/>
      <c r="BU2" s="271"/>
      <c r="BV2" s="271"/>
      <c r="BW2" s="271"/>
      <c r="BX2" s="271"/>
      <c r="BY2" s="271"/>
      <c r="BZ2" s="271"/>
      <c r="CA2" s="271"/>
      <c r="CB2" s="271"/>
      <c r="CC2" s="271"/>
      <c r="CD2" s="271"/>
      <c r="CE2" s="271"/>
      <c r="CF2" s="271"/>
      <c r="CG2" s="271"/>
      <c r="CH2" s="271"/>
      <c r="CI2" s="271"/>
      <c r="CJ2" s="271"/>
      <c r="CK2" s="271"/>
      <c r="CL2" s="271"/>
      <c r="CM2" s="271"/>
      <c r="CN2" s="271"/>
      <c r="CO2" s="271"/>
      <c r="CP2" s="271"/>
      <c r="CQ2" s="271"/>
      <c r="CR2" s="271"/>
      <c r="CS2" s="271"/>
      <c r="CT2" s="271"/>
      <c r="CU2" s="271"/>
      <c r="CV2" s="271"/>
      <c r="CW2" s="271"/>
      <c r="CX2" s="271"/>
      <c r="CY2" s="271"/>
      <c r="CZ2" s="271"/>
      <c r="DA2" s="271"/>
      <c r="DB2" s="271"/>
      <c r="DC2" s="271"/>
      <c r="DD2" s="271"/>
      <c r="DE2" s="271"/>
      <c r="DF2" s="271"/>
      <c r="DG2" s="271"/>
      <c r="DH2" s="271"/>
      <c r="DI2" s="271"/>
      <c r="DJ2" s="271"/>
      <c r="DK2" s="271"/>
      <c r="DL2" s="271"/>
      <c r="DM2" s="271"/>
      <c r="DN2" s="272"/>
      <c r="DO2" s="209">
        <v>4</v>
      </c>
    </row>
    <row r="3" spans="1:119" ht="21.75" customHeight="1" x14ac:dyDescent="0.2">
      <c r="A3" s="271"/>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c r="BB3" s="271"/>
      <c r="BC3" s="271"/>
      <c r="BD3" s="271"/>
      <c r="BE3" s="271"/>
      <c r="BF3" s="271"/>
      <c r="BG3" s="271"/>
      <c r="BH3" s="271"/>
      <c r="BI3" s="271"/>
      <c r="BJ3" s="271"/>
      <c r="BK3" s="271"/>
      <c r="BL3" s="271"/>
      <c r="BM3" s="271"/>
      <c r="BN3" s="271"/>
      <c r="BO3" s="271"/>
      <c r="BP3" s="271"/>
      <c r="BQ3" s="271"/>
      <c r="BR3" s="271"/>
      <c r="BS3" s="271"/>
      <c r="BT3" s="271"/>
      <c r="BU3" s="271"/>
      <c r="BV3" s="271"/>
      <c r="BW3" s="271"/>
      <c r="BX3" s="271"/>
      <c r="BY3" s="271"/>
      <c r="BZ3" s="271"/>
      <c r="CA3" s="271"/>
      <c r="CB3" s="271"/>
      <c r="CC3" s="271"/>
      <c r="CD3" s="271"/>
      <c r="CE3" s="271"/>
      <c r="CF3" s="271"/>
      <c r="CG3" s="271"/>
      <c r="CH3" s="271"/>
      <c r="CI3" s="271"/>
      <c r="CJ3" s="271"/>
      <c r="CK3" s="271"/>
      <c r="CL3" s="271"/>
      <c r="CM3" s="271"/>
      <c r="CN3" s="271"/>
      <c r="CO3" s="271"/>
      <c r="CP3" s="271"/>
      <c r="CQ3" s="271"/>
      <c r="CR3" s="271"/>
      <c r="CS3" s="271"/>
      <c r="CT3" s="271"/>
      <c r="CU3" s="271"/>
      <c r="CV3" s="271"/>
      <c r="CW3" s="271"/>
      <c r="CX3" s="271"/>
      <c r="CY3" s="271"/>
      <c r="CZ3" s="271"/>
      <c r="DA3" s="271"/>
      <c r="DB3" s="271"/>
      <c r="DC3" s="271"/>
      <c r="DD3" s="271"/>
      <c r="DE3" s="271"/>
      <c r="DF3" s="271"/>
      <c r="DG3" s="271"/>
      <c r="DH3" s="271"/>
      <c r="DI3" s="271"/>
      <c r="DJ3" s="271"/>
      <c r="DK3" s="271"/>
      <c r="DL3" s="271"/>
      <c r="DM3" s="271"/>
      <c r="DN3" s="272"/>
      <c r="DO3" s="210" t="s">
        <v>1568</v>
      </c>
    </row>
    <row r="4" spans="1:119" ht="21.75" customHeight="1" x14ac:dyDescent="0.2">
      <c r="A4" s="271"/>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1"/>
      <c r="BA4" s="271"/>
      <c r="BB4" s="271"/>
      <c r="BC4" s="271"/>
      <c r="BD4" s="271"/>
      <c r="BE4" s="271"/>
      <c r="BF4" s="271"/>
      <c r="BG4" s="271"/>
      <c r="BH4" s="271"/>
      <c r="BI4" s="271"/>
      <c r="BJ4" s="271"/>
      <c r="BK4" s="271"/>
      <c r="BL4" s="271"/>
      <c r="BM4" s="271"/>
      <c r="BN4" s="271"/>
      <c r="BO4" s="271"/>
      <c r="BP4" s="271"/>
      <c r="BQ4" s="271"/>
      <c r="BR4" s="271"/>
      <c r="BS4" s="271"/>
      <c r="BT4" s="271"/>
      <c r="BU4" s="271"/>
      <c r="BV4" s="271"/>
      <c r="BW4" s="271"/>
      <c r="BX4" s="271"/>
      <c r="BY4" s="271"/>
      <c r="BZ4" s="271"/>
      <c r="CA4" s="271"/>
      <c r="CB4" s="271"/>
      <c r="CC4" s="271"/>
      <c r="CD4" s="271"/>
      <c r="CE4" s="271"/>
      <c r="CF4" s="271"/>
      <c r="CG4" s="271"/>
      <c r="CH4" s="271"/>
      <c r="CI4" s="271"/>
      <c r="CJ4" s="271"/>
      <c r="CK4" s="271"/>
      <c r="CL4" s="271"/>
      <c r="CM4" s="271"/>
      <c r="CN4" s="271"/>
      <c r="CO4" s="271"/>
      <c r="CP4" s="271"/>
      <c r="CQ4" s="271"/>
      <c r="CR4" s="271"/>
      <c r="CS4" s="271"/>
      <c r="CT4" s="271"/>
      <c r="CU4" s="271"/>
      <c r="CV4" s="271"/>
      <c r="CW4" s="271"/>
      <c r="CX4" s="271"/>
      <c r="CY4" s="271"/>
      <c r="CZ4" s="271"/>
      <c r="DA4" s="271"/>
      <c r="DB4" s="271"/>
      <c r="DC4" s="271"/>
      <c r="DD4" s="271"/>
      <c r="DE4" s="271"/>
      <c r="DF4" s="271"/>
      <c r="DG4" s="271"/>
      <c r="DH4" s="271"/>
      <c r="DI4" s="271"/>
      <c r="DJ4" s="271"/>
      <c r="DK4" s="271"/>
      <c r="DL4" s="271"/>
      <c r="DM4" s="271"/>
      <c r="DN4" s="272"/>
      <c r="DO4" s="207" t="s">
        <v>0</v>
      </c>
    </row>
    <row r="5" spans="1:119" ht="48.75" customHeight="1" x14ac:dyDescent="0.2">
      <c r="A5" s="273" t="s">
        <v>1598</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65">
        <v>2020</v>
      </c>
      <c r="AF5" s="265"/>
      <c r="AG5" s="265"/>
      <c r="AH5" s="265"/>
      <c r="AI5" s="265"/>
      <c r="AJ5" s="265"/>
      <c r="AK5" s="265"/>
      <c r="AL5" s="265"/>
      <c r="AM5" s="265"/>
      <c r="AN5" s="265"/>
      <c r="AO5" s="265"/>
      <c r="AP5" s="265"/>
      <c r="AQ5" s="265"/>
      <c r="AR5" s="265"/>
      <c r="AS5" s="265"/>
      <c r="AT5" s="265"/>
      <c r="AU5" s="265"/>
      <c r="AV5" s="265"/>
      <c r="AW5" s="265"/>
      <c r="AX5" s="265"/>
      <c r="AY5" s="265"/>
      <c r="AZ5" s="265"/>
      <c r="BA5" s="265"/>
      <c r="BB5" s="265"/>
      <c r="BC5" s="265"/>
      <c r="BD5" s="265"/>
      <c r="BE5" s="265"/>
      <c r="BF5" s="265"/>
      <c r="BG5" s="265"/>
      <c r="BH5" s="265"/>
      <c r="BI5" s="265"/>
      <c r="BJ5" s="265"/>
      <c r="BK5" s="265"/>
      <c r="BL5" s="265"/>
      <c r="BM5" s="265"/>
      <c r="BN5" s="265"/>
      <c r="BO5" s="265"/>
      <c r="BP5" s="265"/>
      <c r="BQ5" s="265"/>
      <c r="BR5" s="265"/>
      <c r="BS5" s="265"/>
      <c r="BT5" s="265"/>
      <c r="BU5" s="265"/>
      <c r="BV5" s="265"/>
      <c r="BW5" s="265"/>
      <c r="BX5" s="265"/>
      <c r="BY5" s="265"/>
      <c r="BZ5" s="265"/>
      <c r="CA5" s="265"/>
      <c r="CB5" s="265"/>
      <c r="CC5" s="265"/>
      <c r="CD5" s="265"/>
      <c r="CE5" s="265"/>
      <c r="CF5" s="265"/>
      <c r="CG5" s="265"/>
      <c r="CH5" s="264">
        <v>2021</v>
      </c>
      <c r="CI5" s="264"/>
      <c r="CJ5" s="264"/>
      <c r="CK5" s="264"/>
      <c r="CL5" s="264"/>
      <c r="CM5" s="264"/>
      <c r="CN5" s="264"/>
      <c r="CO5" s="264"/>
      <c r="CP5" s="264"/>
      <c r="CQ5" s="264"/>
      <c r="CR5" s="264"/>
      <c r="CS5" s="265">
        <v>2022</v>
      </c>
      <c r="CT5" s="265"/>
      <c r="CU5" s="265"/>
      <c r="CV5" s="265"/>
      <c r="CW5" s="265"/>
      <c r="CX5" s="265"/>
      <c r="CY5" s="265"/>
      <c r="CZ5" s="265"/>
      <c r="DA5" s="265"/>
      <c r="DB5" s="265"/>
      <c r="DC5" s="265"/>
      <c r="DD5" s="266">
        <v>2023</v>
      </c>
      <c r="DE5" s="266"/>
      <c r="DF5" s="266"/>
      <c r="DG5" s="266"/>
      <c r="DH5" s="266"/>
      <c r="DI5" s="266"/>
      <c r="DJ5" s="266"/>
      <c r="DK5" s="266"/>
      <c r="DL5" s="266"/>
      <c r="DM5" s="266"/>
      <c r="DN5" s="267"/>
      <c r="DO5" s="259" t="s">
        <v>1612</v>
      </c>
    </row>
    <row r="6" spans="1:119" s="217" customFormat="1" ht="48.75" customHeight="1" x14ac:dyDescent="0.2">
      <c r="A6" s="211" t="s">
        <v>303</v>
      </c>
      <c r="B6" s="211" t="s">
        <v>1599</v>
      </c>
      <c r="C6" s="211" t="s">
        <v>1600</v>
      </c>
      <c r="D6" s="211" t="s">
        <v>1601</v>
      </c>
      <c r="E6" s="257" t="s">
        <v>1602</v>
      </c>
      <c r="F6" s="211" t="s">
        <v>1603</v>
      </c>
      <c r="G6" s="211" t="s">
        <v>304</v>
      </c>
      <c r="H6" s="211" t="s">
        <v>1569</v>
      </c>
      <c r="I6" s="211" t="s">
        <v>305</v>
      </c>
      <c r="J6" s="211" t="s">
        <v>306</v>
      </c>
      <c r="K6" s="211" t="s">
        <v>307</v>
      </c>
      <c r="L6" s="211" t="s">
        <v>308</v>
      </c>
      <c r="M6" s="211" t="s">
        <v>1604</v>
      </c>
      <c r="N6" s="211" t="s">
        <v>1608</v>
      </c>
      <c r="O6" s="211" t="s">
        <v>1605</v>
      </c>
      <c r="P6" s="211" t="s">
        <v>1606</v>
      </c>
      <c r="Q6" s="212" t="s">
        <v>1607</v>
      </c>
      <c r="R6" s="213" t="s">
        <v>1655</v>
      </c>
      <c r="S6" s="212" t="s">
        <v>309</v>
      </c>
      <c r="T6" s="212" t="s">
        <v>1609</v>
      </c>
      <c r="U6" s="212" t="s">
        <v>1610</v>
      </c>
      <c r="V6" s="213" t="s">
        <v>1656</v>
      </c>
      <c r="W6" s="212" t="s">
        <v>1732</v>
      </c>
      <c r="X6" s="211" t="s">
        <v>1611</v>
      </c>
      <c r="Y6" s="211" t="s">
        <v>1569</v>
      </c>
      <c r="Z6" s="269">
        <v>2020</v>
      </c>
      <c r="AA6" s="270"/>
      <c r="AB6" s="211">
        <v>2021</v>
      </c>
      <c r="AC6" s="211">
        <v>2022</v>
      </c>
      <c r="AD6" s="211">
        <v>2023</v>
      </c>
      <c r="AE6" s="261" t="s">
        <v>1623</v>
      </c>
      <c r="AF6" s="262"/>
      <c r="AG6" s="262"/>
      <c r="AH6" s="262"/>
      <c r="AI6" s="263"/>
      <c r="AJ6" s="261" t="s">
        <v>1714</v>
      </c>
      <c r="AK6" s="262"/>
      <c r="AL6" s="262"/>
      <c r="AM6" s="262"/>
      <c r="AN6" s="263"/>
      <c r="AO6" s="261" t="s">
        <v>312</v>
      </c>
      <c r="AP6" s="262"/>
      <c r="AQ6" s="262"/>
      <c r="AR6" s="262"/>
      <c r="AS6" s="263"/>
      <c r="AT6" s="261" t="s">
        <v>313</v>
      </c>
      <c r="AU6" s="262"/>
      <c r="AV6" s="262"/>
      <c r="AW6" s="262"/>
      <c r="AX6" s="263"/>
      <c r="AY6" s="261" t="s">
        <v>314</v>
      </c>
      <c r="AZ6" s="262"/>
      <c r="BA6" s="262"/>
      <c r="BB6" s="262"/>
      <c r="BC6" s="263"/>
      <c r="BD6" s="261" t="s">
        <v>315</v>
      </c>
      <c r="BE6" s="262"/>
      <c r="BF6" s="262"/>
      <c r="BG6" s="262"/>
      <c r="BH6" s="263"/>
      <c r="BI6" s="261" t="s">
        <v>1636</v>
      </c>
      <c r="BJ6" s="262"/>
      <c r="BK6" s="262"/>
      <c r="BL6" s="262"/>
      <c r="BM6" s="263"/>
      <c r="BN6" s="261" t="s">
        <v>317</v>
      </c>
      <c r="BO6" s="262"/>
      <c r="BP6" s="262"/>
      <c r="BQ6" s="262"/>
      <c r="BR6" s="263"/>
      <c r="BS6" s="261" t="s">
        <v>318</v>
      </c>
      <c r="BT6" s="262"/>
      <c r="BU6" s="262"/>
      <c r="BV6" s="262"/>
      <c r="BW6" s="263"/>
      <c r="BX6" s="261" t="s">
        <v>319</v>
      </c>
      <c r="BY6" s="262"/>
      <c r="BZ6" s="262"/>
      <c r="CA6" s="262"/>
      <c r="CB6" s="263"/>
      <c r="CC6" s="261" t="s">
        <v>320</v>
      </c>
      <c r="CD6" s="262"/>
      <c r="CE6" s="262"/>
      <c r="CF6" s="262"/>
      <c r="CG6" s="263"/>
      <c r="CH6" s="212" t="s">
        <v>310</v>
      </c>
      <c r="CI6" s="212" t="s">
        <v>321</v>
      </c>
      <c r="CJ6" s="212" t="s">
        <v>312</v>
      </c>
      <c r="CK6" s="212" t="s">
        <v>313</v>
      </c>
      <c r="CL6" s="212" t="s">
        <v>314</v>
      </c>
      <c r="CM6" s="212" t="s">
        <v>315</v>
      </c>
      <c r="CN6" s="212" t="s">
        <v>316</v>
      </c>
      <c r="CO6" s="212" t="s">
        <v>317</v>
      </c>
      <c r="CP6" s="212" t="s">
        <v>318</v>
      </c>
      <c r="CQ6" s="212" t="s">
        <v>319</v>
      </c>
      <c r="CR6" s="212" t="s">
        <v>320</v>
      </c>
      <c r="CS6" s="214" t="s">
        <v>322</v>
      </c>
      <c r="CT6" s="214" t="s">
        <v>311</v>
      </c>
      <c r="CU6" s="214" t="s">
        <v>312</v>
      </c>
      <c r="CV6" s="214" t="s">
        <v>313</v>
      </c>
      <c r="CW6" s="214" t="s">
        <v>314</v>
      </c>
      <c r="CX6" s="214" t="s">
        <v>315</v>
      </c>
      <c r="CY6" s="214" t="s">
        <v>316</v>
      </c>
      <c r="CZ6" s="214" t="s">
        <v>317</v>
      </c>
      <c r="DA6" s="214" t="s">
        <v>318</v>
      </c>
      <c r="DB6" s="214" t="s">
        <v>319</v>
      </c>
      <c r="DC6" s="214" t="s">
        <v>320</v>
      </c>
      <c r="DD6" s="212" t="s">
        <v>310</v>
      </c>
      <c r="DE6" s="215" t="s">
        <v>311</v>
      </c>
      <c r="DF6" s="215" t="s">
        <v>312</v>
      </c>
      <c r="DG6" s="215" t="s">
        <v>313</v>
      </c>
      <c r="DH6" s="215" t="s">
        <v>314</v>
      </c>
      <c r="DI6" s="215" t="s">
        <v>315</v>
      </c>
      <c r="DJ6" s="215" t="s">
        <v>323</v>
      </c>
      <c r="DK6" s="215" t="s">
        <v>317</v>
      </c>
      <c r="DL6" s="215" t="s">
        <v>318</v>
      </c>
      <c r="DM6" s="215" t="s">
        <v>319</v>
      </c>
      <c r="DN6" s="216" t="s">
        <v>320</v>
      </c>
      <c r="DO6" s="260"/>
    </row>
    <row r="7" spans="1:119" s="224" customFormat="1" ht="21.75" customHeight="1" x14ac:dyDescent="0.2">
      <c r="A7" s="126"/>
      <c r="B7" s="218"/>
      <c r="C7" s="126"/>
      <c r="D7" s="126"/>
      <c r="E7" s="77"/>
      <c r="F7" s="126"/>
      <c r="G7" s="126"/>
      <c r="H7" s="126"/>
      <c r="I7" s="126"/>
      <c r="J7" s="126"/>
      <c r="K7" s="126"/>
      <c r="L7" s="126"/>
      <c r="M7" s="219"/>
      <c r="N7" s="219"/>
      <c r="O7" s="219"/>
      <c r="P7" s="126"/>
      <c r="Q7" s="220"/>
      <c r="R7" s="220"/>
      <c r="S7" s="220"/>
      <c r="T7" s="220"/>
      <c r="U7" s="220"/>
      <c r="V7" s="220"/>
      <c r="W7" s="220"/>
      <c r="X7" s="126"/>
      <c r="Y7" s="126"/>
      <c r="Z7" s="74" t="s">
        <v>1627</v>
      </c>
      <c r="AA7" s="74" t="s">
        <v>1628</v>
      </c>
      <c r="AB7" s="126"/>
      <c r="AC7" s="126"/>
      <c r="AD7" s="126"/>
      <c r="AE7" s="221" t="s">
        <v>1625</v>
      </c>
      <c r="AF7" s="221" t="s">
        <v>1626</v>
      </c>
      <c r="AG7" s="221" t="s">
        <v>1614</v>
      </c>
      <c r="AH7" s="221" t="s">
        <v>1615</v>
      </c>
      <c r="AI7" s="221" t="s">
        <v>1624</v>
      </c>
      <c r="AJ7" s="221" t="s">
        <v>1625</v>
      </c>
      <c r="AK7" s="221" t="s">
        <v>1626</v>
      </c>
      <c r="AL7" s="221" t="s">
        <v>1614</v>
      </c>
      <c r="AM7" s="221" t="s">
        <v>1615</v>
      </c>
      <c r="AN7" s="221" t="s">
        <v>1624</v>
      </c>
      <c r="AO7" s="221" t="s">
        <v>1625</v>
      </c>
      <c r="AP7" s="221" t="s">
        <v>1626</v>
      </c>
      <c r="AQ7" s="221" t="s">
        <v>1614</v>
      </c>
      <c r="AR7" s="221" t="s">
        <v>1615</v>
      </c>
      <c r="AS7" s="221" t="s">
        <v>1624</v>
      </c>
      <c r="AT7" s="221" t="s">
        <v>1625</v>
      </c>
      <c r="AU7" s="221" t="s">
        <v>1626</v>
      </c>
      <c r="AV7" s="221" t="s">
        <v>1614</v>
      </c>
      <c r="AW7" s="221" t="s">
        <v>1615</v>
      </c>
      <c r="AX7" s="221" t="s">
        <v>1624</v>
      </c>
      <c r="AY7" s="221" t="s">
        <v>1625</v>
      </c>
      <c r="AZ7" s="221" t="s">
        <v>1626</v>
      </c>
      <c r="BA7" s="221" t="s">
        <v>1614</v>
      </c>
      <c r="BB7" s="221" t="s">
        <v>1615</v>
      </c>
      <c r="BC7" s="221" t="s">
        <v>1624</v>
      </c>
      <c r="BD7" s="221" t="s">
        <v>1625</v>
      </c>
      <c r="BE7" s="221" t="s">
        <v>1626</v>
      </c>
      <c r="BF7" s="221" t="s">
        <v>1614</v>
      </c>
      <c r="BG7" s="221" t="s">
        <v>1615</v>
      </c>
      <c r="BH7" s="221" t="s">
        <v>1624</v>
      </c>
      <c r="BI7" s="221" t="s">
        <v>1625</v>
      </c>
      <c r="BJ7" s="221" t="s">
        <v>1626</v>
      </c>
      <c r="BK7" s="221" t="s">
        <v>1614</v>
      </c>
      <c r="BL7" s="221" t="s">
        <v>1615</v>
      </c>
      <c r="BM7" s="221" t="s">
        <v>1624</v>
      </c>
      <c r="BN7" s="221" t="s">
        <v>1625</v>
      </c>
      <c r="BO7" s="221" t="s">
        <v>1626</v>
      </c>
      <c r="BP7" s="221" t="s">
        <v>1614</v>
      </c>
      <c r="BQ7" s="221" t="s">
        <v>1615</v>
      </c>
      <c r="BR7" s="221" t="s">
        <v>1624</v>
      </c>
      <c r="BS7" s="221" t="s">
        <v>1625</v>
      </c>
      <c r="BT7" s="221" t="s">
        <v>1626</v>
      </c>
      <c r="BU7" s="221" t="s">
        <v>1614</v>
      </c>
      <c r="BV7" s="221" t="s">
        <v>1615</v>
      </c>
      <c r="BW7" s="221" t="s">
        <v>1624</v>
      </c>
      <c r="BX7" s="221" t="s">
        <v>1625</v>
      </c>
      <c r="BY7" s="221" t="s">
        <v>1626</v>
      </c>
      <c r="BZ7" s="221" t="s">
        <v>1614</v>
      </c>
      <c r="CA7" s="221" t="s">
        <v>1615</v>
      </c>
      <c r="CB7" s="221" t="s">
        <v>1624</v>
      </c>
      <c r="CC7" s="221" t="s">
        <v>1625</v>
      </c>
      <c r="CD7" s="221" t="s">
        <v>1626</v>
      </c>
      <c r="CE7" s="221" t="s">
        <v>1614</v>
      </c>
      <c r="CF7" s="221" t="s">
        <v>1615</v>
      </c>
      <c r="CG7" s="221" t="s">
        <v>1624</v>
      </c>
      <c r="CH7" s="220"/>
      <c r="CI7" s="220"/>
      <c r="CJ7" s="220"/>
      <c r="CK7" s="220"/>
      <c r="CL7" s="220"/>
      <c r="CM7" s="220"/>
      <c r="CN7" s="220"/>
      <c r="CO7" s="220"/>
      <c r="CP7" s="220"/>
      <c r="CQ7" s="220"/>
      <c r="CR7" s="220"/>
      <c r="CS7" s="220"/>
      <c r="CT7" s="220"/>
      <c r="CU7" s="220"/>
      <c r="CV7" s="220"/>
      <c r="CW7" s="220"/>
      <c r="CX7" s="220"/>
      <c r="CY7" s="220"/>
      <c r="CZ7" s="220"/>
      <c r="DA7" s="220"/>
      <c r="DB7" s="220"/>
      <c r="DC7" s="220"/>
      <c r="DD7" s="220"/>
      <c r="DE7" s="222"/>
      <c r="DF7" s="222"/>
      <c r="DG7" s="222"/>
      <c r="DH7" s="222"/>
      <c r="DI7" s="222"/>
      <c r="DJ7" s="222"/>
      <c r="DK7" s="222"/>
      <c r="DL7" s="222"/>
      <c r="DM7" s="222"/>
      <c r="DN7" s="223"/>
      <c r="DO7" s="63"/>
    </row>
    <row r="8" spans="1:119" s="217" customFormat="1" ht="21.75" customHeight="1" x14ac:dyDescent="0.2">
      <c r="A8" s="65">
        <v>1</v>
      </c>
      <c r="B8" s="66" t="s">
        <v>19</v>
      </c>
      <c r="C8" s="67"/>
      <c r="D8" s="68"/>
      <c r="E8" s="69"/>
      <c r="F8" s="68"/>
      <c r="G8" s="68"/>
      <c r="H8" s="69"/>
      <c r="I8" s="68"/>
      <c r="J8" s="68"/>
      <c r="K8" s="68"/>
      <c r="L8" s="68"/>
      <c r="M8" s="70"/>
      <c r="N8" s="70"/>
      <c r="O8" s="70"/>
      <c r="P8" s="68"/>
      <c r="Q8" s="71"/>
      <c r="R8" s="71"/>
      <c r="S8" s="71"/>
      <c r="T8" s="71"/>
      <c r="U8" s="71"/>
      <c r="V8" s="71"/>
      <c r="W8" s="71"/>
      <c r="X8" s="68"/>
      <c r="Y8" s="68"/>
      <c r="Z8" s="68"/>
      <c r="AA8" s="68"/>
      <c r="AB8" s="68"/>
      <c r="AC8" s="68"/>
      <c r="AD8" s="72"/>
      <c r="AE8" s="73">
        <f t="shared" ref="AE8:BJ8" si="0">AE9+AE12+AE14+AE16+AE37+AE60+AE73+AE108+AE118+AE125+AE139+AE145+AE156+AE165+AE172+AE178+AE182+AE185+AE136</f>
        <v>295271950429.0083</v>
      </c>
      <c r="AF8" s="73">
        <f t="shared" si="0"/>
        <v>274840500141.39999</v>
      </c>
      <c r="AG8" s="73">
        <f t="shared" si="0"/>
        <v>244257111609.03329</v>
      </c>
      <c r="AH8" s="73">
        <f t="shared" si="0"/>
        <v>238266458478.03329</v>
      </c>
      <c r="AI8" s="73">
        <f t="shared" si="0"/>
        <v>2158759024.8000002</v>
      </c>
      <c r="AJ8" s="73">
        <f t="shared" si="0"/>
        <v>10234622831.218315</v>
      </c>
      <c r="AK8" s="73">
        <f t="shared" si="0"/>
        <v>22892221977.460003</v>
      </c>
      <c r="AL8" s="73">
        <f t="shared" si="0"/>
        <v>15341386208.379999</v>
      </c>
      <c r="AM8" s="73">
        <f t="shared" si="0"/>
        <v>14687130892.16</v>
      </c>
      <c r="AN8" s="73">
        <f t="shared" si="0"/>
        <v>1091262247.3</v>
      </c>
      <c r="AO8" s="73">
        <f t="shared" si="0"/>
        <v>50107176562.700005</v>
      </c>
      <c r="AP8" s="73">
        <f t="shared" si="0"/>
        <v>286000000</v>
      </c>
      <c r="AQ8" s="73">
        <f t="shared" si="0"/>
        <v>286000000</v>
      </c>
      <c r="AR8" s="73">
        <f t="shared" si="0"/>
        <v>286000000</v>
      </c>
      <c r="AS8" s="73">
        <f t="shared" si="0"/>
        <v>0</v>
      </c>
      <c r="AT8" s="73">
        <f t="shared" si="0"/>
        <v>159986260498.45999</v>
      </c>
      <c r="AU8" s="73">
        <f t="shared" si="0"/>
        <v>155219157867.41998</v>
      </c>
      <c r="AV8" s="73">
        <f t="shared" si="0"/>
        <v>155029749820</v>
      </c>
      <c r="AW8" s="73">
        <f t="shared" si="0"/>
        <v>155026629820</v>
      </c>
      <c r="AX8" s="73">
        <f t="shared" si="0"/>
        <v>0</v>
      </c>
      <c r="AY8" s="73">
        <f t="shared" si="0"/>
        <v>5358388785.5</v>
      </c>
      <c r="AZ8" s="73">
        <f t="shared" si="0"/>
        <v>6648246009.5</v>
      </c>
      <c r="BA8" s="73">
        <f t="shared" si="0"/>
        <v>5019138342</v>
      </c>
      <c r="BB8" s="73">
        <f t="shared" si="0"/>
        <v>4930531676</v>
      </c>
      <c r="BC8" s="73">
        <f t="shared" si="0"/>
        <v>3823934</v>
      </c>
      <c r="BD8" s="73">
        <f t="shared" si="0"/>
        <v>0</v>
      </c>
      <c r="BE8" s="73">
        <f t="shared" si="0"/>
        <v>0</v>
      </c>
      <c r="BF8" s="73">
        <f t="shared" si="0"/>
        <v>0</v>
      </c>
      <c r="BG8" s="73">
        <f t="shared" si="0"/>
        <v>0</v>
      </c>
      <c r="BH8" s="73">
        <f t="shared" si="0"/>
        <v>0</v>
      </c>
      <c r="BI8" s="73">
        <f t="shared" si="0"/>
        <v>12173030541.870001</v>
      </c>
      <c r="BJ8" s="73">
        <f t="shared" si="0"/>
        <v>0</v>
      </c>
      <c r="BK8" s="73">
        <f t="shared" ref="BK8:CP8" si="1">BK9+BK12+BK14+BK16+BK37+BK60+BK73+BK108+BK118+BK125+BK139+BK145+BK156+BK165+BK172+BK178+BK182+BK185+BK136</f>
        <v>0</v>
      </c>
      <c r="BL8" s="73">
        <f t="shared" si="1"/>
        <v>0</v>
      </c>
      <c r="BM8" s="73">
        <f t="shared" si="1"/>
        <v>0</v>
      </c>
      <c r="BN8" s="73">
        <f t="shared" si="1"/>
        <v>54567613386</v>
      </c>
      <c r="BO8" s="73">
        <f t="shared" si="1"/>
        <v>28200627776</v>
      </c>
      <c r="BP8" s="73">
        <f t="shared" si="1"/>
        <v>15988279038</v>
      </c>
      <c r="BQ8" s="73">
        <f t="shared" si="1"/>
        <v>10904276146</v>
      </c>
      <c r="BR8" s="73">
        <f t="shared" si="1"/>
        <v>0</v>
      </c>
      <c r="BS8" s="73">
        <f t="shared" si="1"/>
        <v>0</v>
      </c>
      <c r="BT8" s="73">
        <f t="shared" si="1"/>
        <v>56362013390.280014</v>
      </c>
      <c r="BU8" s="73">
        <f t="shared" si="1"/>
        <v>49114895418.260002</v>
      </c>
      <c r="BV8" s="73">
        <f t="shared" si="1"/>
        <v>48954310311.440002</v>
      </c>
      <c r="BW8" s="73">
        <f t="shared" si="1"/>
        <v>453069319</v>
      </c>
      <c r="BX8" s="73">
        <f t="shared" si="1"/>
        <v>0</v>
      </c>
      <c r="BY8" s="73">
        <f t="shared" si="1"/>
        <v>0</v>
      </c>
      <c r="BZ8" s="73">
        <f t="shared" si="1"/>
        <v>0</v>
      </c>
      <c r="CA8" s="73">
        <f t="shared" si="1"/>
        <v>0</v>
      </c>
      <c r="CB8" s="73">
        <f t="shared" si="1"/>
        <v>610603524.5</v>
      </c>
      <c r="CC8" s="73">
        <f t="shared" si="1"/>
        <v>2844857823.2600002</v>
      </c>
      <c r="CD8" s="73">
        <f t="shared" si="1"/>
        <v>5232233120.7399998</v>
      </c>
      <c r="CE8" s="73">
        <f t="shared" si="1"/>
        <v>3477662782.5233331</v>
      </c>
      <c r="CF8" s="73">
        <f t="shared" si="1"/>
        <v>3477579632.563333</v>
      </c>
      <c r="CG8" s="73">
        <f t="shared" si="1"/>
        <v>0</v>
      </c>
      <c r="CH8" s="73">
        <f t="shared" si="1"/>
        <v>270312350322.24213</v>
      </c>
      <c r="CI8" s="73">
        <f t="shared" si="1"/>
        <v>7076350371.3037767</v>
      </c>
      <c r="CJ8" s="73">
        <f t="shared" si="1"/>
        <v>39860112957.705933</v>
      </c>
      <c r="CK8" s="73">
        <f t="shared" si="1"/>
        <v>168763077602.9024</v>
      </c>
      <c r="CL8" s="73">
        <f t="shared" si="1"/>
        <v>6025369898</v>
      </c>
      <c r="CM8" s="73">
        <f t="shared" si="1"/>
        <v>0</v>
      </c>
      <c r="CN8" s="73">
        <f t="shared" si="1"/>
        <v>12209698141.98</v>
      </c>
      <c r="CO8" s="73">
        <f t="shared" si="1"/>
        <v>34349623180</v>
      </c>
      <c r="CP8" s="73">
        <f t="shared" si="1"/>
        <v>0</v>
      </c>
      <c r="CQ8" s="73">
        <f t="shared" ref="CQ8:DO8" si="2">CQ9+CQ12+CQ14+CQ16+CQ37+CQ60+CQ73+CQ108+CQ118+CQ125+CQ139+CQ145+CQ156+CQ165+CQ172+CQ178+CQ182+CQ185+CQ136</f>
        <v>0</v>
      </c>
      <c r="CR8" s="73">
        <f t="shared" si="2"/>
        <v>2028118170.3499999</v>
      </c>
      <c r="CS8" s="73">
        <f t="shared" si="2"/>
        <v>281534558787.20459</v>
      </c>
      <c r="CT8" s="73">
        <f t="shared" si="2"/>
        <v>11767776406.2066</v>
      </c>
      <c r="CU8" s="73">
        <f t="shared" si="2"/>
        <v>42960607838.281364</v>
      </c>
      <c r="CV8" s="73">
        <f t="shared" si="2"/>
        <v>182189022471</v>
      </c>
      <c r="CW8" s="73">
        <f t="shared" si="2"/>
        <v>6206130995</v>
      </c>
      <c r="CX8" s="73">
        <f t="shared" si="2"/>
        <v>0</v>
      </c>
      <c r="CY8" s="73">
        <f t="shared" si="2"/>
        <v>12575989086</v>
      </c>
      <c r="CZ8" s="73">
        <f t="shared" si="2"/>
        <v>23746070276</v>
      </c>
      <c r="DA8" s="73">
        <f t="shared" si="2"/>
        <v>0</v>
      </c>
      <c r="DB8" s="73">
        <f t="shared" si="2"/>
        <v>0</v>
      </c>
      <c r="DC8" s="73">
        <f t="shared" si="2"/>
        <v>2088961714.7165999</v>
      </c>
      <c r="DD8" s="73">
        <f t="shared" si="2"/>
        <v>297462853569.9502</v>
      </c>
      <c r="DE8" s="73">
        <f t="shared" si="2"/>
        <v>17939928555.318501</v>
      </c>
      <c r="DF8" s="73">
        <f t="shared" si="2"/>
        <v>46210074808.94355</v>
      </c>
      <c r="DG8" s="73">
        <f t="shared" si="2"/>
        <v>196686789889</v>
      </c>
      <c r="DH8" s="73">
        <f t="shared" si="2"/>
        <v>6392314925</v>
      </c>
      <c r="DI8" s="73">
        <f t="shared" si="2"/>
        <v>0</v>
      </c>
      <c r="DJ8" s="73">
        <f t="shared" si="2"/>
        <v>12953268759</v>
      </c>
      <c r="DK8" s="73">
        <f t="shared" si="2"/>
        <v>15128846066</v>
      </c>
      <c r="DL8" s="73">
        <f t="shared" si="2"/>
        <v>0</v>
      </c>
      <c r="DM8" s="73">
        <f t="shared" si="2"/>
        <v>0</v>
      </c>
      <c r="DN8" s="73">
        <f t="shared" si="2"/>
        <v>2151630566.6881151</v>
      </c>
      <c r="DO8" s="73">
        <f t="shared" si="2"/>
        <v>1144629689108.4055</v>
      </c>
    </row>
    <row r="9" spans="1:119" ht="21.75" customHeight="1" x14ac:dyDescent="0.2">
      <c r="A9" s="75"/>
      <c r="B9" s="76"/>
      <c r="C9" s="74"/>
      <c r="D9" s="74"/>
      <c r="E9" s="77"/>
      <c r="F9" s="74"/>
      <c r="G9" s="74"/>
      <c r="H9" s="77"/>
      <c r="I9" s="74"/>
      <c r="J9" s="74"/>
      <c r="K9" s="74"/>
      <c r="L9" s="78"/>
      <c r="M9" s="79">
        <v>1</v>
      </c>
      <c r="N9" s="79">
        <v>1202</v>
      </c>
      <c r="O9" s="80" t="s">
        <v>20</v>
      </c>
      <c r="P9" s="81"/>
      <c r="Q9" s="82"/>
      <c r="R9" s="83"/>
      <c r="S9" s="83"/>
      <c r="T9" s="83"/>
      <c r="U9" s="83"/>
      <c r="V9" s="83"/>
      <c r="W9" s="83"/>
      <c r="X9" s="84"/>
      <c r="Y9" s="84"/>
      <c r="Z9" s="84"/>
      <c r="AA9" s="84"/>
      <c r="AB9" s="84"/>
      <c r="AC9" s="84"/>
      <c r="AD9" s="81"/>
      <c r="AE9" s="85">
        <f>SUBTOTAL(9,AE10:AE11)</f>
        <v>115128400</v>
      </c>
      <c r="AF9" s="85">
        <f>SUBTOTAL(9,AF10:AF11)</f>
        <v>115128400</v>
      </c>
      <c r="AG9" s="85">
        <f t="shared" ref="AG9:DN9" si="3">SUBTOTAL(9,AG10:AG11)</f>
        <v>43593231</v>
      </c>
      <c r="AH9" s="85">
        <f t="shared" si="3"/>
        <v>43593231</v>
      </c>
      <c r="AI9" s="85">
        <f t="shared" si="3"/>
        <v>0</v>
      </c>
      <c r="AJ9" s="85">
        <f t="shared" si="3"/>
        <v>115128400</v>
      </c>
      <c r="AK9" s="85">
        <f>SUBTOTAL(9,AK10:AK11)</f>
        <v>115128400</v>
      </c>
      <c r="AL9" s="85">
        <f t="shared" si="3"/>
        <v>43593231</v>
      </c>
      <c r="AM9" s="85">
        <f t="shared" si="3"/>
        <v>43593231</v>
      </c>
      <c r="AN9" s="85">
        <f t="shared" si="3"/>
        <v>0</v>
      </c>
      <c r="AO9" s="85">
        <f t="shared" si="3"/>
        <v>0</v>
      </c>
      <c r="AP9" s="85">
        <f t="shared" si="3"/>
        <v>0</v>
      </c>
      <c r="AQ9" s="85">
        <f t="shared" si="3"/>
        <v>0</v>
      </c>
      <c r="AR9" s="85">
        <f t="shared" si="3"/>
        <v>0</v>
      </c>
      <c r="AS9" s="85">
        <f t="shared" si="3"/>
        <v>0</v>
      </c>
      <c r="AT9" s="85">
        <f t="shared" si="3"/>
        <v>0</v>
      </c>
      <c r="AU9" s="85">
        <f>SUBTOTAL(9,AU10:AU11)</f>
        <v>0</v>
      </c>
      <c r="AV9" s="85">
        <f t="shared" si="3"/>
        <v>0</v>
      </c>
      <c r="AW9" s="85">
        <f t="shared" si="3"/>
        <v>0</v>
      </c>
      <c r="AX9" s="85">
        <f t="shared" si="3"/>
        <v>0</v>
      </c>
      <c r="AY9" s="85">
        <f t="shared" si="3"/>
        <v>0</v>
      </c>
      <c r="AZ9" s="85">
        <f t="shared" si="3"/>
        <v>0</v>
      </c>
      <c r="BA9" s="85">
        <f t="shared" si="3"/>
        <v>0</v>
      </c>
      <c r="BB9" s="85">
        <f t="shared" si="3"/>
        <v>0</v>
      </c>
      <c r="BC9" s="85">
        <f t="shared" si="3"/>
        <v>0</v>
      </c>
      <c r="BD9" s="85">
        <f t="shared" si="3"/>
        <v>0</v>
      </c>
      <c r="BE9" s="85">
        <f>SUBTOTAL(9,BE10:BE11)</f>
        <v>0</v>
      </c>
      <c r="BF9" s="85">
        <f t="shared" si="3"/>
        <v>0</v>
      </c>
      <c r="BG9" s="85">
        <f t="shared" si="3"/>
        <v>0</v>
      </c>
      <c r="BH9" s="85">
        <f t="shared" si="3"/>
        <v>0</v>
      </c>
      <c r="BI9" s="85">
        <f t="shared" si="3"/>
        <v>0</v>
      </c>
      <c r="BJ9" s="85">
        <f t="shared" si="3"/>
        <v>0</v>
      </c>
      <c r="BK9" s="85">
        <f t="shared" si="3"/>
        <v>0</v>
      </c>
      <c r="BL9" s="85">
        <f t="shared" si="3"/>
        <v>0</v>
      </c>
      <c r="BM9" s="85">
        <f t="shared" si="3"/>
        <v>0</v>
      </c>
      <c r="BN9" s="85">
        <f t="shared" si="3"/>
        <v>0</v>
      </c>
      <c r="BO9" s="85">
        <f>SUBTOTAL(9,BO10:BO11)</f>
        <v>0</v>
      </c>
      <c r="BP9" s="85">
        <f t="shared" si="3"/>
        <v>0</v>
      </c>
      <c r="BQ9" s="85">
        <f t="shared" si="3"/>
        <v>0</v>
      </c>
      <c r="BR9" s="85">
        <f t="shared" si="3"/>
        <v>0</v>
      </c>
      <c r="BS9" s="85">
        <f t="shared" si="3"/>
        <v>0</v>
      </c>
      <c r="BT9" s="85">
        <f t="shared" si="3"/>
        <v>0</v>
      </c>
      <c r="BU9" s="85">
        <f t="shared" si="3"/>
        <v>0</v>
      </c>
      <c r="BV9" s="85">
        <f t="shared" si="3"/>
        <v>0</v>
      </c>
      <c r="BW9" s="85">
        <f t="shared" si="3"/>
        <v>0</v>
      </c>
      <c r="BX9" s="85">
        <f t="shared" si="3"/>
        <v>0</v>
      </c>
      <c r="BY9" s="85">
        <f>SUBTOTAL(9,BY10:BY11)</f>
        <v>0</v>
      </c>
      <c r="BZ9" s="85">
        <f t="shared" si="3"/>
        <v>0</v>
      </c>
      <c r="CA9" s="85">
        <f t="shared" si="3"/>
        <v>0</v>
      </c>
      <c r="CB9" s="85">
        <f t="shared" si="3"/>
        <v>0</v>
      </c>
      <c r="CC9" s="85">
        <f t="shared" si="3"/>
        <v>0</v>
      </c>
      <c r="CD9" s="85">
        <f t="shared" si="3"/>
        <v>0</v>
      </c>
      <c r="CE9" s="85">
        <f t="shared" si="3"/>
        <v>0</v>
      </c>
      <c r="CF9" s="85">
        <f t="shared" si="3"/>
        <v>0</v>
      </c>
      <c r="CG9" s="85">
        <f t="shared" si="3"/>
        <v>0</v>
      </c>
      <c r="CH9" s="85">
        <f t="shared" si="3"/>
        <v>137750000</v>
      </c>
      <c r="CI9" s="85">
        <f t="shared" si="3"/>
        <v>137750000</v>
      </c>
      <c r="CJ9" s="85">
        <f t="shared" si="3"/>
        <v>0</v>
      </c>
      <c r="CK9" s="85">
        <f t="shared" si="3"/>
        <v>0</v>
      </c>
      <c r="CL9" s="85">
        <f t="shared" si="3"/>
        <v>0</v>
      </c>
      <c r="CM9" s="85">
        <f t="shared" si="3"/>
        <v>0</v>
      </c>
      <c r="CN9" s="85">
        <f t="shared" si="3"/>
        <v>0</v>
      </c>
      <c r="CO9" s="85">
        <f t="shared" si="3"/>
        <v>0</v>
      </c>
      <c r="CP9" s="85">
        <f t="shared" si="3"/>
        <v>0</v>
      </c>
      <c r="CQ9" s="85">
        <f t="shared" si="3"/>
        <v>0</v>
      </c>
      <c r="CR9" s="85">
        <f t="shared" si="3"/>
        <v>0</v>
      </c>
      <c r="CS9" s="85">
        <f t="shared" si="3"/>
        <v>171906000</v>
      </c>
      <c r="CT9" s="85">
        <f t="shared" si="3"/>
        <v>171906000</v>
      </c>
      <c r="CU9" s="85">
        <f t="shared" si="3"/>
        <v>0</v>
      </c>
      <c r="CV9" s="85">
        <f t="shared" si="3"/>
        <v>0</v>
      </c>
      <c r="CW9" s="85">
        <f t="shared" si="3"/>
        <v>0</v>
      </c>
      <c r="CX9" s="85">
        <f t="shared" si="3"/>
        <v>0</v>
      </c>
      <c r="CY9" s="85">
        <f t="shared" si="3"/>
        <v>0</v>
      </c>
      <c r="CZ9" s="85">
        <f t="shared" si="3"/>
        <v>0</v>
      </c>
      <c r="DA9" s="85">
        <f t="shared" si="3"/>
        <v>0</v>
      </c>
      <c r="DB9" s="85">
        <f t="shared" si="3"/>
        <v>0</v>
      </c>
      <c r="DC9" s="85">
        <f t="shared" si="3"/>
        <v>0</v>
      </c>
      <c r="DD9" s="85">
        <f t="shared" si="3"/>
        <v>276281695.27999997</v>
      </c>
      <c r="DE9" s="85">
        <f t="shared" si="3"/>
        <v>276281695.27999997</v>
      </c>
      <c r="DF9" s="85">
        <f t="shared" si="3"/>
        <v>0</v>
      </c>
      <c r="DG9" s="85">
        <f t="shared" si="3"/>
        <v>0</v>
      </c>
      <c r="DH9" s="85">
        <f t="shared" si="3"/>
        <v>0</v>
      </c>
      <c r="DI9" s="85">
        <f t="shared" si="3"/>
        <v>0</v>
      </c>
      <c r="DJ9" s="85">
        <f t="shared" si="3"/>
        <v>0</v>
      </c>
      <c r="DK9" s="85">
        <f t="shared" si="3"/>
        <v>0</v>
      </c>
      <c r="DL9" s="85">
        <f t="shared" si="3"/>
        <v>0</v>
      </c>
      <c r="DM9" s="85">
        <f t="shared" si="3"/>
        <v>0</v>
      </c>
      <c r="DN9" s="86">
        <f t="shared" si="3"/>
        <v>0</v>
      </c>
      <c r="DO9" s="85">
        <f>SUBTOTAL(9,DO10:DO11)</f>
        <v>701066095.27999997</v>
      </c>
    </row>
    <row r="10" spans="1:119" s="225" customFormat="1" ht="159" customHeight="1" x14ac:dyDescent="0.2">
      <c r="A10" s="244">
        <v>1</v>
      </c>
      <c r="B10" s="253" t="s">
        <v>19</v>
      </c>
      <c r="C10" s="59" t="s">
        <v>324</v>
      </c>
      <c r="D10" s="59" t="s">
        <v>21</v>
      </c>
      <c r="E10" s="55" t="s">
        <v>325</v>
      </c>
      <c r="F10" s="13" t="s">
        <v>326</v>
      </c>
      <c r="G10" s="59" t="s">
        <v>327</v>
      </c>
      <c r="H10" s="55" t="s">
        <v>328</v>
      </c>
      <c r="I10" s="13">
        <v>12</v>
      </c>
      <c r="J10" s="13" t="s">
        <v>329</v>
      </c>
      <c r="K10" s="50">
        <v>18</v>
      </c>
      <c r="L10" s="13" t="s">
        <v>330</v>
      </c>
      <c r="M10" s="244">
        <v>1</v>
      </c>
      <c r="N10" s="244">
        <v>1202</v>
      </c>
      <c r="O10" s="245" t="s">
        <v>20</v>
      </c>
      <c r="P10" s="13" t="s">
        <v>331</v>
      </c>
      <c r="Q10" s="13">
        <v>1202004</v>
      </c>
      <c r="R10" s="13">
        <v>1202004</v>
      </c>
      <c r="S10" s="59" t="s">
        <v>1629</v>
      </c>
      <c r="T10" s="13" t="s">
        <v>332</v>
      </c>
      <c r="U10" s="13">
        <v>120200400</v>
      </c>
      <c r="V10" s="13">
        <v>120200400</v>
      </c>
      <c r="W10" s="87" t="s">
        <v>333</v>
      </c>
      <c r="X10" s="88" t="s">
        <v>8</v>
      </c>
      <c r="Y10" s="13">
        <v>12</v>
      </c>
      <c r="Z10" s="13">
        <v>12</v>
      </c>
      <c r="AA10" s="13">
        <v>8</v>
      </c>
      <c r="AB10" s="13">
        <v>12</v>
      </c>
      <c r="AC10" s="13">
        <v>12</v>
      </c>
      <c r="AD10" s="13">
        <v>12</v>
      </c>
      <c r="AE10" s="89">
        <f t="shared" ref="AE10:AI11" si="4">AJ10+AO10+AT10+AY10+BD10+BI10+BN10+BS10+BX10+CC10</f>
        <v>112128400</v>
      </c>
      <c r="AF10" s="89">
        <f t="shared" si="4"/>
        <v>112128400</v>
      </c>
      <c r="AG10" s="89">
        <f t="shared" si="4"/>
        <v>41593333</v>
      </c>
      <c r="AH10" s="89">
        <f t="shared" si="4"/>
        <v>41593333</v>
      </c>
      <c r="AI10" s="89">
        <f t="shared" si="4"/>
        <v>0</v>
      </c>
      <c r="AJ10" s="90">
        <v>112128400</v>
      </c>
      <c r="AK10" s="90">
        <v>112128400</v>
      </c>
      <c r="AL10" s="90">
        <v>41593333</v>
      </c>
      <c r="AM10" s="90">
        <v>41593333</v>
      </c>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1"/>
      <c r="BO10" s="90"/>
      <c r="BP10" s="91"/>
      <c r="BQ10" s="91"/>
      <c r="BR10" s="91"/>
      <c r="BS10" s="91"/>
      <c r="BT10" s="90"/>
      <c r="BU10" s="91"/>
      <c r="BV10" s="91"/>
      <c r="BW10" s="91"/>
      <c r="BX10" s="91"/>
      <c r="BY10" s="90"/>
      <c r="BZ10" s="91"/>
      <c r="CA10" s="91"/>
      <c r="CB10" s="91"/>
      <c r="CC10" s="91"/>
      <c r="CD10" s="90"/>
      <c r="CE10" s="91"/>
      <c r="CF10" s="91"/>
      <c r="CG10" s="91"/>
      <c r="CH10" s="91">
        <f>CI10+CJ10+CK10+CL10+CM10+CN10+CO10+CP10+CQ10+CR10</f>
        <v>114000000</v>
      </c>
      <c r="CI10" s="91">
        <v>114000000</v>
      </c>
      <c r="CJ10" s="91"/>
      <c r="CK10" s="91"/>
      <c r="CL10" s="91"/>
      <c r="CM10" s="91"/>
      <c r="CN10" s="91"/>
      <c r="CO10" s="91"/>
      <c r="CP10" s="91"/>
      <c r="CQ10" s="91"/>
      <c r="CR10" s="91"/>
      <c r="CS10" s="91">
        <f>CT10+CU10+CV10+CW10+CX10+CY10+CZ10+DA10+DB10+DC10</f>
        <v>114000000</v>
      </c>
      <c r="CT10" s="91">
        <v>114000000</v>
      </c>
      <c r="CU10" s="91"/>
      <c r="CV10" s="91"/>
      <c r="CW10" s="91"/>
      <c r="CX10" s="91"/>
      <c r="CY10" s="91"/>
      <c r="CZ10" s="91"/>
      <c r="DA10" s="91"/>
      <c r="DB10" s="91"/>
      <c r="DC10" s="91"/>
      <c r="DD10" s="91">
        <f>DE10+DF10+DG10+DH10+DI10+DJ10+DK10+DL10+DM10+DN10</f>
        <v>130286695.27999999</v>
      </c>
      <c r="DE10" s="91">
        <v>130286695.27999999</v>
      </c>
      <c r="DF10" s="91"/>
      <c r="DG10" s="91"/>
      <c r="DH10" s="91"/>
      <c r="DI10" s="91"/>
      <c r="DJ10" s="91"/>
      <c r="DK10" s="91"/>
      <c r="DL10" s="91"/>
      <c r="DM10" s="91"/>
      <c r="DN10" s="92"/>
      <c r="DO10" s="93">
        <f>AE10+CH10+CS10+DD10</f>
        <v>470415095.27999997</v>
      </c>
    </row>
    <row r="11" spans="1:119" s="225" customFormat="1" ht="151.5" customHeight="1" x14ac:dyDescent="0.2">
      <c r="A11" s="244">
        <v>1</v>
      </c>
      <c r="B11" s="253" t="s">
        <v>19</v>
      </c>
      <c r="C11" s="94" t="s">
        <v>334</v>
      </c>
      <c r="D11" s="59" t="s">
        <v>21</v>
      </c>
      <c r="E11" s="55" t="s">
        <v>325</v>
      </c>
      <c r="F11" s="13" t="s">
        <v>326</v>
      </c>
      <c r="G11" s="59" t="s">
        <v>327</v>
      </c>
      <c r="H11" s="55" t="s">
        <v>328</v>
      </c>
      <c r="I11" s="13">
        <v>12</v>
      </c>
      <c r="J11" s="13" t="s">
        <v>329</v>
      </c>
      <c r="K11" s="50">
        <v>18</v>
      </c>
      <c r="L11" s="13" t="s">
        <v>330</v>
      </c>
      <c r="M11" s="244">
        <v>1</v>
      </c>
      <c r="N11" s="244">
        <v>1202</v>
      </c>
      <c r="O11" s="245" t="s">
        <v>20</v>
      </c>
      <c r="P11" s="13" t="s">
        <v>335</v>
      </c>
      <c r="Q11" s="48" t="s">
        <v>77</v>
      </c>
      <c r="R11" s="47" t="s">
        <v>1659</v>
      </c>
      <c r="S11" s="94" t="s">
        <v>1661</v>
      </c>
      <c r="T11" s="48" t="s">
        <v>336</v>
      </c>
      <c r="U11" s="48" t="s">
        <v>77</v>
      </c>
      <c r="V11" s="47" t="s">
        <v>1660</v>
      </c>
      <c r="W11" s="95" t="s">
        <v>337</v>
      </c>
      <c r="X11" s="88" t="s">
        <v>9</v>
      </c>
      <c r="Y11" s="13">
        <v>12</v>
      </c>
      <c r="Z11" s="13">
        <v>1</v>
      </c>
      <c r="AA11" s="13">
        <v>1</v>
      </c>
      <c r="AB11" s="13">
        <v>3</v>
      </c>
      <c r="AC11" s="13">
        <v>4</v>
      </c>
      <c r="AD11" s="13">
        <v>4</v>
      </c>
      <c r="AE11" s="89">
        <f t="shared" si="4"/>
        <v>3000000</v>
      </c>
      <c r="AF11" s="89">
        <f t="shared" si="4"/>
        <v>3000000</v>
      </c>
      <c r="AG11" s="89">
        <f t="shared" si="4"/>
        <v>1999898</v>
      </c>
      <c r="AH11" s="89">
        <f t="shared" si="4"/>
        <v>1999898</v>
      </c>
      <c r="AI11" s="89">
        <f t="shared" si="4"/>
        <v>0</v>
      </c>
      <c r="AJ11" s="90">
        <v>3000000</v>
      </c>
      <c r="AK11" s="90">
        <v>3000000</v>
      </c>
      <c r="AL11" s="90">
        <v>1999898</v>
      </c>
      <c r="AM11" s="90">
        <v>1999898</v>
      </c>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1"/>
      <c r="BO11" s="90"/>
      <c r="BP11" s="91"/>
      <c r="BQ11" s="91"/>
      <c r="BR11" s="91"/>
      <c r="BS11" s="91"/>
      <c r="BT11" s="90"/>
      <c r="BU11" s="91"/>
      <c r="BV11" s="91"/>
      <c r="BW11" s="91"/>
      <c r="BX11" s="91"/>
      <c r="BY11" s="90"/>
      <c r="BZ11" s="91"/>
      <c r="CA11" s="91"/>
      <c r="CB11" s="91"/>
      <c r="CC11" s="91"/>
      <c r="CD11" s="90"/>
      <c r="CE11" s="91"/>
      <c r="CF11" s="91"/>
      <c r="CG11" s="91"/>
      <c r="CH11" s="91">
        <f>CI11+CJ11+CK11+CL11+CM11+CN11+CO11+CP11+CQ11+CR11</f>
        <v>23750000</v>
      </c>
      <c r="CI11" s="91">
        <v>23750000</v>
      </c>
      <c r="CJ11" s="91"/>
      <c r="CK11" s="91"/>
      <c r="CL11" s="91"/>
      <c r="CM11" s="91"/>
      <c r="CN11" s="91"/>
      <c r="CO11" s="91"/>
      <c r="CP11" s="91"/>
      <c r="CQ11" s="91"/>
      <c r="CR11" s="91"/>
      <c r="CS11" s="91">
        <f>CT11+CU11+CV11+CW11+CX11+CY11+CZ11+DA11+DB11+DC11</f>
        <v>57906000</v>
      </c>
      <c r="CT11" s="91">
        <v>57906000</v>
      </c>
      <c r="CU11" s="91"/>
      <c r="CV11" s="91"/>
      <c r="CW11" s="91"/>
      <c r="CX11" s="91"/>
      <c r="CY11" s="91"/>
      <c r="CZ11" s="91"/>
      <c r="DA11" s="91"/>
      <c r="DB11" s="91"/>
      <c r="DC11" s="91"/>
      <c r="DD11" s="91">
        <f>DE11+DF11+DG11+DH11+DI11+DJ11+DK11+DL11+DM11+DN11</f>
        <v>145995000</v>
      </c>
      <c r="DE11" s="91">
        <v>145995000</v>
      </c>
      <c r="DF11" s="91"/>
      <c r="DG11" s="91"/>
      <c r="DH11" s="91"/>
      <c r="DI11" s="91"/>
      <c r="DJ11" s="91"/>
      <c r="DK11" s="91"/>
      <c r="DL11" s="91"/>
      <c r="DM11" s="91"/>
      <c r="DN11" s="92"/>
      <c r="DO11" s="93">
        <f>AE11+CH11+CS11+DD11</f>
        <v>230651000</v>
      </c>
    </row>
    <row r="12" spans="1:119" ht="15.75" customHeight="1" x14ac:dyDescent="0.2">
      <c r="A12" s="244"/>
      <c r="B12" s="253"/>
      <c r="C12" s="94"/>
      <c r="D12" s="59"/>
      <c r="E12" s="55"/>
      <c r="F12" s="13"/>
      <c r="G12" s="59"/>
      <c r="H12" s="55"/>
      <c r="I12" s="13"/>
      <c r="J12" s="13"/>
      <c r="K12" s="50"/>
      <c r="L12" s="13"/>
      <c r="M12" s="96">
        <v>2</v>
      </c>
      <c r="N12" s="96">
        <v>1203</v>
      </c>
      <c r="O12" s="97" t="s">
        <v>61</v>
      </c>
      <c r="P12" s="96"/>
      <c r="Q12" s="98"/>
      <c r="R12" s="98"/>
      <c r="S12" s="98"/>
      <c r="T12" s="98"/>
      <c r="U12" s="98"/>
      <c r="V12" s="98"/>
      <c r="W12" s="83"/>
      <c r="X12" s="84"/>
      <c r="Y12" s="84"/>
      <c r="Z12" s="84"/>
      <c r="AA12" s="84"/>
      <c r="AB12" s="84"/>
      <c r="AC12" s="84"/>
      <c r="AD12" s="81"/>
      <c r="AE12" s="85">
        <f t="shared" ref="AE12:DO12" si="5">AE13</f>
        <v>15000000</v>
      </c>
      <c r="AF12" s="85">
        <f t="shared" si="5"/>
        <v>15000000</v>
      </c>
      <c r="AG12" s="85">
        <f t="shared" si="5"/>
        <v>3620000</v>
      </c>
      <c r="AH12" s="85">
        <f t="shared" si="5"/>
        <v>3620000</v>
      </c>
      <c r="AI12" s="85">
        <f t="shared" si="5"/>
        <v>0</v>
      </c>
      <c r="AJ12" s="85">
        <f t="shared" si="5"/>
        <v>15000000</v>
      </c>
      <c r="AK12" s="85">
        <f t="shared" si="5"/>
        <v>15000000</v>
      </c>
      <c r="AL12" s="85">
        <f t="shared" si="5"/>
        <v>3620000</v>
      </c>
      <c r="AM12" s="85">
        <f t="shared" si="5"/>
        <v>3620000</v>
      </c>
      <c r="AN12" s="85">
        <f t="shared" si="5"/>
        <v>0</v>
      </c>
      <c r="AO12" s="85">
        <f t="shared" si="5"/>
        <v>0</v>
      </c>
      <c r="AP12" s="85">
        <f t="shared" si="5"/>
        <v>0</v>
      </c>
      <c r="AQ12" s="85">
        <f t="shared" si="5"/>
        <v>0</v>
      </c>
      <c r="AR12" s="85">
        <f t="shared" si="5"/>
        <v>0</v>
      </c>
      <c r="AS12" s="85">
        <f t="shared" si="5"/>
        <v>0</v>
      </c>
      <c r="AT12" s="85">
        <f t="shared" si="5"/>
        <v>0</v>
      </c>
      <c r="AU12" s="85">
        <f t="shared" si="5"/>
        <v>0</v>
      </c>
      <c r="AV12" s="85">
        <f t="shared" si="5"/>
        <v>0</v>
      </c>
      <c r="AW12" s="85">
        <f t="shared" si="5"/>
        <v>0</v>
      </c>
      <c r="AX12" s="85">
        <f t="shared" si="5"/>
        <v>0</v>
      </c>
      <c r="AY12" s="85">
        <f t="shared" si="5"/>
        <v>0</v>
      </c>
      <c r="AZ12" s="85">
        <f t="shared" si="5"/>
        <v>0</v>
      </c>
      <c r="BA12" s="85">
        <f t="shared" si="5"/>
        <v>0</v>
      </c>
      <c r="BB12" s="85">
        <f t="shared" si="5"/>
        <v>0</v>
      </c>
      <c r="BC12" s="85">
        <f t="shared" si="5"/>
        <v>0</v>
      </c>
      <c r="BD12" s="85">
        <f t="shared" si="5"/>
        <v>0</v>
      </c>
      <c r="BE12" s="85">
        <f t="shared" si="5"/>
        <v>0</v>
      </c>
      <c r="BF12" s="85">
        <f t="shared" si="5"/>
        <v>0</v>
      </c>
      <c r="BG12" s="85">
        <f t="shared" si="5"/>
        <v>0</v>
      </c>
      <c r="BH12" s="85">
        <f t="shared" si="5"/>
        <v>0</v>
      </c>
      <c r="BI12" s="85">
        <f t="shared" si="5"/>
        <v>0</v>
      </c>
      <c r="BJ12" s="85">
        <f t="shared" si="5"/>
        <v>0</v>
      </c>
      <c r="BK12" s="85">
        <f t="shared" si="5"/>
        <v>0</v>
      </c>
      <c r="BL12" s="85">
        <f t="shared" si="5"/>
        <v>0</v>
      </c>
      <c r="BM12" s="85">
        <f t="shared" si="5"/>
        <v>0</v>
      </c>
      <c r="BN12" s="85">
        <f t="shared" si="5"/>
        <v>0</v>
      </c>
      <c r="BO12" s="85">
        <f t="shared" si="5"/>
        <v>0</v>
      </c>
      <c r="BP12" s="85">
        <f t="shared" si="5"/>
        <v>0</v>
      </c>
      <c r="BQ12" s="85">
        <f t="shared" si="5"/>
        <v>0</v>
      </c>
      <c r="BR12" s="85">
        <f t="shared" si="5"/>
        <v>0</v>
      </c>
      <c r="BS12" s="85">
        <f t="shared" si="5"/>
        <v>0</v>
      </c>
      <c r="BT12" s="85">
        <f t="shared" si="5"/>
        <v>0</v>
      </c>
      <c r="BU12" s="85">
        <f t="shared" si="5"/>
        <v>0</v>
      </c>
      <c r="BV12" s="85">
        <f t="shared" si="5"/>
        <v>0</v>
      </c>
      <c r="BW12" s="85">
        <f t="shared" si="5"/>
        <v>0</v>
      </c>
      <c r="BX12" s="85">
        <f t="shared" si="5"/>
        <v>0</v>
      </c>
      <c r="BY12" s="85">
        <f t="shared" si="5"/>
        <v>0</v>
      </c>
      <c r="BZ12" s="85">
        <f t="shared" si="5"/>
        <v>0</v>
      </c>
      <c r="CA12" s="85">
        <f t="shared" si="5"/>
        <v>0</v>
      </c>
      <c r="CB12" s="85">
        <f t="shared" si="5"/>
        <v>0</v>
      </c>
      <c r="CC12" s="85">
        <f t="shared" si="5"/>
        <v>0</v>
      </c>
      <c r="CD12" s="85">
        <f t="shared" si="5"/>
        <v>0</v>
      </c>
      <c r="CE12" s="85">
        <f t="shared" si="5"/>
        <v>0</v>
      </c>
      <c r="CF12" s="85">
        <f t="shared" si="5"/>
        <v>0</v>
      </c>
      <c r="CG12" s="85">
        <f t="shared" si="5"/>
        <v>0</v>
      </c>
      <c r="CH12" s="85">
        <f t="shared" si="5"/>
        <v>14250000</v>
      </c>
      <c r="CI12" s="85">
        <f t="shared" si="5"/>
        <v>14250000</v>
      </c>
      <c r="CJ12" s="85">
        <f t="shared" si="5"/>
        <v>0</v>
      </c>
      <c r="CK12" s="85">
        <f t="shared" si="5"/>
        <v>0</v>
      </c>
      <c r="CL12" s="85">
        <f t="shared" si="5"/>
        <v>0</v>
      </c>
      <c r="CM12" s="85">
        <f t="shared" si="5"/>
        <v>0</v>
      </c>
      <c r="CN12" s="85">
        <f t="shared" si="5"/>
        <v>0</v>
      </c>
      <c r="CO12" s="85">
        <f t="shared" si="5"/>
        <v>0</v>
      </c>
      <c r="CP12" s="85">
        <f t="shared" si="5"/>
        <v>0</v>
      </c>
      <c r="CQ12" s="85">
        <f t="shared" si="5"/>
        <v>0</v>
      </c>
      <c r="CR12" s="85">
        <f t="shared" si="5"/>
        <v>0</v>
      </c>
      <c r="CS12" s="85">
        <f t="shared" si="5"/>
        <v>14476500</v>
      </c>
      <c r="CT12" s="85">
        <f t="shared" si="5"/>
        <v>14476500</v>
      </c>
      <c r="CU12" s="85">
        <f t="shared" si="5"/>
        <v>0</v>
      </c>
      <c r="CV12" s="85">
        <f t="shared" si="5"/>
        <v>0</v>
      </c>
      <c r="CW12" s="85">
        <f t="shared" si="5"/>
        <v>0</v>
      </c>
      <c r="CX12" s="85">
        <f t="shared" si="5"/>
        <v>0</v>
      </c>
      <c r="CY12" s="85">
        <f t="shared" si="5"/>
        <v>0</v>
      </c>
      <c r="CZ12" s="85">
        <f t="shared" si="5"/>
        <v>0</v>
      </c>
      <c r="DA12" s="85">
        <f t="shared" si="5"/>
        <v>0</v>
      </c>
      <c r="DB12" s="85">
        <f t="shared" si="5"/>
        <v>0</v>
      </c>
      <c r="DC12" s="85">
        <f t="shared" si="5"/>
        <v>0</v>
      </c>
      <c r="DD12" s="85">
        <f t="shared" si="5"/>
        <v>19466000</v>
      </c>
      <c r="DE12" s="85">
        <f t="shared" si="5"/>
        <v>19466000</v>
      </c>
      <c r="DF12" s="85">
        <f t="shared" si="5"/>
        <v>0</v>
      </c>
      <c r="DG12" s="85">
        <f t="shared" si="5"/>
        <v>0</v>
      </c>
      <c r="DH12" s="85">
        <f t="shared" si="5"/>
        <v>0</v>
      </c>
      <c r="DI12" s="85">
        <f t="shared" si="5"/>
        <v>0</v>
      </c>
      <c r="DJ12" s="85">
        <f t="shared" si="5"/>
        <v>0</v>
      </c>
      <c r="DK12" s="85">
        <f t="shared" si="5"/>
        <v>0</v>
      </c>
      <c r="DL12" s="85">
        <f t="shared" si="5"/>
        <v>0</v>
      </c>
      <c r="DM12" s="85">
        <f t="shared" si="5"/>
        <v>0</v>
      </c>
      <c r="DN12" s="86">
        <f t="shared" si="5"/>
        <v>0</v>
      </c>
      <c r="DO12" s="85">
        <f t="shared" si="5"/>
        <v>63192500</v>
      </c>
    </row>
    <row r="13" spans="1:119" ht="147" customHeight="1" x14ac:dyDescent="0.2">
      <c r="A13" s="244">
        <v>1</v>
      </c>
      <c r="B13" s="253" t="s">
        <v>19</v>
      </c>
      <c r="C13" s="59" t="s">
        <v>324</v>
      </c>
      <c r="D13" s="59" t="s">
        <v>21</v>
      </c>
      <c r="E13" s="55" t="s">
        <v>325</v>
      </c>
      <c r="F13" s="13" t="s">
        <v>326</v>
      </c>
      <c r="G13" s="59" t="s">
        <v>327</v>
      </c>
      <c r="H13" s="55" t="s">
        <v>328</v>
      </c>
      <c r="I13" s="13">
        <v>12</v>
      </c>
      <c r="J13" s="13" t="s">
        <v>329</v>
      </c>
      <c r="K13" s="50">
        <v>18</v>
      </c>
      <c r="L13" s="13" t="s">
        <v>330</v>
      </c>
      <c r="M13" s="13"/>
      <c r="N13" s="244">
        <v>1203</v>
      </c>
      <c r="O13" s="245" t="s">
        <v>61</v>
      </c>
      <c r="P13" s="13" t="s">
        <v>338</v>
      </c>
      <c r="Q13" s="13">
        <v>1203002</v>
      </c>
      <c r="R13" s="13">
        <v>1203002</v>
      </c>
      <c r="S13" s="59" t="s">
        <v>62</v>
      </c>
      <c r="T13" s="13" t="s">
        <v>339</v>
      </c>
      <c r="U13" s="13">
        <v>120300200</v>
      </c>
      <c r="V13" s="13">
        <v>120300200</v>
      </c>
      <c r="W13" s="87" t="s">
        <v>340</v>
      </c>
      <c r="X13" s="88" t="s">
        <v>9</v>
      </c>
      <c r="Y13" s="13">
        <v>150</v>
      </c>
      <c r="Z13" s="13">
        <v>10</v>
      </c>
      <c r="AA13" s="13">
        <v>10</v>
      </c>
      <c r="AB13" s="13">
        <v>40</v>
      </c>
      <c r="AC13" s="13">
        <v>50</v>
      </c>
      <c r="AD13" s="13">
        <v>50</v>
      </c>
      <c r="AE13" s="89">
        <f>AJ13+AO13+AT13+AY13+BD13+BI13+BN13+BS13+BX13+CC13</f>
        <v>15000000</v>
      </c>
      <c r="AF13" s="89">
        <f>AK13+AP13+AU13+AZ13+BE13+BJ13+BO13+BT13+BY13+CD13</f>
        <v>15000000</v>
      </c>
      <c r="AG13" s="89">
        <f>AL13+AQ13+AV13+BA13+BF13+BK13+BP13+BU13+BZ13+CE13</f>
        <v>3620000</v>
      </c>
      <c r="AH13" s="89">
        <f>AM13+AR13+AW13+BB13+BG13+BL13+BQ13+BV13+CA13+CF13</f>
        <v>3620000</v>
      </c>
      <c r="AI13" s="89">
        <f>AN13+AS13+AX13+BC13+BH13+BM13+BR13+BW13+CB13+CG13</f>
        <v>0</v>
      </c>
      <c r="AJ13" s="90">
        <v>15000000</v>
      </c>
      <c r="AK13" s="90">
        <v>15000000</v>
      </c>
      <c r="AL13" s="90">
        <v>3620000</v>
      </c>
      <c r="AM13" s="90">
        <v>3620000</v>
      </c>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1"/>
      <c r="BO13" s="90"/>
      <c r="BP13" s="91"/>
      <c r="BQ13" s="91"/>
      <c r="BR13" s="91"/>
      <c r="BS13" s="91"/>
      <c r="BT13" s="90"/>
      <c r="BU13" s="91"/>
      <c r="BV13" s="91"/>
      <c r="BW13" s="91"/>
      <c r="BX13" s="91"/>
      <c r="BY13" s="90"/>
      <c r="BZ13" s="91"/>
      <c r="CA13" s="91"/>
      <c r="CB13" s="91"/>
      <c r="CC13" s="91"/>
      <c r="CD13" s="90"/>
      <c r="CE13" s="91"/>
      <c r="CF13" s="91"/>
      <c r="CG13" s="91"/>
      <c r="CH13" s="91">
        <f>CI13+CJ13+CK13+CL13+CM13+CN13+CO13+CP13+CQ13+CR13</f>
        <v>14250000</v>
      </c>
      <c r="CI13" s="91">
        <v>14250000</v>
      </c>
      <c r="CJ13" s="91"/>
      <c r="CK13" s="91"/>
      <c r="CL13" s="91"/>
      <c r="CM13" s="91"/>
      <c r="CN13" s="91"/>
      <c r="CO13" s="91"/>
      <c r="CP13" s="91"/>
      <c r="CQ13" s="91"/>
      <c r="CR13" s="91"/>
      <c r="CS13" s="91">
        <f>CT13+CU13+CV13+CW13+CX13+CY13+CZ13+DA13+DB13+DC13</f>
        <v>14476500</v>
      </c>
      <c r="CT13" s="91">
        <v>14476500</v>
      </c>
      <c r="CU13" s="91"/>
      <c r="CV13" s="91"/>
      <c r="CW13" s="91"/>
      <c r="CX13" s="91"/>
      <c r="CY13" s="91"/>
      <c r="CZ13" s="91"/>
      <c r="DA13" s="91"/>
      <c r="DB13" s="91"/>
      <c r="DC13" s="91"/>
      <c r="DD13" s="91">
        <f>DE13+DF13+DG13+DH13+DI13+DJ13+DK13+DL13+DM13+DN13</f>
        <v>19466000</v>
      </c>
      <c r="DE13" s="91">
        <v>19466000</v>
      </c>
      <c r="DF13" s="91"/>
      <c r="DG13" s="91"/>
      <c r="DH13" s="91"/>
      <c r="DI13" s="91"/>
      <c r="DJ13" s="91"/>
      <c r="DK13" s="91"/>
      <c r="DL13" s="91"/>
      <c r="DM13" s="91"/>
      <c r="DN13" s="92"/>
      <c r="DO13" s="93">
        <f>AE13+CH13+CS13+DD13</f>
        <v>63192500</v>
      </c>
    </row>
    <row r="14" spans="1:119" ht="15.75" customHeight="1" x14ac:dyDescent="0.2">
      <c r="A14" s="244"/>
      <c r="B14" s="253"/>
      <c r="C14" s="94"/>
      <c r="D14" s="59"/>
      <c r="E14" s="55"/>
      <c r="F14" s="13"/>
      <c r="G14" s="59"/>
      <c r="H14" s="55"/>
      <c r="I14" s="13"/>
      <c r="J14" s="13"/>
      <c r="K14" s="50"/>
      <c r="L14" s="13"/>
      <c r="M14" s="96">
        <v>3</v>
      </c>
      <c r="N14" s="96">
        <v>1206</v>
      </c>
      <c r="O14" s="97" t="s">
        <v>63</v>
      </c>
      <c r="P14" s="96"/>
      <c r="Q14" s="98"/>
      <c r="R14" s="98"/>
      <c r="S14" s="98"/>
      <c r="T14" s="98"/>
      <c r="U14" s="98"/>
      <c r="V14" s="98"/>
      <c r="W14" s="83"/>
      <c r="X14" s="84"/>
      <c r="Y14" s="84"/>
      <c r="Z14" s="84"/>
      <c r="AA14" s="84"/>
      <c r="AB14" s="84"/>
      <c r="AC14" s="84"/>
      <c r="AD14" s="81"/>
      <c r="AE14" s="99">
        <f t="shared" ref="AE14:DO14" si="6">SUBTOTAL(9,AE15)</f>
        <v>15000000</v>
      </c>
      <c r="AF14" s="99">
        <f t="shared" si="6"/>
        <v>15000000</v>
      </c>
      <c r="AG14" s="99">
        <f t="shared" si="6"/>
        <v>3886666</v>
      </c>
      <c r="AH14" s="99">
        <f t="shared" si="6"/>
        <v>3886666</v>
      </c>
      <c r="AI14" s="99">
        <f t="shared" si="6"/>
        <v>0</v>
      </c>
      <c r="AJ14" s="99">
        <f t="shared" si="6"/>
        <v>15000000</v>
      </c>
      <c r="AK14" s="99">
        <f t="shared" si="6"/>
        <v>15000000</v>
      </c>
      <c r="AL14" s="99">
        <f t="shared" si="6"/>
        <v>3886666</v>
      </c>
      <c r="AM14" s="99">
        <f t="shared" si="6"/>
        <v>3886666</v>
      </c>
      <c r="AN14" s="99">
        <f t="shared" si="6"/>
        <v>0</v>
      </c>
      <c r="AO14" s="99">
        <f t="shared" si="6"/>
        <v>0</v>
      </c>
      <c r="AP14" s="99">
        <f t="shared" si="6"/>
        <v>0</v>
      </c>
      <c r="AQ14" s="99">
        <f t="shared" si="6"/>
        <v>0</v>
      </c>
      <c r="AR14" s="99">
        <f t="shared" si="6"/>
        <v>0</v>
      </c>
      <c r="AS14" s="99">
        <f t="shared" si="6"/>
        <v>0</v>
      </c>
      <c r="AT14" s="99">
        <f t="shared" si="6"/>
        <v>0</v>
      </c>
      <c r="AU14" s="99">
        <f t="shared" si="6"/>
        <v>0</v>
      </c>
      <c r="AV14" s="99">
        <f t="shared" si="6"/>
        <v>0</v>
      </c>
      <c r="AW14" s="99">
        <f t="shared" si="6"/>
        <v>0</v>
      </c>
      <c r="AX14" s="99">
        <f t="shared" si="6"/>
        <v>0</v>
      </c>
      <c r="AY14" s="99">
        <f t="shared" si="6"/>
        <v>0</v>
      </c>
      <c r="AZ14" s="99">
        <f t="shared" si="6"/>
        <v>0</v>
      </c>
      <c r="BA14" s="99">
        <f t="shared" si="6"/>
        <v>0</v>
      </c>
      <c r="BB14" s="99">
        <f t="shared" si="6"/>
        <v>0</v>
      </c>
      <c r="BC14" s="99">
        <f t="shared" si="6"/>
        <v>0</v>
      </c>
      <c r="BD14" s="99">
        <f t="shared" si="6"/>
        <v>0</v>
      </c>
      <c r="BE14" s="99">
        <f t="shared" si="6"/>
        <v>0</v>
      </c>
      <c r="BF14" s="99">
        <f t="shared" si="6"/>
        <v>0</v>
      </c>
      <c r="BG14" s="99">
        <f t="shared" si="6"/>
        <v>0</v>
      </c>
      <c r="BH14" s="99">
        <f t="shared" si="6"/>
        <v>0</v>
      </c>
      <c r="BI14" s="99">
        <f t="shared" si="6"/>
        <v>0</v>
      </c>
      <c r="BJ14" s="99">
        <f t="shared" si="6"/>
        <v>0</v>
      </c>
      <c r="BK14" s="99">
        <f t="shared" si="6"/>
        <v>0</v>
      </c>
      <c r="BL14" s="99">
        <f t="shared" si="6"/>
        <v>0</v>
      </c>
      <c r="BM14" s="99">
        <f t="shared" si="6"/>
        <v>0</v>
      </c>
      <c r="BN14" s="99">
        <f t="shared" si="6"/>
        <v>0</v>
      </c>
      <c r="BO14" s="99">
        <f t="shared" si="6"/>
        <v>0</v>
      </c>
      <c r="BP14" s="99">
        <f t="shared" si="6"/>
        <v>0</v>
      </c>
      <c r="BQ14" s="99">
        <f t="shared" si="6"/>
        <v>0</v>
      </c>
      <c r="BR14" s="99">
        <f t="shared" si="6"/>
        <v>0</v>
      </c>
      <c r="BS14" s="99">
        <f t="shared" si="6"/>
        <v>0</v>
      </c>
      <c r="BT14" s="99">
        <f t="shared" si="6"/>
        <v>0</v>
      </c>
      <c r="BU14" s="99">
        <f t="shared" si="6"/>
        <v>0</v>
      </c>
      <c r="BV14" s="99">
        <f t="shared" si="6"/>
        <v>0</v>
      </c>
      <c r="BW14" s="99">
        <f t="shared" si="6"/>
        <v>0</v>
      </c>
      <c r="BX14" s="99">
        <f t="shared" si="6"/>
        <v>0</v>
      </c>
      <c r="BY14" s="99">
        <f t="shared" si="6"/>
        <v>0</v>
      </c>
      <c r="BZ14" s="99">
        <f t="shared" si="6"/>
        <v>0</v>
      </c>
      <c r="CA14" s="99">
        <f t="shared" si="6"/>
        <v>0</v>
      </c>
      <c r="CB14" s="99">
        <f t="shared" si="6"/>
        <v>0</v>
      </c>
      <c r="CC14" s="99">
        <f t="shared" si="6"/>
        <v>0</v>
      </c>
      <c r="CD14" s="99">
        <f t="shared" si="6"/>
        <v>0</v>
      </c>
      <c r="CE14" s="99">
        <f t="shared" si="6"/>
        <v>0</v>
      </c>
      <c r="CF14" s="99">
        <f t="shared" si="6"/>
        <v>0</v>
      </c>
      <c r="CG14" s="99">
        <f t="shared" si="6"/>
        <v>0</v>
      </c>
      <c r="CH14" s="99">
        <f t="shared" si="6"/>
        <v>9500000</v>
      </c>
      <c r="CI14" s="99">
        <f t="shared" si="6"/>
        <v>9500000</v>
      </c>
      <c r="CJ14" s="99">
        <f t="shared" si="6"/>
        <v>0</v>
      </c>
      <c r="CK14" s="99">
        <f t="shared" si="6"/>
        <v>0</v>
      </c>
      <c r="CL14" s="99">
        <f t="shared" si="6"/>
        <v>0</v>
      </c>
      <c r="CM14" s="99">
        <f t="shared" si="6"/>
        <v>0</v>
      </c>
      <c r="CN14" s="99">
        <f t="shared" si="6"/>
        <v>0</v>
      </c>
      <c r="CO14" s="99">
        <f t="shared" si="6"/>
        <v>0</v>
      </c>
      <c r="CP14" s="99">
        <f t="shared" si="6"/>
        <v>0</v>
      </c>
      <c r="CQ14" s="99">
        <f t="shared" si="6"/>
        <v>0</v>
      </c>
      <c r="CR14" s="99">
        <f t="shared" si="6"/>
        <v>0</v>
      </c>
      <c r="CS14" s="99">
        <f t="shared" si="6"/>
        <v>14476500</v>
      </c>
      <c r="CT14" s="99">
        <f t="shared" si="6"/>
        <v>14476500</v>
      </c>
      <c r="CU14" s="99">
        <f t="shared" si="6"/>
        <v>0</v>
      </c>
      <c r="CV14" s="99">
        <f t="shared" si="6"/>
        <v>0</v>
      </c>
      <c r="CW14" s="99">
        <f t="shared" si="6"/>
        <v>0</v>
      </c>
      <c r="CX14" s="99">
        <f t="shared" si="6"/>
        <v>0</v>
      </c>
      <c r="CY14" s="99">
        <f t="shared" si="6"/>
        <v>0</v>
      </c>
      <c r="CZ14" s="99">
        <f t="shared" si="6"/>
        <v>0</v>
      </c>
      <c r="DA14" s="99">
        <f t="shared" si="6"/>
        <v>0</v>
      </c>
      <c r="DB14" s="99">
        <f t="shared" si="6"/>
        <v>0</v>
      </c>
      <c r="DC14" s="99">
        <f t="shared" si="6"/>
        <v>0</v>
      </c>
      <c r="DD14" s="99">
        <f t="shared" si="6"/>
        <v>19466000</v>
      </c>
      <c r="DE14" s="99">
        <f t="shared" si="6"/>
        <v>19466000</v>
      </c>
      <c r="DF14" s="99">
        <f t="shared" si="6"/>
        <v>0</v>
      </c>
      <c r="DG14" s="99">
        <f t="shared" si="6"/>
        <v>0</v>
      </c>
      <c r="DH14" s="99">
        <f t="shared" si="6"/>
        <v>0</v>
      </c>
      <c r="DI14" s="99">
        <f t="shared" si="6"/>
        <v>0</v>
      </c>
      <c r="DJ14" s="99">
        <f t="shared" si="6"/>
        <v>0</v>
      </c>
      <c r="DK14" s="99">
        <f t="shared" si="6"/>
        <v>0</v>
      </c>
      <c r="DL14" s="99">
        <f t="shared" si="6"/>
        <v>0</v>
      </c>
      <c r="DM14" s="99">
        <f t="shared" si="6"/>
        <v>0</v>
      </c>
      <c r="DN14" s="100">
        <f t="shared" si="6"/>
        <v>0</v>
      </c>
      <c r="DO14" s="99">
        <f t="shared" si="6"/>
        <v>58442500</v>
      </c>
    </row>
    <row r="15" spans="1:119" s="225" customFormat="1" ht="148.5" customHeight="1" x14ac:dyDescent="0.2">
      <c r="A15" s="244">
        <v>1</v>
      </c>
      <c r="B15" s="253" t="s">
        <v>19</v>
      </c>
      <c r="C15" s="59" t="s">
        <v>324</v>
      </c>
      <c r="D15" s="59" t="s">
        <v>21</v>
      </c>
      <c r="E15" s="55" t="s">
        <v>325</v>
      </c>
      <c r="F15" s="13" t="s">
        <v>326</v>
      </c>
      <c r="G15" s="59" t="s">
        <v>327</v>
      </c>
      <c r="H15" s="55" t="s">
        <v>328</v>
      </c>
      <c r="I15" s="13">
        <v>12</v>
      </c>
      <c r="J15" s="13" t="s">
        <v>329</v>
      </c>
      <c r="K15" s="50">
        <v>18</v>
      </c>
      <c r="L15" s="13" t="s">
        <v>330</v>
      </c>
      <c r="M15" s="244">
        <v>3</v>
      </c>
      <c r="N15" s="244">
        <v>1206</v>
      </c>
      <c r="O15" s="245" t="s">
        <v>63</v>
      </c>
      <c r="P15" s="13" t="s">
        <v>341</v>
      </c>
      <c r="Q15" s="13">
        <v>1206005</v>
      </c>
      <c r="R15" s="13">
        <v>1206005</v>
      </c>
      <c r="S15" s="59" t="s">
        <v>64</v>
      </c>
      <c r="T15" s="13" t="s">
        <v>342</v>
      </c>
      <c r="U15" s="13">
        <v>120600500</v>
      </c>
      <c r="V15" s="13">
        <v>120600500</v>
      </c>
      <c r="W15" s="87" t="s">
        <v>1630</v>
      </c>
      <c r="X15" s="88" t="s">
        <v>9</v>
      </c>
      <c r="Y15" s="13">
        <v>100</v>
      </c>
      <c r="Z15" s="13">
        <v>15</v>
      </c>
      <c r="AA15" s="13">
        <v>0</v>
      </c>
      <c r="AB15" s="13">
        <v>20</v>
      </c>
      <c r="AC15" s="13">
        <v>30</v>
      </c>
      <c r="AD15" s="13">
        <v>35</v>
      </c>
      <c r="AE15" s="89">
        <f>AJ15+AO15+AT15+AY15+BD15+BI15+BN15+BS15+BX15+CC15</f>
        <v>15000000</v>
      </c>
      <c r="AF15" s="89">
        <f>AK15+AP15+AU15+AZ15+BE15+BJ15+BO15+BT15+BY15+CD15</f>
        <v>15000000</v>
      </c>
      <c r="AG15" s="89">
        <f>AL15+AQ15+AV15+BA15+BF15+BK15+BP15+BU15+BZ15+CE15</f>
        <v>3886666</v>
      </c>
      <c r="AH15" s="89">
        <f>AM15+AR15+AW15+BB15+BG15+BL15+BQ15+BV15+CA15+CF15</f>
        <v>3886666</v>
      </c>
      <c r="AI15" s="89">
        <f>AN15+AS15+AX15+BC15+BH15+BM15+BR15+BW15+CB15+CG15</f>
        <v>0</v>
      </c>
      <c r="AJ15" s="90">
        <v>15000000</v>
      </c>
      <c r="AK15" s="90">
        <v>15000000</v>
      </c>
      <c r="AL15" s="90">
        <v>3886666</v>
      </c>
      <c r="AM15" s="90">
        <v>3886666</v>
      </c>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1"/>
      <c r="BO15" s="90"/>
      <c r="BP15" s="91"/>
      <c r="BQ15" s="91"/>
      <c r="BR15" s="91"/>
      <c r="BS15" s="91"/>
      <c r="BT15" s="90"/>
      <c r="BU15" s="91"/>
      <c r="BV15" s="91"/>
      <c r="BW15" s="91"/>
      <c r="BX15" s="91"/>
      <c r="BY15" s="90"/>
      <c r="BZ15" s="91"/>
      <c r="CA15" s="91"/>
      <c r="CB15" s="91"/>
      <c r="CC15" s="91"/>
      <c r="CD15" s="90"/>
      <c r="CE15" s="91"/>
      <c r="CF15" s="91"/>
      <c r="CG15" s="91"/>
      <c r="CH15" s="91">
        <f>CI15+CJ15+CK15+CL15+CM15+CN15+CO15+CP15+CQ15+CR15</f>
        <v>9500000</v>
      </c>
      <c r="CI15" s="91">
        <v>9500000</v>
      </c>
      <c r="CJ15" s="91"/>
      <c r="CK15" s="91"/>
      <c r="CL15" s="91"/>
      <c r="CM15" s="91"/>
      <c r="CN15" s="91"/>
      <c r="CO15" s="91"/>
      <c r="CP15" s="91"/>
      <c r="CQ15" s="91"/>
      <c r="CR15" s="91"/>
      <c r="CS15" s="91">
        <f>CT15+CU15+CV15+CW15+CX15+CY15+CZ15+DA15+DB15+DC15</f>
        <v>14476500</v>
      </c>
      <c r="CT15" s="91">
        <v>14476500</v>
      </c>
      <c r="CU15" s="91"/>
      <c r="CV15" s="91"/>
      <c r="CW15" s="91"/>
      <c r="CX15" s="91"/>
      <c r="CY15" s="91"/>
      <c r="CZ15" s="91"/>
      <c r="DA15" s="91"/>
      <c r="DB15" s="91"/>
      <c r="DC15" s="91"/>
      <c r="DD15" s="91">
        <f>DE15+DF15+DG15+DH15+DI15+DJ15+DK15+DL15+DM15+DN15</f>
        <v>19466000</v>
      </c>
      <c r="DE15" s="91">
        <v>19466000</v>
      </c>
      <c r="DF15" s="91"/>
      <c r="DG15" s="91"/>
      <c r="DH15" s="91"/>
      <c r="DI15" s="91"/>
      <c r="DJ15" s="91"/>
      <c r="DK15" s="91"/>
      <c r="DL15" s="91"/>
      <c r="DM15" s="91"/>
      <c r="DN15" s="92"/>
      <c r="DO15" s="93">
        <f>AE15+CH15+CS15+DD15</f>
        <v>58442500</v>
      </c>
    </row>
    <row r="16" spans="1:119" ht="15.75" customHeight="1" x14ac:dyDescent="0.2">
      <c r="A16" s="244"/>
      <c r="B16" s="253"/>
      <c r="C16" s="94"/>
      <c r="D16" s="59"/>
      <c r="E16" s="55"/>
      <c r="F16" s="13"/>
      <c r="G16" s="59"/>
      <c r="H16" s="55"/>
      <c r="I16" s="13"/>
      <c r="J16" s="13"/>
      <c r="K16" s="50"/>
      <c r="L16" s="13"/>
      <c r="M16" s="96">
        <v>11</v>
      </c>
      <c r="N16" s="96">
        <v>1903</v>
      </c>
      <c r="O16" s="97" t="s">
        <v>220</v>
      </c>
      <c r="P16" s="96"/>
      <c r="Q16" s="98"/>
      <c r="R16" s="98"/>
      <c r="S16" s="98"/>
      <c r="T16" s="98"/>
      <c r="U16" s="98"/>
      <c r="V16" s="98"/>
      <c r="W16" s="83"/>
      <c r="X16" s="84"/>
      <c r="Y16" s="84"/>
      <c r="Z16" s="84"/>
      <c r="AA16" s="84"/>
      <c r="AB16" s="84"/>
      <c r="AC16" s="84"/>
      <c r="AD16" s="81"/>
      <c r="AE16" s="99">
        <f>SUM(AE17:AE36)</f>
        <v>3750089693.8599997</v>
      </c>
      <c r="AF16" s="99">
        <f>SUM(AF17:AF36)</f>
        <v>3706899934.8600001</v>
      </c>
      <c r="AG16" s="99">
        <f t="shared" ref="AG16:DO16" si="7">SUM(AG17:AG36)</f>
        <v>2350788972</v>
      </c>
      <c r="AH16" s="99">
        <f t="shared" si="7"/>
        <v>2317710680</v>
      </c>
      <c r="AI16" s="99">
        <f t="shared" si="7"/>
        <v>0</v>
      </c>
      <c r="AJ16" s="99">
        <f t="shared" si="7"/>
        <v>161590000</v>
      </c>
      <c r="AK16" s="99">
        <f>SUM(AK17:AK36)</f>
        <v>1317918216.8600001</v>
      </c>
      <c r="AL16" s="99">
        <f t="shared" si="7"/>
        <v>876490453</v>
      </c>
      <c r="AM16" s="99">
        <f t="shared" si="7"/>
        <v>876490453</v>
      </c>
      <c r="AN16" s="99">
        <f t="shared" si="7"/>
        <v>0</v>
      </c>
      <c r="AO16" s="99">
        <f t="shared" si="7"/>
        <v>1306328216.8600001</v>
      </c>
      <c r="AP16" s="99">
        <f t="shared" si="7"/>
        <v>0</v>
      </c>
      <c r="AQ16" s="99">
        <f t="shared" si="7"/>
        <v>0</v>
      </c>
      <c r="AR16" s="99">
        <f t="shared" si="7"/>
        <v>0</v>
      </c>
      <c r="AS16" s="99">
        <f t="shared" si="7"/>
        <v>0</v>
      </c>
      <c r="AT16" s="99">
        <f t="shared" si="7"/>
        <v>0</v>
      </c>
      <c r="AU16" s="99">
        <f>SUM(AU17:AU36)</f>
        <v>0</v>
      </c>
      <c r="AV16" s="99">
        <f t="shared" si="7"/>
        <v>0</v>
      </c>
      <c r="AW16" s="99">
        <f t="shared" si="7"/>
        <v>0</v>
      </c>
      <c r="AX16" s="99">
        <f t="shared" si="7"/>
        <v>0</v>
      </c>
      <c r="AY16" s="99">
        <f t="shared" si="7"/>
        <v>1930971477</v>
      </c>
      <c r="AZ16" s="99">
        <f t="shared" si="7"/>
        <v>1887781718</v>
      </c>
      <c r="BA16" s="99">
        <f t="shared" si="7"/>
        <v>1137544486</v>
      </c>
      <c r="BB16" s="99">
        <f t="shared" si="7"/>
        <v>1137544486</v>
      </c>
      <c r="BC16" s="99">
        <f t="shared" si="7"/>
        <v>0</v>
      </c>
      <c r="BD16" s="99">
        <f t="shared" si="7"/>
        <v>0</v>
      </c>
      <c r="BE16" s="99">
        <f>SUM(BE17:BE36)</f>
        <v>0</v>
      </c>
      <c r="BF16" s="99">
        <f t="shared" si="7"/>
        <v>0</v>
      </c>
      <c r="BG16" s="99">
        <f t="shared" si="7"/>
        <v>0</v>
      </c>
      <c r="BH16" s="99">
        <f t="shared" si="7"/>
        <v>0</v>
      </c>
      <c r="BI16" s="99">
        <f t="shared" si="7"/>
        <v>0</v>
      </c>
      <c r="BJ16" s="99">
        <f t="shared" si="7"/>
        <v>0</v>
      </c>
      <c r="BK16" s="99">
        <f t="shared" si="7"/>
        <v>0</v>
      </c>
      <c r="BL16" s="99">
        <f t="shared" si="7"/>
        <v>0</v>
      </c>
      <c r="BM16" s="99">
        <f t="shared" si="7"/>
        <v>0</v>
      </c>
      <c r="BN16" s="99">
        <f t="shared" si="7"/>
        <v>0</v>
      </c>
      <c r="BO16" s="99">
        <f>SUM(BO17:BO36)</f>
        <v>0</v>
      </c>
      <c r="BP16" s="99">
        <f t="shared" si="7"/>
        <v>0</v>
      </c>
      <c r="BQ16" s="99">
        <f t="shared" si="7"/>
        <v>0</v>
      </c>
      <c r="BR16" s="99">
        <f t="shared" si="7"/>
        <v>0</v>
      </c>
      <c r="BS16" s="99">
        <f t="shared" si="7"/>
        <v>0</v>
      </c>
      <c r="BT16" s="99">
        <f t="shared" si="7"/>
        <v>501200000</v>
      </c>
      <c r="BU16" s="99">
        <f t="shared" si="7"/>
        <v>336754033</v>
      </c>
      <c r="BV16" s="99">
        <f t="shared" si="7"/>
        <v>303675741</v>
      </c>
      <c r="BW16" s="99">
        <f t="shared" si="7"/>
        <v>0</v>
      </c>
      <c r="BX16" s="99">
        <f t="shared" si="7"/>
        <v>0</v>
      </c>
      <c r="BY16" s="99">
        <f>SUM(BY17:BY36)</f>
        <v>0</v>
      </c>
      <c r="BZ16" s="99">
        <f t="shared" si="7"/>
        <v>0</v>
      </c>
      <c r="CA16" s="99">
        <f t="shared" si="7"/>
        <v>0</v>
      </c>
      <c r="CB16" s="99">
        <f t="shared" si="7"/>
        <v>0</v>
      </c>
      <c r="CC16" s="99">
        <f t="shared" si="7"/>
        <v>351200000</v>
      </c>
      <c r="CD16" s="99">
        <f t="shared" si="7"/>
        <v>0</v>
      </c>
      <c r="CE16" s="99">
        <f t="shared" si="7"/>
        <v>0</v>
      </c>
      <c r="CF16" s="99">
        <f t="shared" si="7"/>
        <v>0</v>
      </c>
      <c r="CG16" s="99">
        <f t="shared" si="7"/>
        <v>0</v>
      </c>
      <c r="CH16" s="99">
        <f t="shared" si="7"/>
        <v>2894209541</v>
      </c>
      <c r="CI16" s="99">
        <f t="shared" si="7"/>
        <v>161590000</v>
      </c>
      <c r="CJ16" s="99">
        <f t="shared" si="7"/>
        <v>1006619541</v>
      </c>
      <c r="CK16" s="99">
        <f t="shared" si="7"/>
        <v>0</v>
      </c>
      <c r="CL16" s="99">
        <f t="shared" si="7"/>
        <v>1726000000</v>
      </c>
      <c r="CM16" s="99">
        <f t="shared" si="7"/>
        <v>0</v>
      </c>
      <c r="CN16" s="99">
        <f t="shared" si="7"/>
        <v>0</v>
      </c>
      <c r="CO16" s="99">
        <f t="shared" si="7"/>
        <v>0</v>
      </c>
      <c r="CP16" s="99">
        <f t="shared" si="7"/>
        <v>0</v>
      </c>
      <c r="CQ16" s="99">
        <f t="shared" si="7"/>
        <v>0</v>
      </c>
      <c r="CR16" s="99">
        <f t="shared" si="7"/>
        <v>0</v>
      </c>
      <c r="CS16" s="99">
        <f t="shared" si="7"/>
        <v>2957794656</v>
      </c>
      <c r="CT16" s="99">
        <f t="shared" si="7"/>
        <v>161590000</v>
      </c>
      <c r="CU16" s="99">
        <f t="shared" si="7"/>
        <v>1036818130</v>
      </c>
      <c r="CV16" s="99">
        <f t="shared" si="7"/>
        <v>0</v>
      </c>
      <c r="CW16" s="99">
        <f t="shared" si="7"/>
        <v>1759386526</v>
      </c>
      <c r="CX16" s="99">
        <f t="shared" si="7"/>
        <v>0</v>
      </c>
      <c r="CY16" s="99">
        <f t="shared" si="7"/>
        <v>0</v>
      </c>
      <c r="CZ16" s="99">
        <f t="shared" si="7"/>
        <v>0</v>
      </c>
      <c r="DA16" s="99">
        <f t="shared" si="7"/>
        <v>0</v>
      </c>
      <c r="DB16" s="99">
        <f t="shared" si="7"/>
        <v>0</v>
      </c>
      <c r="DC16" s="99">
        <f t="shared" si="7"/>
        <v>0</v>
      </c>
      <c r="DD16" s="99">
        <f t="shared" si="7"/>
        <v>3001209640.9400001</v>
      </c>
      <c r="DE16" s="99">
        <f t="shared" si="7"/>
        <v>161590000</v>
      </c>
      <c r="DF16" s="99">
        <f t="shared" si="7"/>
        <v>1067922673.9400001</v>
      </c>
      <c r="DG16" s="99">
        <f t="shared" si="7"/>
        <v>0</v>
      </c>
      <c r="DH16" s="99">
        <f t="shared" si="7"/>
        <v>1771696967</v>
      </c>
      <c r="DI16" s="99">
        <f t="shared" si="7"/>
        <v>0</v>
      </c>
      <c r="DJ16" s="99">
        <f t="shared" si="7"/>
        <v>0</v>
      </c>
      <c r="DK16" s="99">
        <f t="shared" si="7"/>
        <v>0</v>
      </c>
      <c r="DL16" s="99">
        <f t="shared" si="7"/>
        <v>0</v>
      </c>
      <c r="DM16" s="99">
        <f t="shared" si="7"/>
        <v>0</v>
      </c>
      <c r="DN16" s="100">
        <f t="shared" si="7"/>
        <v>0</v>
      </c>
      <c r="DO16" s="99">
        <f t="shared" si="7"/>
        <v>12603303531.800001</v>
      </c>
    </row>
    <row r="17" spans="1:119" s="225" customFormat="1" ht="78.75" customHeight="1" x14ac:dyDescent="0.2">
      <c r="A17" s="244">
        <v>1</v>
      </c>
      <c r="B17" s="253" t="s">
        <v>19</v>
      </c>
      <c r="C17" s="59" t="s">
        <v>453</v>
      </c>
      <c r="D17" s="59" t="s">
        <v>232</v>
      </c>
      <c r="E17" s="55" t="s">
        <v>454</v>
      </c>
      <c r="F17" s="14" t="s">
        <v>455</v>
      </c>
      <c r="G17" s="59" t="s">
        <v>456</v>
      </c>
      <c r="H17" s="55" t="s">
        <v>457</v>
      </c>
      <c r="I17" s="13">
        <v>19</v>
      </c>
      <c r="J17" s="13" t="s">
        <v>1663</v>
      </c>
      <c r="K17" s="50">
        <v>2</v>
      </c>
      <c r="L17" s="13" t="s">
        <v>458</v>
      </c>
      <c r="M17" s="246">
        <v>11</v>
      </c>
      <c r="N17" s="244">
        <v>1903</v>
      </c>
      <c r="O17" s="245" t="s">
        <v>220</v>
      </c>
      <c r="P17" s="101" t="s">
        <v>459</v>
      </c>
      <c r="Q17" s="13">
        <v>1903001</v>
      </c>
      <c r="R17" s="13">
        <v>1903001</v>
      </c>
      <c r="S17" s="59" t="s">
        <v>123</v>
      </c>
      <c r="T17" s="101" t="s">
        <v>460</v>
      </c>
      <c r="U17" s="13">
        <v>190300100</v>
      </c>
      <c r="V17" s="13">
        <v>190300100</v>
      </c>
      <c r="W17" s="87" t="s">
        <v>461</v>
      </c>
      <c r="X17" s="88" t="s">
        <v>8</v>
      </c>
      <c r="Y17" s="13">
        <v>2</v>
      </c>
      <c r="Z17" s="13">
        <v>2</v>
      </c>
      <c r="AA17" s="13">
        <v>2</v>
      </c>
      <c r="AB17" s="13">
        <v>2</v>
      </c>
      <c r="AC17" s="13">
        <v>2</v>
      </c>
      <c r="AD17" s="13">
        <v>2</v>
      </c>
      <c r="AE17" s="89">
        <f t="shared" ref="AE17:AI36" si="8">AJ17+AO17+AT17+AY17+BD17+BI17+BN17+BS17+BX17+CC17</f>
        <v>96470000</v>
      </c>
      <c r="AF17" s="89">
        <f t="shared" si="8"/>
        <v>81470000</v>
      </c>
      <c r="AG17" s="89">
        <f t="shared" si="8"/>
        <v>56599998</v>
      </c>
      <c r="AH17" s="89">
        <f t="shared" si="8"/>
        <v>56599998</v>
      </c>
      <c r="AI17" s="89">
        <f t="shared" si="8"/>
        <v>0</v>
      </c>
      <c r="AJ17" s="91">
        <v>15000000</v>
      </c>
      <c r="AK17" s="91"/>
      <c r="AL17" s="91"/>
      <c r="AM17" s="91"/>
      <c r="AN17" s="91"/>
      <c r="AO17" s="91"/>
      <c r="AP17" s="91"/>
      <c r="AQ17" s="91"/>
      <c r="AR17" s="91"/>
      <c r="AS17" s="91"/>
      <c r="AT17" s="91"/>
      <c r="AU17" s="91"/>
      <c r="AV17" s="91"/>
      <c r="AW17" s="91"/>
      <c r="AX17" s="91"/>
      <c r="AY17" s="91">
        <v>81470000</v>
      </c>
      <c r="AZ17" s="91">
        <v>81470000</v>
      </c>
      <c r="BA17" s="91">
        <v>56599998</v>
      </c>
      <c r="BB17" s="91">
        <v>56599998</v>
      </c>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f>CI17+CJ17+CK17+CL17+CM17+CN17+CO17+CP17+CQ17+CR17</f>
        <v>96470000</v>
      </c>
      <c r="CI17" s="91">
        <v>15000000</v>
      </c>
      <c r="CJ17" s="91"/>
      <c r="CK17" s="91"/>
      <c r="CL17" s="91">
        <v>81470000</v>
      </c>
      <c r="CM17" s="102"/>
      <c r="CN17" s="91"/>
      <c r="CO17" s="91"/>
      <c r="CP17" s="91"/>
      <c r="CQ17" s="91"/>
      <c r="CR17" s="91"/>
      <c r="CS17" s="91">
        <f t="shared" ref="CS17:CS36" si="9">CT17+CU17+CV17+CW17+CX17+CY17+CZ17+DA17+DB17+DC17</f>
        <v>96470000</v>
      </c>
      <c r="CT17" s="91">
        <v>15000000</v>
      </c>
      <c r="CU17" s="91"/>
      <c r="CV17" s="91"/>
      <c r="CW17" s="91">
        <v>81470000</v>
      </c>
      <c r="CX17" s="91"/>
      <c r="CY17" s="91"/>
      <c r="CZ17" s="91"/>
      <c r="DA17" s="91"/>
      <c r="DB17" s="91"/>
      <c r="DC17" s="91"/>
      <c r="DD17" s="91">
        <f t="shared" ref="DD17:DD36" si="10">DE17+DF17+DG17+DH17+DI17+DJ17+DK17+DL17+DM17+DN17</f>
        <v>96470000</v>
      </c>
      <c r="DE17" s="91">
        <v>15000000</v>
      </c>
      <c r="DF17" s="91"/>
      <c r="DG17" s="91"/>
      <c r="DH17" s="91">
        <v>81470000</v>
      </c>
      <c r="DI17" s="91"/>
      <c r="DJ17" s="91"/>
      <c r="DK17" s="91"/>
      <c r="DL17" s="91"/>
      <c r="DM17" s="91"/>
      <c r="DN17" s="92"/>
      <c r="DO17" s="93">
        <f t="shared" ref="DO17:DO36" si="11">AE17+CH17+CS17+DD17</f>
        <v>385880000</v>
      </c>
    </row>
    <row r="18" spans="1:119" s="225" customFormat="1" ht="62.25" customHeight="1" x14ac:dyDescent="0.2">
      <c r="A18" s="244">
        <v>1</v>
      </c>
      <c r="B18" s="253" t="s">
        <v>19</v>
      </c>
      <c r="C18" s="59" t="s">
        <v>453</v>
      </c>
      <c r="D18" s="59" t="s">
        <v>221</v>
      </c>
      <c r="E18" s="55">
        <v>1</v>
      </c>
      <c r="F18" s="14">
        <v>2018</v>
      </c>
      <c r="G18" s="59" t="s">
        <v>462</v>
      </c>
      <c r="H18" s="55">
        <v>0</v>
      </c>
      <c r="I18" s="13">
        <v>19</v>
      </c>
      <c r="J18" s="13" t="s">
        <v>1663</v>
      </c>
      <c r="K18" s="50">
        <v>2</v>
      </c>
      <c r="L18" s="13" t="s">
        <v>458</v>
      </c>
      <c r="M18" s="246">
        <v>11</v>
      </c>
      <c r="N18" s="244">
        <v>1903</v>
      </c>
      <c r="O18" s="245" t="s">
        <v>220</v>
      </c>
      <c r="P18" s="101" t="s">
        <v>463</v>
      </c>
      <c r="Q18" s="13">
        <v>1903009</v>
      </c>
      <c r="R18" s="13">
        <v>1903009</v>
      </c>
      <c r="S18" s="59" t="s">
        <v>222</v>
      </c>
      <c r="T18" s="101" t="s">
        <v>464</v>
      </c>
      <c r="U18" s="13">
        <v>190300900</v>
      </c>
      <c r="V18" s="13">
        <v>190300900</v>
      </c>
      <c r="W18" s="87" t="s">
        <v>465</v>
      </c>
      <c r="X18" s="88" t="s">
        <v>9</v>
      </c>
      <c r="Y18" s="13">
        <v>2900</v>
      </c>
      <c r="Z18" s="13">
        <v>380</v>
      </c>
      <c r="AA18" s="13">
        <v>352</v>
      </c>
      <c r="AB18" s="13">
        <v>840</v>
      </c>
      <c r="AC18" s="13">
        <v>840</v>
      </c>
      <c r="AD18" s="13">
        <v>840</v>
      </c>
      <c r="AE18" s="89">
        <f t="shared" si="8"/>
        <v>70000000</v>
      </c>
      <c r="AF18" s="89">
        <f t="shared" si="8"/>
        <v>36400000</v>
      </c>
      <c r="AG18" s="89">
        <f t="shared" si="8"/>
        <v>31733333</v>
      </c>
      <c r="AH18" s="89">
        <f t="shared" si="8"/>
        <v>31733333</v>
      </c>
      <c r="AI18" s="89">
        <f t="shared" si="8"/>
        <v>0</v>
      </c>
      <c r="AJ18" s="91"/>
      <c r="AK18" s="91"/>
      <c r="AL18" s="91"/>
      <c r="AM18" s="91"/>
      <c r="AN18" s="91"/>
      <c r="AO18" s="91"/>
      <c r="AP18" s="91"/>
      <c r="AQ18" s="91"/>
      <c r="AR18" s="91"/>
      <c r="AS18" s="91"/>
      <c r="AT18" s="91"/>
      <c r="AU18" s="91"/>
      <c r="AV18" s="91"/>
      <c r="AW18" s="91"/>
      <c r="AX18" s="91"/>
      <c r="AY18" s="91">
        <v>70000000</v>
      </c>
      <c r="AZ18" s="91">
        <v>36400000</v>
      </c>
      <c r="BA18" s="91">
        <v>31733333</v>
      </c>
      <c r="BB18" s="91">
        <v>31733333</v>
      </c>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f t="shared" ref="CH18:CH36" si="12">CI18+CJ18+CK18+CL18+CM18+CN18+CO18+CP18+CQ18+CR18</f>
        <v>40000000</v>
      </c>
      <c r="CI18" s="91"/>
      <c r="CJ18" s="91"/>
      <c r="CK18" s="91"/>
      <c r="CL18" s="91">
        <v>40000000</v>
      </c>
      <c r="CM18" s="102"/>
      <c r="CN18" s="91"/>
      <c r="CO18" s="91"/>
      <c r="CP18" s="91"/>
      <c r="CQ18" s="91"/>
      <c r="CR18" s="91"/>
      <c r="CS18" s="91">
        <f t="shared" si="9"/>
        <v>40000000</v>
      </c>
      <c r="CT18" s="91"/>
      <c r="CU18" s="91"/>
      <c r="CV18" s="91"/>
      <c r="CW18" s="91">
        <v>40000000</v>
      </c>
      <c r="CX18" s="91"/>
      <c r="CY18" s="91"/>
      <c r="CZ18" s="91"/>
      <c r="DA18" s="91"/>
      <c r="DB18" s="91"/>
      <c r="DC18" s="91"/>
      <c r="DD18" s="91">
        <f t="shared" si="10"/>
        <v>40000000</v>
      </c>
      <c r="DE18" s="91"/>
      <c r="DF18" s="91"/>
      <c r="DG18" s="91"/>
      <c r="DH18" s="91">
        <v>40000000</v>
      </c>
      <c r="DI18" s="91"/>
      <c r="DJ18" s="91"/>
      <c r="DK18" s="91"/>
      <c r="DL18" s="91"/>
      <c r="DM18" s="91"/>
      <c r="DN18" s="92"/>
      <c r="DO18" s="93">
        <f t="shared" si="11"/>
        <v>190000000</v>
      </c>
    </row>
    <row r="19" spans="1:119" s="225" customFormat="1" ht="72.75" customHeight="1" x14ac:dyDescent="0.2">
      <c r="A19" s="244">
        <v>1</v>
      </c>
      <c r="B19" s="253" t="s">
        <v>19</v>
      </c>
      <c r="C19" s="59" t="s">
        <v>453</v>
      </c>
      <c r="D19" s="59" t="s">
        <v>241</v>
      </c>
      <c r="E19" s="55">
        <v>0</v>
      </c>
      <c r="F19" s="103">
        <v>2018</v>
      </c>
      <c r="G19" s="59" t="s">
        <v>462</v>
      </c>
      <c r="H19" s="55">
        <v>0</v>
      </c>
      <c r="I19" s="13">
        <v>19</v>
      </c>
      <c r="J19" s="13" t="s">
        <v>1663</v>
      </c>
      <c r="K19" s="50">
        <v>2</v>
      </c>
      <c r="L19" s="13" t="s">
        <v>458</v>
      </c>
      <c r="M19" s="246">
        <v>11</v>
      </c>
      <c r="N19" s="244">
        <v>1903</v>
      </c>
      <c r="O19" s="245" t="s">
        <v>220</v>
      </c>
      <c r="P19" s="101" t="s">
        <v>466</v>
      </c>
      <c r="Q19" s="13">
        <v>1903010</v>
      </c>
      <c r="R19" s="13">
        <v>1903010</v>
      </c>
      <c r="S19" s="59" t="s">
        <v>242</v>
      </c>
      <c r="T19" s="101" t="s">
        <v>467</v>
      </c>
      <c r="U19" s="13">
        <v>190301000</v>
      </c>
      <c r="V19" s="13">
        <v>190301000</v>
      </c>
      <c r="W19" s="87" t="s">
        <v>468</v>
      </c>
      <c r="X19" s="88" t="s">
        <v>8</v>
      </c>
      <c r="Y19" s="13">
        <v>12</v>
      </c>
      <c r="Z19" s="13">
        <v>12</v>
      </c>
      <c r="AA19" s="13">
        <v>12</v>
      </c>
      <c r="AB19" s="13">
        <v>12</v>
      </c>
      <c r="AC19" s="13">
        <v>12</v>
      </c>
      <c r="AD19" s="13">
        <v>12</v>
      </c>
      <c r="AE19" s="89">
        <f t="shared" si="8"/>
        <v>15000000</v>
      </c>
      <c r="AF19" s="89">
        <f t="shared" si="8"/>
        <v>15000000</v>
      </c>
      <c r="AG19" s="89">
        <f t="shared" si="8"/>
        <v>14200000</v>
      </c>
      <c r="AH19" s="89">
        <f t="shared" si="8"/>
        <v>14200000</v>
      </c>
      <c r="AI19" s="89">
        <f t="shared" si="8"/>
        <v>0</v>
      </c>
      <c r="AJ19" s="91">
        <v>15000000</v>
      </c>
      <c r="AK19" s="91">
        <v>15000000</v>
      </c>
      <c r="AL19" s="91">
        <v>14200000</v>
      </c>
      <c r="AM19" s="91">
        <v>14200000</v>
      </c>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f t="shared" si="12"/>
        <v>15000000</v>
      </c>
      <c r="CI19" s="91">
        <v>15000000</v>
      </c>
      <c r="CJ19" s="104"/>
      <c r="CK19" s="91"/>
      <c r="CL19" s="91"/>
      <c r="CM19" s="102"/>
      <c r="CN19" s="91"/>
      <c r="CO19" s="91"/>
      <c r="CP19" s="91"/>
      <c r="CQ19" s="91"/>
      <c r="CR19" s="91"/>
      <c r="CS19" s="91">
        <f t="shared" si="9"/>
        <v>15000000</v>
      </c>
      <c r="CT19" s="91">
        <v>15000000</v>
      </c>
      <c r="CU19" s="91"/>
      <c r="CV19" s="91"/>
      <c r="CW19" s="91"/>
      <c r="CX19" s="91"/>
      <c r="CY19" s="91"/>
      <c r="CZ19" s="91"/>
      <c r="DA19" s="91"/>
      <c r="DB19" s="91"/>
      <c r="DC19" s="91"/>
      <c r="DD19" s="91">
        <f t="shared" si="10"/>
        <v>15000000</v>
      </c>
      <c r="DE19" s="91">
        <v>15000000</v>
      </c>
      <c r="DF19" s="91"/>
      <c r="DG19" s="91"/>
      <c r="DH19" s="91"/>
      <c r="DI19" s="91"/>
      <c r="DJ19" s="91"/>
      <c r="DK19" s="91"/>
      <c r="DL19" s="91"/>
      <c r="DM19" s="91"/>
      <c r="DN19" s="92"/>
      <c r="DO19" s="93">
        <f t="shared" si="11"/>
        <v>60000000</v>
      </c>
    </row>
    <row r="20" spans="1:119" s="225" customFormat="1" ht="74.25" customHeight="1" x14ac:dyDescent="0.2">
      <c r="A20" s="244">
        <v>1</v>
      </c>
      <c r="B20" s="253" t="s">
        <v>19</v>
      </c>
      <c r="C20" s="105" t="s">
        <v>453</v>
      </c>
      <c r="D20" s="59" t="s">
        <v>243</v>
      </c>
      <c r="E20" s="106">
        <v>99.679658302188997</v>
      </c>
      <c r="F20" s="14">
        <v>2018</v>
      </c>
      <c r="G20" s="59" t="s">
        <v>462</v>
      </c>
      <c r="H20" s="107">
        <v>99.68</v>
      </c>
      <c r="I20" s="13">
        <v>19</v>
      </c>
      <c r="J20" s="13" t="s">
        <v>1663</v>
      </c>
      <c r="K20" s="50">
        <v>2</v>
      </c>
      <c r="L20" s="13" t="s">
        <v>458</v>
      </c>
      <c r="M20" s="246">
        <v>11</v>
      </c>
      <c r="N20" s="244">
        <v>1903</v>
      </c>
      <c r="O20" s="245" t="s">
        <v>220</v>
      </c>
      <c r="P20" s="101" t="s">
        <v>469</v>
      </c>
      <c r="Q20" s="13">
        <v>1903011</v>
      </c>
      <c r="R20" s="13">
        <v>1903011</v>
      </c>
      <c r="S20" s="59" t="s">
        <v>231</v>
      </c>
      <c r="T20" s="101" t="s">
        <v>470</v>
      </c>
      <c r="U20" s="13">
        <v>190301100</v>
      </c>
      <c r="V20" s="13">
        <v>190301100</v>
      </c>
      <c r="W20" s="87" t="s">
        <v>471</v>
      </c>
      <c r="X20" s="88" t="s">
        <v>8</v>
      </c>
      <c r="Y20" s="13">
        <v>140</v>
      </c>
      <c r="Z20" s="13">
        <v>140</v>
      </c>
      <c r="AA20" s="13">
        <v>103</v>
      </c>
      <c r="AB20" s="13">
        <v>140</v>
      </c>
      <c r="AC20" s="13">
        <v>140</v>
      </c>
      <c r="AD20" s="13">
        <v>140</v>
      </c>
      <c r="AE20" s="89">
        <f t="shared" si="8"/>
        <v>65330077</v>
      </c>
      <c r="AF20" s="89">
        <f t="shared" si="8"/>
        <v>20000000</v>
      </c>
      <c r="AG20" s="89">
        <f t="shared" si="8"/>
        <v>0</v>
      </c>
      <c r="AH20" s="89">
        <f t="shared" si="8"/>
        <v>0</v>
      </c>
      <c r="AI20" s="89">
        <f t="shared" si="8"/>
        <v>0</v>
      </c>
      <c r="AJ20" s="91"/>
      <c r="AK20" s="91"/>
      <c r="AL20" s="91"/>
      <c r="AM20" s="91"/>
      <c r="AN20" s="91"/>
      <c r="AO20" s="91"/>
      <c r="AP20" s="91"/>
      <c r="AQ20" s="91"/>
      <c r="AR20" s="91"/>
      <c r="AS20" s="91"/>
      <c r="AT20" s="91"/>
      <c r="AU20" s="91"/>
      <c r="AV20" s="91"/>
      <c r="AW20" s="91"/>
      <c r="AX20" s="91"/>
      <c r="AY20" s="91">
        <v>65330077</v>
      </c>
      <c r="AZ20" s="91">
        <v>20000000</v>
      </c>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f t="shared" si="12"/>
        <v>20000000</v>
      </c>
      <c r="CI20" s="91"/>
      <c r="CJ20" s="91"/>
      <c r="CK20" s="91"/>
      <c r="CL20" s="91">
        <v>20000000</v>
      </c>
      <c r="CM20" s="102"/>
      <c r="CN20" s="91"/>
      <c r="CO20" s="91"/>
      <c r="CP20" s="91"/>
      <c r="CQ20" s="91"/>
      <c r="CR20" s="91"/>
      <c r="CS20" s="91">
        <f t="shared" si="9"/>
        <v>20000000</v>
      </c>
      <c r="CT20" s="91"/>
      <c r="CU20" s="91"/>
      <c r="CV20" s="91"/>
      <c r="CW20" s="91">
        <v>20000000</v>
      </c>
      <c r="CX20" s="91"/>
      <c r="CY20" s="91"/>
      <c r="CZ20" s="91"/>
      <c r="DA20" s="91"/>
      <c r="DB20" s="91"/>
      <c r="DC20" s="91"/>
      <c r="DD20" s="91">
        <f t="shared" si="10"/>
        <v>20000000</v>
      </c>
      <c r="DE20" s="91"/>
      <c r="DF20" s="91"/>
      <c r="DG20" s="91"/>
      <c r="DH20" s="91">
        <v>20000000</v>
      </c>
      <c r="DI20" s="91"/>
      <c r="DJ20" s="91"/>
      <c r="DK20" s="91"/>
      <c r="DL20" s="91"/>
      <c r="DM20" s="91"/>
      <c r="DN20" s="92"/>
      <c r="DO20" s="93">
        <f t="shared" si="11"/>
        <v>125330077</v>
      </c>
    </row>
    <row r="21" spans="1:119" s="225" customFormat="1" ht="78.75" customHeight="1" x14ac:dyDescent="0.2">
      <c r="A21" s="244">
        <v>1</v>
      </c>
      <c r="B21" s="253" t="s">
        <v>19</v>
      </c>
      <c r="C21" s="59" t="s">
        <v>453</v>
      </c>
      <c r="D21" s="59" t="s">
        <v>230</v>
      </c>
      <c r="E21" s="107">
        <v>13</v>
      </c>
      <c r="F21" s="103">
        <v>2018</v>
      </c>
      <c r="G21" s="108" t="s">
        <v>462</v>
      </c>
      <c r="H21" s="109">
        <v>13</v>
      </c>
      <c r="I21" s="13">
        <v>19</v>
      </c>
      <c r="J21" s="13" t="s">
        <v>1663</v>
      </c>
      <c r="K21" s="50">
        <v>2</v>
      </c>
      <c r="L21" s="13" t="s">
        <v>458</v>
      </c>
      <c r="M21" s="246">
        <v>11</v>
      </c>
      <c r="N21" s="244">
        <v>1903</v>
      </c>
      <c r="O21" s="245" t="s">
        <v>220</v>
      </c>
      <c r="P21" s="101" t="s">
        <v>469</v>
      </c>
      <c r="Q21" s="13">
        <v>1903011</v>
      </c>
      <c r="R21" s="13">
        <v>1903011</v>
      </c>
      <c r="S21" s="59" t="s">
        <v>231</v>
      </c>
      <c r="T21" s="101" t="s">
        <v>472</v>
      </c>
      <c r="U21" s="13">
        <v>190301101</v>
      </c>
      <c r="V21" s="13">
        <v>190301101</v>
      </c>
      <c r="W21" s="87" t="s">
        <v>473</v>
      </c>
      <c r="X21" s="88" t="s">
        <v>8</v>
      </c>
      <c r="Y21" s="13">
        <v>12</v>
      </c>
      <c r="Z21" s="13">
        <v>12</v>
      </c>
      <c r="AA21" s="13">
        <v>10</v>
      </c>
      <c r="AB21" s="13">
        <v>12</v>
      </c>
      <c r="AC21" s="13">
        <v>12</v>
      </c>
      <c r="AD21" s="13">
        <v>12</v>
      </c>
      <c r="AE21" s="89">
        <f t="shared" si="8"/>
        <v>69669923</v>
      </c>
      <c r="AF21" s="89">
        <f t="shared" si="8"/>
        <v>115000000</v>
      </c>
      <c r="AG21" s="89">
        <f t="shared" si="8"/>
        <v>114800000</v>
      </c>
      <c r="AH21" s="89">
        <f t="shared" si="8"/>
        <v>114800000</v>
      </c>
      <c r="AI21" s="89">
        <f t="shared" si="8"/>
        <v>0</v>
      </c>
      <c r="AJ21" s="91">
        <f>7500000+7500000</f>
        <v>15000000</v>
      </c>
      <c r="AK21" s="91">
        <v>15000000</v>
      </c>
      <c r="AL21" s="91">
        <v>14800000</v>
      </c>
      <c r="AM21" s="91">
        <v>14800000</v>
      </c>
      <c r="AN21" s="91"/>
      <c r="AO21" s="91"/>
      <c r="AP21" s="91"/>
      <c r="AQ21" s="91"/>
      <c r="AR21" s="91"/>
      <c r="AS21" s="91"/>
      <c r="AT21" s="91"/>
      <c r="AU21" s="91"/>
      <c r="AV21" s="91"/>
      <c r="AW21" s="91"/>
      <c r="AX21" s="91"/>
      <c r="AY21" s="91">
        <v>54669923</v>
      </c>
      <c r="AZ21" s="91">
        <v>100000000</v>
      </c>
      <c r="BA21" s="91">
        <v>100000000</v>
      </c>
      <c r="BB21" s="91">
        <v>100000000</v>
      </c>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f t="shared" si="12"/>
        <v>115000000</v>
      </c>
      <c r="CI21" s="91">
        <v>15000000</v>
      </c>
      <c r="CJ21" s="91"/>
      <c r="CK21" s="91"/>
      <c r="CL21" s="91">
        <v>100000000</v>
      </c>
      <c r="CM21" s="102"/>
      <c r="CN21" s="91"/>
      <c r="CO21" s="91"/>
      <c r="CP21" s="91"/>
      <c r="CQ21" s="91"/>
      <c r="CR21" s="91"/>
      <c r="CS21" s="91">
        <f t="shared" si="9"/>
        <v>115000000</v>
      </c>
      <c r="CT21" s="91">
        <v>15000000</v>
      </c>
      <c r="CU21" s="91"/>
      <c r="CV21" s="91"/>
      <c r="CW21" s="91">
        <v>100000000</v>
      </c>
      <c r="CX21" s="91"/>
      <c r="CY21" s="91"/>
      <c r="CZ21" s="91"/>
      <c r="DA21" s="91"/>
      <c r="DB21" s="91"/>
      <c r="DC21" s="91"/>
      <c r="DD21" s="91">
        <f t="shared" si="10"/>
        <v>115000000</v>
      </c>
      <c r="DE21" s="91">
        <v>15000000</v>
      </c>
      <c r="DF21" s="91"/>
      <c r="DG21" s="91"/>
      <c r="DH21" s="91">
        <v>100000000</v>
      </c>
      <c r="DI21" s="91"/>
      <c r="DJ21" s="91"/>
      <c r="DK21" s="91"/>
      <c r="DL21" s="91"/>
      <c r="DM21" s="91"/>
      <c r="DN21" s="92"/>
      <c r="DO21" s="93">
        <f t="shared" si="11"/>
        <v>414669923</v>
      </c>
    </row>
    <row r="22" spans="1:119" s="225" customFormat="1" ht="89.25" customHeight="1" x14ac:dyDescent="0.2">
      <c r="A22" s="244">
        <v>1</v>
      </c>
      <c r="B22" s="253" t="s">
        <v>19</v>
      </c>
      <c r="C22" s="59" t="s">
        <v>453</v>
      </c>
      <c r="D22" s="59" t="s">
        <v>1725</v>
      </c>
      <c r="E22" s="55" t="s">
        <v>474</v>
      </c>
      <c r="F22" s="14" t="s">
        <v>475</v>
      </c>
      <c r="G22" s="59" t="s">
        <v>476</v>
      </c>
      <c r="H22" s="55" t="s">
        <v>477</v>
      </c>
      <c r="I22" s="13">
        <v>19</v>
      </c>
      <c r="J22" s="13" t="s">
        <v>1663</v>
      </c>
      <c r="K22" s="50">
        <v>2</v>
      </c>
      <c r="L22" s="13" t="s">
        <v>458</v>
      </c>
      <c r="M22" s="246">
        <v>11</v>
      </c>
      <c r="N22" s="244">
        <v>1903</v>
      </c>
      <c r="O22" s="245" t="s">
        <v>220</v>
      </c>
      <c r="P22" s="101" t="s">
        <v>478</v>
      </c>
      <c r="Q22" s="13">
        <v>1903012</v>
      </c>
      <c r="R22" s="13">
        <v>1903012</v>
      </c>
      <c r="S22" s="59" t="s">
        <v>235</v>
      </c>
      <c r="T22" s="101" t="s">
        <v>479</v>
      </c>
      <c r="U22" s="13">
        <v>190301200</v>
      </c>
      <c r="V22" s="13">
        <v>190301200</v>
      </c>
      <c r="W22" s="87" t="s">
        <v>480</v>
      </c>
      <c r="X22" s="88" t="s">
        <v>8</v>
      </c>
      <c r="Y22" s="13">
        <v>4000</v>
      </c>
      <c r="Z22" s="13">
        <v>4000</v>
      </c>
      <c r="AA22" s="13">
        <v>16981</v>
      </c>
      <c r="AB22" s="13">
        <v>4000</v>
      </c>
      <c r="AC22" s="13">
        <v>4000</v>
      </c>
      <c r="AD22" s="13">
        <v>4000</v>
      </c>
      <c r="AE22" s="89">
        <f t="shared" si="8"/>
        <v>898701477</v>
      </c>
      <c r="AF22" s="89">
        <f t="shared" si="8"/>
        <v>867863385</v>
      </c>
      <c r="AG22" s="89">
        <f t="shared" si="8"/>
        <v>566588188</v>
      </c>
      <c r="AH22" s="89">
        <f t="shared" si="8"/>
        <v>533509896</v>
      </c>
      <c r="AI22" s="89">
        <f t="shared" si="8"/>
        <v>0</v>
      </c>
      <c r="AJ22" s="91"/>
      <c r="AK22" s="91"/>
      <c r="AL22" s="91"/>
      <c r="AM22" s="91"/>
      <c r="AN22" s="91"/>
      <c r="AO22" s="91"/>
      <c r="AP22" s="91"/>
      <c r="AQ22" s="91"/>
      <c r="AR22" s="91"/>
      <c r="AS22" s="91"/>
      <c r="AT22" s="91"/>
      <c r="AU22" s="91"/>
      <c r="AV22" s="91"/>
      <c r="AW22" s="91"/>
      <c r="AX22" s="91"/>
      <c r="AY22" s="91">
        <v>803501477</v>
      </c>
      <c r="AZ22" s="91">
        <v>772663385</v>
      </c>
      <c r="BA22" s="91">
        <v>494923240</v>
      </c>
      <c r="BB22" s="91">
        <v>494923240</v>
      </c>
      <c r="BC22" s="91"/>
      <c r="BD22" s="91"/>
      <c r="BE22" s="91"/>
      <c r="BF22" s="91"/>
      <c r="BG22" s="91"/>
      <c r="BH22" s="91"/>
      <c r="BI22" s="91"/>
      <c r="BJ22" s="91"/>
      <c r="BK22" s="91"/>
      <c r="BL22" s="91"/>
      <c r="BM22" s="91"/>
      <c r="BN22" s="91"/>
      <c r="BO22" s="91"/>
      <c r="BP22" s="91"/>
      <c r="BQ22" s="91"/>
      <c r="BR22" s="91"/>
      <c r="BS22" s="91"/>
      <c r="BT22" s="91">
        <v>95200000</v>
      </c>
      <c r="BU22" s="91">
        <v>71664948</v>
      </c>
      <c r="BV22" s="91">
        <v>38586656</v>
      </c>
      <c r="BW22" s="91"/>
      <c r="BX22" s="91"/>
      <c r="BY22" s="91"/>
      <c r="BZ22" s="91"/>
      <c r="CA22" s="91"/>
      <c r="CB22" s="91"/>
      <c r="CC22" s="91">
        <v>95200000</v>
      </c>
      <c r="CD22" s="91"/>
      <c r="CE22" s="91"/>
      <c r="CF22" s="91"/>
      <c r="CG22" s="91"/>
      <c r="CH22" s="91">
        <f t="shared" si="12"/>
        <v>670000000</v>
      </c>
      <c r="CI22" s="91"/>
      <c r="CJ22" s="91"/>
      <c r="CK22" s="91"/>
      <c r="CL22" s="91">
        <v>670000000</v>
      </c>
      <c r="CM22" s="102"/>
      <c r="CN22" s="91"/>
      <c r="CO22" s="91"/>
      <c r="CP22" s="91"/>
      <c r="CQ22" s="91"/>
      <c r="CR22" s="91"/>
      <c r="CS22" s="91">
        <f t="shared" si="9"/>
        <v>670000000</v>
      </c>
      <c r="CT22" s="91"/>
      <c r="CU22" s="91"/>
      <c r="CV22" s="91"/>
      <c r="CW22" s="91">
        <v>670000000</v>
      </c>
      <c r="CX22" s="91"/>
      <c r="CY22" s="91"/>
      <c r="CZ22" s="91"/>
      <c r="DA22" s="91"/>
      <c r="DB22" s="91"/>
      <c r="DC22" s="91"/>
      <c r="DD22" s="91">
        <f t="shared" si="10"/>
        <v>670000000</v>
      </c>
      <c r="DE22" s="91"/>
      <c r="DF22" s="91"/>
      <c r="DG22" s="91"/>
      <c r="DH22" s="91">
        <v>670000000</v>
      </c>
      <c r="DI22" s="91"/>
      <c r="DJ22" s="91"/>
      <c r="DK22" s="91"/>
      <c r="DL22" s="91"/>
      <c r="DM22" s="91"/>
      <c r="DN22" s="92"/>
      <c r="DO22" s="93">
        <f t="shared" si="11"/>
        <v>2908701477</v>
      </c>
    </row>
    <row r="23" spans="1:119" s="225" customFormat="1" ht="63" customHeight="1" x14ac:dyDescent="0.2">
      <c r="A23" s="244">
        <v>1</v>
      </c>
      <c r="B23" s="253" t="s">
        <v>19</v>
      </c>
      <c r="C23" s="59" t="s">
        <v>453</v>
      </c>
      <c r="D23" s="59" t="s">
        <v>233</v>
      </c>
      <c r="E23" s="55">
        <v>81.5</v>
      </c>
      <c r="F23" s="14">
        <v>2018</v>
      </c>
      <c r="G23" s="59" t="s">
        <v>481</v>
      </c>
      <c r="H23" s="55">
        <v>71.12</v>
      </c>
      <c r="I23" s="13">
        <v>19</v>
      </c>
      <c r="J23" s="13" t="s">
        <v>1663</v>
      </c>
      <c r="K23" s="50">
        <v>2</v>
      </c>
      <c r="L23" s="13" t="s">
        <v>458</v>
      </c>
      <c r="M23" s="246">
        <v>11</v>
      </c>
      <c r="N23" s="244">
        <v>1903</v>
      </c>
      <c r="O23" s="245" t="s">
        <v>220</v>
      </c>
      <c r="P23" s="101" t="s">
        <v>482</v>
      </c>
      <c r="Q23" s="13">
        <v>1903015</v>
      </c>
      <c r="R23" s="13">
        <v>1903015</v>
      </c>
      <c r="S23" s="59" t="s">
        <v>234</v>
      </c>
      <c r="T23" s="101" t="s">
        <v>483</v>
      </c>
      <c r="U23" s="13">
        <v>190301500</v>
      </c>
      <c r="V23" s="13">
        <v>190301500</v>
      </c>
      <c r="W23" s="87" t="s">
        <v>484</v>
      </c>
      <c r="X23" s="88" t="s">
        <v>8</v>
      </c>
      <c r="Y23" s="13">
        <v>12</v>
      </c>
      <c r="Z23" s="13">
        <v>12</v>
      </c>
      <c r="AA23" s="13">
        <v>12</v>
      </c>
      <c r="AB23" s="13">
        <v>12</v>
      </c>
      <c r="AC23" s="13">
        <v>12</v>
      </c>
      <c r="AD23" s="13">
        <v>12</v>
      </c>
      <c r="AE23" s="89">
        <f t="shared" si="8"/>
        <v>236000000</v>
      </c>
      <c r="AF23" s="89">
        <f t="shared" si="8"/>
        <v>234000000</v>
      </c>
      <c r="AG23" s="89">
        <f t="shared" si="8"/>
        <v>150406659</v>
      </c>
      <c r="AH23" s="89">
        <f t="shared" si="8"/>
        <v>150406659</v>
      </c>
      <c r="AI23" s="89">
        <f t="shared" si="8"/>
        <v>0</v>
      </c>
      <c r="AJ23" s="91"/>
      <c r="AK23" s="91"/>
      <c r="AL23" s="91"/>
      <c r="AM23" s="91"/>
      <c r="AN23" s="91"/>
      <c r="AO23" s="91"/>
      <c r="AP23" s="91"/>
      <c r="AQ23" s="91"/>
      <c r="AR23" s="91"/>
      <c r="AS23" s="91"/>
      <c r="AT23" s="91"/>
      <c r="AU23" s="91"/>
      <c r="AV23" s="91"/>
      <c r="AW23" s="91"/>
      <c r="AX23" s="91"/>
      <c r="AY23" s="91">
        <v>236000000</v>
      </c>
      <c r="AZ23" s="91">
        <v>234000000</v>
      </c>
      <c r="BA23" s="91">
        <v>150406659</v>
      </c>
      <c r="BB23" s="91">
        <v>150406659</v>
      </c>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f t="shared" si="12"/>
        <v>224530000</v>
      </c>
      <c r="CI23" s="91"/>
      <c r="CJ23" s="91"/>
      <c r="CK23" s="91"/>
      <c r="CL23" s="91">
        <v>224530000</v>
      </c>
      <c r="CM23" s="102"/>
      <c r="CN23" s="91"/>
      <c r="CO23" s="91"/>
      <c r="CP23" s="91"/>
      <c r="CQ23" s="91"/>
      <c r="CR23" s="91"/>
      <c r="CS23" s="91">
        <f t="shared" si="9"/>
        <v>224530000</v>
      </c>
      <c r="CT23" s="91"/>
      <c r="CU23" s="91"/>
      <c r="CV23" s="91"/>
      <c r="CW23" s="91">
        <v>224530000</v>
      </c>
      <c r="CX23" s="91"/>
      <c r="CY23" s="91"/>
      <c r="CZ23" s="91"/>
      <c r="DA23" s="91"/>
      <c r="DB23" s="91"/>
      <c r="DC23" s="91"/>
      <c r="DD23" s="91">
        <f t="shared" si="10"/>
        <v>224530000</v>
      </c>
      <c r="DE23" s="91"/>
      <c r="DF23" s="91"/>
      <c r="DG23" s="91"/>
      <c r="DH23" s="91">
        <v>224530000</v>
      </c>
      <c r="DI23" s="91"/>
      <c r="DJ23" s="91"/>
      <c r="DK23" s="91"/>
      <c r="DL23" s="91"/>
      <c r="DM23" s="91"/>
      <c r="DN23" s="92"/>
      <c r="DO23" s="93">
        <f t="shared" si="11"/>
        <v>909590000</v>
      </c>
    </row>
    <row r="24" spans="1:119" s="225" customFormat="1" ht="63" customHeight="1" x14ac:dyDescent="0.2">
      <c r="A24" s="244">
        <v>1</v>
      </c>
      <c r="B24" s="253" t="s">
        <v>19</v>
      </c>
      <c r="C24" s="59" t="s">
        <v>453</v>
      </c>
      <c r="D24" s="59" t="s">
        <v>236</v>
      </c>
      <c r="E24" s="106">
        <v>8.11</v>
      </c>
      <c r="F24" s="103">
        <v>2018</v>
      </c>
      <c r="G24" s="110" t="s">
        <v>462</v>
      </c>
      <c r="H24" s="55">
        <v>6.5</v>
      </c>
      <c r="I24" s="13">
        <v>19</v>
      </c>
      <c r="J24" s="13" t="s">
        <v>1663</v>
      </c>
      <c r="K24" s="50">
        <v>2</v>
      </c>
      <c r="L24" s="13" t="s">
        <v>458</v>
      </c>
      <c r="M24" s="246">
        <v>11</v>
      </c>
      <c r="N24" s="244">
        <v>1903</v>
      </c>
      <c r="O24" s="245" t="s">
        <v>220</v>
      </c>
      <c r="P24" s="101" t="s">
        <v>485</v>
      </c>
      <c r="Q24" s="13">
        <v>1903016</v>
      </c>
      <c r="R24" s="13">
        <v>1903016</v>
      </c>
      <c r="S24" s="59" t="s">
        <v>237</v>
      </c>
      <c r="T24" s="101" t="s">
        <v>486</v>
      </c>
      <c r="U24" s="13">
        <v>190301600</v>
      </c>
      <c r="V24" s="13">
        <v>190301600</v>
      </c>
      <c r="W24" s="87" t="s">
        <v>487</v>
      </c>
      <c r="X24" s="88" t="s">
        <v>8</v>
      </c>
      <c r="Y24" s="13">
        <v>240</v>
      </c>
      <c r="Z24" s="13">
        <v>240</v>
      </c>
      <c r="AA24" s="13">
        <v>120</v>
      </c>
      <c r="AB24" s="13">
        <v>240</v>
      </c>
      <c r="AC24" s="13">
        <v>240</v>
      </c>
      <c r="AD24" s="13">
        <v>240</v>
      </c>
      <c r="AE24" s="89">
        <f t="shared" si="8"/>
        <v>100000000</v>
      </c>
      <c r="AF24" s="89">
        <f t="shared" si="8"/>
        <v>111348333</v>
      </c>
      <c r="AG24" s="89">
        <f t="shared" si="8"/>
        <v>39957933</v>
      </c>
      <c r="AH24" s="89">
        <f t="shared" si="8"/>
        <v>39957933</v>
      </c>
      <c r="AI24" s="89">
        <f t="shared" si="8"/>
        <v>0</v>
      </c>
      <c r="AJ24" s="91"/>
      <c r="AK24" s="91"/>
      <c r="AL24" s="91"/>
      <c r="AM24" s="91"/>
      <c r="AN24" s="91"/>
      <c r="AO24" s="91"/>
      <c r="AP24" s="91"/>
      <c r="AQ24" s="91"/>
      <c r="AR24" s="91"/>
      <c r="AS24" s="91"/>
      <c r="AT24" s="91"/>
      <c r="AU24" s="91"/>
      <c r="AV24" s="91"/>
      <c r="AW24" s="91"/>
      <c r="AX24" s="91"/>
      <c r="AY24" s="91">
        <v>100000000</v>
      </c>
      <c r="AZ24" s="91">
        <v>111348333</v>
      </c>
      <c r="BA24" s="91">
        <v>39957933</v>
      </c>
      <c r="BB24" s="91">
        <v>39957933</v>
      </c>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f t="shared" si="12"/>
        <v>100000000</v>
      </c>
      <c r="CI24" s="91"/>
      <c r="CJ24" s="91"/>
      <c r="CK24" s="91"/>
      <c r="CL24" s="91">
        <v>100000000</v>
      </c>
      <c r="CM24" s="102"/>
      <c r="CN24" s="91"/>
      <c r="CO24" s="91"/>
      <c r="CP24" s="91"/>
      <c r="CQ24" s="91"/>
      <c r="CR24" s="91"/>
      <c r="CS24" s="91">
        <f t="shared" si="9"/>
        <v>100000000</v>
      </c>
      <c r="CT24" s="91"/>
      <c r="CU24" s="91"/>
      <c r="CV24" s="91"/>
      <c r="CW24" s="91">
        <v>100000000</v>
      </c>
      <c r="CX24" s="91"/>
      <c r="CY24" s="91"/>
      <c r="CZ24" s="91"/>
      <c r="DA24" s="91"/>
      <c r="DB24" s="91"/>
      <c r="DC24" s="91"/>
      <c r="DD24" s="91">
        <f t="shared" si="10"/>
        <v>100000000</v>
      </c>
      <c r="DE24" s="91"/>
      <c r="DF24" s="91"/>
      <c r="DG24" s="91"/>
      <c r="DH24" s="91">
        <v>100000000</v>
      </c>
      <c r="DI24" s="91"/>
      <c r="DJ24" s="91"/>
      <c r="DK24" s="91"/>
      <c r="DL24" s="91"/>
      <c r="DM24" s="91"/>
      <c r="DN24" s="92"/>
      <c r="DO24" s="93">
        <f t="shared" si="11"/>
        <v>400000000</v>
      </c>
    </row>
    <row r="25" spans="1:119" s="225" customFormat="1" ht="126" customHeight="1" x14ac:dyDescent="0.2">
      <c r="A25" s="244">
        <v>1</v>
      </c>
      <c r="B25" s="253" t="s">
        <v>19</v>
      </c>
      <c r="C25" s="59" t="s">
        <v>453</v>
      </c>
      <c r="D25" s="59" t="s">
        <v>246</v>
      </c>
      <c r="E25" s="55">
        <v>93.18</v>
      </c>
      <c r="F25" s="103">
        <v>2018</v>
      </c>
      <c r="G25" s="59" t="s">
        <v>462</v>
      </c>
      <c r="H25" s="111">
        <v>95</v>
      </c>
      <c r="I25" s="13">
        <v>19</v>
      </c>
      <c r="J25" s="13" t="s">
        <v>1663</v>
      </c>
      <c r="K25" s="50">
        <v>2</v>
      </c>
      <c r="L25" s="13" t="s">
        <v>458</v>
      </c>
      <c r="M25" s="246">
        <v>11</v>
      </c>
      <c r="N25" s="244">
        <v>1903</v>
      </c>
      <c r="O25" s="245" t="s">
        <v>220</v>
      </c>
      <c r="P25" s="112" t="s">
        <v>488</v>
      </c>
      <c r="Q25" s="13">
        <v>1903019</v>
      </c>
      <c r="R25" s="13">
        <v>1903019</v>
      </c>
      <c r="S25" s="59" t="s">
        <v>247</v>
      </c>
      <c r="T25" s="101" t="s">
        <v>489</v>
      </c>
      <c r="U25" s="13">
        <v>190301900</v>
      </c>
      <c r="V25" s="13">
        <v>190301900</v>
      </c>
      <c r="W25" s="87" t="s">
        <v>490</v>
      </c>
      <c r="X25" s="88" t="s">
        <v>8</v>
      </c>
      <c r="Y25" s="13">
        <v>75</v>
      </c>
      <c r="Z25" s="13">
        <v>75</v>
      </c>
      <c r="AA25" s="13">
        <v>60</v>
      </c>
      <c r="AB25" s="13">
        <v>75</v>
      </c>
      <c r="AC25" s="13">
        <v>75</v>
      </c>
      <c r="AD25" s="13">
        <v>75</v>
      </c>
      <c r="AE25" s="89">
        <f t="shared" si="8"/>
        <v>90000000</v>
      </c>
      <c r="AF25" s="89">
        <f t="shared" si="8"/>
        <v>11200000</v>
      </c>
      <c r="AG25" s="89">
        <f t="shared" si="8"/>
        <v>0</v>
      </c>
      <c r="AH25" s="89">
        <f t="shared" si="8"/>
        <v>0</v>
      </c>
      <c r="AI25" s="89">
        <f t="shared" si="8"/>
        <v>0</v>
      </c>
      <c r="AJ25" s="91"/>
      <c r="AK25" s="91"/>
      <c r="AL25" s="91"/>
      <c r="AM25" s="91"/>
      <c r="AN25" s="91"/>
      <c r="AO25" s="91">
        <v>90000000</v>
      </c>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v>11200000</v>
      </c>
      <c r="BU25" s="91"/>
      <c r="BV25" s="91"/>
      <c r="BW25" s="91"/>
      <c r="BX25" s="91"/>
      <c r="BY25" s="91"/>
      <c r="BZ25" s="91"/>
      <c r="CA25" s="91"/>
      <c r="CB25" s="91"/>
      <c r="CC25" s="91"/>
      <c r="CD25" s="91"/>
      <c r="CE25" s="91"/>
      <c r="CF25" s="91"/>
      <c r="CG25" s="91"/>
      <c r="CH25" s="91">
        <f t="shared" si="12"/>
        <v>90000000</v>
      </c>
      <c r="CI25" s="91"/>
      <c r="CJ25" s="91">
        <v>90000000</v>
      </c>
      <c r="CK25" s="91"/>
      <c r="CL25" s="91"/>
      <c r="CM25" s="102"/>
      <c r="CN25" s="91"/>
      <c r="CO25" s="91"/>
      <c r="CP25" s="91"/>
      <c r="CQ25" s="91"/>
      <c r="CR25" s="91"/>
      <c r="CS25" s="91">
        <f t="shared" si="9"/>
        <v>90000000</v>
      </c>
      <c r="CT25" s="91"/>
      <c r="CU25" s="91">
        <v>90000000</v>
      </c>
      <c r="CV25" s="91"/>
      <c r="CW25" s="91"/>
      <c r="CX25" s="91"/>
      <c r="CY25" s="91"/>
      <c r="CZ25" s="91"/>
      <c r="DA25" s="91"/>
      <c r="DB25" s="91"/>
      <c r="DC25" s="91"/>
      <c r="DD25" s="91">
        <f t="shared" si="10"/>
        <v>90000000</v>
      </c>
      <c r="DE25" s="91"/>
      <c r="DF25" s="91">
        <v>90000000</v>
      </c>
      <c r="DG25" s="91"/>
      <c r="DH25" s="91"/>
      <c r="DI25" s="91"/>
      <c r="DJ25" s="91"/>
      <c r="DK25" s="91"/>
      <c r="DL25" s="91"/>
      <c r="DM25" s="91"/>
      <c r="DN25" s="92"/>
      <c r="DO25" s="93">
        <f t="shared" si="11"/>
        <v>360000000</v>
      </c>
    </row>
    <row r="26" spans="1:119" s="225" customFormat="1" ht="94.5" customHeight="1" x14ac:dyDescent="0.2">
      <c r="A26" s="244">
        <v>1</v>
      </c>
      <c r="B26" s="253" t="s">
        <v>19</v>
      </c>
      <c r="C26" s="59" t="s">
        <v>453</v>
      </c>
      <c r="D26" s="59" t="s">
        <v>223</v>
      </c>
      <c r="E26" s="55">
        <v>1.5</v>
      </c>
      <c r="F26" s="103">
        <v>2018</v>
      </c>
      <c r="G26" s="59" t="s">
        <v>491</v>
      </c>
      <c r="H26" s="55">
        <v>1</v>
      </c>
      <c r="I26" s="13">
        <v>19</v>
      </c>
      <c r="J26" s="13" t="s">
        <v>1663</v>
      </c>
      <c r="K26" s="50">
        <v>2</v>
      </c>
      <c r="L26" s="13" t="s">
        <v>458</v>
      </c>
      <c r="M26" s="246">
        <v>11</v>
      </c>
      <c r="N26" s="244">
        <v>1903</v>
      </c>
      <c r="O26" s="245" t="s">
        <v>220</v>
      </c>
      <c r="P26" s="112" t="s">
        <v>492</v>
      </c>
      <c r="Q26" s="13">
        <v>1903023</v>
      </c>
      <c r="R26" s="13">
        <v>1903023</v>
      </c>
      <c r="S26" s="59" t="s">
        <v>224</v>
      </c>
      <c r="T26" s="101" t="s">
        <v>493</v>
      </c>
      <c r="U26" s="13">
        <v>190302300</v>
      </c>
      <c r="V26" s="13">
        <v>190302300</v>
      </c>
      <c r="W26" s="87" t="s">
        <v>494</v>
      </c>
      <c r="X26" s="88" t="s">
        <v>8</v>
      </c>
      <c r="Y26" s="13">
        <v>12</v>
      </c>
      <c r="Z26" s="13">
        <v>12</v>
      </c>
      <c r="AA26" s="13">
        <v>3</v>
      </c>
      <c r="AB26" s="13">
        <v>12</v>
      </c>
      <c r="AC26" s="13">
        <v>12</v>
      </c>
      <c r="AD26" s="13">
        <v>12</v>
      </c>
      <c r="AE26" s="89">
        <f t="shared" si="8"/>
        <v>81828216.859999999</v>
      </c>
      <c r="AF26" s="89">
        <f t="shared" si="8"/>
        <v>11200000</v>
      </c>
      <c r="AG26" s="89">
        <f t="shared" si="8"/>
        <v>6016667</v>
      </c>
      <c r="AH26" s="89">
        <f t="shared" si="8"/>
        <v>6016667</v>
      </c>
      <c r="AI26" s="89">
        <f t="shared" si="8"/>
        <v>0</v>
      </c>
      <c r="AJ26" s="91"/>
      <c r="AK26" s="91"/>
      <c r="AL26" s="91"/>
      <c r="AM26" s="91"/>
      <c r="AN26" s="91"/>
      <c r="AO26" s="91">
        <v>81828216.859999999</v>
      </c>
      <c r="AP26" s="91"/>
      <c r="AQ26" s="91"/>
      <c r="AR26" s="91"/>
      <c r="AS26" s="91"/>
      <c r="AT26" s="91"/>
      <c r="AU26" s="91"/>
      <c r="AV26" s="91"/>
      <c r="AW26" s="91"/>
      <c r="AX26" s="91"/>
      <c r="AY26" s="91"/>
      <c r="AZ26" s="91">
        <v>11200000</v>
      </c>
      <c r="BA26" s="91">
        <v>6016667</v>
      </c>
      <c r="BB26" s="91">
        <v>6016667</v>
      </c>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f t="shared" si="12"/>
        <v>30000000</v>
      </c>
      <c r="CI26" s="91"/>
      <c r="CJ26" s="91"/>
      <c r="CK26" s="91"/>
      <c r="CL26" s="91">
        <v>30000000</v>
      </c>
      <c r="CM26" s="102"/>
      <c r="CN26" s="91"/>
      <c r="CO26" s="91"/>
      <c r="CP26" s="91"/>
      <c r="CQ26" s="91"/>
      <c r="CR26" s="91"/>
      <c r="CS26" s="91">
        <f t="shared" si="9"/>
        <v>63386526</v>
      </c>
      <c r="CT26" s="91"/>
      <c r="CU26" s="91"/>
      <c r="CV26" s="91"/>
      <c r="CW26" s="91">
        <v>63386526</v>
      </c>
      <c r="CX26" s="91"/>
      <c r="CY26" s="91"/>
      <c r="CZ26" s="91"/>
      <c r="DA26" s="91"/>
      <c r="DB26" s="91"/>
      <c r="DC26" s="91"/>
      <c r="DD26" s="91">
        <f t="shared" si="10"/>
        <v>30000000</v>
      </c>
      <c r="DE26" s="91"/>
      <c r="DF26" s="91"/>
      <c r="DG26" s="91"/>
      <c r="DH26" s="91">
        <v>30000000</v>
      </c>
      <c r="DI26" s="91"/>
      <c r="DJ26" s="91"/>
      <c r="DK26" s="91"/>
      <c r="DL26" s="91"/>
      <c r="DM26" s="91"/>
      <c r="DN26" s="92"/>
      <c r="DO26" s="93">
        <f t="shared" si="11"/>
        <v>205214742.86000001</v>
      </c>
    </row>
    <row r="27" spans="1:119" s="225" customFormat="1" ht="126" customHeight="1" x14ac:dyDescent="0.2">
      <c r="A27" s="244">
        <v>1</v>
      </c>
      <c r="B27" s="253" t="s">
        <v>19</v>
      </c>
      <c r="C27" s="59" t="s">
        <v>453</v>
      </c>
      <c r="D27" s="59" t="s">
        <v>233</v>
      </c>
      <c r="E27" s="55">
        <v>81.5</v>
      </c>
      <c r="F27" s="14">
        <v>2018</v>
      </c>
      <c r="G27" s="59" t="s">
        <v>481</v>
      </c>
      <c r="H27" s="55">
        <v>71.12</v>
      </c>
      <c r="I27" s="13">
        <v>19</v>
      </c>
      <c r="J27" s="13" t="s">
        <v>1663</v>
      </c>
      <c r="K27" s="50">
        <v>2</v>
      </c>
      <c r="L27" s="13" t="s">
        <v>458</v>
      </c>
      <c r="M27" s="246">
        <v>11</v>
      </c>
      <c r="N27" s="244">
        <v>1903</v>
      </c>
      <c r="O27" s="245" t="s">
        <v>220</v>
      </c>
      <c r="P27" s="112" t="s">
        <v>495</v>
      </c>
      <c r="Q27" s="13">
        <v>1903025</v>
      </c>
      <c r="R27" s="13">
        <v>1903025</v>
      </c>
      <c r="S27" s="59" t="s">
        <v>250</v>
      </c>
      <c r="T27" s="112" t="s">
        <v>496</v>
      </c>
      <c r="U27" s="13">
        <v>190302500</v>
      </c>
      <c r="V27" s="13">
        <v>190302500</v>
      </c>
      <c r="W27" s="87" t="s">
        <v>497</v>
      </c>
      <c r="X27" s="88" t="s">
        <v>8</v>
      </c>
      <c r="Y27" s="13">
        <v>12</v>
      </c>
      <c r="Z27" s="13">
        <v>12</v>
      </c>
      <c r="AA27" s="13">
        <v>12</v>
      </c>
      <c r="AB27" s="13">
        <v>12</v>
      </c>
      <c r="AC27" s="13">
        <v>12</v>
      </c>
      <c r="AD27" s="13">
        <v>12</v>
      </c>
      <c r="AE27" s="89">
        <f t="shared" si="8"/>
        <v>20000000</v>
      </c>
      <c r="AF27" s="89">
        <f t="shared" si="8"/>
        <v>104800000</v>
      </c>
      <c r="AG27" s="89">
        <f t="shared" si="8"/>
        <v>33715333</v>
      </c>
      <c r="AH27" s="89">
        <f t="shared" si="8"/>
        <v>33715333</v>
      </c>
      <c r="AI27" s="89">
        <f t="shared" si="8"/>
        <v>0</v>
      </c>
      <c r="AJ27" s="91"/>
      <c r="AK27" s="91"/>
      <c r="AL27" s="91"/>
      <c r="AM27" s="91"/>
      <c r="AN27" s="91"/>
      <c r="AO27" s="91">
        <v>20000000</v>
      </c>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v>104800000</v>
      </c>
      <c r="BU27" s="91">
        <v>33715333</v>
      </c>
      <c r="BV27" s="91">
        <v>33715333</v>
      </c>
      <c r="BW27" s="91"/>
      <c r="BX27" s="91"/>
      <c r="BY27" s="91"/>
      <c r="BZ27" s="91"/>
      <c r="CA27" s="91"/>
      <c r="CB27" s="91"/>
      <c r="CC27" s="91"/>
      <c r="CD27" s="91"/>
      <c r="CE27" s="91"/>
      <c r="CF27" s="91"/>
      <c r="CG27" s="91"/>
      <c r="CH27" s="91">
        <f t="shared" si="12"/>
        <v>24500000</v>
      </c>
      <c r="CI27" s="91"/>
      <c r="CJ27" s="91">
        <v>24500000</v>
      </c>
      <c r="CK27" s="91"/>
      <c r="CL27" s="91"/>
      <c r="CM27" s="102"/>
      <c r="CN27" s="91"/>
      <c r="CO27" s="91"/>
      <c r="CP27" s="91"/>
      <c r="CQ27" s="91"/>
      <c r="CR27" s="91"/>
      <c r="CS27" s="91">
        <f t="shared" si="9"/>
        <v>29135000</v>
      </c>
      <c r="CT27" s="91"/>
      <c r="CU27" s="91">
        <v>29135000</v>
      </c>
      <c r="CV27" s="91"/>
      <c r="CW27" s="91"/>
      <c r="CX27" s="91"/>
      <c r="CY27" s="91"/>
      <c r="CZ27" s="91"/>
      <c r="DA27" s="91"/>
      <c r="DB27" s="91"/>
      <c r="DC27" s="91"/>
      <c r="DD27" s="91">
        <f t="shared" si="10"/>
        <v>33909050</v>
      </c>
      <c r="DE27" s="91"/>
      <c r="DF27" s="91">
        <v>33909050</v>
      </c>
      <c r="DG27" s="91"/>
      <c r="DH27" s="91"/>
      <c r="DI27" s="91"/>
      <c r="DJ27" s="91"/>
      <c r="DK27" s="91"/>
      <c r="DL27" s="91"/>
      <c r="DM27" s="91"/>
      <c r="DN27" s="92"/>
      <c r="DO27" s="93">
        <f t="shared" si="11"/>
        <v>107544050</v>
      </c>
    </row>
    <row r="28" spans="1:119" s="225" customFormat="1" ht="141.75" customHeight="1" x14ac:dyDescent="0.2">
      <c r="A28" s="244">
        <v>1</v>
      </c>
      <c r="B28" s="253" t="s">
        <v>19</v>
      </c>
      <c r="C28" s="59" t="s">
        <v>453</v>
      </c>
      <c r="D28" s="59" t="s">
        <v>228</v>
      </c>
      <c r="E28" s="55">
        <v>11.21</v>
      </c>
      <c r="F28" s="103">
        <v>2018</v>
      </c>
      <c r="G28" s="108" t="s">
        <v>462</v>
      </c>
      <c r="H28" s="55">
        <v>11</v>
      </c>
      <c r="I28" s="13">
        <v>19</v>
      </c>
      <c r="J28" s="13" t="s">
        <v>1663</v>
      </c>
      <c r="K28" s="50">
        <v>2</v>
      </c>
      <c r="L28" s="13" t="s">
        <v>458</v>
      </c>
      <c r="M28" s="246">
        <v>11</v>
      </c>
      <c r="N28" s="244">
        <v>1903</v>
      </c>
      <c r="O28" s="245" t="s">
        <v>220</v>
      </c>
      <c r="P28" s="112" t="s">
        <v>498</v>
      </c>
      <c r="Q28" s="13">
        <v>1903027</v>
      </c>
      <c r="R28" s="13">
        <v>1903027</v>
      </c>
      <c r="S28" s="59" t="s">
        <v>229</v>
      </c>
      <c r="T28" s="112" t="s">
        <v>499</v>
      </c>
      <c r="U28" s="13">
        <v>190302700</v>
      </c>
      <c r="V28" s="13">
        <v>190302700</v>
      </c>
      <c r="W28" s="87" t="s">
        <v>500</v>
      </c>
      <c r="X28" s="88" t="s">
        <v>8</v>
      </c>
      <c r="Y28" s="13">
        <v>5</v>
      </c>
      <c r="Z28" s="13">
        <v>5</v>
      </c>
      <c r="AA28" s="13">
        <v>1</v>
      </c>
      <c r="AB28" s="13">
        <v>5</v>
      </c>
      <c r="AC28" s="13">
        <v>5</v>
      </c>
      <c r="AD28" s="13">
        <v>5</v>
      </c>
      <c r="AE28" s="89">
        <f t="shared" si="8"/>
        <v>200000000</v>
      </c>
      <c r="AF28" s="89">
        <f t="shared" si="8"/>
        <v>11200000</v>
      </c>
      <c r="AG28" s="89">
        <f t="shared" si="8"/>
        <v>5133331</v>
      </c>
      <c r="AH28" s="89">
        <f t="shared" si="8"/>
        <v>5133331</v>
      </c>
      <c r="AI28" s="89">
        <f t="shared" si="8"/>
        <v>0</v>
      </c>
      <c r="AJ28" s="91"/>
      <c r="AK28" s="91"/>
      <c r="AL28" s="91"/>
      <c r="AM28" s="91"/>
      <c r="AN28" s="91"/>
      <c r="AO28" s="91">
        <v>200000000</v>
      </c>
      <c r="AP28" s="91"/>
      <c r="AQ28" s="91"/>
      <c r="AR28" s="91"/>
      <c r="AS28" s="91"/>
      <c r="AT28" s="91"/>
      <c r="AU28" s="91"/>
      <c r="AV28" s="91"/>
      <c r="AW28" s="91"/>
      <c r="AX28" s="91"/>
      <c r="AY28" s="91"/>
      <c r="AZ28" s="91">
        <v>11200000</v>
      </c>
      <c r="BA28" s="91">
        <v>5133331</v>
      </c>
      <c r="BB28" s="91">
        <v>5133331</v>
      </c>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f t="shared" si="12"/>
        <v>20000000</v>
      </c>
      <c r="CI28" s="91"/>
      <c r="CJ28" s="91"/>
      <c r="CK28" s="91"/>
      <c r="CL28" s="91">
        <v>20000000</v>
      </c>
      <c r="CM28" s="102"/>
      <c r="CN28" s="91"/>
      <c r="CO28" s="91"/>
      <c r="CP28" s="91"/>
      <c r="CQ28" s="91"/>
      <c r="CR28" s="91"/>
      <c r="CS28" s="91">
        <f t="shared" si="9"/>
        <v>20000000</v>
      </c>
      <c r="CT28" s="91"/>
      <c r="CU28" s="91"/>
      <c r="CV28" s="91"/>
      <c r="CW28" s="91">
        <v>20000000</v>
      </c>
      <c r="CX28" s="91"/>
      <c r="CY28" s="91"/>
      <c r="CZ28" s="91"/>
      <c r="DA28" s="91"/>
      <c r="DB28" s="91"/>
      <c r="DC28" s="91"/>
      <c r="DD28" s="91">
        <f t="shared" si="10"/>
        <v>20000000</v>
      </c>
      <c r="DE28" s="91"/>
      <c r="DF28" s="91"/>
      <c r="DG28" s="91"/>
      <c r="DH28" s="91">
        <v>20000000</v>
      </c>
      <c r="DI28" s="91"/>
      <c r="DJ28" s="91"/>
      <c r="DK28" s="91"/>
      <c r="DL28" s="91"/>
      <c r="DM28" s="91"/>
      <c r="DN28" s="92"/>
      <c r="DO28" s="93">
        <f t="shared" si="11"/>
        <v>260000000</v>
      </c>
    </row>
    <row r="29" spans="1:119" s="225" customFormat="1" ht="78.75" customHeight="1" x14ac:dyDescent="0.2">
      <c r="A29" s="244">
        <v>1</v>
      </c>
      <c r="B29" s="253" t="s">
        <v>19</v>
      </c>
      <c r="C29" s="59" t="s">
        <v>453</v>
      </c>
      <c r="D29" s="59" t="s">
        <v>248</v>
      </c>
      <c r="E29" s="55">
        <v>0</v>
      </c>
      <c r="F29" s="14">
        <v>2018</v>
      </c>
      <c r="G29" s="59" t="s">
        <v>501</v>
      </c>
      <c r="H29" s="55">
        <v>0</v>
      </c>
      <c r="I29" s="13">
        <v>19</v>
      </c>
      <c r="J29" s="13" t="s">
        <v>1663</v>
      </c>
      <c r="K29" s="50">
        <v>2</v>
      </c>
      <c r="L29" s="13" t="s">
        <v>458</v>
      </c>
      <c r="M29" s="246">
        <v>11</v>
      </c>
      <c r="N29" s="244">
        <v>1903</v>
      </c>
      <c r="O29" s="245" t="s">
        <v>220</v>
      </c>
      <c r="P29" s="112" t="s">
        <v>502</v>
      </c>
      <c r="Q29" s="13">
        <v>1903028</v>
      </c>
      <c r="R29" s="13">
        <v>1903028</v>
      </c>
      <c r="S29" s="59" t="s">
        <v>249</v>
      </c>
      <c r="T29" s="112" t="s">
        <v>503</v>
      </c>
      <c r="U29" s="13">
        <v>190302800</v>
      </c>
      <c r="V29" s="13">
        <v>190302800</v>
      </c>
      <c r="W29" s="87" t="s">
        <v>504</v>
      </c>
      <c r="X29" s="88" t="s">
        <v>8</v>
      </c>
      <c r="Y29" s="13">
        <v>250</v>
      </c>
      <c r="Z29" s="13">
        <v>250</v>
      </c>
      <c r="AA29" s="13">
        <v>250</v>
      </c>
      <c r="AB29" s="13">
        <v>250</v>
      </c>
      <c r="AC29" s="13">
        <v>250</v>
      </c>
      <c r="AD29" s="13">
        <v>250</v>
      </c>
      <c r="AE29" s="89">
        <f t="shared" si="8"/>
        <v>20000000</v>
      </c>
      <c r="AF29" s="89">
        <f t="shared" si="8"/>
        <v>14000000</v>
      </c>
      <c r="AG29" s="89">
        <f t="shared" si="8"/>
        <v>0</v>
      </c>
      <c r="AH29" s="89">
        <f t="shared" si="8"/>
        <v>0</v>
      </c>
      <c r="AI29" s="89">
        <f t="shared" si="8"/>
        <v>0</v>
      </c>
      <c r="AJ29" s="91"/>
      <c r="AK29" s="91"/>
      <c r="AL29" s="91"/>
      <c r="AM29" s="91"/>
      <c r="AN29" s="91"/>
      <c r="AO29" s="91">
        <v>20000000</v>
      </c>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v>14000000</v>
      </c>
      <c r="BU29" s="91"/>
      <c r="BV29" s="91"/>
      <c r="BW29" s="91"/>
      <c r="BX29" s="91"/>
      <c r="BY29" s="91"/>
      <c r="BZ29" s="91"/>
      <c r="CA29" s="91"/>
      <c r="CB29" s="91"/>
      <c r="CC29" s="91"/>
      <c r="CD29" s="91"/>
      <c r="CE29" s="91"/>
      <c r="CF29" s="91"/>
      <c r="CG29" s="91"/>
      <c r="CH29" s="91">
        <f t="shared" si="12"/>
        <v>20000000</v>
      </c>
      <c r="CI29" s="91"/>
      <c r="CJ29" s="91">
        <v>20000000</v>
      </c>
      <c r="CK29" s="91"/>
      <c r="CL29" s="91"/>
      <c r="CM29" s="102"/>
      <c r="CN29" s="91"/>
      <c r="CO29" s="91"/>
      <c r="CP29" s="91"/>
      <c r="CQ29" s="91"/>
      <c r="CR29" s="91"/>
      <c r="CS29" s="91">
        <f t="shared" si="9"/>
        <v>20000000</v>
      </c>
      <c r="CT29" s="91"/>
      <c r="CU29" s="91">
        <v>20000000</v>
      </c>
      <c r="CV29" s="91"/>
      <c r="CW29" s="91"/>
      <c r="CX29" s="91"/>
      <c r="CY29" s="91"/>
      <c r="CZ29" s="91"/>
      <c r="DA29" s="91"/>
      <c r="DB29" s="91"/>
      <c r="DC29" s="91"/>
      <c r="DD29" s="91">
        <f t="shared" si="10"/>
        <v>20000000</v>
      </c>
      <c r="DE29" s="91"/>
      <c r="DF29" s="91">
        <v>20000000</v>
      </c>
      <c r="DG29" s="91"/>
      <c r="DH29" s="91"/>
      <c r="DI29" s="91"/>
      <c r="DJ29" s="91"/>
      <c r="DK29" s="91"/>
      <c r="DL29" s="91"/>
      <c r="DM29" s="91"/>
      <c r="DN29" s="92"/>
      <c r="DO29" s="93">
        <f t="shared" si="11"/>
        <v>80000000</v>
      </c>
    </row>
    <row r="30" spans="1:119" s="225" customFormat="1" ht="63" customHeight="1" x14ac:dyDescent="0.2">
      <c r="A30" s="244">
        <v>1</v>
      </c>
      <c r="B30" s="253" t="s">
        <v>19</v>
      </c>
      <c r="C30" s="59" t="s">
        <v>453</v>
      </c>
      <c r="D30" s="59" t="s">
        <v>228</v>
      </c>
      <c r="E30" s="55">
        <v>11.21</v>
      </c>
      <c r="F30" s="103">
        <v>2018</v>
      </c>
      <c r="G30" s="108" t="s">
        <v>462</v>
      </c>
      <c r="H30" s="55">
        <v>11</v>
      </c>
      <c r="I30" s="13">
        <v>19</v>
      </c>
      <c r="J30" s="13" t="s">
        <v>1663</v>
      </c>
      <c r="K30" s="50">
        <v>2</v>
      </c>
      <c r="L30" s="13" t="s">
        <v>458</v>
      </c>
      <c r="M30" s="246">
        <v>11</v>
      </c>
      <c r="N30" s="244">
        <v>1903</v>
      </c>
      <c r="O30" s="245" t="s">
        <v>220</v>
      </c>
      <c r="P30" s="112" t="s">
        <v>505</v>
      </c>
      <c r="Q30" s="13">
        <v>1903031</v>
      </c>
      <c r="R30" s="13">
        <v>1903031</v>
      </c>
      <c r="S30" s="59" t="s">
        <v>238</v>
      </c>
      <c r="T30" s="112" t="s">
        <v>506</v>
      </c>
      <c r="U30" s="13">
        <v>190303100</v>
      </c>
      <c r="V30" s="13">
        <v>190303100</v>
      </c>
      <c r="W30" s="87" t="s">
        <v>507</v>
      </c>
      <c r="X30" s="88" t="s">
        <v>8</v>
      </c>
      <c r="Y30" s="13">
        <v>12</v>
      </c>
      <c r="Z30" s="13">
        <v>12</v>
      </c>
      <c r="AA30" s="13">
        <v>12</v>
      </c>
      <c r="AB30" s="13">
        <v>12</v>
      </c>
      <c r="AC30" s="13">
        <v>12</v>
      </c>
      <c r="AD30" s="13">
        <v>12</v>
      </c>
      <c r="AE30" s="89">
        <f t="shared" si="8"/>
        <v>656000000</v>
      </c>
      <c r="AF30" s="89">
        <f t="shared" si="8"/>
        <v>636000000</v>
      </c>
      <c r="AG30" s="89">
        <f t="shared" si="8"/>
        <v>431769077</v>
      </c>
      <c r="AH30" s="89">
        <f t="shared" si="8"/>
        <v>431769077</v>
      </c>
      <c r="AI30" s="89">
        <f t="shared" si="8"/>
        <v>0</v>
      </c>
      <c r="AJ30" s="91"/>
      <c r="AK30" s="91"/>
      <c r="AL30" s="91"/>
      <c r="AM30" s="91"/>
      <c r="AN30" s="91"/>
      <c r="AO30" s="91"/>
      <c r="AP30" s="91"/>
      <c r="AQ30" s="91"/>
      <c r="AR30" s="91"/>
      <c r="AS30" s="91"/>
      <c r="AT30" s="91"/>
      <c r="AU30" s="91"/>
      <c r="AV30" s="91"/>
      <c r="AW30" s="91"/>
      <c r="AX30" s="91"/>
      <c r="AY30" s="91">
        <v>400000000</v>
      </c>
      <c r="AZ30" s="91">
        <v>380000000</v>
      </c>
      <c r="BA30" s="91">
        <v>204266659</v>
      </c>
      <c r="BB30" s="91">
        <v>204266659</v>
      </c>
      <c r="BC30" s="91"/>
      <c r="BD30" s="91"/>
      <c r="BE30" s="91"/>
      <c r="BF30" s="91"/>
      <c r="BG30" s="91"/>
      <c r="BH30" s="91"/>
      <c r="BI30" s="91"/>
      <c r="BJ30" s="91"/>
      <c r="BK30" s="91"/>
      <c r="BL30" s="91"/>
      <c r="BM30" s="91"/>
      <c r="BN30" s="91"/>
      <c r="BO30" s="91"/>
      <c r="BP30" s="91"/>
      <c r="BQ30" s="91"/>
      <c r="BR30" s="91"/>
      <c r="BS30" s="91"/>
      <c r="BT30" s="91">
        <v>256000000</v>
      </c>
      <c r="BU30" s="91">
        <v>227502418</v>
      </c>
      <c r="BV30" s="91">
        <v>227502418</v>
      </c>
      <c r="BW30" s="91"/>
      <c r="BX30" s="91"/>
      <c r="BY30" s="91"/>
      <c r="BZ30" s="92"/>
      <c r="CA30" s="92"/>
      <c r="CB30" s="92"/>
      <c r="CC30" s="12">
        <v>256000000</v>
      </c>
      <c r="CD30" s="91"/>
      <c r="CE30" s="12"/>
      <c r="CF30" s="12"/>
      <c r="CG30" s="12"/>
      <c r="CH30" s="91">
        <f t="shared" si="12"/>
        <v>340000000</v>
      </c>
      <c r="CI30" s="91"/>
      <c r="CJ30" s="91"/>
      <c r="CK30" s="91"/>
      <c r="CL30" s="91">
        <v>340000000</v>
      </c>
      <c r="CM30" s="102"/>
      <c r="CN30" s="91"/>
      <c r="CO30" s="91"/>
      <c r="CP30" s="91"/>
      <c r="CQ30" s="91"/>
      <c r="CR30" s="91"/>
      <c r="CS30" s="91">
        <f t="shared" si="9"/>
        <v>340000000</v>
      </c>
      <c r="CT30" s="91"/>
      <c r="CU30" s="91"/>
      <c r="CV30" s="91"/>
      <c r="CW30" s="91">
        <v>340000000</v>
      </c>
      <c r="CX30" s="91"/>
      <c r="CY30" s="91"/>
      <c r="CZ30" s="91"/>
      <c r="DA30" s="91"/>
      <c r="DB30" s="91"/>
      <c r="DC30" s="91"/>
      <c r="DD30" s="91">
        <f t="shared" si="10"/>
        <v>340000000</v>
      </c>
      <c r="DE30" s="91"/>
      <c r="DF30" s="91"/>
      <c r="DG30" s="91"/>
      <c r="DH30" s="91">
        <v>340000000</v>
      </c>
      <c r="DI30" s="91"/>
      <c r="DJ30" s="91"/>
      <c r="DK30" s="91"/>
      <c r="DL30" s="91"/>
      <c r="DM30" s="91"/>
      <c r="DN30" s="92"/>
      <c r="DO30" s="93">
        <f t="shared" si="11"/>
        <v>1676000000</v>
      </c>
    </row>
    <row r="31" spans="1:119" s="225" customFormat="1" ht="47.25" customHeight="1" x14ac:dyDescent="0.2">
      <c r="A31" s="244">
        <v>1</v>
      </c>
      <c r="B31" s="253" t="s">
        <v>19</v>
      </c>
      <c r="C31" s="59" t="s">
        <v>453</v>
      </c>
      <c r="D31" s="59" t="s">
        <v>230</v>
      </c>
      <c r="E31" s="107">
        <v>13</v>
      </c>
      <c r="F31" s="103">
        <v>2018</v>
      </c>
      <c r="G31" s="108" t="s">
        <v>462</v>
      </c>
      <c r="H31" s="109">
        <v>13</v>
      </c>
      <c r="I31" s="13">
        <v>19</v>
      </c>
      <c r="J31" s="13" t="s">
        <v>1663</v>
      </c>
      <c r="K31" s="50">
        <v>2</v>
      </c>
      <c r="L31" s="13" t="s">
        <v>458</v>
      </c>
      <c r="M31" s="246">
        <v>11</v>
      </c>
      <c r="N31" s="244">
        <v>1903</v>
      </c>
      <c r="O31" s="245" t="s">
        <v>220</v>
      </c>
      <c r="P31" s="112" t="s">
        <v>508</v>
      </c>
      <c r="Q31" s="13">
        <v>1903034</v>
      </c>
      <c r="R31" s="13">
        <v>1903034</v>
      </c>
      <c r="S31" s="59" t="s">
        <v>83</v>
      </c>
      <c r="T31" s="112" t="s">
        <v>509</v>
      </c>
      <c r="U31" s="13">
        <v>190303400</v>
      </c>
      <c r="V31" s="13">
        <v>190303400</v>
      </c>
      <c r="W31" s="87" t="s">
        <v>510</v>
      </c>
      <c r="X31" s="88" t="s">
        <v>8</v>
      </c>
      <c r="Y31" s="13">
        <v>12</v>
      </c>
      <c r="Z31" s="13">
        <v>12</v>
      </c>
      <c r="AA31" s="13">
        <v>12</v>
      </c>
      <c r="AB31" s="13">
        <v>12</v>
      </c>
      <c r="AC31" s="13">
        <v>12</v>
      </c>
      <c r="AD31" s="13">
        <v>12</v>
      </c>
      <c r="AE31" s="89">
        <f t="shared" si="8"/>
        <v>96954000</v>
      </c>
      <c r="AF31" s="89">
        <f t="shared" si="8"/>
        <v>96954000</v>
      </c>
      <c r="AG31" s="89">
        <f t="shared" si="8"/>
        <v>56840000</v>
      </c>
      <c r="AH31" s="89">
        <f t="shared" si="8"/>
        <v>56840000</v>
      </c>
      <c r="AI31" s="89">
        <f t="shared" si="8"/>
        <v>0</v>
      </c>
      <c r="AJ31" s="91">
        <v>96954000</v>
      </c>
      <c r="AK31" s="91">
        <v>96954000</v>
      </c>
      <c r="AL31" s="91">
        <v>56840000</v>
      </c>
      <c r="AM31" s="91">
        <v>56840000</v>
      </c>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f t="shared" si="12"/>
        <v>96954000</v>
      </c>
      <c r="CI31" s="91">
        <v>96954000</v>
      </c>
      <c r="CJ31" s="91"/>
      <c r="CK31" s="91"/>
      <c r="CL31" s="91"/>
      <c r="CM31" s="102"/>
      <c r="CN31" s="91"/>
      <c r="CO31" s="91"/>
      <c r="CP31" s="91"/>
      <c r="CQ31" s="91"/>
      <c r="CR31" s="91"/>
      <c r="CS31" s="91">
        <f t="shared" si="9"/>
        <v>96954000</v>
      </c>
      <c r="CT31" s="91">
        <v>96954000</v>
      </c>
      <c r="CU31" s="91"/>
      <c r="CV31" s="91"/>
      <c r="CW31" s="91"/>
      <c r="CX31" s="91"/>
      <c r="CY31" s="91"/>
      <c r="CZ31" s="91"/>
      <c r="DA31" s="91"/>
      <c r="DB31" s="91"/>
      <c r="DC31" s="91"/>
      <c r="DD31" s="91">
        <f t="shared" si="10"/>
        <v>96954000</v>
      </c>
      <c r="DE31" s="91">
        <v>96954000</v>
      </c>
      <c r="DF31" s="91"/>
      <c r="DG31" s="91"/>
      <c r="DH31" s="91"/>
      <c r="DI31" s="91"/>
      <c r="DJ31" s="91"/>
      <c r="DK31" s="91"/>
      <c r="DL31" s="91"/>
      <c r="DM31" s="91"/>
      <c r="DN31" s="92"/>
      <c r="DO31" s="93">
        <f t="shared" si="11"/>
        <v>387816000</v>
      </c>
    </row>
    <row r="32" spans="1:119" s="225" customFormat="1" ht="142.5" customHeight="1" x14ac:dyDescent="0.2">
      <c r="A32" s="244">
        <v>1</v>
      </c>
      <c r="B32" s="253" t="s">
        <v>19</v>
      </c>
      <c r="C32" s="59" t="s">
        <v>453</v>
      </c>
      <c r="D32" s="59" t="s">
        <v>226</v>
      </c>
      <c r="E32" s="55">
        <v>0</v>
      </c>
      <c r="F32" s="14">
        <v>2018</v>
      </c>
      <c r="G32" s="59" t="s">
        <v>462</v>
      </c>
      <c r="H32" s="55">
        <v>0</v>
      </c>
      <c r="I32" s="13">
        <v>19</v>
      </c>
      <c r="J32" s="13" t="s">
        <v>1663</v>
      </c>
      <c r="K32" s="50">
        <v>2</v>
      </c>
      <c r="L32" s="13" t="s">
        <v>458</v>
      </c>
      <c r="M32" s="246">
        <v>11</v>
      </c>
      <c r="N32" s="244">
        <v>1903</v>
      </c>
      <c r="O32" s="245" t="s">
        <v>220</v>
      </c>
      <c r="P32" s="112" t="s">
        <v>511</v>
      </c>
      <c r="Q32" s="13">
        <v>1903038</v>
      </c>
      <c r="R32" s="13">
        <v>1903038</v>
      </c>
      <c r="S32" s="59" t="s">
        <v>227</v>
      </c>
      <c r="T32" s="112" t="s">
        <v>512</v>
      </c>
      <c r="U32" s="13">
        <v>190303801</v>
      </c>
      <c r="V32" s="13">
        <v>190303801</v>
      </c>
      <c r="W32" s="87" t="s">
        <v>513</v>
      </c>
      <c r="X32" s="88" t="s">
        <v>8</v>
      </c>
      <c r="Y32" s="13">
        <v>11</v>
      </c>
      <c r="Z32" s="13">
        <v>11</v>
      </c>
      <c r="AA32" s="13">
        <v>11</v>
      </c>
      <c r="AB32" s="13">
        <v>11</v>
      </c>
      <c r="AC32" s="13">
        <v>11</v>
      </c>
      <c r="AD32" s="13">
        <v>11</v>
      </c>
      <c r="AE32" s="89">
        <f t="shared" si="8"/>
        <v>50000000</v>
      </c>
      <c r="AF32" s="89">
        <f t="shared" si="8"/>
        <v>11200000</v>
      </c>
      <c r="AG32" s="89">
        <f t="shared" si="8"/>
        <v>0</v>
      </c>
      <c r="AH32" s="89">
        <f t="shared" si="8"/>
        <v>0</v>
      </c>
      <c r="AI32" s="89">
        <f t="shared" si="8"/>
        <v>0</v>
      </c>
      <c r="AJ32" s="91">
        <v>0</v>
      </c>
      <c r="AK32" s="91"/>
      <c r="AL32" s="91"/>
      <c r="AM32" s="91"/>
      <c r="AN32" s="91"/>
      <c r="AO32" s="91">
        <v>50000000</v>
      </c>
      <c r="AP32" s="91"/>
      <c r="AQ32" s="91"/>
      <c r="AR32" s="91"/>
      <c r="AS32" s="91"/>
      <c r="AT32" s="91"/>
      <c r="AU32" s="91"/>
      <c r="AV32" s="91"/>
      <c r="AW32" s="91"/>
      <c r="AX32" s="91"/>
      <c r="AY32" s="91"/>
      <c r="AZ32" s="91">
        <v>11200000</v>
      </c>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f t="shared" si="12"/>
        <v>20000000</v>
      </c>
      <c r="CI32" s="91"/>
      <c r="CJ32" s="91"/>
      <c r="CK32" s="91"/>
      <c r="CL32" s="91">
        <v>20000000</v>
      </c>
      <c r="CM32" s="102"/>
      <c r="CN32" s="91"/>
      <c r="CO32" s="91"/>
      <c r="CP32" s="91"/>
      <c r="CQ32" s="91"/>
      <c r="CR32" s="91"/>
      <c r="CS32" s="91">
        <f t="shared" si="9"/>
        <v>20000000</v>
      </c>
      <c r="CT32" s="91"/>
      <c r="CU32" s="91"/>
      <c r="CV32" s="91"/>
      <c r="CW32" s="91">
        <v>20000000</v>
      </c>
      <c r="CX32" s="91"/>
      <c r="CY32" s="91"/>
      <c r="CZ32" s="91"/>
      <c r="DA32" s="91"/>
      <c r="DB32" s="91"/>
      <c r="DC32" s="91"/>
      <c r="DD32" s="91">
        <f t="shared" si="10"/>
        <v>20000000</v>
      </c>
      <c r="DE32" s="91"/>
      <c r="DF32" s="91"/>
      <c r="DG32" s="91"/>
      <c r="DH32" s="91">
        <v>20000000</v>
      </c>
      <c r="DI32" s="91"/>
      <c r="DJ32" s="91"/>
      <c r="DK32" s="91"/>
      <c r="DL32" s="91"/>
      <c r="DM32" s="91"/>
      <c r="DN32" s="92"/>
      <c r="DO32" s="93">
        <f t="shared" si="11"/>
        <v>110000000</v>
      </c>
    </row>
    <row r="33" spans="1:119" s="225" customFormat="1" ht="63" customHeight="1" x14ac:dyDescent="0.2">
      <c r="A33" s="244">
        <v>1</v>
      </c>
      <c r="B33" s="253" t="s">
        <v>19</v>
      </c>
      <c r="C33" s="59" t="s">
        <v>453</v>
      </c>
      <c r="D33" s="59" t="s">
        <v>239</v>
      </c>
      <c r="E33" s="55">
        <v>89</v>
      </c>
      <c r="F33" s="14">
        <v>2018</v>
      </c>
      <c r="G33" s="59" t="s">
        <v>514</v>
      </c>
      <c r="H33" s="55">
        <v>95</v>
      </c>
      <c r="I33" s="13">
        <v>19</v>
      </c>
      <c r="J33" s="13" t="s">
        <v>1663</v>
      </c>
      <c r="K33" s="50">
        <v>2</v>
      </c>
      <c r="L33" s="13" t="s">
        <v>458</v>
      </c>
      <c r="M33" s="246">
        <v>11</v>
      </c>
      <c r="N33" s="244">
        <v>1903</v>
      </c>
      <c r="O33" s="245" t="s">
        <v>220</v>
      </c>
      <c r="P33" s="112" t="s">
        <v>515</v>
      </c>
      <c r="Q33" s="13">
        <v>1903045</v>
      </c>
      <c r="R33" s="13">
        <v>1903045</v>
      </c>
      <c r="S33" s="59" t="s">
        <v>240</v>
      </c>
      <c r="T33" s="112" t="s">
        <v>516</v>
      </c>
      <c r="U33" s="13">
        <v>190304500</v>
      </c>
      <c r="V33" s="13">
        <v>190304500</v>
      </c>
      <c r="W33" s="87" t="s">
        <v>517</v>
      </c>
      <c r="X33" s="88" t="s">
        <v>9</v>
      </c>
      <c r="Y33" s="13">
        <v>2900</v>
      </c>
      <c r="Z33" s="13">
        <v>60</v>
      </c>
      <c r="AA33" s="13">
        <v>57</v>
      </c>
      <c r="AB33" s="13">
        <v>947</v>
      </c>
      <c r="AC33" s="13">
        <v>947</v>
      </c>
      <c r="AD33" s="13">
        <v>946</v>
      </c>
      <c r="AE33" s="89">
        <f t="shared" si="8"/>
        <v>19636000</v>
      </c>
      <c r="AF33" s="89">
        <f t="shared" si="8"/>
        <v>34636000</v>
      </c>
      <c r="AG33" s="89">
        <f t="shared" si="8"/>
        <v>24714666</v>
      </c>
      <c r="AH33" s="89">
        <f t="shared" si="8"/>
        <v>24714666</v>
      </c>
      <c r="AI33" s="89">
        <f t="shared" si="8"/>
        <v>0</v>
      </c>
      <c r="AJ33" s="91">
        <v>19636000</v>
      </c>
      <c r="AK33" s="91">
        <v>34636000</v>
      </c>
      <c r="AL33" s="91">
        <v>24714666</v>
      </c>
      <c r="AM33" s="91">
        <v>24714666</v>
      </c>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f t="shared" si="12"/>
        <v>19636000</v>
      </c>
      <c r="CI33" s="91">
        <v>19636000</v>
      </c>
      <c r="CJ33" s="91"/>
      <c r="CK33" s="91"/>
      <c r="CL33" s="91"/>
      <c r="CM33" s="102"/>
      <c r="CN33" s="91"/>
      <c r="CO33" s="91"/>
      <c r="CP33" s="91"/>
      <c r="CQ33" s="91"/>
      <c r="CR33" s="91"/>
      <c r="CS33" s="91">
        <f t="shared" si="9"/>
        <v>19636000</v>
      </c>
      <c r="CT33" s="91">
        <v>19636000</v>
      </c>
      <c r="CU33" s="91"/>
      <c r="CV33" s="91"/>
      <c r="CW33" s="91"/>
      <c r="CX33" s="91"/>
      <c r="CY33" s="91"/>
      <c r="CZ33" s="91"/>
      <c r="DA33" s="91"/>
      <c r="DB33" s="91"/>
      <c r="DC33" s="91"/>
      <c r="DD33" s="91">
        <f t="shared" si="10"/>
        <v>19636000</v>
      </c>
      <c r="DE33" s="91">
        <v>19636000</v>
      </c>
      <c r="DF33" s="91"/>
      <c r="DG33" s="91"/>
      <c r="DH33" s="91"/>
      <c r="DI33" s="91"/>
      <c r="DJ33" s="91"/>
      <c r="DK33" s="91"/>
      <c r="DL33" s="91"/>
      <c r="DM33" s="91"/>
      <c r="DN33" s="92"/>
      <c r="DO33" s="93">
        <f t="shared" si="11"/>
        <v>78544000</v>
      </c>
    </row>
    <row r="34" spans="1:119" s="225" customFormat="1" ht="78.75" customHeight="1" x14ac:dyDescent="0.2">
      <c r="A34" s="244">
        <v>1</v>
      </c>
      <c r="B34" s="253" t="s">
        <v>19</v>
      </c>
      <c r="C34" s="59" t="s">
        <v>453</v>
      </c>
      <c r="D34" s="59" t="s">
        <v>244</v>
      </c>
      <c r="E34" s="55">
        <v>89.22</v>
      </c>
      <c r="F34" s="14">
        <v>2018</v>
      </c>
      <c r="G34" s="59" t="s">
        <v>518</v>
      </c>
      <c r="H34" s="55">
        <v>100</v>
      </c>
      <c r="I34" s="13">
        <v>19</v>
      </c>
      <c r="J34" s="13" t="s">
        <v>1663</v>
      </c>
      <c r="K34" s="50">
        <v>2</v>
      </c>
      <c r="L34" s="13" t="s">
        <v>458</v>
      </c>
      <c r="M34" s="246">
        <v>11</v>
      </c>
      <c r="N34" s="244">
        <v>1903</v>
      </c>
      <c r="O34" s="245" t="s">
        <v>220</v>
      </c>
      <c r="P34" s="112" t="s">
        <v>519</v>
      </c>
      <c r="Q34" s="13">
        <v>1903047</v>
      </c>
      <c r="R34" s="13">
        <v>1903047</v>
      </c>
      <c r="S34" s="59" t="s">
        <v>245</v>
      </c>
      <c r="T34" s="112" t="s">
        <v>520</v>
      </c>
      <c r="U34" s="13">
        <v>190304701</v>
      </c>
      <c r="V34" s="13">
        <v>190304701</v>
      </c>
      <c r="W34" s="87" t="s">
        <v>521</v>
      </c>
      <c r="X34" s="88" t="s">
        <v>8</v>
      </c>
      <c r="Y34" s="13">
        <v>1</v>
      </c>
      <c r="Z34" s="13">
        <v>1</v>
      </c>
      <c r="AA34" s="13">
        <v>1</v>
      </c>
      <c r="AB34" s="13">
        <v>1</v>
      </c>
      <c r="AC34" s="13">
        <v>1</v>
      </c>
      <c r="AD34" s="13">
        <v>1</v>
      </c>
      <c r="AE34" s="89">
        <f t="shared" si="8"/>
        <v>20000000</v>
      </c>
      <c r="AF34" s="89">
        <f t="shared" si="8"/>
        <v>20000000</v>
      </c>
      <c r="AG34" s="89">
        <f t="shared" si="8"/>
        <v>3871334</v>
      </c>
      <c r="AH34" s="89">
        <f t="shared" si="8"/>
        <v>3871334</v>
      </c>
      <c r="AI34" s="89">
        <f t="shared" si="8"/>
        <v>0</v>
      </c>
      <c r="AJ34" s="91"/>
      <c r="AK34" s="91"/>
      <c r="AL34" s="91"/>
      <c r="AM34" s="91"/>
      <c r="AN34" s="91"/>
      <c r="AO34" s="91">
        <v>20000000</v>
      </c>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v>20000000</v>
      </c>
      <c r="BU34" s="91">
        <v>3871334</v>
      </c>
      <c r="BV34" s="91">
        <v>3871334</v>
      </c>
      <c r="BW34" s="91"/>
      <c r="BX34" s="91"/>
      <c r="BY34" s="91"/>
      <c r="BZ34" s="91"/>
      <c r="CA34" s="91"/>
      <c r="CB34" s="91"/>
      <c r="CC34" s="91"/>
      <c r="CD34" s="91"/>
      <c r="CE34" s="91"/>
      <c r="CF34" s="91"/>
      <c r="CG34" s="91"/>
      <c r="CH34" s="91">
        <f t="shared" si="12"/>
        <v>20000000</v>
      </c>
      <c r="CI34" s="91"/>
      <c r="CJ34" s="91">
        <v>20000000</v>
      </c>
      <c r="CK34" s="91"/>
      <c r="CL34" s="91"/>
      <c r="CM34" s="102"/>
      <c r="CN34" s="91"/>
      <c r="CO34" s="91"/>
      <c r="CP34" s="91"/>
      <c r="CQ34" s="91"/>
      <c r="CR34" s="91"/>
      <c r="CS34" s="91">
        <f t="shared" si="9"/>
        <v>20000000</v>
      </c>
      <c r="CT34" s="91"/>
      <c r="CU34" s="91">
        <v>20000000</v>
      </c>
      <c r="CV34" s="91"/>
      <c r="CW34" s="91"/>
      <c r="CX34" s="91"/>
      <c r="CY34" s="91"/>
      <c r="CZ34" s="91"/>
      <c r="DA34" s="91"/>
      <c r="DB34" s="91"/>
      <c r="DC34" s="91"/>
      <c r="DD34" s="91">
        <f t="shared" si="10"/>
        <v>20000000</v>
      </c>
      <c r="DE34" s="91"/>
      <c r="DF34" s="91">
        <v>20000000</v>
      </c>
      <c r="DG34" s="91"/>
      <c r="DH34" s="91"/>
      <c r="DI34" s="91"/>
      <c r="DJ34" s="91"/>
      <c r="DK34" s="91"/>
      <c r="DL34" s="91"/>
      <c r="DM34" s="91"/>
      <c r="DN34" s="92"/>
      <c r="DO34" s="93">
        <f t="shared" si="11"/>
        <v>80000000</v>
      </c>
    </row>
    <row r="35" spans="1:119" s="225" customFormat="1" ht="173.25" customHeight="1" x14ac:dyDescent="0.2">
      <c r="A35" s="244">
        <v>1</v>
      </c>
      <c r="B35" s="253" t="s">
        <v>19</v>
      </c>
      <c r="C35" s="59" t="s">
        <v>453</v>
      </c>
      <c r="D35" s="59" t="s">
        <v>225</v>
      </c>
      <c r="E35" s="106">
        <v>8.7157362618207177</v>
      </c>
      <c r="F35" s="103">
        <v>2018</v>
      </c>
      <c r="G35" s="110" t="s">
        <v>462</v>
      </c>
      <c r="H35" s="55">
        <v>8.6</v>
      </c>
      <c r="I35" s="13">
        <v>19</v>
      </c>
      <c r="J35" s="13" t="s">
        <v>1663</v>
      </c>
      <c r="K35" s="50">
        <v>2</v>
      </c>
      <c r="L35" s="13" t="s">
        <v>458</v>
      </c>
      <c r="M35" s="246">
        <v>11</v>
      </c>
      <c r="N35" s="244">
        <v>1903</v>
      </c>
      <c r="O35" s="245" t="s">
        <v>220</v>
      </c>
      <c r="P35" s="112" t="s">
        <v>522</v>
      </c>
      <c r="Q35" s="13" t="s">
        <v>77</v>
      </c>
      <c r="R35" s="13">
        <v>1903050</v>
      </c>
      <c r="S35" s="59" t="s">
        <v>1643</v>
      </c>
      <c r="T35" s="112" t="s">
        <v>523</v>
      </c>
      <c r="U35" s="13" t="s">
        <v>77</v>
      </c>
      <c r="V35" s="13">
        <v>190305000</v>
      </c>
      <c r="W35" s="87" t="s">
        <v>524</v>
      </c>
      <c r="X35" s="88" t="s">
        <v>8</v>
      </c>
      <c r="Y35" s="13">
        <v>12</v>
      </c>
      <c r="Z35" s="13">
        <v>12</v>
      </c>
      <c r="AA35" s="13">
        <v>6</v>
      </c>
      <c r="AB35" s="13">
        <v>12</v>
      </c>
      <c r="AC35" s="13">
        <v>12</v>
      </c>
      <c r="AD35" s="13">
        <v>12</v>
      </c>
      <c r="AE35" s="89">
        <f t="shared" si="8"/>
        <v>70000000</v>
      </c>
      <c r="AF35" s="89">
        <f t="shared" si="8"/>
        <v>68300000</v>
      </c>
      <c r="AG35" s="89">
        <f t="shared" si="8"/>
        <v>42906666</v>
      </c>
      <c r="AH35" s="89">
        <f t="shared" si="8"/>
        <v>42906666</v>
      </c>
      <c r="AI35" s="89">
        <f t="shared" si="8"/>
        <v>0</v>
      </c>
      <c r="AJ35" s="91"/>
      <c r="AK35" s="91"/>
      <c r="AL35" s="91"/>
      <c r="AM35" s="91"/>
      <c r="AN35" s="91"/>
      <c r="AO35" s="91"/>
      <c r="AP35" s="91"/>
      <c r="AQ35" s="91"/>
      <c r="AR35" s="91"/>
      <c r="AS35" s="91"/>
      <c r="AT35" s="91"/>
      <c r="AU35" s="91"/>
      <c r="AV35" s="91"/>
      <c r="AW35" s="91"/>
      <c r="AX35" s="91"/>
      <c r="AY35" s="91">
        <v>70000000</v>
      </c>
      <c r="AZ35" s="91">
        <v>68300000</v>
      </c>
      <c r="BA35" s="91">
        <v>42906666</v>
      </c>
      <c r="BB35" s="91">
        <v>42906666</v>
      </c>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f t="shared" si="12"/>
        <v>30000000</v>
      </c>
      <c r="CI35" s="91"/>
      <c r="CJ35" s="91"/>
      <c r="CK35" s="91"/>
      <c r="CL35" s="91">
        <v>30000000</v>
      </c>
      <c r="CM35" s="102"/>
      <c r="CN35" s="91"/>
      <c r="CO35" s="91"/>
      <c r="CP35" s="91"/>
      <c r="CQ35" s="91"/>
      <c r="CR35" s="91"/>
      <c r="CS35" s="91">
        <f t="shared" si="9"/>
        <v>30000000</v>
      </c>
      <c r="CT35" s="91"/>
      <c r="CU35" s="91"/>
      <c r="CV35" s="91"/>
      <c r="CW35" s="91">
        <v>30000000</v>
      </c>
      <c r="CX35" s="91"/>
      <c r="CY35" s="91"/>
      <c r="CZ35" s="91"/>
      <c r="DA35" s="91"/>
      <c r="DB35" s="91"/>
      <c r="DC35" s="91"/>
      <c r="DD35" s="91">
        <f t="shared" si="10"/>
        <v>30000000</v>
      </c>
      <c r="DE35" s="91"/>
      <c r="DF35" s="91"/>
      <c r="DG35" s="91"/>
      <c r="DH35" s="91">
        <v>30000000</v>
      </c>
      <c r="DI35" s="91"/>
      <c r="DJ35" s="91"/>
      <c r="DK35" s="91"/>
      <c r="DL35" s="91"/>
      <c r="DM35" s="91"/>
      <c r="DN35" s="92"/>
      <c r="DO35" s="93">
        <f t="shared" si="11"/>
        <v>160000000</v>
      </c>
    </row>
    <row r="36" spans="1:119" s="225" customFormat="1" ht="110.25" customHeight="1" x14ac:dyDescent="0.2">
      <c r="A36" s="244">
        <v>1</v>
      </c>
      <c r="B36" s="253" t="s">
        <v>19</v>
      </c>
      <c r="C36" s="59" t="s">
        <v>453</v>
      </c>
      <c r="D36" s="59" t="s">
        <v>221</v>
      </c>
      <c r="E36" s="55">
        <v>1</v>
      </c>
      <c r="F36" s="14">
        <v>2018</v>
      </c>
      <c r="G36" s="59" t="s">
        <v>462</v>
      </c>
      <c r="H36" s="55">
        <v>0</v>
      </c>
      <c r="I36" s="13">
        <v>19</v>
      </c>
      <c r="J36" s="13" t="s">
        <v>1663</v>
      </c>
      <c r="K36" s="50">
        <v>2</v>
      </c>
      <c r="L36" s="13" t="s">
        <v>458</v>
      </c>
      <c r="M36" s="246">
        <v>11</v>
      </c>
      <c r="N36" s="244">
        <v>1903</v>
      </c>
      <c r="O36" s="245" t="s">
        <v>220</v>
      </c>
      <c r="P36" s="112" t="s">
        <v>525</v>
      </c>
      <c r="Q36" s="13" t="s">
        <v>77</v>
      </c>
      <c r="R36" s="13">
        <v>1903038</v>
      </c>
      <c r="S36" s="59" t="s">
        <v>1584</v>
      </c>
      <c r="T36" s="112" t="s">
        <v>526</v>
      </c>
      <c r="U36" s="13" t="s">
        <v>77</v>
      </c>
      <c r="V36" s="13">
        <v>190303801</v>
      </c>
      <c r="W36" s="113" t="s">
        <v>527</v>
      </c>
      <c r="X36" s="114" t="s">
        <v>8</v>
      </c>
      <c r="Y36" s="15">
        <v>1</v>
      </c>
      <c r="Z36" s="15">
        <v>1</v>
      </c>
      <c r="AA36" s="243">
        <f>(0.85+0.9)/2</f>
        <v>0.875</v>
      </c>
      <c r="AB36" s="15">
        <v>1</v>
      </c>
      <c r="AC36" s="15">
        <v>1</v>
      </c>
      <c r="AD36" s="15">
        <v>1</v>
      </c>
      <c r="AE36" s="89">
        <f t="shared" si="8"/>
        <v>874500000</v>
      </c>
      <c r="AF36" s="89">
        <f t="shared" si="8"/>
        <v>1206328216.8600001</v>
      </c>
      <c r="AG36" s="89">
        <f t="shared" si="8"/>
        <v>771535787</v>
      </c>
      <c r="AH36" s="89">
        <f t="shared" si="8"/>
        <v>771535787</v>
      </c>
      <c r="AI36" s="89">
        <f t="shared" si="8"/>
        <v>0</v>
      </c>
      <c r="AJ36" s="91"/>
      <c r="AK36" s="91">
        <v>1156328216.8600001</v>
      </c>
      <c r="AL36" s="91">
        <v>765935787</v>
      </c>
      <c r="AM36" s="91">
        <v>765935787</v>
      </c>
      <c r="AN36" s="91"/>
      <c r="AO36" s="91">
        <v>824500000</v>
      </c>
      <c r="AP36" s="91"/>
      <c r="AQ36" s="91"/>
      <c r="AR36" s="91"/>
      <c r="AS36" s="91"/>
      <c r="AT36" s="91"/>
      <c r="AU36" s="91"/>
      <c r="AV36" s="91"/>
      <c r="AW36" s="91"/>
      <c r="AX36" s="91"/>
      <c r="AY36" s="91">
        <v>50000000</v>
      </c>
      <c r="AZ36" s="91">
        <v>50000000</v>
      </c>
      <c r="BA36" s="91">
        <v>5600000</v>
      </c>
      <c r="BB36" s="91">
        <v>5600000</v>
      </c>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f t="shared" si="12"/>
        <v>902119541</v>
      </c>
      <c r="CI36" s="91"/>
      <c r="CJ36" s="91">
        <v>852119541</v>
      </c>
      <c r="CK36" s="91"/>
      <c r="CL36" s="91">
        <v>50000000</v>
      </c>
      <c r="CM36" s="102"/>
      <c r="CN36" s="91"/>
      <c r="CO36" s="91"/>
      <c r="CP36" s="91"/>
      <c r="CQ36" s="91"/>
      <c r="CR36" s="91"/>
      <c r="CS36" s="91">
        <f t="shared" si="9"/>
        <v>927683130</v>
      </c>
      <c r="CT36" s="91"/>
      <c r="CU36" s="91">
        <v>877683130</v>
      </c>
      <c r="CV36" s="91"/>
      <c r="CW36" s="91">
        <v>50000000</v>
      </c>
      <c r="CX36" s="91"/>
      <c r="CY36" s="91"/>
      <c r="CZ36" s="91"/>
      <c r="DA36" s="91"/>
      <c r="DB36" s="91"/>
      <c r="DC36" s="91"/>
      <c r="DD36" s="91">
        <f t="shared" si="10"/>
        <v>999710590.94000006</v>
      </c>
      <c r="DE36" s="91"/>
      <c r="DF36" s="91">
        <v>904013623.94000006</v>
      </c>
      <c r="DG36" s="91"/>
      <c r="DH36" s="91">
        <v>95696967</v>
      </c>
      <c r="DI36" s="91"/>
      <c r="DJ36" s="91"/>
      <c r="DK36" s="91"/>
      <c r="DL36" s="91"/>
      <c r="DM36" s="91"/>
      <c r="DN36" s="92"/>
      <c r="DO36" s="93">
        <f t="shared" si="11"/>
        <v>3704013261.9400001</v>
      </c>
    </row>
    <row r="37" spans="1:119" ht="15.75" customHeight="1" x14ac:dyDescent="0.2">
      <c r="A37" s="244"/>
      <c r="B37" s="253"/>
      <c r="C37" s="94"/>
      <c r="D37" s="59"/>
      <c r="E37" s="55"/>
      <c r="F37" s="13"/>
      <c r="G37" s="59"/>
      <c r="H37" s="55"/>
      <c r="I37" s="13"/>
      <c r="J37" s="13"/>
      <c r="K37" s="50"/>
      <c r="L37" s="13"/>
      <c r="M37" s="96">
        <v>12</v>
      </c>
      <c r="N37" s="96">
        <v>1905</v>
      </c>
      <c r="O37" s="97" t="s">
        <v>173</v>
      </c>
      <c r="P37" s="96"/>
      <c r="Q37" s="98"/>
      <c r="R37" s="98"/>
      <c r="S37" s="98"/>
      <c r="T37" s="98"/>
      <c r="U37" s="98"/>
      <c r="V37" s="98"/>
      <c r="W37" s="83"/>
      <c r="X37" s="84"/>
      <c r="Y37" s="84"/>
      <c r="Z37" s="84"/>
      <c r="AA37" s="84"/>
      <c r="AB37" s="84"/>
      <c r="AC37" s="84"/>
      <c r="AD37" s="81"/>
      <c r="AE37" s="99">
        <f>SUM(AE38:AE59)</f>
        <v>6751207681.2399998</v>
      </c>
      <c r="AF37" s="99">
        <f>SUM(AF38:AF59)</f>
        <v>6527893531.2399998</v>
      </c>
      <c r="AG37" s="99">
        <f t="shared" ref="AG37:DO37" si="13">SUM(AG38:AG59)</f>
        <v>4430225822.3299999</v>
      </c>
      <c r="AH37" s="99">
        <f t="shared" si="13"/>
        <v>3929943811.3299999</v>
      </c>
      <c r="AI37" s="99">
        <f t="shared" si="13"/>
        <v>3823934</v>
      </c>
      <c r="AJ37" s="99">
        <f t="shared" si="13"/>
        <v>3414348375</v>
      </c>
      <c r="AK37" s="99">
        <f>SUM(AK38:AK59)</f>
        <v>3579348375</v>
      </c>
      <c r="AL37" s="99">
        <f t="shared" si="13"/>
        <v>2435715855.3299999</v>
      </c>
      <c r="AM37" s="99">
        <f t="shared" si="13"/>
        <v>2024040510.3299999</v>
      </c>
      <c r="AN37" s="99">
        <f t="shared" si="13"/>
        <v>0</v>
      </c>
      <c r="AO37" s="99">
        <f t="shared" si="13"/>
        <v>0</v>
      </c>
      <c r="AP37" s="99">
        <f t="shared" si="13"/>
        <v>0</v>
      </c>
      <c r="AQ37" s="99">
        <f t="shared" si="13"/>
        <v>0</v>
      </c>
      <c r="AR37" s="99">
        <f t="shared" si="13"/>
        <v>0</v>
      </c>
      <c r="AS37" s="99">
        <f t="shared" si="13"/>
        <v>0</v>
      </c>
      <c r="AT37" s="99">
        <f t="shared" si="13"/>
        <v>0</v>
      </c>
      <c r="AU37" s="99">
        <f>SUM(AU38:AU59)</f>
        <v>0</v>
      </c>
      <c r="AV37" s="99">
        <f t="shared" si="13"/>
        <v>0</v>
      </c>
      <c r="AW37" s="99">
        <f t="shared" si="13"/>
        <v>0</v>
      </c>
      <c r="AX37" s="99">
        <f t="shared" si="13"/>
        <v>0</v>
      </c>
      <c r="AY37" s="99">
        <f t="shared" si="13"/>
        <v>2729252214.6300001</v>
      </c>
      <c r="AZ37" s="99">
        <f t="shared" si="13"/>
        <v>2565952214.6300001</v>
      </c>
      <c r="BA37" s="99">
        <f t="shared" si="13"/>
        <v>1714138484</v>
      </c>
      <c r="BB37" s="99">
        <f t="shared" si="13"/>
        <v>1625531818</v>
      </c>
      <c r="BC37" s="99">
        <f t="shared" si="13"/>
        <v>3823934</v>
      </c>
      <c r="BD37" s="99">
        <f t="shared" si="13"/>
        <v>0</v>
      </c>
      <c r="BE37" s="99">
        <f>SUM(BE38:BE59)</f>
        <v>0</v>
      </c>
      <c r="BF37" s="99">
        <f t="shared" si="13"/>
        <v>0</v>
      </c>
      <c r="BG37" s="99">
        <f t="shared" si="13"/>
        <v>0</v>
      </c>
      <c r="BH37" s="99">
        <f t="shared" si="13"/>
        <v>0</v>
      </c>
      <c r="BI37" s="99">
        <f t="shared" si="13"/>
        <v>0</v>
      </c>
      <c r="BJ37" s="99">
        <f t="shared" si="13"/>
        <v>0</v>
      </c>
      <c r="BK37" s="99">
        <f t="shared" si="13"/>
        <v>0</v>
      </c>
      <c r="BL37" s="99">
        <f t="shared" si="13"/>
        <v>0</v>
      </c>
      <c r="BM37" s="99">
        <f t="shared" si="13"/>
        <v>0</v>
      </c>
      <c r="BN37" s="99">
        <f t="shared" si="13"/>
        <v>0</v>
      </c>
      <c r="BO37" s="99">
        <f>SUM(BO38:BO59)</f>
        <v>0</v>
      </c>
      <c r="BP37" s="99">
        <f t="shared" si="13"/>
        <v>0</v>
      </c>
      <c r="BQ37" s="99">
        <f t="shared" si="13"/>
        <v>0</v>
      </c>
      <c r="BR37" s="99">
        <f t="shared" si="13"/>
        <v>0</v>
      </c>
      <c r="BS37" s="99">
        <f t="shared" si="13"/>
        <v>0</v>
      </c>
      <c r="BT37" s="99">
        <f t="shared" si="13"/>
        <v>382592941.61000001</v>
      </c>
      <c r="BU37" s="99">
        <f t="shared" si="13"/>
        <v>280371483</v>
      </c>
      <c r="BV37" s="99">
        <f t="shared" si="13"/>
        <v>280371483</v>
      </c>
      <c r="BW37" s="99">
        <f t="shared" si="13"/>
        <v>0</v>
      </c>
      <c r="BX37" s="99">
        <f t="shared" si="13"/>
        <v>0</v>
      </c>
      <c r="BY37" s="99">
        <f>SUM(BY38:BY59)</f>
        <v>0</v>
      </c>
      <c r="BZ37" s="99">
        <f t="shared" si="13"/>
        <v>0</v>
      </c>
      <c r="CA37" s="99">
        <f t="shared" si="13"/>
        <v>0</v>
      </c>
      <c r="CB37" s="99">
        <f t="shared" si="13"/>
        <v>0</v>
      </c>
      <c r="CC37" s="99">
        <f t="shared" si="13"/>
        <v>607607091.61000001</v>
      </c>
      <c r="CD37" s="99">
        <f t="shared" si="13"/>
        <v>0</v>
      </c>
      <c r="CE37" s="99">
        <f t="shared" si="13"/>
        <v>0</v>
      </c>
      <c r="CF37" s="99">
        <f t="shared" si="13"/>
        <v>0</v>
      </c>
      <c r="CG37" s="99">
        <f t="shared" si="13"/>
        <v>0</v>
      </c>
      <c r="CH37" s="99">
        <f t="shared" si="13"/>
        <v>5025778930.7000008</v>
      </c>
      <c r="CI37" s="99">
        <f t="shared" si="13"/>
        <v>1844034891.3499999</v>
      </c>
      <c r="CJ37" s="99">
        <f t="shared" si="13"/>
        <v>0</v>
      </c>
      <c r="CK37" s="99">
        <f t="shared" si="13"/>
        <v>0</v>
      </c>
      <c r="CL37" s="99">
        <f t="shared" si="13"/>
        <v>2730264100</v>
      </c>
      <c r="CM37" s="99">
        <f t="shared" si="13"/>
        <v>0</v>
      </c>
      <c r="CN37" s="99">
        <f t="shared" si="13"/>
        <v>0</v>
      </c>
      <c r="CO37" s="99">
        <f t="shared" si="13"/>
        <v>0</v>
      </c>
      <c r="CP37" s="99">
        <f t="shared" si="13"/>
        <v>0</v>
      </c>
      <c r="CQ37" s="99">
        <f t="shared" si="13"/>
        <v>0</v>
      </c>
      <c r="CR37" s="99">
        <f t="shared" si="13"/>
        <v>451479939.35000002</v>
      </c>
      <c r="CS37" s="99">
        <f t="shared" si="13"/>
        <v>6693724590.3904991</v>
      </c>
      <c r="CT37" s="99">
        <f t="shared" si="13"/>
        <v>3398134752.4699998</v>
      </c>
      <c r="CU37" s="99">
        <f t="shared" si="13"/>
        <v>0</v>
      </c>
      <c r="CV37" s="99">
        <f t="shared" si="13"/>
        <v>0</v>
      </c>
      <c r="CW37" s="99">
        <f t="shared" si="13"/>
        <v>2830565500</v>
      </c>
      <c r="CX37" s="99">
        <f t="shared" si="13"/>
        <v>0</v>
      </c>
      <c r="CY37" s="99">
        <f t="shared" si="13"/>
        <v>0</v>
      </c>
      <c r="CZ37" s="99">
        <f t="shared" si="13"/>
        <v>0</v>
      </c>
      <c r="DA37" s="99">
        <f t="shared" si="13"/>
        <v>0</v>
      </c>
      <c r="DB37" s="99">
        <f t="shared" si="13"/>
        <v>0</v>
      </c>
      <c r="DC37" s="99">
        <f t="shared" si="13"/>
        <v>465024337.92049998</v>
      </c>
      <c r="DD37" s="99">
        <f t="shared" si="13"/>
        <v>8933191168.3281155</v>
      </c>
      <c r="DE37" s="99">
        <f t="shared" si="13"/>
        <v>5498262481.6400003</v>
      </c>
      <c r="DF37" s="99">
        <f t="shared" si="13"/>
        <v>0</v>
      </c>
      <c r="DG37" s="99">
        <f t="shared" si="13"/>
        <v>0</v>
      </c>
      <c r="DH37" s="99">
        <f t="shared" si="13"/>
        <v>2955953619</v>
      </c>
      <c r="DI37" s="99">
        <f t="shared" si="13"/>
        <v>0</v>
      </c>
      <c r="DJ37" s="99">
        <f t="shared" si="13"/>
        <v>0</v>
      </c>
      <c r="DK37" s="99">
        <f t="shared" si="13"/>
        <v>0</v>
      </c>
      <c r="DL37" s="99">
        <f t="shared" si="13"/>
        <v>0</v>
      </c>
      <c r="DM37" s="99">
        <f t="shared" si="13"/>
        <v>0</v>
      </c>
      <c r="DN37" s="100">
        <f t="shared" si="13"/>
        <v>478975067.688115</v>
      </c>
      <c r="DO37" s="99">
        <f t="shared" si="13"/>
        <v>27403902370.658611</v>
      </c>
    </row>
    <row r="38" spans="1:119" s="225" customFormat="1" ht="135.75" customHeight="1" x14ac:dyDescent="0.2">
      <c r="A38" s="244">
        <v>1</v>
      </c>
      <c r="B38" s="253" t="s">
        <v>19</v>
      </c>
      <c r="C38" s="59" t="s">
        <v>453</v>
      </c>
      <c r="D38" s="59" t="s">
        <v>266</v>
      </c>
      <c r="E38" s="55" t="s">
        <v>532</v>
      </c>
      <c r="F38" s="14" t="s">
        <v>475</v>
      </c>
      <c r="G38" s="59" t="s">
        <v>533</v>
      </c>
      <c r="H38" s="55" t="s">
        <v>532</v>
      </c>
      <c r="I38" s="13">
        <v>19</v>
      </c>
      <c r="J38" s="13" t="s">
        <v>1663</v>
      </c>
      <c r="K38" s="50">
        <v>2</v>
      </c>
      <c r="L38" s="13" t="s">
        <v>458</v>
      </c>
      <c r="M38" s="246">
        <v>12</v>
      </c>
      <c r="N38" s="244">
        <v>1905</v>
      </c>
      <c r="O38" s="245" t="s">
        <v>173</v>
      </c>
      <c r="P38" s="13" t="s">
        <v>534</v>
      </c>
      <c r="Q38" s="13">
        <v>1905012</v>
      </c>
      <c r="R38" s="13">
        <v>1905012</v>
      </c>
      <c r="S38" s="59" t="s">
        <v>267</v>
      </c>
      <c r="T38" s="13" t="s">
        <v>535</v>
      </c>
      <c r="U38" s="13">
        <v>190501200</v>
      </c>
      <c r="V38" s="13">
        <v>190501200</v>
      </c>
      <c r="W38" s="87" t="s">
        <v>267</v>
      </c>
      <c r="X38" s="88" t="s">
        <v>8</v>
      </c>
      <c r="Y38" s="13">
        <v>1</v>
      </c>
      <c r="Z38" s="13">
        <v>1</v>
      </c>
      <c r="AA38" s="13">
        <v>1</v>
      </c>
      <c r="AB38" s="13">
        <v>1</v>
      </c>
      <c r="AC38" s="13">
        <v>1</v>
      </c>
      <c r="AD38" s="13">
        <v>1</v>
      </c>
      <c r="AE38" s="89">
        <f t="shared" ref="AE38:AI59" si="14">AJ38+AO38+AT38+AY38+BD38+BI38+BN38+BS38+BX38+CC38</f>
        <v>20000000</v>
      </c>
      <c r="AF38" s="89">
        <f t="shared" si="14"/>
        <v>20000000</v>
      </c>
      <c r="AG38" s="89">
        <f t="shared" si="14"/>
        <v>7000000</v>
      </c>
      <c r="AH38" s="89">
        <f t="shared" si="14"/>
        <v>7000000</v>
      </c>
      <c r="AI38" s="89">
        <f t="shared" si="14"/>
        <v>0</v>
      </c>
      <c r="AJ38" s="91"/>
      <c r="AK38" s="91"/>
      <c r="AL38" s="91"/>
      <c r="AM38" s="91"/>
      <c r="AN38" s="91"/>
      <c r="AO38" s="91"/>
      <c r="AP38" s="91"/>
      <c r="AQ38" s="91"/>
      <c r="AR38" s="91"/>
      <c r="AS38" s="91"/>
      <c r="AT38" s="91"/>
      <c r="AU38" s="91"/>
      <c r="AV38" s="91"/>
      <c r="AW38" s="91"/>
      <c r="AX38" s="91"/>
      <c r="AY38" s="91">
        <v>20000000</v>
      </c>
      <c r="AZ38" s="91">
        <v>20000000</v>
      </c>
      <c r="BA38" s="91">
        <v>7000000</v>
      </c>
      <c r="BB38" s="91">
        <v>7000000</v>
      </c>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f t="shared" ref="CH38:CH59" si="15">CI38+CJ38+CK38+CL38+CM38+CN38+CO38+CP38+CQ38+CR38</f>
        <v>20000000</v>
      </c>
      <c r="CI38" s="91"/>
      <c r="CJ38" s="91"/>
      <c r="CK38" s="91"/>
      <c r="CL38" s="91">
        <v>20000000</v>
      </c>
      <c r="CM38" s="102"/>
      <c r="CN38" s="91"/>
      <c r="CO38" s="91"/>
      <c r="CP38" s="91"/>
      <c r="CQ38" s="91"/>
      <c r="CR38" s="91"/>
      <c r="CS38" s="91">
        <f t="shared" ref="CS38:CS59" si="16">CT38+CU38+CV38+CW38+CX38+CY38+CZ38+DA38+DB38+DC38</f>
        <v>20000000</v>
      </c>
      <c r="CT38" s="91"/>
      <c r="CU38" s="91"/>
      <c r="CV38" s="91"/>
      <c r="CW38" s="91">
        <v>20000000</v>
      </c>
      <c r="CX38" s="91"/>
      <c r="CY38" s="91"/>
      <c r="CZ38" s="91"/>
      <c r="DA38" s="91"/>
      <c r="DB38" s="91"/>
      <c r="DC38" s="91"/>
      <c r="DD38" s="91">
        <f t="shared" ref="DD38:DD59" si="17">DE38+DF38+DG38+DH38+DI38+DJ38+DK38+DL38+DM38+DN38</f>
        <v>20000000</v>
      </c>
      <c r="DE38" s="91"/>
      <c r="DF38" s="91"/>
      <c r="DG38" s="91"/>
      <c r="DH38" s="91">
        <v>20000000</v>
      </c>
      <c r="DI38" s="91"/>
      <c r="DJ38" s="91"/>
      <c r="DK38" s="91"/>
      <c r="DL38" s="91"/>
      <c r="DM38" s="91"/>
      <c r="DN38" s="92"/>
      <c r="DO38" s="93">
        <f t="shared" ref="DO38:DO59" si="18">AE38+CH38+CS38+DD38</f>
        <v>80000000</v>
      </c>
    </row>
    <row r="39" spans="1:119" s="225" customFormat="1" ht="78.75" customHeight="1" x14ac:dyDescent="0.2">
      <c r="A39" s="244">
        <v>1</v>
      </c>
      <c r="B39" s="253" t="s">
        <v>19</v>
      </c>
      <c r="C39" s="59" t="s">
        <v>453</v>
      </c>
      <c r="D39" s="59" t="s">
        <v>225</v>
      </c>
      <c r="E39" s="106">
        <v>8.7157362618207177</v>
      </c>
      <c r="F39" s="103">
        <v>2018</v>
      </c>
      <c r="G39" s="110" t="s">
        <v>462</v>
      </c>
      <c r="H39" s="55">
        <v>8.6</v>
      </c>
      <c r="I39" s="13">
        <v>19</v>
      </c>
      <c r="J39" s="13" t="s">
        <v>1663</v>
      </c>
      <c r="K39" s="50">
        <v>2</v>
      </c>
      <c r="L39" s="13" t="s">
        <v>458</v>
      </c>
      <c r="M39" s="246">
        <v>12</v>
      </c>
      <c r="N39" s="244">
        <v>1905</v>
      </c>
      <c r="O39" s="245" t="s">
        <v>173</v>
      </c>
      <c r="P39" s="13" t="s">
        <v>536</v>
      </c>
      <c r="Q39" s="13">
        <v>1905014</v>
      </c>
      <c r="R39" s="13">
        <v>1905014</v>
      </c>
      <c r="S39" s="59" t="s">
        <v>123</v>
      </c>
      <c r="T39" s="13" t="s">
        <v>537</v>
      </c>
      <c r="U39" s="13">
        <v>190501400</v>
      </c>
      <c r="V39" s="13">
        <v>190501400</v>
      </c>
      <c r="W39" s="87" t="s">
        <v>430</v>
      </c>
      <c r="X39" s="88" t="s">
        <v>8</v>
      </c>
      <c r="Y39" s="13">
        <v>12</v>
      </c>
      <c r="Z39" s="13">
        <v>12</v>
      </c>
      <c r="AA39" s="13">
        <v>12</v>
      </c>
      <c r="AB39" s="13">
        <v>12</v>
      </c>
      <c r="AC39" s="13">
        <v>12</v>
      </c>
      <c r="AD39" s="13">
        <v>12</v>
      </c>
      <c r="AE39" s="89">
        <f t="shared" si="14"/>
        <v>45000000</v>
      </c>
      <c r="AF39" s="89">
        <f t="shared" si="14"/>
        <v>27814250</v>
      </c>
      <c r="AG39" s="89">
        <f t="shared" si="14"/>
        <v>21834998</v>
      </c>
      <c r="AH39" s="89">
        <f t="shared" si="14"/>
        <v>21834998</v>
      </c>
      <c r="AI39" s="89">
        <f t="shared" si="14"/>
        <v>0</v>
      </c>
      <c r="AJ39" s="91"/>
      <c r="AK39" s="91"/>
      <c r="AL39" s="91"/>
      <c r="AM39" s="91"/>
      <c r="AN39" s="91"/>
      <c r="AO39" s="91"/>
      <c r="AP39" s="91"/>
      <c r="AQ39" s="91"/>
      <c r="AR39" s="91"/>
      <c r="AS39" s="91"/>
      <c r="AT39" s="91"/>
      <c r="AU39" s="91"/>
      <c r="AV39" s="91"/>
      <c r="AW39" s="91"/>
      <c r="AX39" s="91"/>
      <c r="AY39" s="91">
        <v>45000000</v>
      </c>
      <c r="AZ39" s="91">
        <v>27814250</v>
      </c>
      <c r="BA39" s="91">
        <v>21834998</v>
      </c>
      <c r="BB39" s="91">
        <v>21834998</v>
      </c>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f t="shared" si="15"/>
        <v>45000000</v>
      </c>
      <c r="CI39" s="91"/>
      <c r="CJ39" s="91"/>
      <c r="CK39" s="91"/>
      <c r="CL39" s="91">
        <v>45000000</v>
      </c>
      <c r="CM39" s="102"/>
      <c r="CN39" s="91"/>
      <c r="CO39" s="91"/>
      <c r="CP39" s="91"/>
      <c r="CQ39" s="91"/>
      <c r="CR39" s="91"/>
      <c r="CS39" s="91">
        <f t="shared" si="16"/>
        <v>45000000</v>
      </c>
      <c r="CT39" s="91"/>
      <c r="CU39" s="91"/>
      <c r="CV39" s="91"/>
      <c r="CW39" s="91">
        <v>45000000</v>
      </c>
      <c r="CX39" s="91"/>
      <c r="CY39" s="91"/>
      <c r="CZ39" s="91"/>
      <c r="DA39" s="91"/>
      <c r="DB39" s="91"/>
      <c r="DC39" s="91"/>
      <c r="DD39" s="91">
        <f t="shared" si="17"/>
        <v>45000000</v>
      </c>
      <c r="DE39" s="91"/>
      <c r="DF39" s="91"/>
      <c r="DG39" s="91"/>
      <c r="DH39" s="91">
        <v>45000000</v>
      </c>
      <c r="DI39" s="91"/>
      <c r="DJ39" s="91"/>
      <c r="DK39" s="91"/>
      <c r="DL39" s="91"/>
      <c r="DM39" s="91"/>
      <c r="DN39" s="92"/>
      <c r="DO39" s="93">
        <f t="shared" si="18"/>
        <v>180000000</v>
      </c>
    </row>
    <row r="40" spans="1:119" s="225" customFormat="1" ht="110.25" customHeight="1" x14ac:dyDescent="0.2">
      <c r="A40" s="244">
        <v>1</v>
      </c>
      <c r="B40" s="253" t="s">
        <v>19</v>
      </c>
      <c r="C40" s="59" t="s">
        <v>453</v>
      </c>
      <c r="D40" s="59" t="s">
        <v>230</v>
      </c>
      <c r="E40" s="107">
        <v>13</v>
      </c>
      <c r="F40" s="103">
        <v>2018</v>
      </c>
      <c r="G40" s="108" t="s">
        <v>462</v>
      </c>
      <c r="H40" s="109">
        <v>13</v>
      </c>
      <c r="I40" s="13">
        <v>19</v>
      </c>
      <c r="J40" s="13" t="s">
        <v>1663</v>
      </c>
      <c r="K40" s="50">
        <v>2</v>
      </c>
      <c r="L40" s="13" t="s">
        <v>458</v>
      </c>
      <c r="M40" s="246">
        <v>12</v>
      </c>
      <c r="N40" s="244">
        <v>1905</v>
      </c>
      <c r="O40" s="245" t="s">
        <v>173</v>
      </c>
      <c r="P40" s="13" t="s">
        <v>538</v>
      </c>
      <c r="Q40" s="13">
        <v>1905015</v>
      </c>
      <c r="R40" s="13">
        <v>1905015</v>
      </c>
      <c r="S40" s="59" t="s">
        <v>105</v>
      </c>
      <c r="T40" s="13" t="s">
        <v>539</v>
      </c>
      <c r="U40" s="13">
        <v>190501503</v>
      </c>
      <c r="V40" s="13">
        <v>190501503</v>
      </c>
      <c r="W40" s="87" t="s">
        <v>540</v>
      </c>
      <c r="X40" s="88" t="s">
        <v>8</v>
      </c>
      <c r="Y40" s="13">
        <v>15</v>
      </c>
      <c r="Z40" s="13">
        <v>15</v>
      </c>
      <c r="AA40" s="13">
        <v>7</v>
      </c>
      <c r="AB40" s="13">
        <v>15</v>
      </c>
      <c r="AC40" s="13">
        <v>15</v>
      </c>
      <c r="AD40" s="13">
        <v>15</v>
      </c>
      <c r="AE40" s="89">
        <f t="shared" si="14"/>
        <v>100126107.14</v>
      </c>
      <c r="AF40" s="89">
        <f t="shared" si="14"/>
        <v>29426107.140000001</v>
      </c>
      <c r="AG40" s="89">
        <f t="shared" si="14"/>
        <v>4000000</v>
      </c>
      <c r="AH40" s="89">
        <f t="shared" si="14"/>
        <v>4000000</v>
      </c>
      <c r="AI40" s="89">
        <f t="shared" si="14"/>
        <v>0</v>
      </c>
      <c r="AJ40" s="91"/>
      <c r="AK40" s="91"/>
      <c r="AL40" s="91"/>
      <c r="AM40" s="91"/>
      <c r="AN40" s="91"/>
      <c r="AO40" s="91"/>
      <c r="AP40" s="91"/>
      <c r="AQ40" s="91"/>
      <c r="AR40" s="91"/>
      <c r="AS40" s="91"/>
      <c r="AT40" s="91"/>
      <c r="AU40" s="91"/>
      <c r="AV40" s="91"/>
      <c r="AW40" s="91"/>
      <c r="AX40" s="91"/>
      <c r="AY40" s="91">
        <v>100126107.14</v>
      </c>
      <c r="AZ40" s="91">
        <v>29426107.140000001</v>
      </c>
      <c r="BA40" s="91">
        <v>4000000</v>
      </c>
      <c r="BB40" s="91">
        <v>4000000</v>
      </c>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f t="shared" si="15"/>
        <v>80000000</v>
      </c>
      <c r="CI40" s="91"/>
      <c r="CJ40" s="91"/>
      <c r="CK40" s="91"/>
      <c r="CL40" s="91">
        <v>80000000</v>
      </c>
      <c r="CM40" s="102"/>
      <c r="CN40" s="91"/>
      <c r="CO40" s="91"/>
      <c r="CP40" s="91"/>
      <c r="CQ40" s="91"/>
      <c r="CR40" s="91"/>
      <c r="CS40" s="91">
        <f t="shared" si="16"/>
        <v>80000000</v>
      </c>
      <c r="CT40" s="91"/>
      <c r="CU40" s="91"/>
      <c r="CV40" s="91"/>
      <c r="CW40" s="91">
        <v>80000000</v>
      </c>
      <c r="CX40" s="91"/>
      <c r="CY40" s="91"/>
      <c r="CZ40" s="91"/>
      <c r="DA40" s="91"/>
      <c r="DB40" s="91"/>
      <c r="DC40" s="91"/>
      <c r="DD40" s="91">
        <f t="shared" si="17"/>
        <v>80000000</v>
      </c>
      <c r="DE40" s="91"/>
      <c r="DF40" s="91"/>
      <c r="DG40" s="91"/>
      <c r="DH40" s="91">
        <v>80000000</v>
      </c>
      <c r="DI40" s="91"/>
      <c r="DJ40" s="91"/>
      <c r="DK40" s="91"/>
      <c r="DL40" s="91"/>
      <c r="DM40" s="91"/>
      <c r="DN40" s="92"/>
      <c r="DO40" s="93">
        <f t="shared" si="18"/>
        <v>340126107.13999999</v>
      </c>
    </row>
    <row r="41" spans="1:119" s="225" customFormat="1" ht="47.25" customHeight="1" x14ac:dyDescent="0.2">
      <c r="A41" s="244">
        <v>1</v>
      </c>
      <c r="B41" s="253" t="s">
        <v>19</v>
      </c>
      <c r="C41" s="59" t="s">
        <v>453</v>
      </c>
      <c r="D41" s="59" t="s">
        <v>253</v>
      </c>
      <c r="E41" s="55">
        <v>0</v>
      </c>
      <c r="F41" s="14">
        <v>2018</v>
      </c>
      <c r="G41" s="59" t="s">
        <v>462</v>
      </c>
      <c r="H41" s="55">
        <v>0</v>
      </c>
      <c r="I41" s="13">
        <v>19</v>
      </c>
      <c r="J41" s="13" t="s">
        <v>1663</v>
      </c>
      <c r="K41" s="50">
        <v>2</v>
      </c>
      <c r="L41" s="13" t="s">
        <v>458</v>
      </c>
      <c r="M41" s="246">
        <v>12</v>
      </c>
      <c r="N41" s="244">
        <v>1905</v>
      </c>
      <c r="O41" s="245" t="s">
        <v>173</v>
      </c>
      <c r="P41" s="13" t="s">
        <v>541</v>
      </c>
      <c r="Q41" s="13">
        <v>1905019</v>
      </c>
      <c r="R41" s="13">
        <v>1905019</v>
      </c>
      <c r="S41" s="59" t="s">
        <v>254</v>
      </c>
      <c r="T41" s="13" t="s">
        <v>542</v>
      </c>
      <c r="U41" s="13">
        <v>190501900</v>
      </c>
      <c r="V41" s="13">
        <v>190501900</v>
      </c>
      <c r="W41" s="87" t="s">
        <v>543</v>
      </c>
      <c r="X41" s="88" t="s">
        <v>8</v>
      </c>
      <c r="Y41" s="13">
        <v>60</v>
      </c>
      <c r="Z41" s="13">
        <v>60</v>
      </c>
      <c r="AA41" s="13">
        <v>60</v>
      </c>
      <c r="AB41" s="13">
        <v>60</v>
      </c>
      <c r="AC41" s="13">
        <v>60</v>
      </c>
      <c r="AD41" s="13">
        <v>60</v>
      </c>
      <c r="AE41" s="89">
        <f t="shared" si="14"/>
        <v>20000000</v>
      </c>
      <c r="AF41" s="89">
        <f t="shared" si="14"/>
        <v>15000000</v>
      </c>
      <c r="AG41" s="89">
        <f t="shared" si="14"/>
        <v>7100000</v>
      </c>
      <c r="AH41" s="89">
        <f t="shared" si="14"/>
        <v>7100000</v>
      </c>
      <c r="AI41" s="89">
        <f t="shared" si="14"/>
        <v>0</v>
      </c>
      <c r="AJ41" s="91"/>
      <c r="AK41" s="91"/>
      <c r="AL41" s="91"/>
      <c r="AM41" s="91"/>
      <c r="AN41" s="91"/>
      <c r="AO41" s="91"/>
      <c r="AP41" s="91"/>
      <c r="AQ41" s="91"/>
      <c r="AR41" s="91"/>
      <c r="AS41" s="91"/>
      <c r="AT41" s="91"/>
      <c r="AU41" s="91"/>
      <c r="AV41" s="91"/>
      <c r="AW41" s="91"/>
      <c r="AX41" s="91"/>
      <c r="AY41" s="91">
        <v>20000000</v>
      </c>
      <c r="AZ41" s="91">
        <v>15000000</v>
      </c>
      <c r="BA41" s="91">
        <v>7100000</v>
      </c>
      <c r="BB41" s="91">
        <v>7100000</v>
      </c>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f t="shared" si="15"/>
        <v>20000000</v>
      </c>
      <c r="CI41" s="91"/>
      <c r="CJ41" s="91"/>
      <c r="CK41" s="91"/>
      <c r="CL41" s="91">
        <v>20000000</v>
      </c>
      <c r="CM41" s="102"/>
      <c r="CN41" s="91"/>
      <c r="CO41" s="91"/>
      <c r="CP41" s="91"/>
      <c r="CQ41" s="91"/>
      <c r="CR41" s="91"/>
      <c r="CS41" s="91">
        <f t="shared" si="16"/>
        <v>20000000</v>
      </c>
      <c r="CT41" s="91"/>
      <c r="CU41" s="91"/>
      <c r="CV41" s="91"/>
      <c r="CW41" s="91">
        <v>20000000</v>
      </c>
      <c r="CX41" s="91"/>
      <c r="CY41" s="91"/>
      <c r="CZ41" s="91"/>
      <c r="DA41" s="91"/>
      <c r="DB41" s="91"/>
      <c r="DC41" s="91"/>
      <c r="DD41" s="91">
        <f t="shared" si="17"/>
        <v>30000000</v>
      </c>
      <c r="DE41" s="91"/>
      <c r="DF41" s="91"/>
      <c r="DG41" s="91"/>
      <c r="DH41" s="91">
        <v>30000000</v>
      </c>
      <c r="DI41" s="91"/>
      <c r="DJ41" s="91"/>
      <c r="DK41" s="91"/>
      <c r="DL41" s="91"/>
      <c r="DM41" s="91"/>
      <c r="DN41" s="92"/>
      <c r="DO41" s="93">
        <f t="shared" si="18"/>
        <v>90000000</v>
      </c>
    </row>
    <row r="42" spans="1:119" s="225" customFormat="1" ht="141.75" customHeight="1" x14ac:dyDescent="0.2">
      <c r="A42" s="244">
        <v>1</v>
      </c>
      <c r="B42" s="253" t="s">
        <v>19</v>
      </c>
      <c r="C42" s="59" t="s">
        <v>453</v>
      </c>
      <c r="D42" s="59" t="s">
        <v>233</v>
      </c>
      <c r="E42" s="55">
        <v>81.5</v>
      </c>
      <c r="F42" s="14">
        <v>2018</v>
      </c>
      <c r="G42" s="59" t="s">
        <v>481</v>
      </c>
      <c r="H42" s="55">
        <v>71.12</v>
      </c>
      <c r="I42" s="13">
        <v>19</v>
      </c>
      <c r="J42" s="13" t="s">
        <v>1663</v>
      </c>
      <c r="K42" s="50">
        <v>2</v>
      </c>
      <c r="L42" s="13" t="s">
        <v>458</v>
      </c>
      <c r="M42" s="246">
        <v>12</v>
      </c>
      <c r="N42" s="244">
        <v>1905</v>
      </c>
      <c r="O42" s="245" t="s">
        <v>173</v>
      </c>
      <c r="P42" s="13" t="s">
        <v>544</v>
      </c>
      <c r="Q42" s="13">
        <v>1905020</v>
      </c>
      <c r="R42" s="13">
        <v>1905020</v>
      </c>
      <c r="S42" s="59" t="s">
        <v>263</v>
      </c>
      <c r="T42" s="13" t="s">
        <v>545</v>
      </c>
      <c r="U42" s="13">
        <v>190502000</v>
      </c>
      <c r="V42" s="13">
        <v>190502000</v>
      </c>
      <c r="W42" s="87" t="s">
        <v>546</v>
      </c>
      <c r="X42" s="88" t="s">
        <v>8</v>
      </c>
      <c r="Y42" s="13">
        <v>12</v>
      </c>
      <c r="Z42" s="13">
        <v>12</v>
      </c>
      <c r="AA42" s="13">
        <v>9</v>
      </c>
      <c r="AB42" s="13">
        <v>12</v>
      </c>
      <c r="AC42" s="13">
        <v>12</v>
      </c>
      <c r="AD42" s="13">
        <v>12</v>
      </c>
      <c r="AE42" s="89">
        <f t="shared" si="14"/>
        <v>40000000</v>
      </c>
      <c r="AF42" s="89">
        <f t="shared" si="14"/>
        <v>33000000</v>
      </c>
      <c r="AG42" s="89">
        <f t="shared" si="14"/>
        <v>23893334</v>
      </c>
      <c r="AH42" s="89">
        <f t="shared" si="14"/>
        <v>23893334</v>
      </c>
      <c r="AI42" s="89">
        <f t="shared" si="14"/>
        <v>0</v>
      </c>
      <c r="AJ42" s="91"/>
      <c r="AK42" s="91"/>
      <c r="AL42" s="91"/>
      <c r="AM42" s="91"/>
      <c r="AN42" s="91"/>
      <c r="AO42" s="91"/>
      <c r="AP42" s="91"/>
      <c r="AQ42" s="91"/>
      <c r="AR42" s="91"/>
      <c r="AS42" s="91"/>
      <c r="AT42" s="91"/>
      <c r="AU42" s="91"/>
      <c r="AV42" s="91"/>
      <c r="AW42" s="91"/>
      <c r="AX42" s="91"/>
      <c r="AY42" s="91">
        <v>40000000</v>
      </c>
      <c r="AZ42" s="91">
        <v>33000000</v>
      </c>
      <c r="BA42" s="91">
        <v>23893334</v>
      </c>
      <c r="BB42" s="91">
        <v>23893334</v>
      </c>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f t="shared" si="15"/>
        <v>40000000</v>
      </c>
      <c r="CI42" s="91"/>
      <c r="CJ42" s="91"/>
      <c r="CK42" s="91"/>
      <c r="CL42" s="91">
        <v>40000000</v>
      </c>
      <c r="CM42" s="102"/>
      <c r="CN42" s="91"/>
      <c r="CO42" s="91"/>
      <c r="CP42" s="91"/>
      <c r="CQ42" s="91"/>
      <c r="CR42" s="91"/>
      <c r="CS42" s="91">
        <f t="shared" si="16"/>
        <v>41850000</v>
      </c>
      <c r="CT42" s="91"/>
      <c r="CU42" s="91"/>
      <c r="CV42" s="91"/>
      <c r="CW42" s="91">
        <v>41850000</v>
      </c>
      <c r="CX42" s="91"/>
      <c r="CY42" s="91"/>
      <c r="CZ42" s="91"/>
      <c r="DA42" s="91"/>
      <c r="DB42" s="91"/>
      <c r="DC42" s="91"/>
      <c r="DD42" s="91">
        <f t="shared" si="17"/>
        <v>41850000</v>
      </c>
      <c r="DE42" s="91"/>
      <c r="DF42" s="91"/>
      <c r="DG42" s="91"/>
      <c r="DH42" s="91">
        <v>41850000</v>
      </c>
      <c r="DI42" s="91"/>
      <c r="DJ42" s="91"/>
      <c r="DK42" s="91"/>
      <c r="DL42" s="91"/>
      <c r="DM42" s="91"/>
      <c r="DN42" s="92"/>
      <c r="DO42" s="93">
        <f t="shared" si="18"/>
        <v>163700000</v>
      </c>
    </row>
    <row r="43" spans="1:119" s="225" customFormat="1" ht="165.75" customHeight="1" x14ac:dyDescent="0.2">
      <c r="A43" s="244">
        <v>1</v>
      </c>
      <c r="B43" s="253" t="s">
        <v>19</v>
      </c>
      <c r="C43" s="94" t="s">
        <v>453</v>
      </c>
      <c r="D43" s="59" t="s">
        <v>174</v>
      </c>
      <c r="E43" s="55" t="s">
        <v>547</v>
      </c>
      <c r="F43" s="14" t="s">
        <v>548</v>
      </c>
      <c r="G43" s="59" t="s">
        <v>549</v>
      </c>
      <c r="H43" s="55" t="s">
        <v>550</v>
      </c>
      <c r="I43" s="13">
        <v>19</v>
      </c>
      <c r="J43" s="13" t="s">
        <v>1663</v>
      </c>
      <c r="K43" s="50">
        <v>2</v>
      </c>
      <c r="L43" s="13" t="s">
        <v>458</v>
      </c>
      <c r="M43" s="246">
        <v>12</v>
      </c>
      <c r="N43" s="244">
        <v>1905</v>
      </c>
      <c r="O43" s="245" t="s">
        <v>173</v>
      </c>
      <c r="P43" s="13" t="s">
        <v>551</v>
      </c>
      <c r="Q43" s="13">
        <v>1905021</v>
      </c>
      <c r="R43" s="13">
        <v>1905021</v>
      </c>
      <c r="S43" s="59" t="s">
        <v>175</v>
      </c>
      <c r="T43" s="13" t="s">
        <v>552</v>
      </c>
      <c r="U43" s="13">
        <v>190502100</v>
      </c>
      <c r="V43" s="13">
        <v>190502100</v>
      </c>
      <c r="W43" s="87" t="s">
        <v>553</v>
      </c>
      <c r="X43" s="88" t="s">
        <v>8</v>
      </c>
      <c r="Y43" s="13">
        <v>12</v>
      </c>
      <c r="Z43" s="13">
        <v>12</v>
      </c>
      <c r="AA43" s="13">
        <v>12</v>
      </c>
      <c r="AB43" s="13">
        <v>12</v>
      </c>
      <c r="AC43" s="13">
        <v>12</v>
      </c>
      <c r="AD43" s="13">
        <v>12</v>
      </c>
      <c r="AE43" s="89">
        <f t="shared" si="14"/>
        <v>113000000</v>
      </c>
      <c r="AF43" s="89">
        <f t="shared" si="14"/>
        <v>99000000</v>
      </c>
      <c r="AG43" s="89">
        <f t="shared" si="14"/>
        <v>44000000</v>
      </c>
      <c r="AH43" s="89">
        <f t="shared" si="14"/>
        <v>44000000</v>
      </c>
      <c r="AI43" s="89">
        <f t="shared" si="14"/>
        <v>0</v>
      </c>
      <c r="AJ43" s="91">
        <v>25000000</v>
      </c>
      <c r="AK43" s="44">
        <v>35000000</v>
      </c>
      <c r="AL43" s="7">
        <v>20266667</v>
      </c>
      <c r="AM43" s="91">
        <v>20266667</v>
      </c>
      <c r="AN43" s="91"/>
      <c r="AO43" s="91"/>
      <c r="AP43" s="91"/>
      <c r="AQ43" s="91"/>
      <c r="AR43" s="91"/>
      <c r="AS43" s="91"/>
      <c r="AT43" s="91"/>
      <c r="AU43" s="91"/>
      <c r="AV43" s="91"/>
      <c r="AW43" s="91"/>
      <c r="AX43" s="91"/>
      <c r="AY43" s="91">
        <v>88000000</v>
      </c>
      <c r="AZ43" s="91">
        <v>64000000</v>
      </c>
      <c r="BA43" s="91">
        <v>23733333</v>
      </c>
      <c r="BB43" s="91">
        <v>23733333</v>
      </c>
      <c r="BC43" s="91"/>
      <c r="BD43" s="91"/>
      <c r="BE43" s="91"/>
      <c r="BF43" s="91"/>
      <c r="BG43" s="91"/>
      <c r="BH43" s="91"/>
      <c r="BI43" s="91"/>
      <c r="BJ43" s="91"/>
      <c r="BK43" s="91"/>
      <c r="BL43" s="91"/>
      <c r="BM43" s="91"/>
      <c r="BN43" s="91"/>
      <c r="BO43" s="91"/>
      <c r="BP43" s="91"/>
      <c r="BQ43" s="91"/>
      <c r="BR43" s="91"/>
      <c r="BS43" s="91"/>
      <c r="BT43" s="91"/>
      <c r="BU43" s="91"/>
      <c r="BV43" s="91"/>
      <c r="BW43" s="91"/>
      <c r="BX43" s="91"/>
      <c r="BY43" s="91"/>
      <c r="BZ43" s="91"/>
      <c r="CA43" s="91"/>
      <c r="CB43" s="91"/>
      <c r="CC43" s="91"/>
      <c r="CD43" s="44"/>
      <c r="CE43" s="45"/>
      <c r="CF43" s="91"/>
      <c r="CG43" s="91"/>
      <c r="CH43" s="91">
        <f t="shared" si="15"/>
        <v>123200000</v>
      </c>
      <c r="CI43" s="91">
        <v>15200000</v>
      </c>
      <c r="CJ43" s="91"/>
      <c r="CK43" s="91"/>
      <c r="CL43" s="91">
        <v>108000000</v>
      </c>
      <c r="CM43" s="102"/>
      <c r="CN43" s="91"/>
      <c r="CO43" s="91"/>
      <c r="CP43" s="91"/>
      <c r="CQ43" s="91"/>
      <c r="CR43" s="91"/>
      <c r="CS43" s="91">
        <f t="shared" si="16"/>
        <v>138000000</v>
      </c>
      <c r="CT43" s="91">
        <v>30000000</v>
      </c>
      <c r="CU43" s="91"/>
      <c r="CV43" s="91"/>
      <c r="CW43" s="91">
        <v>108000000</v>
      </c>
      <c r="CX43" s="91"/>
      <c r="CY43" s="91"/>
      <c r="CZ43" s="91"/>
      <c r="DA43" s="91"/>
      <c r="DB43" s="91"/>
      <c r="DC43" s="91"/>
      <c r="DD43" s="91">
        <f t="shared" si="17"/>
        <v>182582400</v>
      </c>
      <c r="DE43" s="91">
        <v>74582400</v>
      </c>
      <c r="DF43" s="91"/>
      <c r="DG43" s="91"/>
      <c r="DH43" s="91">
        <v>108000000</v>
      </c>
      <c r="DI43" s="91"/>
      <c r="DJ43" s="91"/>
      <c r="DK43" s="91"/>
      <c r="DL43" s="91"/>
      <c r="DM43" s="91"/>
      <c r="DN43" s="92"/>
      <c r="DO43" s="93">
        <f t="shared" si="18"/>
        <v>556782400</v>
      </c>
    </row>
    <row r="44" spans="1:119" s="225" customFormat="1" ht="147" customHeight="1" x14ac:dyDescent="0.2">
      <c r="A44" s="244">
        <v>1</v>
      </c>
      <c r="B44" s="253" t="s">
        <v>19</v>
      </c>
      <c r="C44" s="59" t="s">
        <v>453</v>
      </c>
      <c r="D44" s="59" t="s">
        <v>1645</v>
      </c>
      <c r="E44" s="55" t="s">
        <v>554</v>
      </c>
      <c r="F44" s="14" t="s">
        <v>555</v>
      </c>
      <c r="G44" s="59" t="s">
        <v>556</v>
      </c>
      <c r="H44" s="55" t="s">
        <v>557</v>
      </c>
      <c r="I44" s="13">
        <v>19</v>
      </c>
      <c r="J44" s="13" t="s">
        <v>1663</v>
      </c>
      <c r="K44" s="50">
        <v>2</v>
      </c>
      <c r="L44" s="13" t="s">
        <v>458</v>
      </c>
      <c r="M44" s="246">
        <v>12</v>
      </c>
      <c r="N44" s="244">
        <v>1905</v>
      </c>
      <c r="O44" s="245" t="s">
        <v>173</v>
      </c>
      <c r="P44" s="13" t="s">
        <v>558</v>
      </c>
      <c r="Q44" s="13">
        <v>1905022</v>
      </c>
      <c r="R44" s="13">
        <v>1905022</v>
      </c>
      <c r="S44" s="59" t="s">
        <v>176</v>
      </c>
      <c r="T44" s="13" t="s">
        <v>559</v>
      </c>
      <c r="U44" s="13">
        <v>190502200</v>
      </c>
      <c r="V44" s="13">
        <v>190502200</v>
      </c>
      <c r="W44" s="87" t="s">
        <v>560</v>
      </c>
      <c r="X44" s="88" t="s">
        <v>8</v>
      </c>
      <c r="Y44" s="13">
        <v>12</v>
      </c>
      <c r="Z44" s="13">
        <v>12</v>
      </c>
      <c r="AA44" s="13">
        <v>12</v>
      </c>
      <c r="AB44" s="13">
        <v>12</v>
      </c>
      <c r="AC44" s="13">
        <v>12</v>
      </c>
      <c r="AD44" s="13">
        <v>12</v>
      </c>
      <c r="AE44" s="89">
        <f t="shared" si="14"/>
        <v>89477635</v>
      </c>
      <c r="AF44" s="89">
        <f t="shared" si="14"/>
        <v>71977635</v>
      </c>
      <c r="AG44" s="89">
        <f t="shared" si="14"/>
        <v>63427140</v>
      </c>
      <c r="AH44" s="89">
        <f t="shared" si="14"/>
        <v>63427140</v>
      </c>
      <c r="AI44" s="89">
        <f t="shared" si="14"/>
        <v>0</v>
      </c>
      <c r="AJ44" s="91">
        <v>29477635</v>
      </c>
      <c r="AK44" s="91">
        <v>19477635</v>
      </c>
      <c r="AL44" s="91">
        <v>16853806</v>
      </c>
      <c r="AM44" s="91">
        <v>16853806</v>
      </c>
      <c r="AN44" s="91"/>
      <c r="AO44" s="91"/>
      <c r="AP44" s="91"/>
      <c r="AQ44" s="91"/>
      <c r="AR44" s="91"/>
      <c r="AS44" s="91"/>
      <c r="AT44" s="91"/>
      <c r="AU44" s="91"/>
      <c r="AV44" s="91"/>
      <c r="AW44" s="91"/>
      <c r="AX44" s="91"/>
      <c r="AY44" s="91">
        <v>60000000</v>
      </c>
      <c r="AZ44" s="91">
        <f>39526666+12973334</f>
        <v>52500000</v>
      </c>
      <c r="BA44" s="91">
        <v>46573334</v>
      </c>
      <c r="BB44" s="91">
        <v>46573334</v>
      </c>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44"/>
      <c r="CE44" s="7"/>
      <c r="CF44" s="91"/>
      <c r="CG44" s="91"/>
      <c r="CH44" s="91">
        <f t="shared" si="15"/>
        <v>75200000</v>
      </c>
      <c r="CI44" s="91">
        <v>15200000</v>
      </c>
      <c r="CJ44" s="91"/>
      <c r="CK44" s="91"/>
      <c r="CL44" s="91">
        <v>60000000</v>
      </c>
      <c r="CM44" s="102"/>
      <c r="CN44" s="91"/>
      <c r="CO44" s="91"/>
      <c r="CP44" s="91"/>
      <c r="CQ44" s="91"/>
      <c r="CR44" s="91"/>
      <c r="CS44" s="91">
        <f t="shared" si="16"/>
        <v>121766400</v>
      </c>
      <c r="CT44" s="91">
        <v>31766400</v>
      </c>
      <c r="CU44" s="91"/>
      <c r="CV44" s="91"/>
      <c r="CW44" s="91">
        <v>90000000</v>
      </c>
      <c r="CX44" s="91"/>
      <c r="CY44" s="91"/>
      <c r="CZ44" s="91"/>
      <c r="DA44" s="91"/>
      <c r="DB44" s="91"/>
      <c r="DC44" s="91"/>
      <c r="DD44" s="91">
        <f t="shared" si="17"/>
        <v>140000000</v>
      </c>
      <c r="DE44" s="91">
        <v>50000000</v>
      </c>
      <c r="DF44" s="91"/>
      <c r="DG44" s="91"/>
      <c r="DH44" s="91">
        <v>90000000</v>
      </c>
      <c r="DI44" s="91"/>
      <c r="DJ44" s="91"/>
      <c r="DK44" s="91"/>
      <c r="DL44" s="91"/>
      <c r="DM44" s="91"/>
      <c r="DN44" s="92"/>
      <c r="DO44" s="93">
        <f t="shared" si="18"/>
        <v>426444035</v>
      </c>
    </row>
    <row r="45" spans="1:119" s="225" customFormat="1" ht="141.75" customHeight="1" x14ac:dyDescent="0.2">
      <c r="A45" s="244">
        <v>1</v>
      </c>
      <c r="B45" s="253" t="s">
        <v>19</v>
      </c>
      <c r="C45" s="94" t="s">
        <v>453</v>
      </c>
      <c r="D45" s="59" t="s">
        <v>264</v>
      </c>
      <c r="E45" s="106" t="s">
        <v>561</v>
      </c>
      <c r="F45" s="14" t="s">
        <v>455</v>
      </c>
      <c r="G45" s="110" t="s">
        <v>562</v>
      </c>
      <c r="H45" s="55" t="s">
        <v>563</v>
      </c>
      <c r="I45" s="13">
        <v>19</v>
      </c>
      <c r="J45" s="13" t="s">
        <v>1663</v>
      </c>
      <c r="K45" s="50">
        <v>2</v>
      </c>
      <c r="L45" s="13" t="s">
        <v>458</v>
      </c>
      <c r="M45" s="246">
        <v>12</v>
      </c>
      <c r="N45" s="244">
        <v>1905</v>
      </c>
      <c r="O45" s="245" t="s">
        <v>173</v>
      </c>
      <c r="P45" s="13" t="s">
        <v>564</v>
      </c>
      <c r="Q45" s="13">
        <v>1905023</v>
      </c>
      <c r="R45" s="13">
        <v>1905023</v>
      </c>
      <c r="S45" s="59" t="s">
        <v>265</v>
      </c>
      <c r="T45" s="115" t="s">
        <v>565</v>
      </c>
      <c r="U45" s="13">
        <v>190502300</v>
      </c>
      <c r="V45" s="13">
        <v>190502300</v>
      </c>
      <c r="W45" s="87" t="s">
        <v>566</v>
      </c>
      <c r="X45" s="88" t="s">
        <v>8</v>
      </c>
      <c r="Y45" s="13">
        <v>12</v>
      </c>
      <c r="Z45" s="13">
        <v>12</v>
      </c>
      <c r="AA45" s="13">
        <v>3</v>
      </c>
      <c r="AB45" s="13">
        <v>12</v>
      </c>
      <c r="AC45" s="13">
        <v>12</v>
      </c>
      <c r="AD45" s="13">
        <v>12</v>
      </c>
      <c r="AE45" s="89">
        <f t="shared" si="14"/>
        <v>110000000</v>
      </c>
      <c r="AF45" s="89">
        <f t="shared" si="14"/>
        <v>110000000</v>
      </c>
      <c r="AG45" s="89">
        <f t="shared" si="14"/>
        <v>63939199</v>
      </c>
      <c r="AH45" s="89">
        <f t="shared" si="14"/>
        <v>63939199</v>
      </c>
      <c r="AI45" s="89">
        <f t="shared" si="14"/>
        <v>0</v>
      </c>
      <c r="AJ45" s="91"/>
      <c r="AK45" s="91"/>
      <c r="AL45" s="91"/>
      <c r="AM45" s="91"/>
      <c r="AN45" s="91"/>
      <c r="AO45" s="91"/>
      <c r="AP45" s="91"/>
      <c r="AQ45" s="91"/>
      <c r="AR45" s="91"/>
      <c r="AS45" s="91"/>
      <c r="AT45" s="91"/>
      <c r="AU45" s="91"/>
      <c r="AV45" s="91"/>
      <c r="AW45" s="91"/>
      <c r="AX45" s="91"/>
      <c r="AY45" s="91">
        <v>110000000</v>
      </c>
      <c r="AZ45" s="91">
        <v>110000000</v>
      </c>
      <c r="BA45" s="91">
        <v>63939199</v>
      </c>
      <c r="BB45" s="91">
        <v>63939199</v>
      </c>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f t="shared" si="15"/>
        <v>110000000</v>
      </c>
      <c r="CI45" s="91"/>
      <c r="CJ45" s="91"/>
      <c r="CK45" s="91"/>
      <c r="CL45" s="91">
        <v>110000000</v>
      </c>
      <c r="CM45" s="102"/>
      <c r="CN45" s="91"/>
      <c r="CO45" s="91"/>
      <c r="CP45" s="91"/>
      <c r="CQ45" s="91"/>
      <c r="CR45" s="91"/>
      <c r="CS45" s="91">
        <f t="shared" si="16"/>
        <v>110000000</v>
      </c>
      <c r="CT45" s="91"/>
      <c r="CU45" s="91"/>
      <c r="CV45" s="91"/>
      <c r="CW45" s="91">
        <v>110000000</v>
      </c>
      <c r="CX45" s="91"/>
      <c r="CY45" s="91"/>
      <c r="CZ45" s="91"/>
      <c r="DA45" s="91"/>
      <c r="DB45" s="91"/>
      <c r="DC45" s="91"/>
      <c r="DD45" s="91">
        <f t="shared" si="17"/>
        <v>110000000</v>
      </c>
      <c r="DE45" s="91"/>
      <c r="DF45" s="91"/>
      <c r="DG45" s="91"/>
      <c r="DH45" s="91">
        <v>110000000</v>
      </c>
      <c r="DI45" s="91"/>
      <c r="DJ45" s="91"/>
      <c r="DK45" s="91"/>
      <c r="DL45" s="91"/>
      <c r="DM45" s="91"/>
      <c r="DN45" s="92"/>
      <c r="DO45" s="93">
        <f t="shared" si="18"/>
        <v>440000000</v>
      </c>
    </row>
    <row r="46" spans="1:119" s="225" customFormat="1" ht="157.5" customHeight="1" x14ac:dyDescent="0.2">
      <c r="A46" s="244">
        <v>1</v>
      </c>
      <c r="B46" s="253" t="s">
        <v>19</v>
      </c>
      <c r="C46" s="59" t="s">
        <v>453</v>
      </c>
      <c r="D46" s="59" t="s">
        <v>244</v>
      </c>
      <c r="E46" s="55">
        <v>89.22</v>
      </c>
      <c r="F46" s="14">
        <v>2018</v>
      </c>
      <c r="G46" s="59" t="s">
        <v>518</v>
      </c>
      <c r="H46" s="55">
        <v>100</v>
      </c>
      <c r="I46" s="13">
        <v>19</v>
      </c>
      <c r="J46" s="13" t="s">
        <v>1663</v>
      </c>
      <c r="K46" s="50">
        <v>2</v>
      </c>
      <c r="L46" s="13" t="s">
        <v>458</v>
      </c>
      <c r="M46" s="246">
        <v>12</v>
      </c>
      <c r="N46" s="244">
        <v>1905</v>
      </c>
      <c r="O46" s="245" t="s">
        <v>173</v>
      </c>
      <c r="P46" s="13" t="s">
        <v>567</v>
      </c>
      <c r="Q46" s="13">
        <v>1905025</v>
      </c>
      <c r="R46" s="13">
        <v>1905025</v>
      </c>
      <c r="S46" s="59" t="s">
        <v>272</v>
      </c>
      <c r="T46" s="116" t="s">
        <v>568</v>
      </c>
      <c r="U46" s="13">
        <v>190502500</v>
      </c>
      <c r="V46" s="13">
        <v>190502500</v>
      </c>
      <c r="W46" s="87" t="s">
        <v>569</v>
      </c>
      <c r="X46" s="88" t="s">
        <v>8</v>
      </c>
      <c r="Y46" s="13">
        <v>12</v>
      </c>
      <c r="Z46" s="13">
        <v>12</v>
      </c>
      <c r="AA46" s="13">
        <v>12</v>
      </c>
      <c r="AB46" s="13">
        <v>12</v>
      </c>
      <c r="AC46" s="13">
        <v>12</v>
      </c>
      <c r="AD46" s="13">
        <v>12</v>
      </c>
      <c r="AE46" s="89">
        <f t="shared" si="14"/>
        <v>76000000</v>
      </c>
      <c r="AF46" s="89">
        <f t="shared" si="14"/>
        <v>75200000</v>
      </c>
      <c r="AG46" s="89">
        <f t="shared" si="14"/>
        <v>61813328</v>
      </c>
      <c r="AH46" s="89">
        <f t="shared" si="14"/>
        <v>61813328</v>
      </c>
      <c r="AI46" s="89">
        <f t="shared" si="14"/>
        <v>0</v>
      </c>
      <c r="AJ46" s="91"/>
      <c r="AK46" s="91"/>
      <c r="AL46" s="91"/>
      <c r="AM46" s="91"/>
      <c r="AN46" s="91"/>
      <c r="AO46" s="91"/>
      <c r="AP46" s="91"/>
      <c r="AQ46" s="91"/>
      <c r="AR46" s="91"/>
      <c r="AS46" s="91"/>
      <c r="AT46" s="91"/>
      <c r="AU46" s="91"/>
      <c r="AV46" s="91"/>
      <c r="AW46" s="91"/>
      <c r="AX46" s="91"/>
      <c r="AY46" s="91">
        <v>76000000</v>
      </c>
      <c r="AZ46" s="91">
        <v>75200000</v>
      </c>
      <c r="BA46" s="91">
        <v>61813328</v>
      </c>
      <c r="BB46" s="91">
        <v>61813328</v>
      </c>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91">
        <f t="shared" si="15"/>
        <v>88414100</v>
      </c>
      <c r="CI46" s="91"/>
      <c r="CJ46" s="91"/>
      <c r="CK46" s="91"/>
      <c r="CL46" s="91">
        <v>88414100</v>
      </c>
      <c r="CM46" s="102"/>
      <c r="CN46" s="91"/>
      <c r="CO46" s="91"/>
      <c r="CP46" s="91"/>
      <c r="CQ46" s="91"/>
      <c r="CR46" s="91"/>
      <c r="CS46" s="91">
        <f t="shared" si="16"/>
        <v>108715500</v>
      </c>
      <c r="CT46" s="91"/>
      <c r="CU46" s="91"/>
      <c r="CV46" s="91"/>
      <c r="CW46" s="91">
        <v>108715500</v>
      </c>
      <c r="CX46" s="91"/>
      <c r="CY46" s="91"/>
      <c r="CZ46" s="91"/>
      <c r="DA46" s="91"/>
      <c r="DB46" s="91"/>
      <c r="DC46" s="91"/>
      <c r="DD46" s="91">
        <f t="shared" si="17"/>
        <v>108715500</v>
      </c>
      <c r="DE46" s="91"/>
      <c r="DF46" s="91"/>
      <c r="DG46" s="91"/>
      <c r="DH46" s="91">
        <v>108715500</v>
      </c>
      <c r="DI46" s="91"/>
      <c r="DJ46" s="91"/>
      <c r="DK46" s="91"/>
      <c r="DL46" s="91"/>
      <c r="DM46" s="91"/>
      <c r="DN46" s="92"/>
      <c r="DO46" s="93">
        <f t="shared" si="18"/>
        <v>381845100</v>
      </c>
    </row>
    <row r="47" spans="1:119" s="225" customFormat="1" ht="150" customHeight="1" x14ac:dyDescent="0.2">
      <c r="A47" s="244">
        <v>1</v>
      </c>
      <c r="B47" s="253" t="s">
        <v>19</v>
      </c>
      <c r="C47" s="59" t="s">
        <v>453</v>
      </c>
      <c r="D47" s="59" t="s">
        <v>268</v>
      </c>
      <c r="E47" s="55" t="s">
        <v>570</v>
      </c>
      <c r="F47" s="14" t="s">
        <v>571</v>
      </c>
      <c r="G47" s="59" t="s">
        <v>572</v>
      </c>
      <c r="H47" s="55" t="s">
        <v>573</v>
      </c>
      <c r="I47" s="13">
        <v>19</v>
      </c>
      <c r="J47" s="13" t="s">
        <v>1663</v>
      </c>
      <c r="K47" s="50">
        <v>2</v>
      </c>
      <c r="L47" s="13" t="s">
        <v>458</v>
      </c>
      <c r="M47" s="246">
        <v>12</v>
      </c>
      <c r="N47" s="244">
        <v>1905</v>
      </c>
      <c r="O47" s="245" t="s">
        <v>173</v>
      </c>
      <c r="P47" s="13" t="s">
        <v>574</v>
      </c>
      <c r="Q47" s="13">
        <v>1905026</v>
      </c>
      <c r="R47" s="13">
        <v>1905026</v>
      </c>
      <c r="S47" s="59" t="s">
        <v>269</v>
      </c>
      <c r="T47" s="116" t="s">
        <v>575</v>
      </c>
      <c r="U47" s="13">
        <v>190502600</v>
      </c>
      <c r="V47" s="13">
        <v>190502600</v>
      </c>
      <c r="W47" s="87" t="s">
        <v>576</v>
      </c>
      <c r="X47" s="88" t="s">
        <v>8</v>
      </c>
      <c r="Y47" s="13">
        <v>12</v>
      </c>
      <c r="Z47" s="13">
        <v>12</v>
      </c>
      <c r="AA47" s="13">
        <v>12</v>
      </c>
      <c r="AB47" s="13">
        <v>12</v>
      </c>
      <c r="AC47" s="13">
        <v>12</v>
      </c>
      <c r="AD47" s="13">
        <v>12</v>
      </c>
      <c r="AE47" s="89">
        <f t="shared" si="14"/>
        <v>3437367586.6100001</v>
      </c>
      <c r="AF47" s="89">
        <f t="shared" si="14"/>
        <v>3273059108.6100001</v>
      </c>
      <c r="AG47" s="89">
        <f t="shared" si="14"/>
        <v>2237972264.3299999</v>
      </c>
      <c r="AH47" s="89">
        <f t="shared" si="14"/>
        <v>1848201295.3299999</v>
      </c>
      <c r="AI47" s="89">
        <f t="shared" si="14"/>
        <v>0</v>
      </c>
      <c r="AJ47" s="91">
        <v>2929870740</v>
      </c>
      <c r="AK47" s="91">
        <v>2929870740</v>
      </c>
      <c r="AL47" s="91">
        <v>2046280599.3299999</v>
      </c>
      <c r="AM47" s="91">
        <v>1656509630.3299999</v>
      </c>
      <c r="AN47" s="91"/>
      <c r="AO47" s="91"/>
      <c r="AP47" s="91"/>
      <c r="AQ47" s="91"/>
      <c r="AR47" s="91"/>
      <c r="AS47" s="91"/>
      <c r="AT47" s="91"/>
      <c r="AU47" s="91"/>
      <c r="AV47" s="91"/>
      <c r="AW47" s="91"/>
      <c r="AX47" s="91"/>
      <c r="AY47" s="91">
        <v>160000000</v>
      </c>
      <c r="AZ47" s="91">
        <f>40000000+100000000+17185750+8000000</f>
        <v>165185750</v>
      </c>
      <c r="BA47" s="91">
        <v>109518333</v>
      </c>
      <c r="BB47" s="91">
        <v>109518333</v>
      </c>
      <c r="BC47" s="91"/>
      <c r="BD47" s="91"/>
      <c r="BE47" s="91"/>
      <c r="BF47" s="91"/>
      <c r="BG47" s="91"/>
      <c r="BH47" s="91"/>
      <c r="BI47" s="91"/>
      <c r="BJ47" s="91"/>
      <c r="BK47" s="91"/>
      <c r="BL47" s="91"/>
      <c r="BM47" s="91"/>
      <c r="BN47" s="91"/>
      <c r="BO47" s="91"/>
      <c r="BP47" s="91"/>
      <c r="BQ47" s="91"/>
      <c r="BR47" s="91"/>
      <c r="BS47" s="91"/>
      <c r="BT47" s="91">
        <v>178002618.61000001</v>
      </c>
      <c r="BU47" s="91">
        <v>82173332</v>
      </c>
      <c r="BV47" s="91">
        <v>82173332</v>
      </c>
      <c r="BW47" s="91"/>
      <c r="BX47" s="91"/>
      <c r="BY47" s="91"/>
      <c r="BZ47" s="91"/>
      <c r="CA47" s="91"/>
      <c r="CB47" s="91"/>
      <c r="CC47" s="1">
        <f>170092678-815624.25-0.14+155911553+22308240</f>
        <v>347496846.61000001</v>
      </c>
      <c r="CD47" s="91"/>
      <c r="CE47" s="1"/>
      <c r="CF47" s="1"/>
      <c r="CG47" s="1"/>
      <c r="CH47" s="91">
        <f t="shared" si="15"/>
        <v>1727201278.3499999</v>
      </c>
      <c r="CI47" s="91">
        <v>1383634891.3499999</v>
      </c>
      <c r="CJ47" s="91"/>
      <c r="CK47" s="91"/>
      <c r="CL47" s="91">
        <v>160000000</v>
      </c>
      <c r="CM47" s="102"/>
      <c r="CN47" s="91"/>
      <c r="CO47" s="91"/>
      <c r="CP47" s="91"/>
      <c r="CQ47" s="91"/>
      <c r="CR47" s="91">
        <v>183566387</v>
      </c>
      <c r="CS47" s="91">
        <f t="shared" si="16"/>
        <v>3255441731.4699998</v>
      </c>
      <c r="CT47" s="91">
        <v>2906368352.4699998</v>
      </c>
      <c r="CU47" s="91"/>
      <c r="CV47" s="91"/>
      <c r="CW47" s="91">
        <v>160000000</v>
      </c>
      <c r="CX47" s="91"/>
      <c r="CY47" s="91"/>
      <c r="CZ47" s="91"/>
      <c r="DA47" s="91"/>
      <c r="DB47" s="91"/>
      <c r="DC47" s="91">
        <v>189073379</v>
      </c>
      <c r="DD47" s="91">
        <f t="shared" si="17"/>
        <v>5298425661.6400003</v>
      </c>
      <c r="DE47" s="91">
        <v>4943680081.6400003</v>
      </c>
      <c r="DF47" s="91"/>
      <c r="DG47" s="91"/>
      <c r="DH47" s="91">
        <v>160000000</v>
      </c>
      <c r="DI47" s="91"/>
      <c r="DJ47" s="91"/>
      <c r="DK47" s="91"/>
      <c r="DL47" s="91"/>
      <c r="DM47" s="91"/>
      <c r="DN47" s="92">
        <v>194745580</v>
      </c>
      <c r="DO47" s="93">
        <f t="shared" si="18"/>
        <v>13718436258.07</v>
      </c>
    </row>
    <row r="48" spans="1:119" s="225" customFormat="1" ht="141.75" customHeight="1" x14ac:dyDescent="0.2">
      <c r="A48" s="244">
        <v>1</v>
      </c>
      <c r="B48" s="253" t="s">
        <v>19</v>
      </c>
      <c r="C48" s="59" t="s">
        <v>453</v>
      </c>
      <c r="D48" s="59" t="s">
        <v>266</v>
      </c>
      <c r="E48" s="55" t="s">
        <v>532</v>
      </c>
      <c r="F48" s="14" t="s">
        <v>475</v>
      </c>
      <c r="G48" s="59" t="s">
        <v>533</v>
      </c>
      <c r="H48" s="55" t="s">
        <v>532</v>
      </c>
      <c r="I48" s="13">
        <v>19</v>
      </c>
      <c r="J48" s="13" t="s">
        <v>1663</v>
      </c>
      <c r="K48" s="50">
        <v>2</v>
      </c>
      <c r="L48" s="13" t="s">
        <v>458</v>
      </c>
      <c r="M48" s="246">
        <v>12</v>
      </c>
      <c r="N48" s="244">
        <v>1905</v>
      </c>
      <c r="O48" s="245" t="s">
        <v>173</v>
      </c>
      <c r="P48" s="13" t="s">
        <v>577</v>
      </c>
      <c r="Q48" s="13">
        <v>1905027</v>
      </c>
      <c r="R48" s="13">
        <v>1905027</v>
      </c>
      <c r="S48" s="59" t="s">
        <v>270</v>
      </c>
      <c r="T48" s="116" t="s">
        <v>578</v>
      </c>
      <c r="U48" s="13">
        <v>190502700</v>
      </c>
      <c r="V48" s="13">
        <v>190502700</v>
      </c>
      <c r="W48" s="87" t="s">
        <v>579</v>
      </c>
      <c r="X48" s="88" t="s">
        <v>8</v>
      </c>
      <c r="Y48" s="13">
        <v>12</v>
      </c>
      <c r="Z48" s="13">
        <v>12</v>
      </c>
      <c r="AA48" s="13">
        <v>12</v>
      </c>
      <c r="AB48" s="13">
        <v>12</v>
      </c>
      <c r="AC48" s="13">
        <v>12</v>
      </c>
      <c r="AD48" s="13">
        <v>12</v>
      </c>
      <c r="AE48" s="89">
        <f t="shared" si="14"/>
        <v>60000000</v>
      </c>
      <c r="AF48" s="89">
        <f t="shared" si="14"/>
        <v>60000000</v>
      </c>
      <c r="AG48" s="89">
        <f t="shared" si="14"/>
        <v>46039998</v>
      </c>
      <c r="AH48" s="89">
        <f t="shared" si="14"/>
        <v>46039998</v>
      </c>
      <c r="AI48" s="89">
        <f t="shared" si="14"/>
        <v>0</v>
      </c>
      <c r="AJ48" s="91"/>
      <c r="AK48" s="91"/>
      <c r="AL48" s="91"/>
      <c r="AM48" s="91"/>
      <c r="AN48" s="91"/>
      <c r="AO48" s="91"/>
      <c r="AP48" s="91"/>
      <c r="AQ48" s="91"/>
      <c r="AR48" s="91"/>
      <c r="AS48" s="91"/>
      <c r="AT48" s="91"/>
      <c r="AU48" s="91"/>
      <c r="AV48" s="91"/>
      <c r="AW48" s="91"/>
      <c r="AX48" s="91"/>
      <c r="AY48" s="91">
        <v>60000000</v>
      </c>
      <c r="AZ48" s="91">
        <v>60000000</v>
      </c>
      <c r="BA48" s="91">
        <v>46039998</v>
      </c>
      <c r="BB48" s="91">
        <v>46039998</v>
      </c>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1"/>
      <c r="CD48" s="91"/>
      <c r="CE48" s="1"/>
      <c r="CF48" s="1"/>
      <c r="CG48" s="1"/>
      <c r="CH48" s="91">
        <f t="shared" si="15"/>
        <v>80000000</v>
      </c>
      <c r="CI48" s="91"/>
      <c r="CJ48" s="91"/>
      <c r="CK48" s="91"/>
      <c r="CL48" s="91">
        <v>80000000</v>
      </c>
      <c r="CM48" s="102"/>
      <c r="CN48" s="91"/>
      <c r="CO48" s="91"/>
      <c r="CP48" s="91"/>
      <c r="CQ48" s="91"/>
      <c r="CR48" s="91"/>
      <c r="CS48" s="91">
        <f t="shared" si="16"/>
        <v>80000000</v>
      </c>
      <c r="CT48" s="91"/>
      <c r="CU48" s="91"/>
      <c r="CV48" s="91"/>
      <c r="CW48" s="91">
        <v>80000000</v>
      </c>
      <c r="CX48" s="91"/>
      <c r="CY48" s="91"/>
      <c r="CZ48" s="91"/>
      <c r="DA48" s="91"/>
      <c r="DB48" s="91"/>
      <c r="DC48" s="91"/>
      <c r="DD48" s="91">
        <f t="shared" si="17"/>
        <v>80000000</v>
      </c>
      <c r="DE48" s="91"/>
      <c r="DF48" s="91"/>
      <c r="DG48" s="91"/>
      <c r="DH48" s="91">
        <v>80000000</v>
      </c>
      <c r="DI48" s="91"/>
      <c r="DJ48" s="91"/>
      <c r="DK48" s="91"/>
      <c r="DL48" s="91"/>
      <c r="DM48" s="91"/>
      <c r="DN48" s="92"/>
      <c r="DO48" s="93">
        <f t="shared" si="18"/>
        <v>300000000</v>
      </c>
    </row>
    <row r="49" spans="1:119" s="225" customFormat="1" ht="189" customHeight="1" x14ac:dyDescent="0.2">
      <c r="A49" s="244">
        <v>1</v>
      </c>
      <c r="B49" s="253" t="s">
        <v>19</v>
      </c>
      <c r="C49" s="59" t="s">
        <v>453</v>
      </c>
      <c r="D49" s="59" t="s">
        <v>223</v>
      </c>
      <c r="E49" s="55">
        <v>1.5</v>
      </c>
      <c r="F49" s="103">
        <v>2018</v>
      </c>
      <c r="G49" s="59" t="s">
        <v>491</v>
      </c>
      <c r="H49" s="55">
        <v>1</v>
      </c>
      <c r="I49" s="13">
        <v>19</v>
      </c>
      <c r="J49" s="13" t="s">
        <v>1663</v>
      </c>
      <c r="K49" s="50">
        <v>2</v>
      </c>
      <c r="L49" s="13" t="s">
        <v>458</v>
      </c>
      <c r="M49" s="246">
        <v>12</v>
      </c>
      <c r="N49" s="244">
        <v>1905</v>
      </c>
      <c r="O49" s="245" t="s">
        <v>173</v>
      </c>
      <c r="P49" s="13" t="s">
        <v>580</v>
      </c>
      <c r="Q49" s="13">
        <v>1905028</v>
      </c>
      <c r="R49" s="13">
        <v>1905028</v>
      </c>
      <c r="S49" s="59" t="s">
        <v>251</v>
      </c>
      <c r="T49" s="116" t="s">
        <v>581</v>
      </c>
      <c r="U49" s="13">
        <v>190502800</v>
      </c>
      <c r="V49" s="13">
        <v>190502800</v>
      </c>
      <c r="W49" s="87" t="s">
        <v>582</v>
      </c>
      <c r="X49" s="88" t="s">
        <v>8</v>
      </c>
      <c r="Y49" s="13">
        <v>12</v>
      </c>
      <c r="Z49" s="13">
        <v>12</v>
      </c>
      <c r="AA49" s="13">
        <v>10</v>
      </c>
      <c r="AB49" s="13">
        <v>12</v>
      </c>
      <c r="AC49" s="13">
        <v>12</v>
      </c>
      <c r="AD49" s="13">
        <v>12</v>
      </c>
      <c r="AE49" s="89">
        <f t="shared" si="14"/>
        <v>40000000</v>
      </c>
      <c r="AF49" s="89">
        <f t="shared" si="14"/>
        <v>40000000</v>
      </c>
      <c r="AG49" s="89">
        <f t="shared" si="14"/>
        <v>32406666</v>
      </c>
      <c r="AH49" s="89">
        <f t="shared" si="14"/>
        <v>32406666</v>
      </c>
      <c r="AI49" s="89">
        <f t="shared" si="14"/>
        <v>0</v>
      </c>
      <c r="AJ49" s="91"/>
      <c r="AK49" s="91"/>
      <c r="AL49" s="91"/>
      <c r="AM49" s="91"/>
      <c r="AN49" s="91"/>
      <c r="AO49" s="91"/>
      <c r="AP49" s="91"/>
      <c r="AQ49" s="91"/>
      <c r="AR49" s="91"/>
      <c r="AS49" s="91"/>
      <c r="AT49" s="91"/>
      <c r="AU49" s="91"/>
      <c r="AV49" s="91"/>
      <c r="AW49" s="91"/>
      <c r="AX49" s="91"/>
      <c r="AY49" s="91">
        <v>40000000</v>
      </c>
      <c r="AZ49" s="91">
        <v>40000000</v>
      </c>
      <c r="BA49" s="91">
        <v>32406666</v>
      </c>
      <c r="BB49" s="91">
        <v>32406666</v>
      </c>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c r="CG49" s="91"/>
      <c r="CH49" s="91">
        <f t="shared" si="15"/>
        <v>40000000</v>
      </c>
      <c r="CI49" s="91"/>
      <c r="CJ49" s="91"/>
      <c r="CK49" s="91"/>
      <c r="CL49" s="91">
        <v>40000000</v>
      </c>
      <c r="CM49" s="102"/>
      <c r="CN49" s="91"/>
      <c r="CO49" s="91"/>
      <c r="CP49" s="91"/>
      <c r="CQ49" s="91"/>
      <c r="CR49" s="91"/>
      <c r="CS49" s="91">
        <f t="shared" si="16"/>
        <v>40000000</v>
      </c>
      <c r="CT49" s="91"/>
      <c r="CU49" s="91"/>
      <c r="CV49" s="91"/>
      <c r="CW49" s="91">
        <v>40000000</v>
      </c>
      <c r="CX49" s="91"/>
      <c r="CY49" s="91"/>
      <c r="CZ49" s="91"/>
      <c r="DA49" s="91"/>
      <c r="DB49" s="91"/>
      <c r="DC49" s="91"/>
      <c r="DD49" s="91">
        <f t="shared" si="17"/>
        <v>40000000</v>
      </c>
      <c r="DE49" s="91"/>
      <c r="DF49" s="91"/>
      <c r="DG49" s="91"/>
      <c r="DH49" s="91">
        <v>40000000</v>
      </c>
      <c r="DI49" s="91"/>
      <c r="DJ49" s="91"/>
      <c r="DK49" s="91"/>
      <c r="DL49" s="91"/>
      <c r="DM49" s="91"/>
      <c r="DN49" s="92"/>
      <c r="DO49" s="93">
        <f t="shared" si="18"/>
        <v>160000000</v>
      </c>
    </row>
    <row r="50" spans="1:119" s="225" customFormat="1" ht="78.75" customHeight="1" x14ac:dyDescent="0.2">
      <c r="A50" s="244">
        <v>1</v>
      </c>
      <c r="B50" s="253" t="s">
        <v>19</v>
      </c>
      <c r="C50" s="59" t="s">
        <v>453</v>
      </c>
      <c r="D50" s="59" t="s">
        <v>226</v>
      </c>
      <c r="E50" s="55">
        <v>0</v>
      </c>
      <c r="F50" s="14">
        <v>2018</v>
      </c>
      <c r="G50" s="59" t="s">
        <v>462</v>
      </c>
      <c r="H50" s="55">
        <v>0</v>
      </c>
      <c r="I50" s="13">
        <v>19</v>
      </c>
      <c r="J50" s="13" t="s">
        <v>1663</v>
      </c>
      <c r="K50" s="50">
        <v>2</v>
      </c>
      <c r="L50" s="13" t="s">
        <v>458</v>
      </c>
      <c r="M50" s="246">
        <v>12</v>
      </c>
      <c r="N50" s="244">
        <v>1905</v>
      </c>
      <c r="O50" s="245" t="s">
        <v>173</v>
      </c>
      <c r="P50" s="13" t="s">
        <v>583</v>
      </c>
      <c r="Q50" s="13">
        <v>1905029</v>
      </c>
      <c r="R50" s="13" t="s">
        <v>1694</v>
      </c>
      <c r="S50" s="59" t="s">
        <v>271</v>
      </c>
      <c r="T50" s="116" t="s">
        <v>584</v>
      </c>
      <c r="U50" s="13">
        <v>190502900</v>
      </c>
      <c r="V50" s="13" t="s">
        <v>1695</v>
      </c>
      <c r="W50" s="87" t="s">
        <v>585</v>
      </c>
      <c r="X50" s="88" t="s">
        <v>8</v>
      </c>
      <c r="Y50" s="13">
        <v>60</v>
      </c>
      <c r="Z50" s="13">
        <v>60</v>
      </c>
      <c r="AA50" s="13">
        <v>45</v>
      </c>
      <c r="AB50" s="13">
        <v>60</v>
      </c>
      <c r="AC50" s="13">
        <v>60</v>
      </c>
      <c r="AD50" s="13">
        <v>60</v>
      </c>
      <c r="AE50" s="89">
        <f t="shared" si="14"/>
        <v>20000000</v>
      </c>
      <c r="AF50" s="89">
        <f t="shared" si="14"/>
        <v>10000000</v>
      </c>
      <c r="AG50" s="89">
        <f t="shared" si="14"/>
        <v>6000000</v>
      </c>
      <c r="AH50" s="89">
        <f t="shared" si="14"/>
        <v>6000000</v>
      </c>
      <c r="AI50" s="89">
        <f t="shared" si="14"/>
        <v>0</v>
      </c>
      <c r="AJ50" s="91"/>
      <c r="AK50" s="91"/>
      <c r="AL50" s="91"/>
      <c r="AM50" s="91"/>
      <c r="AN50" s="91"/>
      <c r="AO50" s="91"/>
      <c r="AP50" s="91"/>
      <c r="AQ50" s="91"/>
      <c r="AR50" s="91"/>
      <c r="AS50" s="91"/>
      <c r="AT50" s="91"/>
      <c r="AU50" s="91"/>
      <c r="AV50" s="91"/>
      <c r="AW50" s="91"/>
      <c r="AX50" s="91"/>
      <c r="AY50" s="91">
        <v>20000000</v>
      </c>
      <c r="AZ50" s="91">
        <v>10000000</v>
      </c>
      <c r="BA50" s="91">
        <v>6000000</v>
      </c>
      <c r="BB50" s="91">
        <v>6000000</v>
      </c>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v>0</v>
      </c>
      <c r="CD50" s="91"/>
      <c r="CE50" s="91"/>
      <c r="CF50" s="91"/>
      <c r="CG50" s="91"/>
      <c r="CH50" s="91">
        <f t="shared" si="15"/>
        <v>20000000</v>
      </c>
      <c r="CI50" s="91"/>
      <c r="CJ50" s="91"/>
      <c r="CK50" s="91"/>
      <c r="CL50" s="91">
        <v>20000000</v>
      </c>
      <c r="CM50" s="102"/>
      <c r="CN50" s="91"/>
      <c r="CO50" s="91"/>
      <c r="CP50" s="91"/>
      <c r="CQ50" s="91"/>
      <c r="CR50" s="91"/>
      <c r="CS50" s="91">
        <f t="shared" si="16"/>
        <v>20000000</v>
      </c>
      <c r="CT50" s="91"/>
      <c r="CU50" s="91"/>
      <c r="CV50" s="91"/>
      <c r="CW50" s="91">
        <v>20000000</v>
      </c>
      <c r="CX50" s="91"/>
      <c r="CY50" s="91"/>
      <c r="CZ50" s="91"/>
      <c r="DA50" s="91"/>
      <c r="DB50" s="91"/>
      <c r="DC50" s="91"/>
      <c r="DD50" s="91">
        <f t="shared" si="17"/>
        <v>20000000</v>
      </c>
      <c r="DE50" s="91"/>
      <c r="DF50" s="91"/>
      <c r="DG50" s="91"/>
      <c r="DH50" s="91">
        <v>20000000</v>
      </c>
      <c r="DI50" s="91"/>
      <c r="DJ50" s="91"/>
      <c r="DK50" s="91"/>
      <c r="DL50" s="91"/>
      <c r="DM50" s="91"/>
      <c r="DN50" s="92"/>
      <c r="DO50" s="93">
        <f t="shared" si="18"/>
        <v>80000000</v>
      </c>
    </row>
    <row r="51" spans="1:119" s="225" customFormat="1" ht="173.25" customHeight="1" x14ac:dyDescent="0.2">
      <c r="A51" s="244">
        <v>1</v>
      </c>
      <c r="B51" s="253" t="s">
        <v>19</v>
      </c>
      <c r="C51" s="59" t="s">
        <v>453</v>
      </c>
      <c r="D51" s="59" t="s">
        <v>223</v>
      </c>
      <c r="E51" s="55">
        <v>1.5</v>
      </c>
      <c r="F51" s="103">
        <v>2018</v>
      </c>
      <c r="G51" s="59" t="s">
        <v>491</v>
      </c>
      <c r="H51" s="55">
        <v>1</v>
      </c>
      <c r="I51" s="13">
        <v>19</v>
      </c>
      <c r="J51" s="13" t="s">
        <v>1663</v>
      </c>
      <c r="K51" s="50">
        <v>2</v>
      </c>
      <c r="L51" s="13" t="s">
        <v>458</v>
      </c>
      <c r="M51" s="246">
        <v>12</v>
      </c>
      <c r="N51" s="244">
        <v>1905</v>
      </c>
      <c r="O51" s="245" t="s">
        <v>173</v>
      </c>
      <c r="P51" s="13" t="s">
        <v>586</v>
      </c>
      <c r="Q51" s="13">
        <v>1905031</v>
      </c>
      <c r="R51" s="13">
        <v>1905031</v>
      </c>
      <c r="S51" s="59" t="s">
        <v>252</v>
      </c>
      <c r="T51" s="116" t="s">
        <v>587</v>
      </c>
      <c r="U51" s="13">
        <v>190503100</v>
      </c>
      <c r="V51" s="13">
        <v>190503100</v>
      </c>
      <c r="W51" s="87" t="s">
        <v>588</v>
      </c>
      <c r="X51" s="88" t="s">
        <v>8</v>
      </c>
      <c r="Y51" s="13">
        <v>12</v>
      </c>
      <c r="Z51" s="13">
        <v>12</v>
      </c>
      <c r="AA51" s="13">
        <v>11</v>
      </c>
      <c r="AB51" s="13">
        <v>12</v>
      </c>
      <c r="AC51" s="13">
        <v>12</v>
      </c>
      <c r="AD51" s="13">
        <v>12</v>
      </c>
      <c r="AE51" s="89">
        <f t="shared" si="14"/>
        <v>1500126107.49</v>
      </c>
      <c r="AF51" s="89">
        <f t="shared" si="14"/>
        <v>1557826107.49</v>
      </c>
      <c r="AG51" s="89">
        <f t="shared" si="14"/>
        <v>1089685964</v>
      </c>
      <c r="AH51" s="89">
        <f t="shared" si="14"/>
        <v>1001079298</v>
      </c>
      <c r="AI51" s="89">
        <f t="shared" si="14"/>
        <v>0</v>
      </c>
      <c r="AJ51" s="91"/>
      <c r="AK51" s="91"/>
      <c r="AL51" s="91"/>
      <c r="AM51" s="91"/>
      <c r="AN51" s="91"/>
      <c r="AO51" s="91"/>
      <c r="AP51" s="91"/>
      <c r="AQ51" s="91"/>
      <c r="AR51" s="91"/>
      <c r="AS51" s="91"/>
      <c r="AT51" s="91"/>
      <c r="AU51" s="91"/>
      <c r="AV51" s="91"/>
      <c r="AW51" s="91"/>
      <c r="AX51" s="91"/>
      <c r="AY51" s="91">
        <v>1500126107.49</v>
      </c>
      <c r="AZ51" s="91">
        <v>1557826107.49</v>
      </c>
      <c r="BA51" s="91">
        <v>1089685964</v>
      </c>
      <c r="BB51" s="91">
        <v>1001079298</v>
      </c>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f t="shared" si="15"/>
        <v>1448850000</v>
      </c>
      <c r="CI51" s="91"/>
      <c r="CJ51" s="91"/>
      <c r="CK51" s="91"/>
      <c r="CL51" s="91">
        <v>1448850000</v>
      </c>
      <c r="CM51" s="102"/>
      <c r="CN51" s="91"/>
      <c r="CO51" s="91"/>
      <c r="CP51" s="91"/>
      <c r="CQ51" s="91"/>
      <c r="CR51" s="91"/>
      <c r="CS51" s="91">
        <f t="shared" si="16"/>
        <v>1487000000</v>
      </c>
      <c r="CT51" s="91"/>
      <c r="CU51" s="91"/>
      <c r="CV51" s="91"/>
      <c r="CW51" s="91">
        <v>1487000000</v>
      </c>
      <c r="CX51" s="91"/>
      <c r="CY51" s="91"/>
      <c r="CZ51" s="91"/>
      <c r="DA51" s="91"/>
      <c r="DB51" s="91"/>
      <c r="DC51" s="91"/>
      <c r="DD51" s="91">
        <f t="shared" si="17"/>
        <v>1528000000</v>
      </c>
      <c r="DE51" s="91"/>
      <c r="DF51" s="91"/>
      <c r="DG51" s="91"/>
      <c r="DH51" s="91">
        <v>1528000000</v>
      </c>
      <c r="DI51" s="91"/>
      <c r="DJ51" s="91"/>
      <c r="DK51" s="91"/>
      <c r="DL51" s="91"/>
      <c r="DM51" s="91"/>
      <c r="DN51" s="92"/>
      <c r="DO51" s="93">
        <f t="shared" si="18"/>
        <v>5963976107.4899998</v>
      </c>
    </row>
    <row r="52" spans="1:119" s="225" customFormat="1" ht="110.25" customHeight="1" x14ac:dyDescent="0.2">
      <c r="A52" s="244">
        <v>1</v>
      </c>
      <c r="B52" s="253" t="s">
        <v>19</v>
      </c>
      <c r="C52" s="59" t="s">
        <v>453</v>
      </c>
      <c r="D52" s="59" t="s">
        <v>273</v>
      </c>
      <c r="E52" s="106">
        <v>99.565217391304301</v>
      </c>
      <c r="F52" s="14">
        <v>2018</v>
      </c>
      <c r="G52" s="59" t="s">
        <v>462</v>
      </c>
      <c r="H52" s="55">
        <v>99.57</v>
      </c>
      <c r="I52" s="13">
        <v>19</v>
      </c>
      <c r="J52" s="13" t="s">
        <v>1663</v>
      </c>
      <c r="K52" s="50">
        <v>2</v>
      </c>
      <c r="L52" s="13" t="s">
        <v>458</v>
      </c>
      <c r="M52" s="246">
        <v>12</v>
      </c>
      <c r="N52" s="244">
        <v>1905</v>
      </c>
      <c r="O52" s="245" t="s">
        <v>173</v>
      </c>
      <c r="P52" s="13" t="s">
        <v>528</v>
      </c>
      <c r="Q52" s="13" t="s">
        <v>77</v>
      </c>
      <c r="R52" s="13">
        <v>1905009</v>
      </c>
      <c r="S52" s="59" t="s">
        <v>529</v>
      </c>
      <c r="T52" s="13" t="s">
        <v>530</v>
      </c>
      <c r="U52" s="13" t="s">
        <v>77</v>
      </c>
      <c r="V52" s="13">
        <v>190500900</v>
      </c>
      <c r="W52" s="87" t="s">
        <v>531</v>
      </c>
      <c r="X52" s="88" t="s">
        <v>8</v>
      </c>
      <c r="Y52" s="13">
        <v>1</v>
      </c>
      <c r="Z52" s="13">
        <v>1</v>
      </c>
      <c r="AA52" s="13">
        <v>1</v>
      </c>
      <c r="AB52" s="13">
        <v>1</v>
      </c>
      <c r="AC52" s="13">
        <v>1</v>
      </c>
      <c r="AD52" s="13">
        <v>1</v>
      </c>
      <c r="AE52" s="89">
        <f t="shared" si="14"/>
        <v>300000000</v>
      </c>
      <c r="AF52" s="89">
        <f t="shared" si="14"/>
        <v>450000000</v>
      </c>
      <c r="AG52" s="89">
        <f t="shared" si="14"/>
        <v>252687596</v>
      </c>
      <c r="AH52" s="89">
        <f t="shared" si="14"/>
        <v>230783220</v>
      </c>
      <c r="AI52" s="89">
        <f t="shared" si="14"/>
        <v>0</v>
      </c>
      <c r="AJ52" s="91">
        <v>300000000</v>
      </c>
      <c r="AK52" s="91">
        <v>450000000</v>
      </c>
      <c r="AL52" s="91">
        <v>252687596</v>
      </c>
      <c r="AM52" s="91">
        <v>230783220</v>
      </c>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1"/>
      <c r="BR52" s="91"/>
      <c r="BS52" s="91"/>
      <c r="BT52" s="91"/>
      <c r="BU52" s="91"/>
      <c r="BV52" s="91"/>
      <c r="BW52" s="91"/>
      <c r="BX52" s="91"/>
      <c r="BY52" s="91"/>
      <c r="BZ52" s="91"/>
      <c r="CA52" s="91"/>
      <c r="CB52" s="91"/>
      <c r="CC52" s="91"/>
      <c r="CD52" s="91"/>
      <c r="CE52" s="91"/>
      <c r="CF52" s="91"/>
      <c r="CG52" s="91"/>
      <c r="CH52" s="91">
        <f t="shared" si="15"/>
        <v>300000000</v>
      </c>
      <c r="CI52" s="91">
        <v>300000000</v>
      </c>
      <c r="CJ52" s="91"/>
      <c r="CK52" s="91"/>
      <c r="CL52" s="91"/>
      <c r="CM52" s="102"/>
      <c r="CN52" s="91"/>
      <c r="CO52" s="91"/>
      <c r="CP52" s="91"/>
      <c r="CQ52" s="91"/>
      <c r="CR52" s="91"/>
      <c r="CS52" s="91">
        <f t="shared" si="16"/>
        <v>300000000</v>
      </c>
      <c r="CT52" s="91">
        <v>300000000</v>
      </c>
      <c r="CU52" s="91"/>
      <c r="CV52" s="91"/>
      <c r="CW52" s="91"/>
      <c r="CX52" s="91"/>
      <c r="CY52" s="91"/>
      <c r="CZ52" s="91"/>
      <c r="DA52" s="91"/>
      <c r="DB52" s="91"/>
      <c r="DC52" s="91"/>
      <c r="DD52" s="91">
        <f t="shared" si="17"/>
        <v>300000000</v>
      </c>
      <c r="DE52" s="91">
        <v>300000000</v>
      </c>
      <c r="DF52" s="91"/>
      <c r="DG52" s="91"/>
      <c r="DH52" s="91"/>
      <c r="DI52" s="91"/>
      <c r="DJ52" s="91"/>
      <c r="DK52" s="91"/>
      <c r="DL52" s="91"/>
      <c r="DM52" s="91"/>
      <c r="DN52" s="92"/>
      <c r="DO52" s="93">
        <f t="shared" si="18"/>
        <v>1200000000</v>
      </c>
    </row>
    <row r="53" spans="1:119" s="225" customFormat="1" ht="204.75" customHeight="1" x14ac:dyDescent="0.2">
      <c r="A53" s="244">
        <v>1</v>
      </c>
      <c r="B53" s="253" t="s">
        <v>19</v>
      </c>
      <c r="C53" s="59" t="s">
        <v>453</v>
      </c>
      <c r="D53" s="59" t="s">
        <v>255</v>
      </c>
      <c r="E53" s="107" t="s">
        <v>589</v>
      </c>
      <c r="F53" s="14" t="s">
        <v>455</v>
      </c>
      <c r="G53" s="59" t="s">
        <v>590</v>
      </c>
      <c r="H53" s="55" t="s">
        <v>591</v>
      </c>
      <c r="I53" s="13">
        <v>19</v>
      </c>
      <c r="J53" s="13" t="s">
        <v>1663</v>
      </c>
      <c r="K53" s="50">
        <v>2</v>
      </c>
      <c r="L53" s="13" t="s">
        <v>458</v>
      </c>
      <c r="M53" s="246">
        <v>12</v>
      </c>
      <c r="N53" s="244">
        <v>1905</v>
      </c>
      <c r="O53" s="245" t="s">
        <v>173</v>
      </c>
      <c r="P53" s="13" t="s">
        <v>592</v>
      </c>
      <c r="Q53" s="13" t="s">
        <v>77</v>
      </c>
      <c r="R53" s="13">
        <v>1905021</v>
      </c>
      <c r="S53" s="59" t="s">
        <v>262</v>
      </c>
      <c r="T53" s="116" t="s">
        <v>593</v>
      </c>
      <c r="U53" s="13" t="s">
        <v>77</v>
      </c>
      <c r="V53" s="13">
        <v>190502100</v>
      </c>
      <c r="W53" s="87" t="s">
        <v>594</v>
      </c>
      <c r="X53" s="88" t="s">
        <v>8</v>
      </c>
      <c r="Y53" s="13">
        <v>11</v>
      </c>
      <c r="Z53" s="13">
        <v>11</v>
      </c>
      <c r="AA53" s="13">
        <v>11</v>
      </c>
      <c r="AB53" s="13">
        <v>11</v>
      </c>
      <c r="AC53" s="13">
        <v>11</v>
      </c>
      <c r="AD53" s="13">
        <v>11</v>
      </c>
      <c r="AE53" s="89">
        <f t="shared" si="14"/>
        <v>80000000</v>
      </c>
      <c r="AF53" s="89">
        <f t="shared" si="14"/>
        <v>69000000</v>
      </c>
      <c r="AG53" s="89">
        <f t="shared" si="14"/>
        <v>51786666</v>
      </c>
      <c r="AH53" s="89">
        <f t="shared" si="14"/>
        <v>51786666</v>
      </c>
      <c r="AI53" s="89">
        <f t="shared" si="14"/>
        <v>0</v>
      </c>
      <c r="AJ53" s="91"/>
      <c r="AK53" s="91"/>
      <c r="AL53" s="91"/>
      <c r="AM53" s="91"/>
      <c r="AN53" s="91"/>
      <c r="AO53" s="91"/>
      <c r="AP53" s="91"/>
      <c r="AQ53" s="91"/>
      <c r="AR53" s="91"/>
      <c r="AS53" s="91"/>
      <c r="AT53" s="91"/>
      <c r="AU53" s="91"/>
      <c r="AV53" s="91"/>
      <c r="AW53" s="91"/>
      <c r="AX53" s="91"/>
      <c r="AY53" s="91">
        <v>80000000</v>
      </c>
      <c r="AZ53" s="91">
        <f>15000000+54000000</f>
        <v>69000000</v>
      </c>
      <c r="BA53" s="91">
        <v>51786666</v>
      </c>
      <c r="BB53" s="91">
        <v>51786666</v>
      </c>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f t="shared" si="15"/>
        <v>80000000</v>
      </c>
      <c r="CI53" s="91"/>
      <c r="CJ53" s="91"/>
      <c r="CK53" s="91"/>
      <c r="CL53" s="91">
        <v>80000000</v>
      </c>
      <c r="CM53" s="102"/>
      <c r="CN53" s="91"/>
      <c r="CO53" s="91"/>
      <c r="CP53" s="91"/>
      <c r="CQ53" s="91"/>
      <c r="CR53" s="91"/>
      <c r="CS53" s="91">
        <f t="shared" si="16"/>
        <v>110000000</v>
      </c>
      <c r="CT53" s="91"/>
      <c r="CU53" s="91"/>
      <c r="CV53" s="91"/>
      <c r="CW53" s="91">
        <v>110000000</v>
      </c>
      <c r="CX53" s="91"/>
      <c r="CY53" s="91"/>
      <c r="CZ53" s="91"/>
      <c r="DA53" s="91"/>
      <c r="DB53" s="91"/>
      <c r="DC53" s="91"/>
      <c r="DD53" s="91">
        <f t="shared" si="17"/>
        <v>120000000</v>
      </c>
      <c r="DE53" s="91"/>
      <c r="DF53" s="91"/>
      <c r="DG53" s="91"/>
      <c r="DH53" s="91">
        <v>120000000</v>
      </c>
      <c r="DI53" s="91"/>
      <c r="DJ53" s="91"/>
      <c r="DK53" s="91"/>
      <c r="DL53" s="91"/>
      <c r="DM53" s="91"/>
      <c r="DN53" s="92"/>
      <c r="DO53" s="93">
        <f t="shared" si="18"/>
        <v>390000000</v>
      </c>
    </row>
    <row r="54" spans="1:119" s="225" customFormat="1" ht="141.75" customHeight="1" x14ac:dyDescent="0.2">
      <c r="A54" s="244">
        <v>1</v>
      </c>
      <c r="B54" s="253" t="s">
        <v>19</v>
      </c>
      <c r="C54" s="59" t="s">
        <v>453</v>
      </c>
      <c r="D54" s="59" t="s">
        <v>225</v>
      </c>
      <c r="E54" s="106">
        <v>8.7157362618207177</v>
      </c>
      <c r="F54" s="103">
        <v>2018</v>
      </c>
      <c r="G54" s="110" t="s">
        <v>462</v>
      </c>
      <c r="H54" s="55">
        <v>8.6</v>
      </c>
      <c r="I54" s="13">
        <v>19</v>
      </c>
      <c r="J54" s="13" t="s">
        <v>1663</v>
      </c>
      <c r="K54" s="50">
        <v>2</v>
      </c>
      <c r="L54" s="13" t="s">
        <v>458</v>
      </c>
      <c r="M54" s="246">
        <v>12</v>
      </c>
      <c r="N54" s="244">
        <v>1905</v>
      </c>
      <c r="O54" s="245" t="s">
        <v>173</v>
      </c>
      <c r="P54" s="13" t="s">
        <v>595</v>
      </c>
      <c r="Q54" s="13" t="s">
        <v>77</v>
      </c>
      <c r="R54" s="13">
        <v>1905024</v>
      </c>
      <c r="S54" s="59" t="s">
        <v>258</v>
      </c>
      <c r="T54" s="116" t="s">
        <v>596</v>
      </c>
      <c r="U54" s="13" t="s">
        <v>77</v>
      </c>
      <c r="V54" s="13">
        <v>190502400</v>
      </c>
      <c r="W54" s="87" t="s">
        <v>597</v>
      </c>
      <c r="X54" s="88" t="s">
        <v>9</v>
      </c>
      <c r="Y54" s="13">
        <v>11</v>
      </c>
      <c r="Z54" s="13">
        <v>1</v>
      </c>
      <c r="AA54" s="13">
        <v>0.6</v>
      </c>
      <c r="AB54" s="13">
        <v>3</v>
      </c>
      <c r="AC54" s="13">
        <v>4</v>
      </c>
      <c r="AD54" s="13">
        <v>3</v>
      </c>
      <c r="AE54" s="89">
        <f t="shared" si="14"/>
        <v>70000000</v>
      </c>
      <c r="AF54" s="89">
        <f t="shared" si="14"/>
        <v>50000000</v>
      </c>
      <c r="AG54" s="89">
        <f t="shared" si="14"/>
        <v>27946666</v>
      </c>
      <c r="AH54" s="89">
        <f t="shared" si="14"/>
        <v>27946666</v>
      </c>
      <c r="AI54" s="89">
        <f t="shared" si="14"/>
        <v>0</v>
      </c>
      <c r="AJ54" s="91"/>
      <c r="AK54" s="91"/>
      <c r="AL54" s="91"/>
      <c r="AM54" s="91"/>
      <c r="AN54" s="91"/>
      <c r="AO54" s="91"/>
      <c r="AP54" s="91"/>
      <c r="AQ54" s="91"/>
      <c r="AR54" s="91"/>
      <c r="AS54" s="91"/>
      <c r="AT54" s="91"/>
      <c r="AU54" s="91"/>
      <c r="AV54" s="91"/>
      <c r="AW54" s="91"/>
      <c r="AX54" s="91"/>
      <c r="AY54" s="91">
        <v>70000000</v>
      </c>
      <c r="AZ54" s="91">
        <v>50000000</v>
      </c>
      <c r="BA54" s="91">
        <v>27946666</v>
      </c>
      <c r="BB54" s="91">
        <v>27946666</v>
      </c>
      <c r="BC54" s="91"/>
      <c r="BD54" s="91"/>
      <c r="BE54" s="91"/>
      <c r="BF54" s="91"/>
      <c r="BG54" s="91"/>
      <c r="BH54" s="91"/>
      <c r="BI54" s="91"/>
      <c r="BJ54" s="91"/>
      <c r="BK54" s="91"/>
      <c r="BL54" s="91"/>
      <c r="BM54" s="91"/>
      <c r="BN54" s="91"/>
      <c r="BO54" s="91"/>
      <c r="BP54" s="91"/>
      <c r="BQ54" s="91"/>
      <c r="BR54" s="91"/>
      <c r="BS54" s="91"/>
      <c r="BT54" s="91"/>
      <c r="BU54" s="91"/>
      <c r="BV54" s="91"/>
      <c r="BW54" s="91"/>
      <c r="BX54" s="91"/>
      <c r="BY54" s="91"/>
      <c r="BZ54" s="91"/>
      <c r="CA54" s="91"/>
      <c r="CB54" s="91"/>
      <c r="CC54" s="91"/>
      <c r="CD54" s="91"/>
      <c r="CE54" s="91"/>
      <c r="CF54" s="91"/>
      <c r="CG54" s="91"/>
      <c r="CH54" s="91">
        <f t="shared" si="15"/>
        <v>70000000</v>
      </c>
      <c r="CI54" s="91"/>
      <c r="CJ54" s="91"/>
      <c r="CK54" s="91"/>
      <c r="CL54" s="91">
        <v>70000000</v>
      </c>
      <c r="CM54" s="102"/>
      <c r="CN54" s="91"/>
      <c r="CO54" s="91"/>
      <c r="CP54" s="91"/>
      <c r="CQ54" s="91"/>
      <c r="CR54" s="91"/>
      <c r="CS54" s="91">
        <f t="shared" si="16"/>
        <v>70000000</v>
      </c>
      <c r="CT54" s="91"/>
      <c r="CU54" s="91"/>
      <c r="CV54" s="91"/>
      <c r="CW54" s="91">
        <v>70000000</v>
      </c>
      <c r="CX54" s="91"/>
      <c r="CY54" s="91"/>
      <c r="CZ54" s="91"/>
      <c r="DA54" s="91"/>
      <c r="DB54" s="91"/>
      <c r="DC54" s="91"/>
      <c r="DD54" s="91">
        <f t="shared" si="17"/>
        <v>70000000</v>
      </c>
      <c r="DE54" s="91"/>
      <c r="DF54" s="91"/>
      <c r="DG54" s="91"/>
      <c r="DH54" s="91">
        <v>70000000</v>
      </c>
      <c r="DI54" s="91"/>
      <c r="DJ54" s="91"/>
      <c r="DK54" s="91"/>
      <c r="DL54" s="91"/>
      <c r="DM54" s="91"/>
      <c r="DN54" s="92"/>
      <c r="DO54" s="93">
        <f t="shared" si="18"/>
        <v>280000000</v>
      </c>
    </row>
    <row r="55" spans="1:119" s="225" customFormat="1" ht="189" customHeight="1" x14ac:dyDescent="0.2">
      <c r="A55" s="244">
        <v>1</v>
      </c>
      <c r="B55" s="253" t="s">
        <v>19</v>
      </c>
      <c r="C55" s="59" t="s">
        <v>453</v>
      </c>
      <c r="D55" s="59" t="s">
        <v>225</v>
      </c>
      <c r="E55" s="106">
        <v>8.7157362618207177</v>
      </c>
      <c r="F55" s="103">
        <v>2018</v>
      </c>
      <c r="G55" s="110" t="s">
        <v>462</v>
      </c>
      <c r="H55" s="55">
        <v>8.6</v>
      </c>
      <c r="I55" s="13">
        <v>19</v>
      </c>
      <c r="J55" s="13" t="s">
        <v>1663</v>
      </c>
      <c r="K55" s="50">
        <v>2</v>
      </c>
      <c r="L55" s="13" t="s">
        <v>458</v>
      </c>
      <c r="M55" s="246">
        <v>12</v>
      </c>
      <c r="N55" s="244">
        <v>1905</v>
      </c>
      <c r="O55" s="245" t="s">
        <v>173</v>
      </c>
      <c r="P55" s="13" t="s">
        <v>598</v>
      </c>
      <c r="Q55" s="13" t="s">
        <v>77</v>
      </c>
      <c r="R55" s="13">
        <v>1905024</v>
      </c>
      <c r="S55" s="59" t="s">
        <v>260</v>
      </c>
      <c r="T55" s="116" t="s">
        <v>599</v>
      </c>
      <c r="U55" s="13" t="s">
        <v>77</v>
      </c>
      <c r="V55" s="13">
        <v>190502400</v>
      </c>
      <c r="W55" s="87" t="s">
        <v>600</v>
      </c>
      <c r="X55" s="88" t="s">
        <v>8</v>
      </c>
      <c r="Y55" s="13">
        <v>12</v>
      </c>
      <c r="Z55" s="13">
        <v>12</v>
      </c>
      <c r="AA55" s="13">
        <v>5</v>
      </c>
      <c r="AB55" s="13">
        <v>12</v>
      </c>
      <c r="AC55" s="13">
        <v>12</v>
      </c>
      <c r="AD55" s="13">
        <v>12</v>
      </c>
      <c r="AE55" s="89">
        <f t="shared" si="14"/>
        <v>30000000</v>
      </c>
      <c r="AF55" s="89">
        <f t="shared" si="14"/>
        <v>20000000</v>
      </c>
      <c r="AG55" s="89">
        <f t="shared" si="14"/>
        <v>8400000</v>
      </c>
      <c r="AH55" s="89">
        <f t="shared" si="14"/>
        <v>8400000</v>
      </c>
      <c r="AI55" s="89">
        <f t="shared" si="14"/>
        <v>0</v>
      </c>
      <c r="AJ55" s="91"/>
      <c r="AK55" s="91"/>
      <c r="AL55" s="91"/>
      <c r="AM55" s="91"/>
      <c r="AN55" s="91"/>
      <c r="AO55" s="91"/>
      <c r="AP55" s="91"/>
      <c r="AQ55" s="91"/>
      <c r="AR55" s="91"/>
      <c r="AS55" s="91"/>
      <c r="AT55" s="91"/>
      <c r="AU55" s="91"/>
      <c r="AV55" s="91"/>
      <c r="AW55" s="91"/>
      <c r="AX55" s="91"/>
      <c r="AY55" s="91">
        <v>30000000</v>
      </c>
      <c r="AZ55" s="91">
        <v>20000000</v>
      </c>
      <c r="BA55" s="91">
        <v>8400000</v>
      </c>
      <c r="BB55" s="91">
        <v>8400000</v>
      </c>
      <c r="BC55" s="91"/>
      <c r="BD55" s="91"/>
      <c r="BE55" s="91"/>
      <c r="BF55" s="91"/>
      <c r="BG55" s="91"/>
      <c r="BH55" s="91"/>
      <c r="BI55" s="91"/>
      <c r="BJ55" s="91"/>
      <c r="BK55" s="91"/>
      <c r="BL55" s="91"/>
      <c r="BM55" s="91"/>
      <c r="BN55" s="91"/>
      <c r="BO55" s="91"/>
      <c r="BP55" s="91"/>
      <c r="BQ55" s="91"/>
      <c r="BR55" s="91"/>
      <c r="BS55" s="91"/>
      <c r="BT55" s="91"/>
      <c r="BU55" s="91"/>
      <c r="BV55" s="91"/>
      <c r="BW55" s="91"/>
      <c r="BX55" s="91"/>
      <c r="BY55" s="91"/>
      <c r="BZ55" s="91"/>
      <c r="CA55" s="91"/>
      <c r="CB55" s="91"/>
      <c r="CC55" s="91"/>
      <c r="CD55" s="91"/>
      <c r="CE55" s="91"/>
      <c r="CF55" s="91"/>
      <c r="CG55" s="91"/>
      <c r="CH55" s="91">
        <f t="shared" si="15"/>
        <v>30000000</v>
      </c>
      <c r="CI55" s="91"/>
      <c r="CJ55" s="91"/>
      <c r="CK55" s="91"/>
      <c r="CL55" s="91">
        <v>30000000</v>
      </c>
      <c r="CM55" s="102"/>
      <c r="CN55" s="91"/>
      <c r="CO55" s="91"/>
      <c r="CP55" s="91"/>
      <c r="CQ55" s="91"/>
      <c r="CR55" s="91"/>
      <c r="CS55" s="91">
        <f t="shared" si="16"/>
        <v>30000000</v>
      </c>
      <c r="CT55" s="91"/>
      <c r="CU55" s="91"/>
      <c r="CV55" s="91"/>
      <c r="CW55" s="91">
        <v>30000000</v>
      </c>
      <c r="CX55" s="91"/>
      <c r="CY55" s="91"/>
      <c r="CZ55" s="91"/>
      <c r="DA55" s="91"/>
      <c r="DB55" s="91"/>
      <c r="DC55" s="91"/>
      <c r="DD55" s="91">
        <f t="shared" si="17"/>
        <v>40000000</v>
      </c>
      <c r="DE55" s="91"/>
      <c r="DF55" s="91"/>
      <c r="DG55" s="91"/>
      <c r="DH55" s="91">
        <v>40000000</v>
      </c>
      <c r="DI55" s="91"/>
      <c r="DJ55" s="91"/>
      <c r="DK55" s="91"/>
      <c r="DL55" s="91"/>
      <c r="DM55" s="91"/>
      <c r="DN55" s="92"/>
      <c r="DO55" s="93">
        <f t="shared" si="18"/>
        <v>130000000</v>
      </c>
    </row>
    <row r="56" spans="1:119" s="225" customFormat="1" ht="141.75" customHeight="1" x14ac:dyDescent="0.2">
      <c r="A56" s="244">
        <v>1</v>
      </c>
      <c r="B56" s="253" t="s">
        <v>19</v>
      </c>
      <c r="C56" s="59" t="s">
        <v>453</v>
      </c>
      <c r="D56" s="59" t="s">
        <v>259</v>
      </c>
      <c r="E56" s="55" t="s">
        <v>601</v>
      </c>
      <c r="F56" s="14" t="s">
        <v>455</v>
      </c>
      <c r="G56" s="59" t="s">
        <v>590</v>
      </c>
      <c r="H56" s="55" t="s">
        <v>601</v>
      </c>
      <c r="I56" s="13">
        <v>19</v>
      </c>
      <c r="J56" s="13" t="s">
        <v>1663</v>
      </c>
      <c r="K56" s="50">
        <v>2</v>
      </c>
      <c r="L56" s="13" t="s">
        <v>458</v>
      </c>
      <c r="M56" s="246">
        <v>12</v>
      </c>
      <c r="N56" s="244">
        <v>1905</v>
      </c>
      <c r="O56" s="245" t="s">
        <v>173</v>
      </c>
      <c r="P56" s="13" t="s">
        <v>602</v>
      </c>
      <c r="Q56" s="13" t="s">
        <v>77</v>
      </c>
      <c r="R56" s="13">
        <v>1905015</v>
      </c>
      <c r="S56" s="59" t="s">
        <v>1570</v>
      </c>
      <c r="T56" s="116" t="s">
        <v>603</v>
      </c>
      <c r="U56" s="13" t="s">
        <v>77</v>
      </c>
      <c r="V56" s="13">
        <v>190501500</v>
      </c>
      <c r="W56" s="87" t="s">
        <v>604</v>
      </c>
      <c r="X56" s="88" t="s">
        <v>9</v>
      </c>
      <c r="Y56" s="13">
        <v>12</v>
      </c>
      <c r="Z56" s="13">
        <v>2</v>
      </c>
      <c r="AA56" s="13">
        <v>1</v>
      </c>
      <c r="AB56" s="13">
        <v>4</v>
      </c>
      <c r="AC56" s="13">
        <v>4</v>
      </c>
      <c r="AD56" s="13">
        <v>2</v>
      </c>
      <c r="AE56" s="89">
        <f t="shared" si="14"/>
        <v>510110245</v>
      </c>
      <c r="AF56" s="89">
        <f t="shared" si="14"/>
        <v>444590323</v>
      </c>
      <c r="AG56" s="89">
        <f t="shared" si="14"/>
        <v>331825338</v>
      </c>
      <c r="AH56" s="89">
        <f t="shared" si="14"/>
        <v>331825338</v>
      </c>
      <c r="AI56" s="89">
        <f t="shared" si="14"/>
        <v>0</v>
      </c>
      <c r="AJ56" s="91">
        <v>130000000</v>
      </c>
      <c r="AK56" s="91">
        <v>145000000</v>
      </c>
      <c r="AL56" s="91">
        <v>99627187</v>
      </c>
      <c r="AM56" s="91">
        <v>99627187</v>
      </c>
      <c r="AN56" s="91"/>
      <c r="AO56" s="91">
        <v>0</v>
      </c>
      <c r="AP56" s="91"/>
      <c r="AQ56" s="91"/>
      <c r="AR56" s="91"/>
      <c r="AS56" s="91"/>
      <c r="AT56" s="91"/>
      <c r="AU56" s="91"/>
      <c r="AV56" s="91"/>
      <c r="AW56" s="91"/>
      <c r="AX56" s="91"/>
      <c r="AY56" s="91">
        <v>120000000</v>
      </c>
      <c r="AZ56" s="91">
        <f>20000000+75000000</f>
        <v>95000000</v>
      </c>
      <c r="BA56" s="91">
        <v>34000000</v>
      </c>
      <c r="BB56" s="91">
        <v>34000000</v>
      </c>
      <c r="BC56" s="91"/>
      <c r="BD56" s="91"/>
      <c r="BE56" s="91"/>
      <c r="BF56" s="91"/>
      <c r="BG56" s="91"/>
      <c r="BH56" s="91"/>
      <c r="BI56" s="91"/>
      <c r="BJ56" s="91"/>
      <c r="BK56" s="91"/>
      <c r="BL56" s="91"/>
      <c r="BM56" s="91"/>
      <c r="BN56" s="91"/>
      <c r="BO56" s="91"/>
      <c r="BP56" s="91"/>
      <c r="BQ56" s="91"/>
      <c r="BR56" s="91"/>
      <c r="BS56" s="91"/>
      <c r="BT56" s="91">
        <v>204590323</v>
      </c>
      <c r="BU56" s="91">
        <v>198198151</v>
      </c>
      <c r="BV56" s="91">
        <v>198198151</v>
      </c>
      <c r="BW56" s="91"/>
      <c r="BX56" s="91"/>
      <c r="BY56" s="91"/>
      <c r="BZ56" s="91"/>
      <c r="CA56" s="91"/>
      <c r="CB56" s="91"/>
      <c r="CC56" s="91">
        <v>260110245</v>
      </c>
      <c r="CD56" s="91"/>
      <c r="CE56" s="91"/>
      <c r="CF56" s="91"/>
      <c r="CG56" s="91"/>
      <c r="CH56" s="91">
        <f t="shared" si="15"/>
        <v>517913552.35000002</v>
      </c>
      <c r="CI56" s="91">
        <v>130000000</v>
      </c>
      <c r="CJ56" s="91"/>
      <c r="CK56" s="91"/>
      <c r="CL56" s="91">
        <v>120000000</v>
      </c>
      <c r="CM56" s="102"/>
      <c r="CN56" s="91"/>
      <c r="CO56" s="91"/>
      <c r="CP56" s="91"/>
      <c r="CQ56" s="91"/>
      <c r="CR56" s="91">
        <v>267913552.34999999</v>
      </c>
      <c r="CS56" s="91">
        <f t="shared" si="16"/>
        <v>525950958.92049998</v>
      </c>
      <c r="CT56" s="91">
        <v>130000000</v>
      </c>
      <c r="CU56" s="91"/>
      <c r="CV56" s="91"/>
      <c r="CW56" s="91">
        <v>120000000</v>
      </c>
      <c r="CX56" s="91"/>
      <c r="CY56" s="91"/>
      <c r="CZ56" s="91"/>
      <c r="DA56" s="91"/>
      <c r="DB56" s="91"/>
      <c r="DC56" s="91">
        <v>275950958.92049998</v>
      </c>
      <c r="DD56" s="91">
        <f t="shared" si="17"/>
        <v>544229487.688115</v>
      </c>
      <c r="DE56" s="91">
        <v>130000000</v>
      </c>
      <c r="DF56" s="91"/>
      <c r="DG56" s="91"/>
      <c r="DH56" s="91">
        <v>130000000</v>
      </c>
      <c r="DI56" s="91"/>
      <c r="DJ56" s="91"/>
      <c r="DK56" s="91"/>
      <c r="DL56" s="91"/>
      <c r="DM56" s="91"/>
      <c r="DN56" s="92">
        <v>284229487.688115</v>
      </c>
      <c r="DO56" s="93">
        <f t="shared" si="18"/>
        <v>2098204243.9586148</v>
      </c>
    </row>
    <row r="57" spans="1:119" s="225" customFormat="1" ht="110.25" customHeight="1" x14ac:dyDescent="0.2">
      <c r="A57" s="244">
        <v>1</v>
      </c>
      <c r="B57" s="253" t="s">
        <v>19</v>
      </c>
      <c r="C57" s="59" t="s">
        <v>453</v>
      </c>
      <c r="D57" s="59" t="s">
        <v>256</v>
      </c>
      <c r="E57" s="55">
        <v>0</v>
      </c>
      <c r="F57" s="103">
        <v>2018</v>
      </c>
      <c r="G57" s="59" t="s">
        <v>462</v>
      </c>
      <c r="H57" s="55">
        <v>0</v>
      </c>
      <c r="I57" s="13">
        <v>19</v>
      </c>
      <c r="J57" s="13" t="s">
        <v>1663</v>
      </c>
      <c r="K57" s="50">
        <v>2</v>
      </c>
      <c r="L57" s="13" t="s">
        <v>458</v>
      </c>
      <c r="M57" s="246">
        <v>12</v>
      </c>
      <c r="N57" s="244">
        <v>1905</v>
      </c>
      <c r="O57" s="245" t="s">
        <v>173</v>
      </c>
      <c r="P57" s="13" t="s">
        <v>605</v>
      </c>
      <c r="Q57" s="13" t="s">
        <v>77</v>
      </c>
      <c r="R57" s="13">
        <v>1905015</v>
      </c>
      <c r="S57" s="59" t="s">
        <v>257</v>
      </c>
      <c r="T57" s="116" t="s">
        <v>606</v>
      </c>
      <c r="U57" s="13" t="s">
        <v>77</v>
      </c>
      <c r="V57" s="13">
        <v>190501500</v>
      </c>
      <c r="W57" s="87" t="s">
        <v>1644</v>
      </c>
      <c r="X57" s="88" t="s">
        <v>8</v>
      </c>
      <c r="Y57" s="13">
        <v>1</v>
      </c>
      <c r="Z57" s="13">
        <v>1</v>
      </c>
      <c r="AA57" s="13">
        <v>0.3</v>
      </c>
      <c r="AB57" s="13">
        <v>1</v>
      </c>
      <c r="AC57" s="13">
        <v>1</v>
      </c>
      <c r="AD57" s="13">
        <v>1</v>
      </c>
      <c r="AE57" s="89">
        <f t="shared" si="14"/>
        <v>20000000</v>
      </c>
      <c r="AF57" s="89">
        <f t="shared" si="14"/>
        <v>15000000</v>
      </c>
      <c r="AG57" s="89">
        <f t="shared" si="14"/>
        <v>6999999</v>
      </c>
      <c r="AH57" s="89">
        <f t="shared" si="14"/>
        <v>6999999</v>
      </c>
      <c r="AI57" s="89">
        <f t="shared" si="14"/>
        <v>0</v>
      </c>
      <c r="AJ57" s="91"/>
      <c r="AK57" s="91"/>
      <c r="AL57" s="91"/>
      <c r="AM57" s="91"/>
      <c r="AN57" s="91"/>
      <c r="AO57" s="91"/>
      <c r="AP57" s="91"/>
      <c r="AQ57" s="91"/>
      <c r="AR57" s="91"/>
      <c r="AS57" s="91"/>
      <c r="AT57" s="91"/>
      <c r="AU57" s="91"/>
      <c r="AV57" s="91"/>
      <c r="AW57" s="91"/>
      <c r="AX57" s="91"/>
      <c r="AY57" s="91">
        <v>20000000</v>
      </c>
      <c r="AZ57" s="91">
        <v>15000000</v>
      </c>
      <c r="BA57" s="91">
        <v>6999999</v>
      </c>
      <c r="BB57" s="91">
        <v>6999999</v>
      </c>
      <c r="BC57" s="91"/>
      <c r="BD57" s="91"/>
      <c r="BE57" s="91"/>
      <c r="BF57" s="91"/>
      <c r="BG57" s="91"/>
      <c r="BH57" s="91"/>
      <c r="BI57" s="91"/>
      <c r="BJ57" s="91"/>
      <c r="BK57" s="91"/>
      <c r="BL57" s="91"/>
      <c r="BM57" s="91"/>
      <c r="BN57" s="91"/>
      <c r="BO57" s="91"/>
      <c r="BP57" s="91"/>
      <c r="BQ57" s="91"/>
      <c r="BR57" s="91"/>
      <c r="BS57" s="91"/>
      <c r="BT57" s="91"/>
      <c r="BU57" s="91"/>
      <c r="BV57" s="91"/>
      <c r="BW57" s="91"/>
      <c r="BX57" s="91"/>
      <c r="BY57" s="91"/>
      <c r="BZ57" s="91"/>
      <c r="CA57" s="91"/>
      <c r="CB57" s="91"/>
      <c r="CC57" s="91">
        <v>0</v>
      </c>
      <c r="CD57" s="91"/>
      <c r="CE57" s="91"/>
      <c r="CF57" s="91"/>
      <c r="CG57" s="91"/>
      <c r="CH57" s="91">
        <f t="shared" si="15"/>
        <v>20000000</v>
      </c>
      <c r="CI57" s="91"/>
      <c r="CJ57" s="91"/>
      <c r="CK57" s="91"/>
      <c r="CL57" s="91">
        <v>20000000</v>
      </c>
      <c r="CM57" s="102"/>
      <c r="CN57" s="91"/>
      <c r="CO57" s="91"/>
      <c r="CP57" s="91"/>
      <c r="CQ57" s="91"/>
      <c r="CR57" s="91"/>
      <c r="CS57" s="91">
        <f t="shared" si="16"/>
        <v>20000000</v>
      </c>
      <c r="CT57" s="91"/>
      <c r="CU57" s="91"/>
      <c r="CV57" s="91"/>
      <c r="CW57" s="91">
        <v>20000000</v>
      </c>
      <c r="CX57" s="91"/>
      <c r="CY57" s="91"/>
      <c r="CZ57" s="91"/>
      <c r="DA57" s="91"/>
      <c r="DB57" s="91"/>
      <c r="DC57" s="91"/>
      <c r="DD57" s="91">
        <f t="shared" si="17"/>
        <v>64388119</v>
      </c>
      <c r="DE57" s="91"/>
      <c r="DF57" s="91"/>
      <c r="DG57" s="91"/>
      <c r="DH57" s="91">
        <v>64388119</v>
      </c>
      <c r="DI57" s="91"/>
      <c r="DJ57" s="91"/>
      <c r="DK57" s="91"/>
      <c r="DL57" s="91"/>
      <c r="DM57" s="91"/>
      <c r="DN57" s="92"/>
      <c r="DO57" s="93">
        <f t="shared" si="18"/>
        <v>124388119</v>
      </c>
    </row>
    <row r="58" spans="1:119" s="225" customFormat="1" ht="110.25" customHeight="1" x14ac:dyDescent="0.2">
      <c r="A58" s="244">
        <v>1</v>
      </c>
      <c r="B58" s="253" t="s">
        <v>19</v>
      </c>
      <c r="C58" s="59" t="s">
        <v>453</v>
      </c>
      <c r="D58" s="59" t="s">
        <v>239</v>
      </c>
      <c r="E58" s="55">
        <v>89</v>
      </c>
      <c r="F58" s="14">
        <v>2018</v>
      </c>
      <c r="G58" s="59" t="s">
        <v>514</v>
      </c>
      <c r="H58" s="55">
        <v>95</v>
      </c>
      <c r="I58" s="13">
        <v>19</v>
      </c>
      <c r="J58" s="13" t="s">
        <v>1663</v>
      </c>
      <c r="K58" s="50">
        <v>2</v>
      </c>
      <c r="L58" s="13" t="s">
        <v>458</v>
      </c>
      <c r="M58" s="246">
        <v>12</v>
      </c>
      <c r="N58" s="244">
        <v>1905</v>
      </c>
      <c r="O58" s="245" t="s">
        <v>173</v>
      </c>
      <c r="P58" s="13" t="s">
        <v>607</v>
      </c>
      <c r="Q58" s="13" t="s">
        <v>77</v>
      </c>
      <c r="R58" s="13">
        <v>1905024</v>
      </c>
      <c r="S58" s="59" t="s">
        <v>261</v>
      </c>
      <c r="T58" s="116" t="s">
        <v>608</v>
      </c>
      <c r="U58" s="13" t="s">
        <v>77</v>
      </c>
      <c r="V58" s="13">
        <v>190502401</v>
      </c>
      <c r="W58" s="87" t="s">
        <v>609</v>
      </c>
      <c r="X58" s="88" t="s">
        <v>9</v>
      </c>
      <c r="Y58" s="13">
        <v>12</v>
      </c>
      <c r="Z58" s="13">
        <v>2</v>
      </c>
      <c r="AA58" s="13">
        <v>2</v>
      </c>
      <c r="AB58" s="13">
        <v>4</v>
      </c>
      <c r="AC58" s="13">
        <v>4</v>
      </c>
      <c r="AD58" s="13">
        <v>2</v>
      </c>
      <c r="AE58" s="89">
        <f t="shared" si="14"/>
        <v>30000000</v>
      </c>
      <c r="AF58" s="89">
        <f t="shared" si="14"/>
        <v>20000000</v>
      </c>
      <c r="AG58" s="89">
        <f t="shared" si="14"/>
        <v>8400000</v>
      </c>
      <c r="AH58" s="89">
        <f t="shared" si="14"/>
        <v>8400000</v>
      </c>
      <c r="AI58" s="89">
        <f t="shared" si="14"/>
        <v>0</v>
      </c>
      <c r="AJ58" s="91"/>
      <c r="AK58" s="91"/>
      <c r="AL58" s="91"/>
      <c r="AM58" s="91"/>
      <c r="AN58" s="91"/>
      <c r="AO58" s="91"/>
      <c r="AP58" s="91"/>
      <c r="AQ58" s="91"/>
      <c r="AR58" s="91"/>
      <c r="AS58" s="91"/>
      <c r="AT58" s="91"/>
      <c r="AU58" s="91"/>
      <c r="AV58" s="91"/>
      <c r="AW58" s="91"/>
      <c r="AX58" s="91"/>
      <c r="AY58" s="91">
        <v>30000000</v>
      </c>
      <c r="AZ58" s="91">
        <v>20000000</v>
      </c>
      <c r="BA58" s="91">
        <v>8400000</v>
      </c>
      <c r="BB58" s="91">
        <v>8400000</v>
      </c>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f t="shared" si="15"/>
        <v>30000000</v>
      </c>
      <c r="CI58" s="91"/>
      <c r="CJ58" s="91"/>
      <c r="CK58" s="91"/>
      <c r="CL58" s="91">
        <v>30000000</v>
      </c>
      <c r="CM58" s="102"/>
      <c r="CN58" s="91"/>
      <c r="CO58" s="91"/>
      <c r="CP58" s="91"/>
      <c r="CQ58" s="91"/>
      <c r="CR58" s="91"/>
      <c r="CS58" s="91">
        <f t="shared" si="16"/>
        <v>30000000</v>
      </c>
      <c r="CT58" s="91"/>
      <c r="CU58" s="91"/>
      <c r="CV58" s="91"/>
      <c r="CW58" s="91">
        <v>30000000</v>
      </c>
      <c r="CX58" s="91"/>
      <c r="CY58" s="91"/>
      <c r="CZ58" s="91"/>
      <c r="DA58" s="91"/>
      <c r="DB58" s="91"/>
      <c r="DC58" s="91"/>
      <c r="DD58" s="91">
        <f t="shared" si="17"/>
        <v>30000000</v>
      </c>
      <c r="DE58" s="91"/>
      <c r="DF58" s="91"/>
      <c r="DG58" s="91"/>
      <c r="DH58" s="91">
        <v>30000000</v>
      </c>
      <c r="DI58" s="91"/>
      <c r="DJ58" s="91"/>
      <c r="DK58" s="91"/>
      <c r="DL58" s="91"/>
      <c r="DM58" s="91"/>
      <c r="DN58" s="92"/>
      <c r="DO58" s="93">
        <f t="shared" si="18"/>
        <v>120000000</v>
      </c>
    </row>
    <row r="59" spans="1:119" s="225" customFormat="1" ht="94.5" customHeight="1" x14ac:dyDescent="0.2">
      <c r="A59" s="244">
        <v>1</v>
      </c>
      <c r="B59" s="253" t="s">
        <v>19</v>
      </c>
      <c r="C59" s="59" t="s">
        <v>453</v>
      </c>
      <c r="D59" s="59" t="s">
        <v>233</v>
      </c>
      <c r="E59" s="55">
        <v>81.5</v>
      </c>
      <c r="F59" s="14">
        <v>2018</v>
      </c>
      <c r="G59" s="59" t="s">
        <v>481</v>
      </c>
      <c r="H59" s="55">
        <v>71.12</v>
      </c>
      <c r="I59" s="13">
        <v>19</v>
      </c>
      <c r="J59" s="13" t="s">
        <v>1663</v>
      </c>
      <c r="K59" s="50">
        <v>2</v>
      </c>
      <c r="L59" s="13" t="s">
        <v>458</v>
      </c>
      <c r="M59" s="246">
        <v>12</v>
      </c>
      <c r="N59" s="244">
        <v>1905</v>
      </c>
      <c r="O59" s="245" t="s">
        <v>173</v>
      </c>
      <c r="P59" s="13" t="s">
        <v>610</v>
      </c>
      <c r="Q59" s="13" t="s">
        <v>77</v>
      </c>
      <c r="R59" s="13">
        <v>1905015</v>
      </c>
      <c r="S59" s="59" t="s">
        <v>611</v>
      </c>
      <c r="T59" s="116" t="s">
        <v>612</v>
      </c>
      <c r="U59" s="13" t="s">
        <v>77</v>
      </c>
      <c r="V59" s="13">
        <v>190501502</v>
      </c>
      <c r="W59" s="87" t="s">
        <v>613</v>
      </c>
      <c r="X59" s="88" t="s">
        <v>8</v>
      </c>
      <c r="Y59" s="13">
        <v>1</v>
      </c>
      <c r="Z59" s="13">
        <v>1</v>
      </c>
      <c r="AA59" s="13">
        <v>0.3</v>
      </c>
      <c r="AB59" s="13">
        <v>1</v>
      </c>
      <c r="AC59" s="13">
        <v>1</v>
      </c>
      <c r="AD59" s="13">
        <v>1</v>
      </c>
      <c r="AE59" s="89">
        <f t="shared" si="14"/>
        <v>40000000</v>
      </c>
      <c r="AF59" s="89">
        <f t="shared" si="14"/>
        <v>37000000</v>
      </c>
      <c r="AG59" s="89">
        <f t="shared" si="14"/>
        <v>33066666</v>
      </c>
      <c r="AH59" s="89">
        <f t="shared" si="14"/>
        <v>33066666</v>
      </c>
      <c r="AI59" s="89">
        <f t="shared" si="14"/>
        <v>3823934</v>
      </c>
      <c r="AJ59" s="91"/>
      <c r="AK59" s="91"/>
      <c r="AL59" s="91"/>
      <c r="AM59" s="91"/>
      <c r="AN59" s="91"/>
      <c r="AO59" s="91"/>
      <c r="AP59" s="91"/>
      <c r="AQ59" s="91"/>
      <c r="AR59" s="91"/>
      <c r="AS59" s="91"/>
      <c r="AT59" s="91"/>
      <c r="AU59" s="91"/>
      <c r="AV59" s="91"/>
      <c r="AW59" s="91"/>
      <c r="AX59" s="91"/>
      <c r="AY59" s="91">
        <v>40000000</v>
      </c>
      <c r="AZ59" s="91">
        <v>37000000</v>
      </c>
      <c r="BA59" s="91">
        <v>33066666</v>
      </c>
      <c r="BB59" s="91">
        <v>33066666</v>
      </c>
      <c r="BC59" s="91">
        <v>3823934</v>
      </c>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f t="shared" si="15"/>
        <v>60000000</v>
      </c>
      <c r="CI59" s="91"/>
      <c r="CJ59" s="91"/>
      <c r="CK59" s="91"/>
      <c r="CL59" s="91">
        <v>60000000</v>
      </c>
      <c r="CM59" s="102"/>
      <c r="CN59" s="91"/>
      <c r="CO59" s="91"/>
      <c r="CP59" s="91"/>
      <c r="CQ59" s="91"/>
      <c r="CR59" s="91"/>
      <c r="CS59" s="91">
        <f t="shared" si="16"/>
        <v>40000000</v>
      </c>
      <c r="CT59" s="91"/>
      <c r="CU59" s="91"/>
      <c r="CV59" s="91"/>
      <c r="CW59" s="91">
        <v>40000000</v>
      </c>
      <c r="CX59" s="91"/>
      <c r="CY59" s="91"/>
      <c r="CZ59" s="91"/>
      <c r="DA59" s="91"/>
      <c r="DB59" s="91"/>
      <c r="DC59" s="91"/>
      <c r="DD59" s="91">
        <f t="shared" si="17"/>
        <v>40000000</v>
      </c>
      <c r="DE59" s="91"/>
      <c r="DF59" s="91"/>
      <c r="DG59" s="91"/>
      <c r="DH59" s="91">
        <v>40000000</v>
      </c>
      <c r="DI59" s="91"/>
      <c r="DJ59" s="91"/>
      <c r="DK59" s="91"/>
      <c r="DL59" s="91"/>
      <c r="DM59" s="91"/>
      <c r="DN59" s="92"/>
      <c r="DO59" s="93">
        <f t="shared" si="18"/>
        <v>180000000</v>
      </c>
    </row>
    <row r="60" spans="1:119" ht="26.25" customHeight="1" x14ac:dyDescent="0.2">
      <c r="A60" s="244"/>
      <c r="B60" s="253"/>
      <c r="C60" s="94"/>
      <c r="D60" s="59"/>
      <c r="E60" s="55"/>
      <c r="F60" s="13"/>
      <c r="G60" s="59"/>
      <c r="H60" s="55"/>
      <c r="I60" s="13"/>
      <c r="J60" s="13"/>
      <c r="K60" s="50"/>
      <c r="L60" s="13"/>
      <c r="M60" s="96">
        <v>13</v>
      </c>
      <c r="N60" s="96">
        <v>1906</v>
      </c>
      <c r="O60" s="97" t="s">
        <v>1662</v>
      </c>
      <c r="P60" s="97"/>
      <c r="Q60" s="98"/>
      <c r="R60" s="98"/>
      <c r="S60" s="98"/>
      <c r="T60" s="98"/>
      <c r="U60" s="98"/>
      <c r="V60" s="98"/>
      <c r="W60" s="83"/>
      <c r="X60" s="84"/>
      <c r="Y60" s="84"/>
      <c r="Z60" s="84"/>
      <c r="AA60" s="84"/>
      <c r="AB60" s="84"/>
      <c r="AC60" s="84"/>
      <c r="AD60" s="81"/>
      <c r="AE60" s="99">
        <f>SUM(AE61:AE72)</f>
        <v>57087047376.080002</v>
      </c>
      <c r="AF60" s="99">
        <f>SUM(AF61:AF72)</f>
        <v>55153849039.220001</v>
      </c>
      <c r="AG60" s="99">
        <f t="shared" ref="AG60:DO60" si="19">SUM(AG61:AG72)</f>
        <v>48846835920.440002</v>
      </c>
      <c r="AH60" s="99">
        <f t="shared" si="19"/>
        <v>45240731668.440002</v>
      </c>
      <c r="AI60" s="99">
        <f t="shared" si="19"/>
        <v>610603524.5</v>
      </c>
      <c r="AJ60" s="99">
        <f t="shared" si="19"/>
        <v>163590000</v>
      </c>
      <c r="AK60" s="99">
        <f>SUM(AK61:AK72)</f>
        <v>1002336979</v>
      </c>
      <c r="AL60" s="99">
        <f t="shared" si="19"/>
        <v>856993332</v>
      </c>
      <c r="AM60" s="99">
        <f t="shared" si="19"/>
        <v>856993332</v>
      </c>
      <c r="AN60" s="99">
        <f t="shared" si="19"/>
        <v>0</v>
      </c>
      <c r="AO60" s="99">
        <f t="shared" si="19"/>
        <v>26097225521.52</v>
      </c>
      <c r="AP60" s="99">
        <f t="shared" si="19"/>
        <v>0</v>
      </c>
      <c r="AQ60" s="99">
        <f t="shared" si="19"/>
        <v>0</v>
      </c>
      <c r="AR60" s="99">
        <f t="shared" si="19"/>
        <v>0</v>
      </c>
      <c r="AS60" s="99">
        <f t="shared" si="19"/>
        <v>0</v>
      </c>
      <c r="AT60" s="99">
        <f t="shared" si="19"/>
        <v>1496346983</v>
      </c>
      <c r="AU60" s="99">
        <f>SUM(AU61:AU72)</f>
        <v>0</v>
      </c>
      <c r="AV60" s="99">
        <f t="shared" si="19"/>
        <v>0</v>
      </c>
      <c r="AW60" s="99">
        <f t="shared" si="19"/>
        <v>0</v>
      </c>
      <c r="AX60" s="99">
        <f t="shared" si="19"/>
        <v>0</v>
      </c>
      <c r="AY60" s="99">
        <f t="shared" si="19"/>
        <v>698165093.87</v>
      </c>
      <c r="AZ60" s="99">
        <f t="shared" si="19"/>
        <v>2194512076.8699999</v>
      </c>
      <c r="BA60" s="99">
        <f t="shared" si="19"/>
        <v>2167455372</v>
      </c>
      <c r="BB60" s="99">
        <f t="shared" si="19"/>
        <v>2167455372</v>
      </c>
      <c r="BC60" s="99">
        <f t="shared" si="19"/>
        <v>0</v>
      </c>
      <c r="BD60" s="99">
        <f t="shared" si="19"/>
        <v>0</v>
      </c>
      <c r="BE60" s="99">
        <f>SUM(BE61:BE72)</f>
        <v>0</v>
      </c>
      <c r="BF60" s="99">
        <f t="shared" si="19"/>
        <v>0</v>
      </c>
      <c r="BG60" s="99">
        <f t="shared" si="19"/>
        <v>0</v>
      </c>
      <c r="BH60" s="99">
        <f t="shared" si="19"/>
        <v>0</v>
      </c>
      <c r="BI60" s="99">
        <f t="shared" si="19"/>
        <v>0</v>
      </c>
      <c r="BJ60" s="99">
        <f t="shared" si="19"/>
        <v>0</v>
      </c>
      <c r="BK60" s="99">
        <f t="shared" si="19"/>
        <v>0</v>
      </c>
      <c r="BL60" s="99">
        <f t="shared" si="19"/>
        <v>0</v>
      </c>
      <c r="BM60" s="99">
        <f t="shared" si="19"/>
        <v>0</v>
      </c>
      <c r="BN60" s="99">
        <f t="shared" si="19"/>
        <v>26984928196</v>
      </c>
      <c r="BO60" s="99">
        <f>SUM(BO61:BO72)</f>
        <v>15757829728</v>
      </c>
      <c r="BP60" s="99">
        <f t="shared" si="19"/>
        <v>12737124057</v>
      </c>
      <c r="BQ60" s="99">
        <f t="shared" si="19"/>
        <v>9143543305</v>
      </c>
      <c r="BR60" s="99">
        <f t="shared" si="19"/>
        <v>0</v>
      </c>
      <c r="BS60" s="99">
        <f t="shared" si="19"/>
        <v>0</v>
      </c>
      <c r="BT60" s="99">
        <f t="shared" si="19"/>
        <v>36199170255.350006</v>
      </c>
      <c r="BU60" s="99">
        <f t="shared" si="19"/>
        <v>33085263159.440002</v>
      </c>
      <c r="BV60" s="99">
        <f t="shared" si="19"/>
        <v>33072739659.440002</v>
      </c>
      <c r="BW60" s="99">
        <f t="shared" si="19"/>
        <v>0</v>
      </c>
      <c r="BX60" s="99">
        <f t="shared" si="19"/>
        <v>0</v>
      </c>
      <c r="BY60" s="99">
        <f>SUM(BY61:BY72)</f>
        <v>0</v>
      </c>
      <c r="BZ60" s="99">
        <f t="shared" si="19"/>
        <v>0</v>
      </c>
      <c r="CA60" s="99">
        <f t="shared" si="19"/>
        <v>0</v>
      </c>
      <c r="CB60" s="99">
        <f t="shared" si="19"/>
        <v>610603524.5</v>
      </c>
      <c r="CC60" s="99">
        <f t="shared" si="19"/>
        <v>1646791581.6900001</v>
      </c>
      <c r="CD60" s="99">
        <f t="shared" si="19"/>
        <v>0</v>
      </c>
      <c r="CE60" s="99">
        <f t="shared" si="19"/>
        <v>0</v>
      </c>
      <c r="CF60" s="99">
        <f t="shared" si="19"/>
        <v>0</v>
      </c>
      <c r="CG60" s="99">
        <f t="shared" si="19"/>
        <v>0</v>
      </c>
      <c r="CH60" s="99">
        <f t="shared" si="19"/>
        <v>38377142704.089996</v>
      </c>
      <c r="CI60" s="99">
        <f t="shared" si="19"/>
        <v>199590000</v>
      </c>
      <c r="CJ60" s="99">
        <f t="shared" si="19"/>
        <v>25681180859.09</v>
      </c>
      <c r="CK60" s="99">
        <f t="shared" si="19"/>
        <v>0</v>
      </c>
      <c r="CL60" s="99">
        <f t="shared" si="19"/>
        <v>1569105798</v>
      </c>
      <c r="CM60" s="99">
        <f t="shared" si="19"/>
        <v>0</v>
      </c>
      <c r="CN60" s="99">
        <f t="shared" si="19"/>
        <v>0</v>
      </c>
      <c r="CO60" s="99">
        <f t="shared" si="19"/>
        <v>9350627816</v>
      </c>
      <c r="CP60" s="99">
        <f t="shared" si="19"/>
        <v>0</v>
      </c>
      <c r="CQ60" s="99">
        <f t="shared" si="19"/>
        <v>0</v>
      </c>
      <c r="CR60" s="99">
        <f t="shared" si="19"/>
        <v>1576638231</v>
      </c>
      <c r="CS60" s="99">
        <f t="shared" si="19"/>
        <v>42225282553.560799</v>
      </c>
      <c r="CT60" s="99">
        <f t="shared" si="19"/>
        <v>200194000</v>
      </c>
      <c r="CU60" s="99">
        <f t="shared" si="19"/>
        <v>26451616283.764702</v>
      </c>
      <c r="CV60" s="99">
        <f t="shared" si="19"/>
        <v>0</v>
      </c>
      <c r="CW60" s="99">
        <f t="shared" si="19"/>
        <v>1616178969</v>
      </c>
      <c r="CX60" s="99">
        <f t="shared" si="19"/>
        <v>0</v>
      </c>
      <c r="CY60" s="99">
        <f t="shared" si="19"/>
        <v>0</v>
      </c>
      <c r="CZ60" s="99">
        <f t="shared" si="19"/>
        <v>12333355924</v>
      </c>
      <c r="DA60" s="99">
        <f t="shared" si="19"/>
        <v>0</v>
      </c>
      <c r="DB60" s="99">
        <f t="shared" si="19"/>
        <v>0</v>
      </c>
      <c r="DC60" s="99">
        <f t="shared" si="19"/>
        <v>1623937376.7960999</v>
      </c>
      <c r="DD60" s="99">
        <f t="shared" si="19"/>
        <v>30831671608</v>
      </c>
      <c r="DE60" s="99">
        <f t="shared" si="19"/>
        <v>249187000</v>
      </c>
      <c r="DF60" s="99">
        <f t="shared" si="19"/>
        <v>27245164770</v>
      </c>
      <c r="DG60" s="99">
        <f t="shared" si="19"/>
        <v>0</v>
      </c>
      <c r="DH60" s="99">
        <f t="shared" si="19"/>
        <v>1664664339</v>
      </c>
      <c r="DI60" s="99">
        <f t="shared" si="19"/>
        <v>0</v>
      </c>
      <c r="DJ60" s="99">
        <f t="shared" si="19"/>
        <v>0</v>
      </c>
      <c r="DK60" s="99">
        <f t="shared" si="19"/>
        <v>0</v>
      </c>
      <c r="DL60" s="99">
        <f t="shared" si="19"/>
        <v>0</v>
      </c>
      <c r="DM60" s="99">
        <f t="shared" si="19"/>
        <v>0</v>
      </c>
      <c r="DN60" s="100">
        <f t="shared" si="19"/>
        <v>1672655499</v>
      </c>
      <c r="DO60" s="99">
        <f t="shared" si="19"/>
        <v>168521144241.7308</v>
      </c>
    </row>
    <row r="61" spans="1:119" s="225" customFormat="1" ht="63" customHeight="1" x14ac:dyDescent="0.2">
      <c r="A61" s="244">
        <v>1</v>
      </c>
      <c r="B61" s="253" t="s">
        <v>19</v>
      </c>
      <c r="C61" s="59" t="s">
        <v>453</v>
      </c>
      <c r="D61" s="59" t="s">
        <v>614</v>
      </c>
      <c r="E61" s="55" t="s">
        <v>615</v>
      </c>
      <c r="F61" s="14" t="s">
        <v>455</v>
      </c>
      <c r="G61" s="59" t="s">
        <v>616</v>
      </c>
      <c r="H61" s="55" t="s">
        <v>617</v>
      </c>
      <c r="I61" s="13">
        <v>19</v>
      </c>
      <c r="J61" s="13" t="s">
        <v>1663</v>
      </c>
      <c r="K61" s="50">
        <v>2</v>
      </c>
      <c r="L61" s="13" t="s">
        <v>458</v>
      </c>
      <c r="M61" s="246">
        <v>13</v>
      </c>
      <c r="N61" s="244">
        <v>1906</v>
      </c>
      <c r="O61" s="245" t="s">
        <v>1662</v>
      </c>
      <c r="P61" s="13" t="s">
        <v>618</v>
      </c>
      <c r="Q61" s="13">
        <v>1906005</v>
      </c>
      <c r="R61" s="13">
        <v>1906005</v>
      </c>
      <c r="S61" s="59" t="s">
        <v>619</v>
      </c>
      <c r="T61" s="13" t="s">
        <v>620</v>
      </c>
      <c r="U61" s="13">
        <v>190600500</v>
      </c>
      <c r="V61" s="13">
        <v>190600500</v>
      </c>
      <c r="W61" s="87" t="s">
        <v>619</v>
      </c>
      <c r="X61" s="88" t="s">
        <v>9</v>
      </c>
      <c r="Y61" s="13">
        <v>11</v>
      </c>
      <c r="Z61" s="13">
        <v>2</v>
      </c>
      <c r="AA61" s="13"/>
      <c r="AB61" s="13">
        <v>2</v>
      </c>
      <c r="AC61" s="13">
        <v>4</v>
      </c>
      <c r="AD61" s="13">
        <v>3</v>
      </c>
      <c r="AE61" s="89">
        <f t="shared" ref="AE61:AI72" si="20">AJ61+AO61+AT61+AY61+BD61+BI61+BN61+BS61+BX61+CC61</f>
        <v>4000000000</v>
      </c>
      <c r="AF61" s="89">
        <f t="shared" si="20"/>
        <v>183602200</v>
      </c>
      <c r="AG61" s="89">
        <f t="shared" si="20"/>
        <v>13833333</v>
      </c>
      <c r="AH61" s="89">
        <f t="shared" si="20"/>
        <v>13833333</v>
      </c>
      <c r="AI61" s="89">
        <f t="shared" si="20"/>
        <v>0</v>
      </c>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v>4000000000</v>
      </c>
      <c r="BO61" s="91">
        <v>183602200</v>
      </c>
      <c r="BP61" s="91">
        <v>13833333</v>
      </c>
      <c r="BQ61" s="91">
        <v>13833333</v>
      </c>
      <c r="BR61" s="91"/>
      <c r="BS61" s="91"/>
      <c r="BT61" s="91"/>
      <c r="BU61" s="91"/>
      <c r="BV61" s="91"/>
      <c r="BW61" s="91"/>
      <c r="BX61" s="91"/>
      <c r="BY61" s="91"/>
      <c r="BZ61" s="91"/>
      <c r="CA61" s="91"/>
      <c r="CB61" s="91"/>
      <c r="CC61" s="91"/>
      <c r="CD61" s="91"/>
      <c r="CE61" s="91"/>
      <c r="CF61" s="91"/>
      <c r="CG61" s="91"/>
      <c r="CH61" s="91">
        <f t="shared" ref="CH61:CH72" si="21">CI61+CJ61+CK61+CL61+CM61+CN61+CO61+CP61+CQ61+CR61</f>
        <v>0</v>
      </c>
      <c r="CI61" s="91"/>
      <c r="CJ61" s="91"/>
      <c r="CK61" s="91"/>
      <c r="CL61" s="91"/>
      <c r="CM61" s="102"/>
      <c r="CN61" s="91"/>
      <c r="CO61" s="91"/>
      <c r="CP61" s="91"/>
      <c r="CQ61" s="91"/>
      <c r="CR61" s="91"/>
      <c r="CS61" s="91">
        <f t="shared" ref="CS61:CS72" si="22">CT61+CU61+CV61+CW61+CX61+CY61+CZ61+DA61+DB61+DC61</f>
        <v>0</v>
      </c>
      <c r="CT61" s="91"/>
      <c r="CU61" s="91"/>
      <c r="CV61" s="91"/>
      <c r="CW61" s="91"/>
      <c r="CX61" s="91"/>
      <c r="CY61" s="91"/>
      <c r="CZ61" s="91"/>
      <c r="DA61" s="91"/>
      <c r="DB61" s="91"/>
      <c r="DC61" s="91"/>
      <c r="DD61" s="91">
        <f t="shared" ref="DD61:DD72" si="23">DE61+DF61+DG61+DH61+DI61+DJ61+DK61+DL61+DM61+DN61</f>
        <v>0</v>
      </c>
      <c r="DE61" s="91"/>
      <c r="DF61" s="91"/>
      <c r="DG61" s="91"/>
      <c r="DH61" s="91"/>
      <c r="DI61" s="91"/>
      <c r="DJ61" s="91"/>
      <c r="DK61" s="91"/>
      <c r="DL61" s="91"/>
      <c r="DM61" s="91"/>
      <c r="DN61" s="92"/>
      <c r="DO61" s="93">
        <f t="shared" ref="DO61:DO72" si="24">AE61+CH61+CS61+DD61</f>
        <v>4000000000</v>
      </c>
    </row>
    <row r="62" spans="1:119" s="225" customFormat="1" ht="63" customHeight="1" x14ac:dyDescent="0.2">
      <c r="A62" s="244">
        <v>1</v>
      </c>
      <c r="B62" s="253" t="s">
        <v>19</v>
      </c>
      <c r="C62" s="59" t="s">
        <v>453</v>
      </c>
      <c r="D62" s="59" t="s">
        <v>243</v>
      </c>
      <c r="E62" s="106">
        <v>99.679658302188997</v>
      </c>
      <c r="F62" s="14">
        <v>2018</v>
      </c>
      <c r="G62" s="110" t="s">
        <v>462</v>
      </c>
      <c r="H62" s="117">
        <v>99.68</v>
      </c>
      <c r="I62" s="13">
        <v>19</v>
      </c>
      <c r="J62" s="13" t="s">
        <v>1663</v>
      </c>
      <c r="K62" s="50">
        <v>2</v>
      </c>
      <c r="L62" s="50" t="s">
        <v>458</v>
      </c>
      <c r="M62" s="246">
        <v>13</v>
      </c>
      <c r="N62" s="244">
        <v>1906</v>
      </c>
      <c r="O62" s="245" t="s">
        <v>1662</v>
      </c>
      <c r="P62" s="13" t="s">
        <v>621</v>
      </c>
      <c r="Q62" s="13">
        <v>1906012</v>
      </c>
      <c r="R62" s="13">
        <v>1906012</v>
      </c>
      <c r="S62" s="59" t="s">
        <v>622</v>
      </c>
      <c r="T62" s="13" t="s">
        <v>623</v>
      </c>
      <c r="U62" s="13">
        <v>190601200</v>
      </c>
      <c r="V62" s="13">
        <v>190601200</v>
      </c>
      <c r="W62" s="87" t="s">
        <v>622</v>
      </c>
      <c r="X62" s="88" t="s">
        <v>9</v>
      </c>
      <c r="Y62" s="13">
        <v>2</v>
      </c>
      <c r="Z62" s="13">
        <v>1</v>
      </c>
      <c r="AA62" s="13"/>
      <c r="AB62" s="13">
        <v>0</v>
      </c>
      <c r="AC62" s="13">
        <v>1</v>
      </c>
      <c r="AD62" s="13">
        <v>0</v>
      </c>
      <c r="AE62" s="89">
        <f t="shared" si="20"/>
        <v>2089825148</v>
      </c>
      <c r="AF62" s="89">
        <f t="shared" si="20"/>
        <v>1079124480</v>
      </c>
      <c r="AG62" s="89">
        <f t="shared" si="20"/>
        <v>13833333</v>
      </c>
      <c r="AH62" s="89">
        <f t="shared" si="20"/>
        <v>13833333</v>
      </c>
      <c r="AI62" s="89">
        <f t="shared" si="20"/>
        <v>0</v>
      </c>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v>2089825148</v>
      </c>
      <c r="BO62" s="91">
        <v>1079124480</v>
      </c>
      <c r="BP62" s="91">
        <v>13833333</v>
      </c>
      <c r="BQ62" s="91">
        <v>13833333</v>
      </c>
      <c r="BR62" s="91"/>
      <c r="BS62" s="91"/>
      <c r="BT62" s="91"/>
      <c r="BU62" s="91"/>
      <c r="BV62" s="91"/>
      <c r="BW62" s="91"/>
      <c r="BX62" s="91"/>
      <c r="BY62" s="91"/>
      <c r="BZ62" s="91"/>
      <c r="CA62" s="91"/>
      <c r="CB62" s="91"/>
      <c r="CC62" s="91"/>
      <c r="CD62" s="91"/>
      <c r="CE62" s="91"/>
      <c r="CF62" s="91"/>
      <c r="CG62" s="91"/>
      <c r="CH62" s="91">
        <f t="shared" si="21"/>
        <v>0</v>
      </c>
      <c r="CI62" s="91"/>
      <c r="CJ62" s="91"/>
      <c r="CK62" s="91"/>
      <c r="CL62" s="91"/>
      <c r="CM62" s="102"/>
      <c r="CN62" s="91"/>
      <c r="CO62" s="91"/>
      <c r="CP62" s="91"/>
      <c r="CQ62" s="91"/>
      <c r="CR62" s="91"/>
      <c r="CS62" s="91">
        <f t="shared" si="22"/>
        <v>0</v>
      </c>
      <c r="CT62" s="91"/>
      <c r="CU62" s="91"/>
      <c r="CV62" s="91"/>
      <c r="CW62" s="91"/>
      <c r="CX62" s="91"/>
      <c r="CY62" s="91"/>
      <c r="CZ62" s="91"/>
      <c r="DA62" s="91"/>
      <c r="DB62" s="91"/>
      <c r="DC62" s="91"/>
      <c r="DD62" s="91">
        <f t="shared" si="23"/>
        <v>0</v>
      </c>
      <c r="DE62" s="91"/>
      <c r="DF62" s="91"/>
      <c r="DG62" s="91"/>
      <c r="DH62" s="91"/>
      <c r="DI62" s="91"/>
      <c r="DJ62" s="91"/>
      <c r="DK62" s="91"/>
      <c r="DL62" s="91"/>
      <c r="DM62" s="91"/>
      <c r="DN62" s="92"/>
      <c r="DO62" s="93">
        <f t="shared" si="24"/>
        <v>2089825148</v>
      </c>
    </row>
    <row r="63" spans="1:119" s="225" customFormat="1" ht="63" customHeight="1" x14ac:dyDescent="0.2">
      <c r="A63" s="244">
        <v>1</v>
      </c>
      <c r="B63" s="253" t="s">
        <v>19</v>
      </c>
      <c r="C63" s="59" t="s">
        <v>453</v>
      </c>
      <c r="D63" s="59" t="s">
        <v>624</v>
      </c>
      <c r="E63" s="106" t="s">
        <v>625</v>
      </c>
      <c r="F63" s="14" t="s">
        <v>455</v>
      </c>
      <c r="G63" s="59" t="s">
        <v>626</v>
      </c>
      <c r="H63" s="55" t="s">
        <v>1719</v>
      </c>
      <c r="I63" s="13">
        <v>19</v>
      </c>
      <c r="J63" s="13" t="s">
        <v>1663</v>
      </c>
      <c r="K63" s="50">
        <v>2</v>
      </c>
      <c r="L63" s="50" t="s">
        <v>458</v>
      </c>
      <c r="M63" s="246">
        <v>13</v>
      </c>
      <c r="N63" s="244">
        <v>1906</v>
      </c>
      <c r="O63" s="245" t="s">
        <v>1662</v>
      </c>
      <c r="P63" s="13" t="s">
        <v>627</v>
      </c>
      <c r="Q63" s="13">
        <v>1906019</v>
      </c>
      <c r="R63" s="13">
        <v>1906019</v>
      </c>
      <c r="S63" s="59" t="s">
        <v>628</v>
      </c>
      <c r="T63" s="13" t="s">
        <v>629</v>
      </c>
      <c r="U63" s="13">
        <v>190601900</v>
      </c>
      <c r="V63" s="13">
        <v>190601900</v>
      </c>
      <c r="W63" s="87" t="s">
        <v>628</v>
      </c>
      <c r="X63" s="88" t="s">
        <v>9</v>
      </c>
      <c r="Y63" s="13">
        <v>1</v>
      </c>
      <c r="Z63" s="13">
        <v>1</v>
      </c>
      <c r="AA63" s="13"/>
      <c r="AB63" s="13">
        <v>0</v>
      </c>
      <c r="AC63" s="13">
        <v>0</v>
      </c>
      <c r="AD63" s="13">
        <v>0</v>
      </c>
      <c r="AE63" s="89">
        <f t="shared" si="20"/>
        <v>5700000000</v>
      </c>
      <c r="AF63" s="89">
        <f t="shared" si="20"/>
        <v>0</v>
      </c>
      <c r="AG63" s="89">
        <f t="shared" si="20"/>
        <v>0</v>
      </c>
      <c r="AH63" s="89">
        <f t="shared" si="20"/>
        <v>0</v>
      </c>
      <c r="AI63" s="89">
        <f t="shared" si="20"/>
        <v>0</v>
      </c>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v>5700000000</v>
      </c>
      <c r="BO63" s="91"/>
      <c r="BP63" s="91"/>
      <c r="BQ63" s="91"/>
      <c r="BR63" s="91"/>
      <c r="BS63" s="91"/>
      <c r="BT63" s="91"/>
      <c r="BU63" s="91"/>
      <c r="BV63" s="91"/>
      <c r="BW63" s="91"/>
      <c r="BX63" s="91"/>
      <c r="BY63" s="91"/>
      <c r="BZ63" s="91"/>
      <c r="CA63" s="91"/>
      <c r="CB63" s="91"/>
      <c r="CC63" s="91"/>
      <c r="CD63" s="91"/>
      <c r="CE63" s="91"/>
      <c r="CF63" s="91"/>
      <c r="CG63" s="91"/>
      <c r="CH63" s="91">
        <f t="shared" si="21"/>
        <v>5000000000</v>
      </c>
      <c r="CI63" s="91"/>
      <c r="CJ63" s="91"/>
      <c r="CK63" s="91"/>
      <c r="CL63" s="91"/>
      <c r="CM63" s="102"/>
      <c r="CN63" s="91"/>
      <c r="CO63" s="91">
        <v>5000000000</v>
      </c>
      <c r="CP63" s="91"/>
      <c r="CQ63" s="91"/>
      <c r="CR63" s="91"/>
      <c r="CS63" s="91">
        <f t="shared" si="22"/>
        <v>10000000000</v>
      </c>
      <c r="CT63" s="91"/>
      <c r="CU63" s="91"/>
      <c r="CV63" s="91"/>
      <c r="CW63" s="91"/>
      <c r="CX63" s="91"/>
      <c r="CY63" s="91"/>
      <c r="CZ63" s="91">
        <v>10000000000</v>
      </c>
      <c r="DA63" s="91"/>
      <c r="DB63" s="91"/>
      <c r="DC63" s="91"/>
      <c r="DD63" s="91">
        <f t="shared" si="23"/>
        <v>0</v>
      </c>
      <c r="DE63" s="91"/>
      <c r="DF63" s="91"/>
      <c r="DG63" s="91"/>
      <c r="DH63" s="91"/>
      <c r="DI63" s="91"/>
      <c r="DJ63" s="91"/>
      <c r="DK63" s="91"/>
      <c r="DL63" s="91"/>
      <c r="DM63" s="91"/>
      <c r="DN63" s="92"/>
      <c r="DO63" s="93">
        <f t="shared" si="24"/>
        <v>20700000000</v>
      </c>
    </row>
    <row r="64" spans="1:119" s="225" customFormat="1" ht="110.25" customHeight="1" x14ac:dyDescent="0.2">
      <c r="A64" s="244">
        <v>1</v>
      </c>
      <c r="B64" s="253" t="s">
        <v>19</v>
      </c>
      <c r="C64" s="59" t="s">
        <v>453</v>
      </c>
      <c r="D64" s="59" t="s">
        <v>228</v>
      </c>
      <c r="E64" s="55">
        <v>11.21</v>
      </c>
      <c r="F64" s="103">
        <v>2018</v>
      </c>
      <c r="G64" s="110" t="s">
        <v>462</v>
      </c>
      <c r="H64" s="55">
        <v>11</v>
      </c>
      <c r="I64" s="13">
        <v>19</v>
      </c>
      <c r="J64" s="13" t="s">
        <v>1663</v>
      </c>
      <c r="K64" s="50">
        <v>2</v>
      </c>
      <c r="L64" s="50" t="s">
        <v>458</v>
      </c>
      <c r="M64" s="246">
        <v>13</v>
      </c>
      <c r="N64" s="244">
        <v>1906</v>
      </c>
      <c r="O64" s="245" t="s">
        <v>1662</v>
      </c>
      <c r="P64" s="13" t="s">
        <v>630</v>
      </c>
      <c r="Q64" s="13">
        <v>1906022</v>
      </c>
      <c r="R64" s="13">
        <v>1906022</v>
      </c>
      <c r="S64" s="59" t="s">
        <v>631</v>
      </c>
      <c r="T64" s="13" t="s">
        <v>632</v>
      </c>
      <c r="U64" s="13">
        <v>190602200</v>
      </c>
      <c r="V64" s="13">
        <v>190602200</v>
      </c>
      <c r="W64" s="87" t="s">
        <v>633</v>
      </c>
      <c r="X64" s="88" t="s">
        <v>9</v>
      </c>
      <c r="Y64" s="13">
        <v>4</v>
      </c>
      <c r="Z64" s="13">
        <v>1</v>
      </c>
      <c r="AA64" s="13"/>
      <c r="AB64" s="13">
        <v>1</v>
      </c>
      <c r="AC64" s="13">
        <v>1</v>
      </c>
      <c r="AD64" s="13">
        <v>1</v>
      </c>
      <c r="AE64" s="89">
        <f t="shared" si="20"/>
        <v>0</v>
      </c>
      <c r="AF64" s="89">
        <f t="shared" si="20"/>
        <v>0</v>
      </c>
      <c r="AG64" s="89">
        <f t="shared" si="20"/>
        <v>0</v>
      </c>
      <c r="AH64" s="89">
        <f t="shared" si="20"/>
        <v>0</v>
      </c>
      <c r="AI64" s="89">
        <f t="shared" si="20"/>
        <v>0</v>
      </c>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1"/>
      <c r="BX64" s="91"/>
      <c r="BY64" s="91"/>
      <c r="BZ64" s="91"/>
      <c r="CA64" s="91"/>
      <c r="CB64" s="91"/>
      <c r="CC64" s="91"/>
      <c r="CD64" s="91"/>
      <c r="CE64" s="91"/>
      <c r="CF64" s="91"/>
      <c r="CG64" s="91"/>
      <c r="CH64" s="91">
        <f t="shared" si="21"/>
        <v>0</v>
      </c>
      <c r="CI64" s="91"/>
      <c r="CJ64" s="91"/>
      <c r="CK64" s="91"/>
      <c r="CL64" s="91"/>
      <c r="CM64" s="102"/>
      <c r="CN64" s="91"/>
      <c r="CO64" s="91"/>
      <c r="CP64" s="91"/>
      <c r="CQ64" s="91"/>
      <c r="CR64" s="91"/>
      <c r="CS64" s="91">
        <f t="shared" si="22"/>
        <v>0</v>
      </c>
      <c r="CT64" s="91"/>
      <c r="CU64" s="91"/>
      <c r="CV64" s="91"/>
      <c r="CW64" s="91"/>
      <c r="CX64" s="91"/>
      <c r="CY64" s="91"/>
      <c r="CZ64" s="91"/>
      <c r="DA64" s="91"/>
      <c r="DB64" s="91"/>
      <c r="DC64" s="91"/>
      <c r="DD64" s="91">
        <f t="shared" si="23"/>
        <v>0</v>
      </c>
      <c r="DE64" s="91"/>
      <c r="DF64" s="91"/>
      <c r="DG64" s="91"/>
      <c r="DH64" s="91"/>
      <c r="DI64" s="91"/>
      <c r="DJ64" s="91"/>
      <c r="DK64" s="91"/>
      <c r="DL64" s="91"/>
      <c r="DM64" s="91"/>
      <c r="DN64" s="92"/>
      <c r="DO64" s="93">
        <f t="shared" si="24"/>
        <v>0</v>
      </c>
    </row>
    <row r="65" spans="1:119" s="225" customFormat="1" ht="63" customHeight="1" x14ac:dyDescent="0.2">
      <c r="A65" s="244">
        <v>1</v>
      </c>
      <c r="B65" s="253" t="s">
        <v>19</v>
      </c>
      <c r="C65" s="59" t="s">
        <v>453</v>
      </c>
      <c r="D65" s="59" t="s">
        <v>236</v>
      </c>
      <c r="E65" s="106">
        <v>8.11</v>
      </c>
      <c r="F65" s="103">
        <v>2018</v>
      </c>
      <c r="G65" s="110" t="s">
        <v>462</v>
      </c>
      <c r="H65" s="55">
        <v>6.5</v>
      </c>
      <c r="I65" s="13">
        <v>19</v>
      </c>
      <c r="J65" s="13" t="s">
        <v>1663</v>
      </c>
      <c r="K65" s="50">
        <v>2</v>
      </c>
      <c r="L65" s="13" t="s">
        <v>458</v>
      </c>
      <c r="M65" s="246">
        <v>13</v>
      </c>
      <c r="N65" s="244">
        <v>1906</v>
      </c>
      <c r="O65" s="245" t="s">
        <v>1662</v>
      </c>
      <c r="P65" s="13" t="s">
        <v>634</v>
      </c>
      <c r="Q65" s="13" t="s">
        <v>77</v>
      </c>
      <c r="R65" s="13">
        <v>1906023</v>
      </c>
      <c r="S65" s="59" t="s">
        <v>635</v>
      </c>
      <c r="T65" s="13" t="s">
        <v>636</v>
      </c>
      <c r="U65" s="13" t="s">
        <v>77</v>
      </c>
      <c r="V65" s="13">
        <v>190602301</v>
      </c>
      <c r="W65" s="87" t="s">
        <v>637</v>
      </c>
      <c r="X65" s="88" t="s">
        <v>8</v>
      </c>
      <c r="Y65" s="13">
        <v>60</v>
      </c>
      <c r="Z65" s="13">
        <v>60</v>
      </c>
      <c r="AA65" s="13">
        <v>33</v>
      </c>
      <c r="AB65" s="13">
        <v>60</v>
      </c>
      <c r="AC65" s="13">
        <v>60</v>
      </c>
      <c r="AD65" s="13">
        <v>60</v>
      </c>
      <c r="AE65" s="89">
        <f t="shared" si="20"/>
        <v>1569866698</v>
      </c>
      <c r="AF65" s="89">
        <f t="shared" si="20"/>
        <v>1737051000</v>
      </c>
      <c r="AG65" s="89">
        <f t="shared" si="20"/>
        <v>1147256460</v>
      </c>
      <c r="AH65" s="89">
        <f t="shared" si="20"/>
        <v>1147256460</v>
      </c>
      <c r="AI65" s="89">
        <f t="shared" si="20"/>
        <v>0</v>
      </c>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f>1337051000+400000000</f>
        <v>1737051000</v>
      </c>
      <c r="BU65" s="91">
        <v>1147256460</v>
      </c>
      <c r="BV65" s="91">
        <v>1147256460</v>
      </c>
      <c r="BW65" s="91"/>
      <c r="BX65" s="91"/>
      <c r="BY65" s="91"/>
      <c r="BZ65" s="91"/>
      <c r="CA65" s="91"/>
      <c r="CB65" s="91"/>
      <c r="CC65" s="91">
        <f>1530716729+39149969</f>
        <v>1569866698</v>
      </c>
      <c r="CD65" s="91"/>
      <c r="CE65" s="91"/>
      <c r="CF65" s="91"/>
      <c r="CG65" s="91"/>
      <c r="CH65" s="91">
        <f t="shared" si="21"/>
        <v>1576638231</v>
      </c>
      <c r="CI65" s="91"/>
      <c r="CJ65" s="91"/>
      <c r="CK65" s="91"/>
      <c r="CL65" s="91"/>
      <c r="CM65" s="102"/>
      <c r="CN65" s="91"/>
      <c r="CO65" s="91"/>
      <c r="CP65" s="91"/>
      <c r="CQ65" s="91"/>
      <c r="CR65" s="91">
        <v>1576638231</v>
      </c>
      <c r="CS65" s="91">
        <f t="shared" si="22"/>
        <v>1623937376.7960999</v>
      </c>
      <c r="CT65" s="91"/>
      <c r="CU65" s="91"/>
      <c r="CV65" s="91"/>
      <c r="CW65" s="91"/>
      <c r="CX65" s="91"/>
      <c r="CY65" s="91"/>
      <c r="CZ65" s="91"/>
      <c r="DA65" s="91"/>
      <c r="DB65" s="91"/>
      <c r="DC65" s="91">
        <v>1623937376.7960999</v>
      </c>
      <c r="DD65" s="91">
        <f t="shared" si="23"/>
        <v>1672655499</v>
      </c>
      <c r="DE65" s="91"/>
      <c r="DF65" s="91"/>
      <c r="DG65" s="91"/>
      <c r="DH65" s="91"/>
      <c r="DI65" s="91"/>
      <c r="DJ65" s="91"/>
      <c r="DK65" s="91"/>
      <c r="DL65" s="91"/>
      <c r="DM65" s="91"/>
      <c r="DN65" s="92">
        <v>1672655499</v>
      </c>
      <c r="DO65" s="93">
        <f t="shared" si="24"/>
        <v>6443097804.7960997</v>
      </c>
    </row>
    <row r="66" spans="1:119" s="225" customFormat="1" ht="63" customHeight="1" x14ac:dyDescent="0.2">
      <c r="A66" s="244">
        <v>1</v>
      </c>
      <c r="B66" s="253" t="s">
        <v>19</v>
      </c>
      <c r="C66" s="59" t="s">
        <v>453</v>
      </c>
      <c r="D66" s="59" t="s">
        <v>275</v>
      </c>
      <c r="E66" s="55">
        <v>85.9</v>
      </c>
      <c r="F66" s="14">
        <v>2018</v>
      </c>
      <c r="G66" s="59" t="s">
        <v>638</v>
      </c>
      <c r="H66" s="55">
        <v>90</v>
      </c>
      <c r="I66" s="13">
        <v>19</v>
      </c>
      <c r="J66" s="13" t="s">
        <v>1663</v>
      </c>
      <c r="K66" s="50">
        <v>2</v>
      </c>
      <c r="L66" s="13" t="s">
        <v>458</v>
      </c>
      <c r="M66" s="246">
        <v>13</v>
      </c>
      <c r="N66" s="244">
        <v>1906</v>
      </c>
      <c r="O66" s="245" t="s">
        <v>1662</v>
      </c>
      <c r="P66" s="13" t="s">
        <v>634</v>
      </c>
      <c r="Q66" s="13" t="s">
        <v>77</v>
      </c>
      <c r="R66" s="13">
        <v>1906023</v>
      </c>
      <c r="S66" s="59" t="s">
        <v>635</v>
      </c>
      <c r="T66" s="13" t="s">
        <v>639</v>
      </c>
      <c r="U66" s="13" t="s">
        <v>77</v>
      </c>
      <c r="V66" s="13">
        <v>190602301</v>
      </c>
      <c r="W66" s="87" t="s">
        <v>640</v>
      </c>
      <c r="X66" s="88" t="s">
        <v>8</v>
      </c>
      <c r="Y66" s="13">
        <v>40</v>
      </c>
      <c r="Z66" s="13">
        <v>40</v>
      </c>
      <c r="AA66" s="13">
        <v>0</v>
      </c>
      <c r="AB66" s="13">
        <v>40</v>
      </c>
      <c r="AC66" s="13">
        <v>40</v>
      </c>
      <c r="AD66" s="13">
        <v>40</v>
      </c>
      <c r="AE66" s="89">
        <f t="shared" si="20"/>
        <v>0</v>
      </c>
      <c r="AF66" s="89">
        <f t="shared" si="20"/>
        <v>0</v>
      </c>
      <c r="AG66" s="89">
        <f t="shared" si="20"/>
        <v>0</v>
      </c>
      <c r="AH66" s="89">
        <f t="shared" si="20"/>
        <v>0</v>
      </c>
      <c r="AI66" s="89">
        <f t="shared" si="20"/>
        <v>0</v>
      </c>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f t="shared" si="21"/>
        <v>0</v>
      </c>
      <c r="CI66" s="91"/>
      <c r="CJ66" s="91"/>
      <c r="CK66" s="91"/>
      <c r="CL66" s="91"/>
      <c r="CM66" s="102"/>
      <c r="CN66" s="91"/>
      <c r="CO66" s="91"/>
      <c r="CP66" s="91"/>
      <c r="CQ66" s="91"/>
      <c r="CR66" s="91"/>
      <c r="CS66" s="91">
        <f t="shared" si="22"/>
        <v>0</v>
      </c>
      <c r="CT66" s="91"/>
      <c r="CU66" s="91"/>
      <c r="CV66" s="91"/>
      <c r="CW66" s="91"/>
      <c r="CX66" s="91"/>
      <c r="CY66" s="91"/>
      <c r="CZ66" s="91"/>
      <c r="DA66" s="91"/>
      <c r="DB66" s="91"/>
      <c r="DC66" s="91"/>
      <c r="DD66" s="91">
        <f t="shared" si="23"/>
        <v>0</v>
      </c>
      <c r="DE66" s="91"/>
      <c r="DF66" s="91"/>
      <c r="DG66" s="91"/>
      <c r="DH66" s="91"/>
      <c r="DI66" s="91"/>
      <c r="DJ66" s="91"/>
      <c r="DK66" s="91"/>
      <c r="DL66" s="91"/>
      <c r="DM66" s="91"/>
      <c r="DN66" s="92"/>
      <c r="DO66" s="93">
        <f t="shared" si="24"/>
        <v>0</v>
      </c>
    </row>
    <row r="67" spans="1:119" s="225" customFormat="1" ht="94.5" customHeight="1" x14ac:dyDescent="0.2">
      <c r="A67" s="244">
        <v>1</v>
      </c>
      <c r="B67" s="253" t="s">
        <v>19</v>
      </c>
      <c r="C67" s="59" t="s">
        <v>453</v>
      </c>
      <c r="D67" s="59" t="s">
        <v>278</v>
      </c>
      <c r="E67" s="107">
        <v>47.271242571337844</v>
      </c>
      <c r="F67" s="14">
        <v>2018</v>
      </c>
      <c r="G67" s="59" t="s">
        <v>462</v>
      </c>
      <c r="H67" s="55">
        <v>40</v>
      </c>
      <c r="I67" s="13">
        <v>19</v>
      </c>
      <c r="J67" s="13" t="s">
        <v>1663</v>
      </c>
      <c r="K67" s="50">
        <v>2</v>
      </c>
      <c r="L67" s="13" t="s">
        <v>458</v>
      </c>
      <c r="M67" s="246">
        <v>13</v>
      </c>
      <c r="N67" s="244">
        <v>1906</v>
      </c>
      <c r="O67" s="245" t="s">
        <v>1662</v>
      </c>
      <c r="P67" s="13" t="s">
        <v>641</v>
      </c>
      <c r="Q67" s="13">
        <v>1906029</v>
      </c>
      <c r="R67" s="13">
        <v>1906029</v>
      </c>
      <c r="S67" s="59" t="s">
        <v>642</v>
      </c>
      <c r="T67" s="13" t="s">
        <v>643</v>
      </c>
      <c r="U67" s="13">
        <v>190602900</v>
      </c>
      <c r="V67" s="13">
        <v>190602900</v>
      </c>
      <c r="W67" s="87" t="s">
        <v>644</v>
      </c>
      <c r="X67" s="88" t="s">
        <v>8</v>
      </c>
      <c r="Y67" s="13">
        <v>40</v>
      </c>
      <c r="Z67" s="13">
        <v>40</v>
      </c>
      <c r="AA67" s="13">
        <v>40</v>
      </c>
      <c r="AB67" s="13">
        <v>40</v>
      </c>
      <c r="AC67" s="13">
        <v>40</v>
      </c>
      <c r="AD67" s="13">
        <v>40</v>
      </c>
      <c r="AE67" s="89">
        <f t="shared" si="20"/>
        <v>2114282983</v>
      </c>
      <c r="AF67" s="89">
        <f t="shared" si="20"/>
        <v>1568304000</v>
      </c>
      <c r="AG67" s="89">
        <f t="shared" si="20"/>
        <v>858316832</v>
      </c>
      <c r="AH67" s="89">
        <f t="shared" si="20"/>
        <v>845793332</v>
      </c>
      <c r="AI67" s="89">
        <f t="shared" si="20"/>
        <v>0</v>
      </c>
      <c r="AJ67" s="91">
        <v>150390000</v>
      </c>
      <c r="AK67" s="91">
        <f>924790000+'[1]F-PLA-47 MP SALUD'!$Q$135</f>
        <v>930390000</v>
      </c>
      <c r="AL67" s="91">
        <v>845793332</v>
      </c>
      <c r="AM67" s="91">
        <v>845793332</v>
      </c>
      <c r="AN67" s="91"/>
      <c r="AO67" s="91">
        <v>467546000</v>
      </c>
      <c r="AP67" s="91"/>
      <c r="AQ67" s="91"/>
      <c r="AR67" s="91"/>
      <c r="AS67" s="91"/>
      <c r="AT67" s="91">
        <v>1496346983</v>
      </c>
      <c r="AU67" s="91"/>
      <c r="AV67" s="91"/>
      <c r="AW67" s="91"/>
      <c r="AX67" s="91"/>
      <c r="AY67" s="1"/>
      <c r="AZ67" s="91"/>
      <c r="BA67" s="1"/>
      <c r="BB67" s="1"/>
      <c r="BC67" s="1"/>
      <c r="BD67" s="91"/>
      <c r="BE67" s="91"/>
      <c r="BF67" s="91"/>
      <c r="BG67" s="91"/>
      <c r="BH67" s="91"/>
      <c r="BI67" s="91"/>
      <c r="BJ67" s="91"/>
      <c r="BK67" s="91"/>
      <c r="BL67" s="91"/>
      <c r="BM67" s="91"/>
      <c r="BN67" s="91"/>
      <c r="BO67" s="91"/>
      <c r="BP67" s="91"/>
      <c r="BQ67" s="91"/>
      <c r="BR67" s="91"/>
      <c r="BS67" s="91"/>
      <c r="BT67" s="91">
        <f>170368000+467546000</f>
        <v>637914000</v>
      </c>
      <c r="BU67" s="91">
        <v>12523500</v>
      </c>
      <c r="BV67" s="91"/>
      <c r="BW67" s="91"/>
      <c r="BX67" s="91"/>
      <c r="BY67" s="91"/>
      <c r="BZ67" s="91"/>
      <c r="CA67" s="91"/>
      <c r="CB67" s="91"/>
      <c r="CC67" s="91"/>
      <c r="CD67" s="91"/>
      <c r="CE67" s="91"/>
      <c r="CF67" s="91"/>
      <c r="CG67" s="91"/>
      <c r="CH67" s="91">
        <f t="shared" si="21"/>
        <v>161590000</v>
      </c>
      <c r="CI67" s="91">
        <v>161590000</v>
      </c>
      <c r="CJ67" s="91"/>
      <c r="CK67" s="91"/>
      <c r="CL67" s="91"/>
      <c r="CM67" s="102"/>
      <c r="CN67" s="91"/>
      <c r="CO67" s="91"/>
      <c r="CP67" s="91"/>
      <c r="CQ67" s="91"/>
      <c r="CR67" s="91"/>
      <c r="CS67" s="91">
        <f t="shared" si="22"/>
        <v>161590000</v>
      </c>
      <c r="CT67" s="91">
        <v>161590000</v>
      </c>
      <c r="CU67" s="91"/>
      <c r="CV67" s="91"/>
      <c r="CW67" s="91"/>
      <c r="CX67" s="91"/>
      <c r="CY67" s="91"/>
      <c r="CZ67" s="91"/>
      <c r="DA67" s="91"/>
      <c r="DB67" s="91"/>
      <c r="DC67" s="91"/>
      <c r="DD67" s="91">
        <f t="shared" si="23"/>
        <v>161590000</v>
      </c>
      <c r="DE67" s="91">
        <v>161590000</v>
      </c>
      <c r="DF67" s="91"/>
      <c r="DG67" s="91"/>
      <c r="DH67" s="91"/>
      <c r="DI67" s="91"/>
      <c r="DJ67" s="91"/>
      <c r="DK67" s="91"/>
      <c r="DL67" s="91"/>
      <c r="DM67" s="91"/>
      <c r="DN67" s="92"/>
      <c r="DO67" s="93">
        <f t="shared" si="24"/>
        <v>2599052983</v>
      </c>
    </row>
    <row r="68" spans="1:119" s="225" customFormat="1" ht="110.25" customHeight="1" x14ac:dyDescent="0.2">
      <c r="A68" s="244">
        <v>1</v>
      </c>
      <c r="B68" s="253" t="s">
        <v>19</v>
      </c>
      <c r="C68" s="59" t="s">
        <v>453</v>
      </c>
      <c r="D68" s="59" t="s">
        <v>244</v>
      </c>
      <c r="E68" s="55">
        <v>89.22</v>
      </c>
      <c r="F68" s="14">
        <v>2018</v>
      </c>
      <c r="G68" s="59" t="s">
        <v>518</v>
      </c>
      <c r="H68" s="55">
        <v>100</v>
      </c>
      <c r="I68" s="13">
        <v>19</v>
      </c>
      <c r="J68" s="13" t="s">
        <v>1663</v>
      </c>
      <c r="K68" s="50">
        <v>2</v>
      </c>
      <c r="L68" s="13" t="s">
        <v>458</v>
      </c>
      <c r="M68" s="246">
        <v>13</v>
      </c>
      <c r="N68" s="244">
        <v>1906</v>
      </c>
      <c r="O68" s="245" t="s">
        <v>1662</v>
      </c>
      <c r="P68" s="13" t="s">
        <v>645</v>
      </c>
      <c r="Q68" s="13">
        <v>1906032</v>
      </c>
      <c r="R68" s="13">
        <v>1906032</v>
      </c>
      <c r="S68" s="59" t="s">
        <v>274</v>
      </c>
      <c r="T68" s="13" t="s">
        <v>646</v>
      </c>
      <c r="U68" s="13">
        <v>190603200</v>
      </c>
      <c r="V68" s="13">
        <v>190603200</v>
      </c>
      <c r="W68" s="87" t="s">
        <v>647</v>
      </c>
      <c r="X68" s="88" t="s">
        <v>9</v>
      </c>
      <c r="Y68" s="13">
        <v>3000</v>
      </c>
      <c r="Z68" s="13">
        <v>1500</v>
      </c>
      <c r="AA68" s="13">
        <v>12709</v>
      </c>
      <c r="AB68" s="13">
        <v>1500</v>
      </c>
      <c r="AC68" s="13" t="s">
        <v>1571</v>
      </c>
      <c r="AD68" s="13" t="s">
        <v>1571</v>
      </c>
      <c r="AE68" s="89">
        <f t="shared" si="20"/>
        <v>0</v>
      </c>
      <c r="AF68" s="89">
        <f t="shared" si="20"/>
        <v>0</v>
      </c>
      <c r="AG68" s="89">
        <f t="shared" si="20"/>
        <v>0</v>
      </c>
      <c r="AH68" s="89">
        <f t="shared" si="20"/>
        <v>0</v>
      </c>
      <c r="AI68" s="89">
        <f t="shared" si="20"/>
        <v>0</v>
      </c>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f t="shared" si="21"/>
        <v>0</v>
      </c>
      <c r="CI68" s="91"/>
      <c r="CJ68" s="91"/>
      <c r="CK68" s="91"/>
      <c r="CL68" s="91"/>
      <c r="CM68" s="102"/>
      <c r="CN68" s="91"/>
      <c r="CO68" s="91"/>
      <c r="CP68" s="91"/>
      <c r="CQ68" s="91"/>
      <c r="CR68" s="91"/>
      <c r="CS68" s="91">
        <f t="shared" si="22"/>
        <v>0</v>
      </c>
      <c r="CT68" s="91"/>
      <c r="CU68" s="91"/>
      <c r="CV68" s="91"/>
      <c r="CW68" s="91"/>
      <c r="CX68" s="91"/>
      <c r="CY68" s="91"/>
      <c r="CZ68" s="91"/>
      <c r="DA68" s="91"/>
      <c r="DB68" s="91"/>
      <c r="DC68" s="91"/>
      <c r="DD68" s="91">
        <f t="shared" si="23"/>
        <v>0</v>
      </c>
      <c r="DE68" s="91"/>
      <c r="DF68" s="91"/>
      <c r="DG68" s="91"/>
      <c r="DH68" s="91"/>
      <c r="DI68" s="91"/>
      <c r="DJ68" s="91"/>
      <c r="DK68" s="91"/>
      <c r="DL68" s="91"/>
      <c r="DM68" s="91"/>
      <c r="DN68" s="92"/>
      <c r="DO68" s="93">
        <f t="shared" si="24"/>
        <v>0</v>
      </c>
    </row>
    <row r="69" spans="1:119" s="225" customFormat="1" ht="94.5" customHeight="1" x14ac:dyDescent="0.2">
      <c r="A69" s="244">
        <v>1</v>
      </c>
      <c r="B69" s="253" t="s">
        <v>19</v>
      </c>
      <c r="C69" s="59" t="s">
        <v>453</v>
      </c>
      <c r="D69" s="59" t="s">
        <v>275</v>
      </c>
      <c r="E69" s="55">
        <v>85.9</v>
      </c>
      <c r="F69" s="14">
        <v>2018</v>
      </c>
      <c r="G69" s="59" t="s">
        <v>638</v>
      </c>
      <c r="H69" s="55">
        <v>90</v>
      </c>
      <c r="I69" s="13">
        <v>19</v>
      </c>
      <c r="J69" s="13" t="s">
        <v>1663</v>
      </c>
      <c r="K69" s="50">
        <v>2</v>
      </c>
      <c r="L69" s="13" t="s">
        <v>458</v>
      </c>
      <c r="M69" s="246">
        <v>13</v>
      </c>
      <c r="N69" s="244">
        <v>1906</v>
      </c>
      <c r="O69" s="245" t="s">
        <v>1662</v>
      </c>
      <c r="P69" s="13" t="s">
        <v>648</v>
      </c>
      <c r="Q69" s="13" t="s">
        <v>77</v>
      </c>
      <c r="R69" s="13">
        <v>1906023</v>
      </c>
      <c r="S69" s="59" t="s">
        <v>649</v>
      </c>
      <c r="T69" s="13" t="s">
        <v>650</v>
      </c>
      <c r="U69" s="13" t="s">
        <v>77</v>
      </c>
      <c r="V69" s="13">
        <v>190602300</v>
      </c>
      <c r="W69" s="87" t="s">
        <v>651</v>
      </c>
      <c r="X69" s="88" t="s">
        <v>8</v>
      </c>
      <c r="Y69" s="13">
        <v>19899</v>
      </c>
      <c r="Z69" s="13">
        <v>19899</v>
      </c>
      <c r="AA69" s="13">
        <v>13465</v>
      </c>
      <c r="AB69" s="13">
        <v>19899</v>
      </c>
      <c r="AC69" s="13">
        <v>19899</v>
      </c>
      <c r="AD69" s="13">
        <v>19899</v>
      </c>
      <c r="AE69" s="89">
        <f t="shared" si="20"/>
        <v>21660622878.040001</v>
      </c>
      <c r="AF69" s="89">
        <f t="shared" si="20"/>
        <v>24421796908.480003</v>
      </c>
      <c r="AG69" s="89">
        <f t="shared" si="20"/>
        <v>24406971228.440002</v>
      </c>
      <c r="AH69" s="89">
        <f t="shared" si="20"/>
        <v>24406971228.440002</v>
      </c>
      <c r="AI69" s="89">
        <f t="shared" si="20"/>
        <v>0</v>
      </c>
      <c r="AJ69" s="91">
        <v>11200000</v>
      </c>
      <c r="AK69" s="91">
        <v>11200000</v>
      </c>
      <c r="AL69" s="91">
        <v>11200000</v>
      </c>
      <c r="AM69" s="91">
        <v>11200000</v>
      </c>
      <c r="AN69" s="91"/>
      <c r="AO69" s="91">
        <v>21649422878.040001</v>
      </c>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v>24410596908.480003</v>
      </c>
      <c r="BU69" s="91">
        <v>24395771228.440002</v>
      </c>
      <c r="BV69" s="91">
        <v>24395771228.440002</v>
      </c>
      <c r="BW69" s="91"/>
      <c r="BX69" s="91"/>
      <c r="BY69" s="91"/>
      <c r="BZ69" s="91"/>
      <c r="CA69" s="91"/>
      <c r="CB69" s="91"/>
      <c r="CC69" s="91"/>
      <c r="CD69" s="91"/>
      <c r="CE69" s="91"/>
      <c r="CF69" s="91"/>
      <c r="CG69" s="91"/>
      <c r="CH69" s="91">
        <f t="shared" si="21"/>
        <v>22283635119.09</v>
      </c>
      <c r="CI69" s="91"/>
      <c r="CJ69" s="91">
        <v>22283635119.09</v>
      </c>
      <c r="CK69" s="91"/>
      <c r="CL69" s="91"/>
      <c r="CM69" s="102"/>
      <c r="CN69" s="91"/>
      <c r="CO69" s="91"/>
      <c r="CP69" s="91"/>
      <c r="CQ69" s="91"/>
      <c r="CR69" s="91"/>
      <c r="CS69" s="91">
        <f t="shared" si="22"/>
        <v>22952144172.662701</v>
      </c>
      <c r="CT69" s="91"/>
      <c r="CU69" s="91">
        <v>22952144172.662701</v>
      </c>
      <c r="CV69" s="91"/>
      <c r="CW69" s="91"/>
      <c r="CX69" s="91"/>
      <c r="CY69" s="91"/>
      <c r="CZ69" s="91"/>
      <c r="DA69" s="91"/>
      <c r="DB69" s="91"/>
      <c r="DC69" s="91"/>
      <c r="DD69" s="91">
        <f t="shared" si="23"/>
        <v>23640708498</v>
      </c>
      <c r="DE69" s="91"/>
      <c r="DF69" s="91">
        <v>23640708498</v>
      </c>
      <c r="DG69" s="91"/>
      <c r="DH69" s="91"/>
      <c r="DI69" s="91"/>
      <c r="DJ69" s="91"/>
      <c r="DK69" s="91"/>
      <c r="DL69" s="91"/>
      <c r="DM69" s="91"/>
      <c r="DN69" s="92"/>
      <c r="DO69" s="93">
        <f t="shared" si="24"/>
        <v>90537110667.792709</v>
      </c>
    </row>
    <row r="70" spans="1:119" s="225" customFormat="1" ht="110.25" customHeight="1" x14ac:dyDescent="0.2">
      <c r="A70" s="244">
        <v>1</v>
      </c>
      <c r="B70" s="253" t="s">
        <v>19</v>
      </c>
      <c r="C70" s="59" t="s">
        <v>453</v>
      </c>
      <c r="D70" s="59" t="s">
        <v>275</v>
      </c>
      <c r="E70" s="55">
        <v>85.9</v>
      </c>
      <c r="F70" s="14">
        <v>2018</v>
      </c>
      <c r="G70" s="59" t="s">
        <v>638</v>
      </c>
      <c r="H70" s="55">
        <v>90</v>
      </c>
      <c r="I70" s="13">
        <v>19</v>
      </c>
      <c r="J70" s="13" t="s">
        <v>1663</v>
      </c>
      <c r="K70" s="50">
        <v>2</v>
      </c>
      <c r="L70" s="13" t="s">
        <v>458</v>
      </c>
      <c r="M70" s="246">
        <v>13</v>
      </c>
      <c r="N70" s="244">
        <v>1906</v>
      </c>
      <c r="O70" s="245" t="s">
        <v>1662</v>
      </c>
      <c r="P70" s="13" t="s">
        <v>652</v>
      </c>
      <c r="Q70" s="13" t="s">
        <v>77</v>
      </c>
      <c r="R70" s="13">
        <v>1906025</v>
      </c>
      <c r="S70" s="59" t="s">
        <v>276</v>
      </c>
      <c r="T70" s="13" t="s">
        <v>653</v>
      </c>
      <c r="U70" s="13" t="s">
        <v>77</v>
      </c>
      <c r="V70" s="13">
        <v>190602500</v>
      </c>
      <c r="W70" s="87" t="s">
        <v>654</v>
      </c>
      <c r="X70" s="88" t="s">
        <v>8</v>
      </c>
      <c r="Y70" s="13">
        <v>100</v>
      </c>
      <c r="Z70" s="13">
        <v>100</v>
      </c>
      <c r="AA70" s="13">
        <v>100</v>
      </c>
      <c r="AB70" s="13">
        <v>100</v>
      </c>
      <c r="AC70" s="13">
        <v>100</v>
      </c>
      <c r="AD70" s="13">
        <v>100</v>
      </c>
      <c r="AE70" s="89">
        <f t="shared" si="20"/>
        <v>17913596.870000001</v>
      </c>
      <c r="AF70" s="89">
        <f t="shared" si="20"/>
        <v>1496346983</v>
      </c>
      <c r="AG70" s="89">
        <f t="shared" si="20"/>
        <v>1496346983</v>
      </c>
      <c r="AH70" s="89">
        <f t="shared" si="20"/>
        <v>1496346983</v>
      </c>
      <c r="AI70" s="89">
        <f t="shared" si="20"/>
        <v>0</v>
      </c>
      <c r="AJ70" s="91"/>
      <c r="AK70" s="91"/>
      <c r="AL70" s="91"/>
      <c r="AM70" s="91"/>
      <c r="AN70" s="91"/>
      <c r="AO70" s="91"/>
      <c r="AP70" s="91"/>
      <c r="AQ70" s="91"/>
      <c r="AR70" s="91"/>
      <c r="AS70" s="91"/>
      <c r="AT70" s="91"/>
      <c r="AU70" s="91"/>
      <c r="AV70" s="91"/>
      <c r="AW70" s="91"/>
      <c r="AX70" s="91"/>
      <c r="AY70" s="1">
        <f>1514260580-1496346983-0.13</f>
        <v>17913596.870000001</v>
      </c>
      <c r="AZ70" s="91">
        <v>1496346983</v>
      </c>
      <c r="BA70" s="1">
        <v>1496346983</v>
      </c>
      <c r="BB70" s="1">
        <v>1496346983</v>
      </c>
      <c r="BC70" s="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91"/>
      <c r="CG70" s="91"/>
      <c r="CH70" s="91">
        <f t="shared" si="21"/>
        <v>1569105798</v>
      </c>
      <c r="CI70" s="91"/>
      <c r="CJ70" s="91"/>
      <c r="CK70" s="91"/>
      <c r="CL70" s="91">
        <v>1569105798</v>
      </c>
      <c r="CM70" s="102"/>
      <c r="CN70" s="91"/>
      <c r="CO70" s="91"/>
      <c r="CP70" s="91"/>
      <c r="CQ70" s="91"/>
      <c r="CR70" s="91"/>
      <c r="CS70" s="91">
        <f t="shared" si="22"/>
        <v>1618684134</v>
      </c>
      <c r="CT70" s="91"/>
      <c r="CU70" s="91">
        <v>2505165</v>
      </c>
      <c r="CV70" s="91"/>
      <c r="CW70" s="91">
        <v>1616178969</v>
      </c>
      <c r="CX70" s="91"/>
      <c r="CY70" s="91"/>
      <c r="CZ70" s="91"/>
      <c r="DA70" s="91"/>
      <c r="DB70" s="91"/>
      <c r="DC70" s="91"/>
      <c r="DD70" s="91">
        <f t="shared" si="23"/>
        <v>1667244656</v>
      </c>
      <c r="DE70" s="91"/>
      <c r="DF70" s="91">
        <v>2580317</v>
      </c>
      <c r="DG70" s="91"/>
      <c r="DH70" s="91">
        <v>1664664339</v>
      </c>
      <c r="DI70" s="91"/>
      <c r="DJ70" s="91"/>
      <c r="DK70" s="91"/>
      <c r="DL70" s="91"/>
      <c r="DM70" s="91"/>
      <c r="DN70" s="92"/>
      <c r="DO70" s="93">
        <f t="shared" si="24"/>
        <v>4872948184.8699999</v>
      </c>
    </row>
    <row r="71" spans="1:119" s="225" customFormat="1" ht="63" customHeight="1" x14ac:dyDescent="0.2">
      <c r="A71" s="244">
        <v>1</v>
      </c>
      <c r="B71" s="253" t="s">
        <v>19</v>
      </c>
      <c r="C71" s="59" t="s">
        <v>453</v>
      </c>
      <c r="D71" s="59" t="s">
        <v>275</v>
      </c>
      <c r="E71" s="55">
        <v>85.9</v>
      </c>
      <c r="F71" s="14">
        <v>2018</v>
      </c>
      <c r="G71" s="59" t="s">
        <v>638</v>
      </c>
      <c r="H71" s="55">
        <v>90</v>
      </c>
      <c r="I71" s="13">
        <v>19</v>
      </c>
      <c r="J71" s="13" t="s">
        <v>1663</v>
      </c>
      <c r="K71" s="50">
        <v>2</v>
      </c>
      <c r="L71" s="13" t="s">
        <v>458</v>
      </c>
      <c r="M71" s="246">
        <v>13</v>
      </c>
      <c r="N71" s="244">
        <v>1906</v>
      </c>
      <c r="O71" s="245" t="s">
        <v>1662</v>
      </c>
      <c r="P71" s="13" t="s">
        <v>655</v>
      </c>
      <c r="Q71" s="13" t="s">
        <v>77</v>
      </c>
      <c r="R71" s="13">
        <v>1906025</v>
      </c>
      <c r="S71" s="59" t="s">
        <v>277</v>
      </c>
      <c r="T71" s="116" t="s">
        <v>656</v>
      </c>
      <c r="U71" s="13" t="s">
        <v>77</v>
      </c>
      <c r="V71" s="13">
        <v>190602500</v>
      </c>
      <c r="W71" s="87" t="s">
        <v>657</v>
      </c>
      <c r="X71" s="88" t="s">
        <v>8</v>
      </c>
      <c r="Y71" s="13">
        <v>100</v>
      </c>
      <c r="Z71" s="13">
        <v>100</v>
      </c>
      <c r="AA71" s="13">
        <v>81</v>
      </c>
      <c r="AB71" s="13">
        <v>100</v>
      </c>
      <c r="AC71" s="13">
        <v>100</v>
      </c>
      <c r="AD71" s="13">
        <v>100</v>
      </c>
      <c r="AE71" s="89">
        <f t="shared" si="20"/>
        <v>4737433024.1699991</v>
      </c>
      <c r="AF71" s="89">
        <f t="shared" si="20"/>
        <v>10111773440.740002</v>
      </c>
      <c r="AG71" s="89">
        <f t="shared" si="20"/>
        <v>8200820360</v>
      </c>
      <c r="AH71" s="89">
        <f t="shared" si="20"/>
        <v>8200820360</v>
      </c>
      <c r="AI71" s="89">
        <f t="shared" si="20"/>
        <v>0</v>
      </c>
      <c r="AJ71" s="91"/>
      <c r="AK71" s="91"/>
      <c r="AL71" s="91"/>
      <c r="AM71" s="91"/>
      <c r="AN71" s="91"/>
      <c r="AO71" s="91">
        <v>3980256643.4799995</v>
      </c>
      <c r="AP71" s="91"/>
      <c r="AQ71" s="91"/>
      <c r="AR71" s="91"/>
      <c r="AS71" s="91"/>
      <c r="AT71" s="91"/>
      <c r="AU71" s="91"/>
      <c r="AV71" s="91"/>
      <c r="AW71" s="91"/>
      <c r="AX71" s="91"/>
      <c r="AY71" s="91">
        <v>680251497</v>
      </c>
      <c r="AZ71" s="91">
        <v>698165093.87</v>
      </c>
      <c r="BA71" s="91">
        <v>671108389</v>
      </c>
      <c r="BB71" s="91">
        <v>671108389</v>
      </c>
      <c r="BC71" s="91"/>
      <c r="BD71" s="91"/>
      <c r="BE71" s="91"/>
      <c r="BF71" s="91"/>
      <c r="BG71" s="91"/>
      <c r="BH71" s="91"/>
      <c r="BI71" s="91"/>
      <c r="BJ71" s="91"/>
      <c r="BK71" s="91"/>
      <c r="BL71" s="91"/>
      <c r="BM71" s="91"/>
      <c r="BN71" s="91"/>
      <c r="BO71" s="91"/>
      <c r="BP71" s="91"/>
      <c r="BQ71" s="91"/>
      <c r="BR71" s="91"/>
      <c r="BS71" s="91"/>
      <c r="BT71" s="91">
        <v>9413608346.8700008</v>
      </c>
      <c r="BU71" s="91">
        <v>7529711971</v>
      </c>
      <c r="BV71" s="91">
        <v>7529711971</v>
      </c>
      <c r="BW71" s="91"/>
      <c r="BX71" s="91"/>
      <c r="BY71" s="91"/>
      <c r="BZ71" s="92"/>
      <c r="CA71" s="92"/>
      <c r="CB71" s="92"/>
      <c r="CC71" s="12">
        <f>68256639+7852620.44+815624.25</f>
        <v>76924883.689999998</v>
      </c>
      <c r="CD71" s="91"/>
      <c r="CE71" s="12"/>
      <c r="CF71" s="12"/>
      <c r="CG71" s="12"/>
      <c r="CH71" s="91">
        <f t="shared" si="21"/>
        <v>3397545740</v>
      </c>
      <c r="CI71" s="91"/>
      <c r="CJ71" s="91">
        <v>3397545740</v>
      </c>
      <c r="CK71" s="91"/>
      <c r="CL71" s="91"/>
      <c r="CM71" s="102"/>
      <c r="CN71" s="91"/>
      <c r="CO71" s="91"/>
      <c r="CP71" s="91"/>
      <c r="CQ71" s="91"/>
      <c r="CR71" s="91"/>
      <c r="CS71" s="91">
        <f t="shared" si="22"/>
        <v>3496966946.1020002</v>
      </c>
      <c r="CT71" s="91"/>
      <c r="CU71" s="91">
        <v>3496966946.1020002</v>
      </c>
      <c r="CV71" s="91"/>
      <c r="CW71" s="91"/>
      <c r="CX71" s="91"/>
      <c r="CY71" s="91"/>
      <c r="CZ71" s="91"/>
      <c r="DA71" s="91"/>
      <c r="DB71" s="91"/>
      <c r="DC71" s="91"/>
      <c r="DD71" s="91">
        <f t="shared" si="23"/>
        <v>3601875955</v>
      </c>
      <c r="DE71" s="91"/>
      <c r="DF71" s="91">
        <v>3601875955</v>
      </c>
      <c r="DG71" s="91"/>
      <c r="DH71" s="91"/>
      <c r="DI71" s="91"/>
      <c r="DJ71" s="91"/>
      <c r="DK71" s="91"/>
      <c r="DL71" s="91"/>
      <c r="DM71" s="91"/>
      <c r="DN71" s="92"/>
      <c r="DO71" s="93">
        <f t="shared" si="24"/>
        <v>15233821665.271999</v>
      </c>
    </row>
    <row r="72" spans="1:119" s="225" customFormat="1" ht="157.5" customHeight="1" x14ac:dyDescent="0.2">
      <c r="A72" s="244">
        <v>1</v>
      </c>
      <c r="B72" s="253" t="s">
        <v>19</v>
      </c>
      <c r="C72" s="94" t="s">
        <v>334</v>
      </c>
      <c r="D72" s="94" t="s">
        <v>22</v>
      </c>
      <c r="E72" s="118">
        <v>5.52</v>
      </c>
      <c r="F72" s="48">
        <v>2019</v>
      </c>
      <c r="G72" s="94" t="s">
        <v>1341</v>
      </c>
      <c r="H72" s="118">
        <v>6.02</v>
      </c>
      <c r="I72" s="13">
        <v>19</v>
      </c>
      <c r="J72" s="13" t="s">
        <v>1663</v>
      </c>
      <c r="K72" s="50">
        <v>2</v>
      </c>
      <c r="L72" s="13" t="s">
        <v>458</v>
      </c>
      <c r="M72" s="244">
        <v>13</v>
      </c>
      <c r="N72" s="247">
        <v>1906</v>
      </c>
      <c r="O72" s="245" t="s">
        <v>1664</v>
      </c>
      <c r="P72" s="13" t="s">
        <v>1342</v>
      </c>
      <c r="Q72" s="48" t="s">
        <v>77</v>
      </c>
      <c r="R72" s="48">
        <v>1906015</v>
      </c>
      <c r="S72" s="94" t="s">
        <v>1572</v>
      </c>
      <c r="T72" s="13" t="s">
        <v>1343</v>
      </c>
      <c r="U72" s="48" t="s">
        <v>77</v>
      </c>
      <c r="V72" s="48">
        <v>190601500</v>
      </c>
      <c r="W72" s="95" t="s">
        <v>1344</v>
      </c>
      <c r="X72" s="88" t="s">
        <v>9</v>
      </c>
      <c r="Y72" s="13">
        <v>5</v>
      </c>
      <c r="Z72" s="13">
        <v>2</v>
      </c>
      <c r="AA72" s="13">
        <v>2</v>
      </c>
      <c r="AB72" s="13">
        <v>1</v>
      </c>
      <c r="AC72" s="13">
        <v>1</v>
      </c>
      <c r="AD72" s="13">
        <v>1</v>
      </c>
      <c r="AE72" s="89">
        <f t="shared" si="20"/>
        <v>15197103048</v>
      </c>
      <c r="AF72" s="89">
        <f t="shared" si="20"/>
        <v>14555850027</v>
      </c>
      <c r="AG72" s="89">
        <f t="shared" si="20"/>
        <v>12709457391</v>
      </c>
      <c r="AH72" s="89">
        <f t="shared" si="20"/>
        <v>9115876639</v>
      </c>
      <c r="AI72" s="89">
        <f t="shared" si="20"/>
        <v>610603524.5</v>
      </c>
      <c r="AJ72" s="91">
        <v>2000000</v>
      </c>
      <c r="AK72" s="91">
        <v>60746979</v>
      </c>
      <c r="AL72" s="91"/>
      <c r="AM72" s="91"/>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v>15195103048</v>
      </c>
      <c r="BO72" s="91">
        <v>14495103048</v>
      </c>
      <c r="BP72" s="91">
        <v>12709457391</v>
      </c>
      <c r="BQ72" s="91">
        <v>9115876639</v>
      </c>
      <c r="BR72" s="91"/>
      <c r="BS72" s="91"/>
      <c r="BT72" s="91"/>
      <c r="BU72" s="91"/>
      <c r="BV72" s="91"/>
      <c r="BW72" s="91"/>
      <c r="BX72" s="91"/>
      <c r="BY72" s="91"/>
      <c r="BZ72" s="91"/>
      <c r="CA72" s="91"/>
      <c r="CB72" s="91">
        <v>610603524.5</v>
      </c>
      <c r="CC72" s="91"/>
      <c r="CD72" s="91"/>
      <c r="CE72" s="91"/>
      <c r="CF72" s="91"/>
      <c r="CG72" s="91"/>
      <c r="CH72" s="91">
        <f t="shared" si="21"/>
        <v>4388627816</v>
      </c>
      <c r="CI72" s="91">
        <v>38000000</v>
      </c>
      <c r="CJ72" s="91"/>
      <c r="CK72" s="91"/>
      <c r="CL72" s="91"/>
      <c r="CM72" s="91"/>
      <c r="CN72" s="91"/>
      <c r="CO72" s="91">
        <v>4350627816</v>
      </c>
      <c r="CP72" s="91"/>
      <c r="CQ72" s="91"/>
      <c r="CR72" s="91"/>
      <c r="CS72" s="91">
        <f t="shared" si="22"/>
        <v>2371959924</v>
      </c>
      <c r="CT72" s="91">
        <v>38604000</v>
      </c>
      <c r="CU72" s="91"/>
      <c r="CV72" s="91"/>
      <c r="CW72" s="91"/>
      <c r="CX72" s="91"/>
      <c r="CY72" s="91"/>
      <c r="CZ72" s="91">
        <v>2333355924</v>
      </c>
      <c r="DA72" s="91"/>
      <c r="DB72" s="91"/>
      <c r="DC72" s="91"/>
      <c r="DD72" s="91">
        <f t="shared" si="23"/>
        <v>87597000</v>
      </c>
      <c r="DE72" s="91">
        <v>87597000</v>
      </c>
      <c r="DF72" s="91"/>
      <c r="DG72" s="91"/>
      <c r="DH72" s="91"/>
      <c r="DI72" s="91"/>
      <c r="DJ72" s="91"/>
      <c r="DK72" s="91"/>
      <c r="DL72" s="91"/>
      <c r="DM72" s="91"/>
      <c r="DN72" s="92"/>
      <c r="DO72" s="93">
        <f t="shared" si="24"/>
        <v>22045287788</v>
      </c>
    </row>
    <row r="73" spans="1:119" ht="23.25" customHeight="1" x14ac:dyDescent="0.2">
      <c r="A73" s="244"/>
      <c r="B73" s="253"/>
      <c r="C73" s="94"/>
      <c r="D73" s="59"/>
      <c r="E73" s="55"/>
      <c r="F73" s="13"/>
      <c r="G73" s="59"/>
      <c r="H73" s="55"/>
      <c r="I73" s="13"/>
      <c r="J73" s="13"/>
      <c r="K73" s="50"/>
      <c r="L73" s="13"/>
      <c r="M73" s="96">
        <v>15</v>
      </c>
      <c r="N73" s="96">
        <v>2201</v>
      </c>
      <c r="O73" s="97" t="s">
        <v>23</v>
      </c>
      <c r="P73" s="97"/>
      <c r="Q73" s="98"/>
      <c r="R73" s="98"/>
      <c r="S73" s="98"/>
      <c r="T73" s="98"/>
      <c r="U73" s="98"/>
      <c r="V73" s="98"/>
      <c r="W73" s="83"/>
      <c r="X73" s="84"/>
      <c r="Y73" s="84"/>
      <c r="Z73" s="84"/>
      <c r="AA73" s="84"/>
      <c r="AB73" s="84"/>
      <c r="AC73" s="84"/>
      <c r="AD73" s="81"/>
      <c r="AE73" s="99">
        <f>SUM(AE74:AE107)</f>
        <v>191741676013.29831</v>
      </c>
      <c r="AF73" s="99">
        <f>SUM(AF74:AF107)</f>
        <v>186930439980.70999</v>
      </c>
      <c r="AG73" s="99">
        <f t="shared" ref="AG73:DO73" si="25">SUM(AG74:AG107)</f>
        <v>176502385309.12332</v>
      </c>
      <c r="AH73" s="99">
        <f t="shared" si="25"/>
        <v>175289019606.12332</v>
      </c>
      <c r="AI73" s="99">
        <f t="shared" si="25"/>
        <v>1024462226.3</v>
      </c>
      <c r="AJ73" s="99">
        <f t="shared" si="25"/>
        <v>2544575660.2183161</v>
      </c>
      <c r="AK73" s="99">
        <f>SUM(AK74:AK107)</f>
        <v>4559570520.3100004</v>
      </c>
      <c r="AL73" s="99">
        <f t="shared" si="25"/>
        <v>4025694353.3200002</v>
      </c>
      <c r="AM73" s="99">
        <f t="shared" si="25"/>
        <v>3814098148.0999999</v>
      </c>
      <c r="AN73" s="99">
        <f t="shared" si="25"/>
        <v>571392907.29999995</v>
      </c>
      <c r="AO73" s="99">
        <f t="shared" si="25"/>
        <v>5711706318.79</v>
      </c>
      <c r="AP73" s="99">
        <f t="shared" si="25"/>
        <v>286000000</v>
      </c>
      <c r="AQ73" s="99">
        <f t="shared" si="25"/>
        <v>286000000</v>
      </c>
      <c r="AR73" s="99">
        <f t="shared" si="25"/>
        <v>286000000</v>
      </c>
      <c r="AS73" s="99">
        <f t="shared" si="25"/>
        <v>0</v>
      </c>
      <c r="AT73" s="99">
        <f t="shared" si="25"/>
        <v>158489913515.45999</v>
      </c>
      <c r="AU73" s="99">
        <f>SUM(AU74:AU107)</f>
        <v>155219157867.41998</v>
      </c>
      <c r="AV73" s="99">
        <f t="shared" si="25"/>
        <v>155029749820</v>
      </c>
      <c r="AW73" s="99">
        <f t="shared" si="25"/>
        <v>155026629820</v>
      </c>
      <c r="AX73" s="99">
        <f t="shared" si="25"/>
        <v>0</v>
      </c>
      <c r="AY73" s="99">
        <f t="shared" si="25"/>
        <v>0</v>
      </c>
      <c r="AZ73" s="99">
        <f t="shared" si="25"/>
        <v>0</v>
      </c>
      <c r="BA73" s="99">
        <f t="shared" si="25"/>
        <v>0</v>
      </c>
      <c r="BB73" s="99">
        <f t="shared" si="25"/>
        <v>0</v>
      </c>
      <c r="BC73" s="99">
        <f t="shared" si="25"/>
        <v>0</v>
      </c>
      <c r="BD73" s="99">
        <f t="shared" si="25"/>
        <v>0</v>
      </c>
      <c r="BE73" s="99">
        <f>SUM(BE74:BE107)</f>
        <v>0</v>
      </c>
      <c r="BF73" s="99">
        <f t="shared" si="25"/>
        <v>0</v>
      </c>
      <c r="BG73" s="99">
        <f t="shared" si="25"/>
        <v>0</v>
      </c>
      <c r="BH73" s="99">
        <f t="shared" si="25"/>
        <v>0</v>
      </c>
      <c r="BI73" s="99">
        <f t="shared" si="25"/>
        <v>12173030541.870001</v>
      </c>
      <c r="BJ73" s="99">
        <f t="shared" si="25"/>
        <v>0</v>
      </c>
      <c r="BK73" s="99">
        <f t="shared" si="25"/>
        <v>0</v>
      </c>
      <c r="BL73" s="99">
        <f t="shared" si="25"/>
        <v>0</v>
      </c>
      <c r="BM73" s="99">
        <f t="shared" si="25"/>
        <v>0</v>
      </c>
      <c r="BN73" s="99">
        <f t="shared" si="25"/>
        <v>12633190827</v>
      </c>
      <c r="BO73" s="99">
        <f>SUM(BO74:BO107)</f>
        <v>7501242353</v>
      </c>
      <c r="BP73" s="99">
        <f t="shared" si="25"/>
        <v>1642405244</v>
      </c>
      <c r="BQ73" s="99">
        <f t="shared" si="25"/>
        <v>758822211</v>
      </c>
      <c r="BR73" s="99">
        <f t="shared" si="25"/>
        <v>0</v>
      </c>
      <c r="BS73" s="99">
        <f t="shared" si="25"/>
        <v>0</v>
      </c>
      <c r="BT73" s="99">
        <f t="shared" si="25"/>
        <v>18846295760.02</v>
      </c>
      <c r="BU73" s="99">
        <f t="shared" si="25"/>
        <v>15037577428.820002</v>
      </c>
      <c r="BV73" s="99">
        <f t="shared" si="25"/>
        <v>14922594114</v>
      </c>
      <c r="BW73" s="99">
        <f t="shared" si="25"/>
        <v>453069319</v>
      </c>
      <c r="BX73" s="99">
        <f t="shared" si="25"/>
        <v>0</v>
      </c>
      <c r="BY73" s="99">
        <f>SUM(BY74:BY107)</f>
        <v>0</v>
      </c>
      <c r="BZ73" s="99">
        <f t="shared" si="25"/>
        <v>0</v>
      </c>
      <c r="CA73" s="99">
        <f t="shared" si="25"/>
        <v>0</v>
      </c>
      <c r="CB73" s="99">
        <f t="shared" si="25"/>
        <v>0</v>
      </c>
      <c r="CC73" s="99">
        <f t="shared" si="25"/>
        <v>189259149.96000001</v>
      </c>
      <c r="CD73" s="99">
        <f t="shared" si="25"/>
        <v>518173479.95999998</v>
      </c>
      <c r="CE73" s="99">
        <f t="shared" si="25"/>
        <v>480958463.11333328</v>
      </c>
      <c r="CF73" s="99">
        <f t="shared" si="25"/>
        <v>480875313.15333331</v>
      </c>
      <c r="CG73" s="99">
        <f t="shared" si="25"/>
        <v>0</v>
      </c>
      <c r="CH73" s="99">
        <f t="shared" si="25"/>
        <v>187284326742.52414</v>
      </c>
      <c r="CI73" s="99">
        <f t="shared" si="25"/>
        <v>1661980277.4537778</v>
      </c>
      <c r="CJ73" s="99">
        <f t="shared" si="25"/>
        <v>4649570720.1879654</v>
      </c>
      <c r="CK73" s="99">
        <f t="shared" si="25"/>
        <v>168763077602.9024</v>
      </c>
      <c r="CL73" s="99">
        <f t="shared" si="25"/>
        <v>0</v>
      </c>
      <c r="CM73" s="99">
        <f t="shared" si="25"/>
        <v>0</v>
      </c>
      <c r="CN73" s="99">
        <f t="shared" si="25"/>
        <v>12209698141.98</v>
      </c>
      <c r="CO73" s="99">
        <f t="shared" si="25"/>
        <v>0</v>
      </c>
      <c r="CP73" s="99">
        <f t="shared" si="25"/>
        <v>0</v>
      </c>
      <c r="CQ73" s="99">
        <f t="shared" si="25"/>
        <v>0</v>
      </c>
      <c r="CR73" s="99">
        <f t="shared" si="25"/>
        <v>0</v>
      </c>
      <c r="CS73" s="99">
        <f t="shared" si="25"/>
        <v>203608864938.85327</v>
      </c>
      <c r="CT73" s="99">
        <f t="shared" si="25"/>
        <v>2773668414.1865997</v>
      </c>
      <c r="CU73" s="99">
        <f t="shared" si="25"/>
        <v>6070184967.666667</v>
      </c>
      <c r="CV73" s="99">
        <f t="shared" si="25"/>
        <v>182189022471</v>
      </c>
      <c r="CW73" s="99">
        <f t="shared" si="25"/>
        <v>0</v>
      </c>
      <c r="CX73" s="99">
        <f t="shared" si="25"/>
        <v>0</v>
      </c>
      <c r="CY73" s="99">
        <f t="shared" si="25"/>
        <v>12575989086</v>
      </c>
      <c r="CZ73" s="99">
        <f t="shared" si="25"/>
        <v>0</v>
      </c>
      <c r="DA73" s="99">
        <f t="shared" si="25"/>
        <v>0</v>
      </c>
      <c r="DB73" s="99">
        <f t="shared" si="25"/>
        <v>0</v>
      </c>
      <c r="DC73" s="99">
        <f t="shared" si="25"/>
        <v>0</v>
      </c>
      <c r="DD73" s="99">
        <f t="shared" si="25"/>
        <v>219937408735.75204</v>
      </c>
      <c r="DE73" s="99">
        <f t="shared" si="25"/>
        <v>4430970095.7185001</v>
      </c>
      <c r="DF73" s="99">
        <f t="shared" si="25"/>
        <v>5866379992.0335484</v>
      </c>
      <c r="DG73" s="99">
        <f t="shared" si="25"/>
        <v>196686789889</v>
      </c>
      <c r="DH73" s="99">
        <f t="shared" si="25"/>
        <v>0</v>
      </c>
      <c r="DI73" s="99">
        <f t="shared" si="25"/>
        <v>0</v>
      </c>
      <c r="DJ73" s="99">
        <f t="shared" si="25"/>
        <v>12953268759</v>
      </c>
      <c r="DK73" s="99">
        <f t="shared" si="25"/>
        <v>0</v>
      </c>
      <c r="DL73" s="99">
        <f t="shared" si="25"/>
        <v>0</v>
      </c>
      <c r="DM73" s="99">
        <f t="shared" si="25"/>
        <v>0</v>
      </c>
      <c r="DN73" s="100">
        <f t="shared" si="25"/>
        <v>0</v>
      </c>
      <c r="DO73" s="99">
        <f t="shared" si="25"/>
        <v>802572276430.42786</v>
      </c>
    </row>
    <row r="74" spans="1:119" s="225" customFormat="1" ht="170.25" customHeight="1" x14ac:dyDescent="0.2">
      <c r="A74" s="244">
        <v>1</v>
      </c>
      <c r="B74" s="253" t="s">
        <v>19</v>
      </c>
      <c r="C74" s="59" t="s">
        <v>667</v>
      </c>
      <c r="D74" s="59" t="s">
        <v>158</v>
      </c>
      <c r="E74" s="119" t="s">
        <v>668</v>
      </c>
      <c r="F74" s="13" t="s">
        <v>669</v>
      </c>
      <c r="G74" s="59" t="s">
        <v>670</v>
      </c>
      <c r="H74" s="55" t="s">
        <v>671</v>
      </c>
      <c r="I74" s="13">
        <v>22</v>
      </c>
      <c r="J74" s="13" t="s">
        <v>672</v>
      </c>
      <c r="K74" s="50">
        <v>1</v>
      </c>
      <c r="L74" s="13" t="s">
        <v>672</v>
      </c>
      <c r="M74" s="246">
        <v>15</v>
      </c>
      <c r="N74" s="248">
        <v>2201</v>
      </c>
      <c r="O74" s="245" t="s">
        <v>23</v>
      </c>
      <c r="P74" s="13" t="s">
        <v>673</v>
      </c>
      <c r="Q74" s="121">
        <v>2201001</v>
      </c>
      <c r="R74" s="121">
        <v>2201001</v>
      </c>
      <c r="S74" s="59" t="s">
        <v>105</v>
      </c>
      <c r="T74" s="13" t="s">
        <v>674</v>
      </c>
      <c r="U74" s="121">
        <v>220100100</v>
      </c>
      <c r="V74" s="121">
        <v>220100100</v>
      </c>
      <c r="W74" s="87" t="s">
        <v>675</v>
      </c>
      <c r="X74" s="88" t="s">
        <v>8</v>
      </c>
      <c r="Y74" s="13">
        <v>5</v>
      </c>
      <c r="Z74" s="13" t="s">
        <v>1571</v>
      </c>
      <c r="AA74" s="13"/>
      <c r="AB74" s="13">
        <v>5</v>
      </c>
      <c r="AC74" s="13">
        <v>5</v>
      </c>
      <c r="AD74" s="13">
        <v>5</v>
      </c>
      <c r="AE74" s="89">
        <f t="shared" ref="AE74:AI107" si="26">AJ74+AO74+AT74+AY74+BD74+BI74+BN74+BS74+BX74+CC74</f>
        <v>0</v>
      </c>
      <c r="AF74" s="89">
        <f t="shared" si="26"/>
        <v>0</v>
      </c>
      <c r="AG74" s="89">
        <f t="shared" si="26"/>
        <v>0</v>
      </c>
      <c r="AH74" s="89">
        <f t="shared" si="26"/>
        <v>0</v>
      </c>
      <c r="AI74" s="89">
        <f t="shared" si="26"/>
        <v>0</v>
      </c>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c r="BM74" s="91"/>
      <c r="BN74" s="91"/>
      <c r="BO74" s="91"/>
      <c r="BP74" s="91"/>
      <c r="BQ74" s="91"/>
      <c r="BR74" s="91"/>
      <c r="BS74" s="91"/>
      <c r="BT74" s="91"/>
      <c r="BU74" s="91"/>
      <c r="BV74" s="91"/>
      <c r="BW74" s="91"/>
      <c r="BX74" s="91"/>
      <c r="BY74" s="91"/>
      <c r="BZ74" s="91"/>
      <c r="CA74" s="91"/>
      <c r="CB74" s="91"/>
      <c r="CC74" s="91"/>
      <c r="CD74" s="91"/>
      <c r="CE74" s="91"/>
      <c r="CF74" s="91"/>
      <c r="CG74" s="91"/>
      <c r="CH74" s="91">
        <f t="shared" ref="CH74:CH107" si="27">CI74+CJ74+CK74+CL74+CM74+CN74+CO74+CP74+CQ74+CR74</f>
        <v>949640</v>
      </c>
      <c r="CI74" s="91">
        <v>949640</v>
      </c>
      <c r="CJ74" s="91"/>
      <c r="CK74" s="91"/>
      <c r="CL74" s="91"/>
      <c r="CM74" s="91"/>
      <c r="CN74" s="91"/>
      <c r="CO74" s="91"/>
      <c r="CP74" s="91"/>
      <c r="CQ74" s="91"/>
      <c r="CR74" s="91"/>
      <c r="CS74" s="91">
        <f t="shared" ref="CS74:CS107" si="28">CT74+CU74+CV74+CW74+CX74+CY74+CZ74+DA74+DB74+DC74</f>
        <v>1930200</v>
      </c>
      <c r="CT74" s="91">
        <v>1930200</v>
      </c>
      <c r="CU74" s="91"/>
      <c r="CV74" s="91"/>
      <c r="CW74" s="91"/>
      <c r="CX74" s="91"/>
      <c r="CY74" s="91"/>
      <c r="CZ74" s="91"/>
      <c r="DA74" s="91"/>
      <c r="DB74" s="91"/>
      <c r="DC74" s="91"/>
      <c r="DD74" s="91">
        <f t="shared" ref="DD74:DD107" si="29">DE74+DF74+DG74+DH74+DI74+DJ74+DK74+DL74+DM74+DN74</f>
        <v>1946600</v>
      </c>
      <c r="DE74" s="91">
        <v>1946600</v>
      </c>
      <c r="DF74" s="91"/>
      <c r="DG74" s="91"/>
      <c r="DH74" s="91"/>
      <c r="DI74" s="91"/>
      <c r="DJ74" s="91"/>
      <c r="DK74" s="91"/>
      <c r="DL74" s="91"/>
      <c r="DM74" s="91"/>
      <c r="DN74" s="92"/>
      <c r="DO74" s="93">
        <f t="shared" ref="DO74:DO107" si="30">AE74+CH74+CS74+DD74</f>
        <v>4826440</v>
      </c>
    </row>
    <row r="75" spans="1:119" s="225" customFormat="1" ht="176.25" customHeight="1" x14ac:dyDescent="0.2">
      <c r="A75" s="244">
        <v>1</v>
      </c>
      <c r="B75" s="253" t="s">
        <v>19</v>
      </c>
      <c r="C75" s="59" t="s">
        <v>667</v>
      </c>
      <c r="D75" s="59" t="s">
        <v>158</v>
      </c>
      <c r="E75" s="119" t="s">
        <v>668</v>
      </c>
      <c r="F75" s="13" t="s">
        <v>669</v>
      </c>
      <c r="G75" s="59" t="s">
        <v>670</v>
      </c>
      <c r="H75" s="55" t="s">
        <v>671</v>
      </c>
      <c r="I75" s="13">
        <v>22</v>
      </c>
      <c r="J75" s="13" t="s">
        <v>672</v>
      </c>
      <c r="K75" s="50">
        <v>1</v>
      </c>
      <c r="L75" s="13" t="s">
        <v>672</v>
      </c>
      <c r="M75" s="246">
        <v>15</v>
      </c>
      <c r="N75" s="248">
        <v>2201</v>
      </c>
      <c r="O75" s="245" t="s">
        <v>23</v>
      </c>
      <c r="P75" s="13" t="s">
        <v>676</v>
      </c>
      <c r="Q75" s="121">
        <v>2201006</v>
      </c>
      <c r="R75" s="121">
        <v>2201006</v>
      </c>
      <c r="S75" s="59" t="s">
        <v>159</v>
      </c>
      <c r="T75" s="13" t="s">
        <v>677</v>
      </c>
      <c r="U75" s="121">
        <v>220100600</v>
      </c>
      <c r="V75" s="121">
        <v>220100600</v>
      </c>
      <c r="W75" s="87" t="s">
        <v>678</v>
      </c>
      <c r="X75" s="88" t="s">
        <v>8</v>
      </c>
      <c r="Y75" s="13">
        <v>54</v>
      </c>
      <c r="Z75" s="13">
        <v>54</v>
      </c>
      <c r="AA75" s="13">
        <v>54</v>
      </c>
      <c r="AB75" s="13">
        <v>54</v>
      </c>
      <c r="AC75" s="13">
        <v>54</v>
      </c>
      <c r="AD75" s="13">
        <v>54</v>
      </c>
      <c r="AE75" s="89">
        <f t="shared" si="26"/>
        <v>81600000</v>
      </c>
      <c r="AF75" s="89">
        <f t="shared" si="26"/>
        <v>97019997</v>
      </c>
      <c r="AG75" s="89">
        <f t="shared" si="26"/>
        <v>89813332</v>
      </c>
      <c r="AH75" s="89">
        <f t="shared" si="26"/>
        <v>89813332</v>
      </c>
      <c r="AI75" s="89">
        <f t="shared" si="26"/>
        <v>0</v>
      </c>
      <c r="AJ75" s="91">
        <v>81600000</v>
      </c>
      <c r="AK75" s="91">
        <v>97019997</v>
      </c>
      <c r="AL75" s="91">
        <v>89813332</v>
      </c>
      <c r="AM75" s="91">
        <v>89813332</v>
      </c>
      <c r="AN75" s="91"/>
      <c r="AO75" s="91"/>
      <c r="AP75" s="91"/>
      <c r="AQ75" s="91"/>
      <c r="AR75" s="91"/>
      <c r="AS75" s="91"/>
      <c r="AT75" s="91"/>
      <c r="AU75" s="91"/>
      <c r="AV75" s="91"/>
      <c r="AW75" s="91"/>
      <c r="AX75" s="91"/>
      <c r="AY75" s="91"/>
      <c r="AZ75" s="91"/>
      <c r="BA75" s="91"/>
      <c r="BB75" s="91"/>
      <c r="BC75" s="91"/>
      <c r="BD75" s="91"/>
      <c r="BE75" s="91"/>
      <c r="BF75" s="91"/>
      <c r="BG75" s="91"/>
      <c r="BH75" s="91"/>
      <c r="BI75" s="91"/>
      <c r="BJ75" s="91"/>
      <c r="BK75" s="91"/>
      <c r="BL75" s="91"/>
      <c r="BM75" s="91"/>
      <c r="BN75" s="91"/>
      <c r="BO75" s="91"/>
      <c r="BP75" s="91"/>
      <c r="BQ75" s="91"/>
      <c r="BR75" s="91"/>
      <c r="BS75" s="91"/>
      <c r="BT75" s="91"/>
      <c r="BU75" s="91"/>
      <c r="BV75" s="91"/>
      <c r="BW75" s="91"/>
      <c r="BX75" s="91"/>
      <c r="BY75" s="91"/>
      <c r="BZ75" s="91"/>
      <c r="CA75" s="91"/>
      <c r="CB75" s="91"/>
      <c r="CC75" s="91"/>
      <c r="CD75" s="91"/>
      <c r="CE75" s="91"/>
      <c r="CF75" s="91"/>
      <c r="CG75" s="91"/>
      <c r="CH75" s="91">
        <f t="shared" si="27"/>
        <v>4748200</v>
      </c>
      <c r="CI75" s="91">
        <v>4748200</v>
      </c>
      <c r="CJ75" s="91"/>
      <c r="CK75" s="91"/>
      <c r="CL75" s="91"/>
      <c r="CM75" s="91"/>
      <c r="CN75" s="91"/>
      <c r="CO75" s="91"/>
      <c r="CP75" s="91"/>
      <c r="CQ75" s="91"/>
      <c r="CR75" s="91"/>
      <c r="CS75" s="91">
        <f t="shared" si="28"/>
        <v>28953000</v>
      </c>
      <c r="CT75" s="91">
        <v>28953000</v>
      </c>
      <c r="CU75" s="91"/>
      <c r="CV75" s="91"/>
      <c r="CW75" s="91"/>
      <c r="CX75" s="91"/>
      <c r="CY75" s="91"/>
      <c r="CZ75" s="91"/>
      <c r="DA75" s="91"/>
      <c r="DB75" s="91"/>
      <c r="DC75" s="91"/>
      <c r="DD75" s="91">
        <f t="shared" si="29"/>
        <v>29199000</v>
      </c>
      <c r="DE75" s="91">
        <v>29199000</v>
      </c>
      <c r="DF75" s="91"/>
      <c r="DG75" s="91"/>
      <c r="DH75" s="91"/>
      <c r="DI75" s="91"/>
      <c r="DJ75" s="91"/>
      <c r="DK75" s="91"/>
      <c r="DL75" s="91"/>
      <c r="DM75" s="91"/>
      <c r="DN75" s="92"/>
      <c r="DO75" s="93">
        <f t="shared" si="30"/>
        <v>144500200</v>
      </c>
    </row>
    <row r="76" spans="1:119" s="225" customFormat="1" ht="102.75" customHeight="1" x14ac:dyDescent="0.2">
      <c r="A76" s="244">
        <v>1</v>
      </c>
      <c r="B76" s="253" t="s">
        <v>19</v>
      </c>
      <c r="C76" s="59" t="s">
        <v>667</v>
      </c>
      <c r="D76" s="59" t="s">
        <v>679</v>
      </c>
      <c r="E76" s="119" t="s">
        <v>680</v>
      </c>
      <c r="F76" s="13" t="s">
        <v>681</v>
      </c>
      <c r="G76" s="59" t="s">
        <v>682</v>
      </c>
      <c r="H76" s="55" t="s">
        <v>683</v>
      </c>
      <c r="I76" s="13">
        <v>22</v>
      </c>
      <c r="J76" s="13" t="s">
        <v>672</v>
      </c>
      <c r="K76" s="50">
        <v>1</v>
      </c>
      <c r="L76" s="13" t="s">
        <v>672</v>
      </c>
      <c r="M76" s="246">
        <v>15</v>
      </c>
      <c r="N76" s="248">
        <v>2201</v>
      </c>
      <c r="O76" s="245" t="s">
        <v>23</v>
      </c>
      <c r="P76" s="13" t="s">
        <v>684</v>
      </c>
      <c r="Q76" s="121">
        <v>2201007</v>
      </c>
      <c r="R76" s="121">
        <v>2201073</v>
      </c>
      <c r="S76" s="59" t="s">
        <v>685</v>
      </c>
      <c r="T76" s="13" t="s">
        <v>686</v>
      </c>
      <c r="U76" s="121">
        <v>220100700</v>
      </c>
      <c r="V76" s="121">
        <v>220107300</v>
      </c>
      <c r="W76" s="87" t="s">
        <v>687</v>
      </c>
      <c r="X76" s="88" t="s">
        <v>9</v>
      </c>
      <c r="Y76" s="13">
        <v>23662</v>
      </c>
      <c r="Z76" s="13">
        <v>0</v>
      </c>
      <c r="AA76" s="13"/>
      <c r="AB76" s="13">
        <v>7774</v>
      </c>
      <c r="AC76" s="13">
        <v>7915</v>
      </c>
      <c r="AD76" s="13">
        <v>7973</v>
      </c>
      <c r="AE76" s="89">
        <f t="shared" si="26"/>
        <v>0</v>
      </c>
      <c r="AF76" s="89">
        <f t="shared" si="26"/>
        <v>0</v>
      </c>
      <c r="AG76" s="89">
        <f t="shared" si="26"/>
        <v>0</v>
      </c>
      <c r="AH76" s="89">
        <f t="shared" si="26"/>
        <v>0</v>
      </c>
      <c r="AI76" s="89">
        <f t="shared" si="26"/>
        <v>0</v>
      </c>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91"/>
      <c r="BQ76" s="91"/>
      <c r="BR76" s="91"/>
      <c r="BS76" s="91"/>
      <c r="BT76" s="91"/>
      <c r="BU76" s="91"/>
      <c r="BV76" s="91"/>
      <c r="BW76" s="91"/>
      <c r="BX76" s="91"/>
      <c r="BY76" s="91"/>
      <c r="BZ76" s="91"/>
      <c r="CA76" s="91"/>
      <c r="CB76" s="91"/>
      <c r="CC76" s="91"/>
      <c r="CD76" s="91"/>
      <c r="CE76" s="91"/>
      <c r="CF76" s="91"/>
      <c r="CG76" s="91"/>
      <c r="CH76" s="91">
        <f t="shared" si="27"/>
        <v>20075837</v>
      </c>
      <c r="CI76" s="91"/>
      <c r="CJ76" s="91"/>
      <c r="CK76" s="91">
        <v>20075837</v>
      </c>
      <c r="CL76" s="91"/>
      <c r="CM76" s="91"/>
      <c r="CN76" s="91"/>
      <c r="CO76" s="91"/>
      <c r="CP76" s="91"/>
      <c r="CQ76" s="91"/>
      <c r="CR76" s="91"/>
      <c r="CS76" s="91">
        <f t="shared" si="28"/>
        <v>39377837</v>
      </c>
      <c r="CT76" s="91">
        <v>19302000</v>
      </c>
      <c r="CU76" s="91"/>
      <c r="CV76" s="91">
        <v>20075837</v>
      </c>
      <c r="CW76" s="91"/>
      <c r="CX76" s="91"/>
      <c r="CY76" s="91"/>
      <c r="CZ76" s="91"/>
      <c r="DA76" s="91"/>
      <c r="DB76" s="91"/>
      <c r="DC76" s="91"/>
      <c r="DD76" s="91">
        <f t="shared" si="29"/>
        <v>39541837</v>
      </c>
      <c r="DE76" s="91">
        <v>19466000</v>
      </c>
      <c r="DF76" s="91"/>
      <c r="DG76" s="91">
        <v>20075837</v>
      </c>
      <c r="DH76" s="91"/>
      <c r="DI76" s="91"/>
      <c r="DJ76" s="91"/>
      <c r="DK76" s="91"/>
      <c r="DL76" s="91"/>
      <c r="DM76" s="91"/>
      <c r="DN76" s="92"/>
      <c r="DO76" s="93">
        <f t="shared" si="30"/>
        <v>98995511</v>
      </c>
    </row>
    <row r="77" spans="1:119" s="225" customFormat="1" ht="204.75" customHeight="1" x14ac:dyDescent="0.2">
      <c r="A77" s="244">
        <v>1</v>
      </c>
      <c r="B77" s="253" t="s">
        <v>19</v>
      </c>
      <c r="C77" s="59" t="s">
        <v>667</v>
      </c>
      <c r="D77" s="59" t="s">
        <v>679</v>
      </c>
      <c r="E77" s="119" t="s">
        <v>680</v>
      </c>
      <c r="F77" s="13" t="s">
        <v>681</v>
      </c>
      <c r="G77" s="59" t="s">
        <v>682</v>
      </c>
      <c r="H77" s="55" t="s">
        <v>683</v>
      </c>
      <c r="I77" s="13">
        <v>22</v>
      </c>
      <c r="J77" s="13" t="s">
        <v>672</v>
      </c>
      <c r="K77" s="50">
        <v>1</v>
      </c>
      <c r="L77" s="13" t="s">
        <v>672</v>
      </c>
      <c r="M77" s="246">
        <v>15</v>
      </c>
      <c r="N77" s="248">
        <v>2201</v>
      </c>
      <c r="O77" s="245" t="s">
        <v>23</v>
      </c>
      <c r="P77" s="13" t="s">
        <v>688</v>
      </c>
      <c r="Q77" s="121">
        <v>2201009</v>
      </c>
      <c r="R77" s="121">
        <v>2201074</v>
      </c>
      <c r="S77" s="59" t="s">
        <v>689</v>
      </c>
      <c r="T77" s="13" t="s">
        <v>690</v>
      </c>
      <c r="U77" s="121">
        <v>220100900</v>
      </c>
      <c r="V77" s="121">
        <v>220107400</v>
      </c>
      <c r="W77" s="87" t="s">
        <v>691</v>
      </c>
      <c r="X77" s="88" t="s">
        <v>9</v>
      </c>
      <c r="Y77" s="13">
        <v>1814</v>
      </c>
      <c r="Z77" s="13">
        <v>0</v>
      </c>
      <c r="AA77" s="13"/>
      <c r="AB77" s="13">
        <v>606</v>
      </c>
      <c r="AC77" s="13">
        <v>604</v>
      </c>
      <c r="AD77" s="13">
        <v>604</v>
      </c>
      <c r="AE77" s="89">
        <f t="shared" si="26"/>
        <v>0</v>
      </c>
      <c r="AF77" s="89">
        <f t="shared" si="26"/>
        <v>0</v>
      </c>
      <c r="AG77" s="89">
        <f t="shared" si="26"/>
        <v>0</v>
      </c>
      <c r="AH77" s="89">
        <f t="shared" si="26"/>
        <v>0</v>
      </c>
      <c r="AI77" s="89">
        <f t="shared" si="26"/>
        <v>0</v>
      </c>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91"/>
      <c r="BY77" s="91"/>
      <c r="BZ77" s="91"/>
      <c r="CA77" s="91"/>
      <c r="CB77" s="91"/>
      <c r="CC77" s="91"/>
      <c r="CD77" s="91"/>
      <c r="CE77" s="91"/>
      <c r="CF77" s="91"/>
      <c r="CG77" s="91"/>
      <c r="CH77" s="91">
        <f t="shared" si="27"/>
        <v>10000000</v>
      </c>
      <c r="CI77" s="91"/>
      <c r="CJ77" s="91"/>
      <c r="CK77" s="91">
        <v>10000000</v>
      </c>
      <c r="CL77" s="91"/>
      <c r="CM77" s="91"/>
      <c r="CN77" s="91"/>
      <c r="CO77" s="91"/>
      <c r="CP77" s="91"/>
      <c r="CQ77" s="91"/>
      <c r="CR77" s="91"/>
      <c r="CS77" s="91">
        <f t="shared" si="28"/>
        <v>29302000</v>
      </c>
      <c r="CT77" s="91">
        <v>19302000</v>
      </c>
      <c r="CU77" s="91"/>
      <c r="CV77" s="91">
        <v>10000000</v>
      </c>
      <c r="CW77" s="91"/>
      <c r="CX77" s="91"/>
      <c r="CY77" s="91"/>
      <c r="CZ77" s="91"/>
      <c r="DA77" s="91"/>
      <c r="DB77" s="91"/>
      <c r="DC77" s="91"/>
      <c r="DD77" s="91">
        <f t="shared" si="29"/>
        <v>29466000</v>
      </c>
      <c r="DE77" s="91">
        <v>19466000</v>
      </c>
      <c r="DF77" s="91"/>
      <c r="DG77" s="91">
        <v>10000000</v>
      </c>
      <c r="DH77" s="91"/>
      <c r="DI77" s="91"/>
      <c r="DJ77" s="91"/>
      <c r="DK77" s="91"/>
      <c r="DL77" s="91"/>
      <c r="DM77" s="91"/>
      <c r="DN77" s="92"/>
      <c r="DO77" s="93">
        <f t="shared" si="30"/>
        <v>68768000</v>
      </c>
    </row>
    <row r="78" spans="1:119" s="225" customFormat="1" ht="173.25" customHeight="1" x14ac:dyDescent="0.2">
      <c r="A78" s="244">
        <v>1</v>
      </c>
      <c r="B78" s="253" t="s">
        <v>19</v>
      </c>
      <c r="C78" s="59" t="s">
        <v>667</v>
      </c>
      <c r="D78" s="59" t="s">
        <v>679</v>
      </c>
      <c r="E78" s="119" t="s">
        <v>680</v>
      </c>
      <c r="F78" s="13" t="s">
        <v>681</v>
      </c>
      <c r="G78" s="59" t="s">
        <v>682</v>
      </c>
      <c r="H78" s="55" t="s">
        <v>683</v>
      </c>
      <c r="I78" s="13">
        <v>22</v>
      </c>
      <c r="J78" s="13" t="s">
        <v>672</v>
      </c>
      <c r="K78" s="50">
        <v>1</v>
      </c>
      <c r="L78" s="13" t="s">
        <v>672</v>
      </c>
      <c r="M78" s="246">
        <v>15</v>
      </c>
      <c r="N78" s="248">
        <v>2201</v>
      </c>
      <c r="O78" s="245" t="s">
        <v>23</v>
      </c>
      <c r="P78" s="13" t="s">
        <v>692</v>
      </c>
      <c r="Q78" s="121">
        <v>2201010</v>
      </c>
      <c r="R78" s="121">
        <v>2201074</v>
      </c>
      <c r="S78" s="59" t="s">
        <v>1668</v>
      </c>
      <c r="T78" s="13" t="s">
        <v>693</v>
      </c>
      <c r="U78" s="121">
        <v>220101000</v>
      </c>
      <c r="V78" s="121">
        <v>220107400</v>
      </c>
      <c r="W78" s="87" t="s">
        <v>1680</v>
      </c>
      <c r="X78" s="88" t="s">
        <v>8</v>
      </c>
      <c r="Y78" s="13">
        <v>94</v>
      </c>
      <c r="Z78" s="13">
        <v>0</v>
      </c>
      <c r="AA78" s="13"/>
      <c r="AB78" s="13">
        <v>94</v>
      </c>
      <c r="AC78" s="13">
        <v>94</v>
      </c>
      <c r="AD78" s="13">
        <v>94</v>
      </c>
      <c r="AE78" s="89">
        <f t="shared" si="26"/>
        <v>0</v>
      </c>
      <c r="AF78" s="89">
        <f t="shared" si="26"/>
        <v>0</v>
      </c>
      <c r="AG78" s="89">
        <f t="shared" si="26"/>
        <v>0</v>
      </c>
      <c r="AH78" s="89">
        <f t="shared" si="26"/>
        <v>0</v>
      </c>
      <c r="AI78" s="89">
        <f t="shared" si="26"/>
        <v>0</v>
      </c>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91"/>
      <c r="BR78" s="91"/>
      <c r="BS78" s="91"/>
      <c r="BT78" s="91"/>
      <c r="BU78" s="91"/>
      <c r="BV78" s="91"/>
      <c r="BW78" s="91"/>
      <c r="BX78" s="91"/>
      <c r="BY78" s="91"/>
      <c r="BZ78" s="91"/>
      <c r="CA78" s="91"/>
      <c r="CB78" s="91"/>
      <c r="CC78" s="91"/>
      <c r="CD78" s="91"/>
      <c r="CE78" s="91"/>
      <c r="CF78" s="91"/>
      <c r="CG78" s="91"/>
      <c r="CH78" s="91">
        <f t="shared" si="27"/>
        <v>5000000</v>
      </c>
      <c r="CI78" s="91"/>
      <c r="CJ78" s="91"/>
      <c r="CK78" s="91">
        <v>5000000</v>
      </c>
      <c r="CL78" s="91"/>
      <c r="CM78" s="91"/>
      <c r="CN78" s="91"/>
      <c r="CO78" s="91"/>
      <c r="CP78" s="91"/>
      <c r="CQ78" s="91"/>
      <c r="CR78" s="91"/>
      <c r="CS78" s="91">
        <f t="shared" si="28"/>
        <v>27304276</v>
      </c>
      <c r="CT78" s="91">
        <v>19302000</v>
      </c>
      <c r="CU78" s="91"/>
      <c r="CV78" s="91">
        <v>8002276</v>
      </c>
      <c r="CW78" s="91"/>
      <c r="CX78" s="91"/>
      <c r="CY78" s="91"/>
      <c r="CZ78" s="91"/>
      <c r="DA78" s="91"/>
      <c r="DB78" s="91"/>
      <c r="DC78" s="91"/>
      <c r="DD78" s="91">
        <f t="shared" si="29"/>
        <v>27468276</v>
      </c>
      <c r="DE78" s="91">
        <v>19466000</v>
      </c>
      <c r="DF78" s="91"/>
      <c r="DG78" s="91">
        <v>8002276</v>
      </c>
      <c r="DH78" s="91"/>
      <c r="DI78" s="91"/>
      <c r="DJ78" s="91"/>
      <c r="DK78" s="91"/>
      <c r="DL78" s="91"/>
      <c r="DM78" s="91"/>
      <c r="DN78" s="92"/>
      <c r="DO78" s="93">
        <f t="shared" si="30"/>
        <v>59772552</v>
      </c>
    </row>
    <row r="79" spans="1:119" s="225" customFormat="1" ht="204.75" customHeight="1" x14ac:dyDescent="0.2">
      <c r="A79" s="244">
        <v>1</v>
      </c>
      <c r="B79" s="253" t="s">
        <v>19</v>
      </c>
      <c r="C79" s="59" t="s">
        <v>667</v>
      </c>
      <c r="D79" s="59" t="s">
        <v>158</v>
      </c>
      <c r="E79" s="119" t="s">
        <v>668</v>
      </c>
      <c r="F79" s="13" t="s">
        <v>669</v>
      </c>
      <c r="G79" s="59" t="s">
        <v>670</v>
      </c>
      <c r="H79" s="55" t="s">
        <v>671</v>
      </c>
      <c r="I79" s="13">
        <v>22</v>
      </c>
      <c r="J79" s="13" t="s">
        <v>672</v>
      </c>
      <c r="K79" s="50">
        <v>1</v>
      </c>
      <c r="L79" s="13" t="s">
        <v>672</v>
      </c>
      <c r="M79" s="246">
        <v>15</v>
      </c>
      <c r="N79" s="248">
        <v>2201</v>
      </c>
      <c r="O79" s="245" t="s">
        <v>23</v>
      </c>
      <c r="P79" s="13" t="s">
        <v>694</v>
      </c>
      <c r="Q79" s="121">
        <v>2201015</v>
      </c>
      <c r="R79" s="121">
        <v>2201015</v>
      </c>
      <c r="S79" s="59" t="s">
        <v>169</v>
      </c>
      <c r="T79" s="13" t="s">
        <v>695</v>
      </c>
      <c r="U79" s="121">
        <v>220101500</v>
      </c>
      <c r="V79" s="121">
        <v>220101500</v>
      </c>
      <c r="W79" s="122" t="s">
        <v>696</v>
      </c>
      <c r="X79" s="88" t="s">
        <v>8</v>
      </c>
      <c r="Y79" s="13">
        <v>11</v>
      </c>
      <c r="Z79" s="13">
        <v>11</v>
      </c>
      <c r="AA79" s="13">
        <v>10</v>
      </c>
      <c r="AB79" s="13">
        <v>11</v>
      </c>
      <c r="AC79" s="13">
        <v>11</v>
      </c>
      <c r="AD79" s="13">
        <v>11</v>
      </c>
      <c r="AE79" s="89">
        <f t="shared" si="26"/>
        <v>10000000</v>
      </c>
      <c r="AF79" s="89">
        <f t="shared" si="26"/>
        <v>10000000</v>
      </c>
      <c r="AG79" s="89">
        <f t="shared" si="26"/>
        <v>0</v>
      </c>
      <c r="AH79" s="89">
        <f t="shared" si="26"/>
        <v>0</v>
      </c>
      <c r="AI79" s="89">
        <f t="shared" si="26"/>
        <v>0</v>
      </c>
      <c r="AJ79" s="91">
        <v>10000000</v>
      </c>
      <c r="AK79" s="91">
        <v>10000000</v>
      </c>
      <c r="AL79" s="91"/>
      <c r="AM79" s="91"/>
      <c r="AN79" s="91"/>
      <c r="AO79" s="91"/>
      <c r="AP79" s="91"/>
      <c r="AQ79" s="91"/>
      <c r="AR79" s="91"/>
      <c r="AS79" s="91"/>
      <c r="AT79" s="91"/>
      <c r="AU79" s="91"/>
      <c r="AV79" s="91"/>
      <c r="AW79" s="91"/>
      <c r="AX79" s="91"/>
      <c r="AY79" s="91"/>
      <c r="AZ79" s="91"/>
      <c r="BA79" s="91"/>
      <c r="BB79" s="91"/>
      <c r="BC79" s="91"/>
      <c r="BD79" s="91"/>
      <c r="BE79" s="91"/>
      <c r="BF79" s="91"/>
      <c r="BG79" s="91"/>
      <c r="BH79" s="91"/>
      <c r="BI79" s="91"/>
      <c r="BJ79" s="91"/>
      <c r="BK79" s="91"/>
      <c r="BL79" s="91"/>
      <c r="BM79" s="91"/>
      <c r="BN79" s="91"/>
      <c r="BO79" s="91"/>
      <c r="BP79" s="91"/>
      <c r="BQ79" s="91"/>
      <c r="BR79" s="91"/>
      <c r="BS79" s="91"/>
      <c r="BT79" s="91"/>
      <c r="BU79" s="91"/>
      <c r="BV79" s="91"/>
      <c r="BW79" s="91"/>
      <c r="BX79" s="91"/>
      <c r="BY79" s="91"/>
      <c r="BZ79" s="91"/>
      <c r="CA79" s="91"/>
      <c r="CB79" s="91"/>
      <c r="CC79" s="91"/>
      <c r="CD79" s="91"/>
      <c r="CE79" s="91"/>
      <c r="CF79" s="91"/>
      <c r="CG79" s="91"/>
      <c r="CH79" s="91">
        <f t="shared" si="27"/>
        <v>11395680</v>
      </c>
      <c r="CI79" s="91">
        <v>11395680</v>
      </c>
      <c r="CJ79" s="91"/>
      <c r="CK79" s="91"/>
      <c r="CL79" s="91"/>
      <c r="CM79" s="91"/>
      <c r="CN79" s="91"/>
      <c r="CO79" s="91"/>
      <c r="CP79" s="91"/>
      <c r="CQ79" s="91"/>
      <c r="CR79" s="91"/>
      <c r="CS79" s="91">
        <f t="shared" si="28"/>
        <v>14476500</v>
      </c>
      <c r="CT79" s="91">
        <v>14476500</v>
      </c>
      <c r="CU79" s="91"/>
      <c r="CV79" s="91"/>
      <c r="CW79" s="91"/>
      <c r="CX79" s="91"/>
      <c r="CY79" s="91"/>
      <c r="CZ79" s="91"/>
      <c r="DA79" s="91"/>
      <c r="DB79" s="91"/>
      <c r="DC79" s="91"/>
      <c r="DD79" s="91">
        <f t="shared" si="29"/>
        <v>14599500</v>
      </c>
      <c r="DE79" s="91">
        <v>14599500</v>
      </c>
      <c r="DF79" s="91"/>
      <c r="DG79" s="91"/>
      <c r="DH79" s="91"/>
      <c r="DI79" s="91"/>
      <c r="DJ79" s="91"/>
      <c r="DK79" s="91"/>
      <c r="DL79" s="91"/>
      <c r="DM79" s="91"/>
      <c r="DN79" s="92"/>
      <c r="DO79" s="93">
        <f t="shared" si="30"/>
        <v>50471680</v>
      </c>
    </row>
    <row r="80" spans="1:119" s="225" customFormat="1" ht="267.75" customHeight="1" x14ac:dyDescent="0.2">
      <c r="A80" s="244">
        <v>1</v>
      </c>
      <c r="B80" s="253" t="s">
        <v>19</v>
      </c>
      <c r="C80" s="59" t="s">
        <v>667</v>
      </c>
      <c r="D80" s="59" t="s">
        <v>697</v>
      </c>
      <c r="E80" s="55" t="s">
        <v>698</v>
      </c>
      <c r="F80" s="120" t="s">
        <v>698</v>
      </c>
      <c r="G80" s="59" t="s">
        <v>699</v>
      </c>
      <c r="H80" s="123">
        <v>0.5</v>
      </c>
      <c r="I80" s="13">
        <v>22</v>
      </c>
      <c r="J80" s="13" t="s">
        <v>672</v>
      </c>
      <c r="K80" s="50">
        <v>1</v>
      </c>
      <c r="L80" s="13" t="s">
        <v>672</v>
      </c>
      <c r="M80" s="246">
        <v>15</v>
      </c>
      <c r="N80" s="248">
        <v>2201</v>
      </c>
      <c r="O80" s="245" t="s">
        <v>23</v>
      </c>
      <c r="P80" s="13" t="s">
        <v>700</v>
      </c>
      <c r="Q80" s="121">
        <v>2201018</v>
      </c>
      <c r="R80" s="121">
        <v>2201018</v>
      </c>
      <c r="S80" s="59" t="s">
        <v>701</v>
      </c>
      <c r="T80" s="13" t="s">
        <v>702</v>
      </c>
      <c r="U80" s="121">
        <v>220101802</v>
      </c>
      <c r="V80" s="121">
        <v>220101802</v>
      </c>
      <c r="W80" s="87" t="s">
        <v>703</v>
      </c>
      <c r="X80" s="88" t="s">
        <v>8</v>
      </c>
      <c r="Y80" s="13">
        <v>1</v>
      </c>
      <c r="Z80" s="13"/>
      <c r="AA80" s="13"/>
      <c r="AB80" s="13">
        <v>1</v>
      </c>
      <c r="AC80" s="13">
        <v>1</v>
      </c>
      <c r="AD80" s="13">
        <v>1</v>
      </c>
      <c r="AE80" s="89">
        <f t="shared" si="26"/>
        <v>0</v>
      </c>
      <c r="AF80" s="89">
        <f t="shared" si="26"/>
        <v>0</v>
      </c>
      <c r="AG80" s="89">
        <f t="shared" si="26"/>
        <v>0</v>
      </c>
      <c r="AH80" s="89">
        <f t="shared" si="26"/>
        <v>0</v>
      </c>
      <c r="AI80" s="89">
        <f t="shared" si="26"/>
        <v>0</v>
      </c>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1"/>
      <c r="BR80" s="91"/>
      <c r="BS80" s="91"/>
      <c r="BT80" s="91"/>
      <c r="BU80" s="91"/>
      <c r="BV80" s="91"/>
      <c r="BW80" s="91"/>
      <c r="BX80" s="91"/>
      <c r="BY80" s="91"/>
      <c r="BZ80" s="91"/>
      <c r="CA80" s="91"/>
      <c r="CB80" s="91"/>
      <c r="CC80" s="91"/>
      <c r="CD80" s="91"/>
      <c r="CE80" s="91"/>
      <c r="CF80" s="91"/>
      <c r="CG80" s="91"/>
      <c r="CH80" s="91">
        <f t="shared" si="27"/>
        <v>500000</v>
      </c>
      <c r="CI80" s="91"/>
      <c r="CJ80" s="91"/>
      <c r="CK80" s="91">
        <v>500000</v>
      </c>
      <c r="CL80" s="91"/>
      <c r="CM80" s="91"/>
      <c r="CN80" s="91"/>
      <c r="CO80" s="91"/>
      <c r="CP80" s="91"/>
      <c r="CQ80" s="91"/>
      <c r="CR80" s="91"/>
      <c r="CS80" s="91">
        <f t="shared" si="28"/>
        <v>500000</v>
      </c>
      <c r="CT80" s="91"/>
      <c r="CU80" s="91"/>
      <c r="CV80" s="91">
        <v>500000</v>
      </c>
      <c r="CW80" s="91"/>
      <c r="CX80" s="91"/>
      <c r="CY80" s="91"/>
      <c r="CZ80" s="91"/>
      <c r="DA80" s="91"/>
      <c r="DB80" s="91"/>
      <c r="DC80" s="91"/>
      <c r="DD80" s="91">
        <f t="shared" si="29"/>
        <v>500000</v>
      </c>
      <c r="DE80" s="91"/>
      <c r="DF80" s="91"/>
      <c r="DG80" s="91">
        <v>500000</v>
      </c>
      <c r="DH80" s="91"/>
      <c r="DI80" s="91"/>
      <c r="DJ80" s="91"/>
      <c r="DK80" s="91"/>
      <c r="DL80" s="91"/>
      <c r="DM80" s="91"/>
      <c r="DN80" s="92"/>
      <c r="DO80" s="93">
        <f t="shared" si="30"/>
        <v>1500000</v>
      </c>
    </row>
    <row r="81" spans="1:119" s="225" customFormat="1" ht="126" customHeight="1" x14ac:dyDescent="0.2">
      <c r="A81" s="244">
        <v>1</v>
      </c>
      <c r="B81" s="253" t="s">
        <v>19</v>
      </c>
      <c r="C81" s="59" t="s">
        <v>667</v>
      </c>
      <c r="D81" s="59" t="s">
        <v>162</v>
      </c>
      <c r="E81" s="55" t="s">
        <v>704</v>
      </c>
      <c r="F81" s="13" t="s">
        <v>571</v>
      </c>
      <c r="G81" s="59" t="s">
        <v>705</v>
      </c>
      <c r="H81" s="55" t="s">
        <v>706</v>
      </c>
      <c r="I81" s="13">
        <v>22</v>
      </c>
      <c r="J81" s="13" t="s">
        <v>672</v>
      </c>
      <c r="K81" s="50">
        <v>1</v>
      </c>
      <c r="L81" s="13" t="s">
        <v>672</v>
      </c>
      <c r="M81" s="246">
        <v>15</v>
      </c>
      <c r="N81" s="248">
        <v>2201</v>
      </c>
      <c r="O81" s="245" t="s">
        <v>23</v>
      </c>
      <c r="P81" s="13" t="s">
        <v>707</v>
      </c>
      <c r="Q81" s="121">
        <v>2201026</v>
      </c>
      <c r="R81" s="121">
        <v>2201026</v>
      </c>
      <c r="S81" s="59" t="s">
        <v>163</v>
      </c>
      <c r="T81" s="13" t="s">
        <v>708</v>
      </c>
      <c r="U81" s="121">
        <v>220102600</v>
      </c>
      <c r="V81" s="121">
        <v>220102600</v>
      </c>
      <c r="W81" s="87" t="s">
        <v>709</v>
      </c>
      <c r="X81" s="88" t="s">
        <v>9</v>
      </c>
      <c r="Y81" s="13">
        <v>54</v>
      </c>
      <c r="Z81" s="13">
        <v>5</v>
      </c>
      <c r="AA81" s="13">
        <v>5</v>
      </c>
      <c r="AB81" s="13">
        <v>17</v>
      </c>
      <c r="AC81" s="13">
        <v>22</v>
      </c>
      <c r="AD81" s="13">
        <v>10</v>
      </c>
      <c r="AE81" s="89">
        <f t="shared" si="26"/>
        <v>307617446.78999996</v>
      </c>
      <c r="AF81" s="89">
        <f t="shared" si="26"/>
        <v>279241980.75</v>
      </c>
      <c r="AG81" s="89">
        <f t="shared" si="26"/>
        <v>276989528</v>
      </c>
      <c r="AH81" s="89">
        <f t="shared" si="26"/>
        <v>276989528</v>
      </c>
      <c r="AI81" s="89">
        <f t="shared" si="26"/>
        <v>0</v>
      </c>
      <c r="AJ81" s="91">
        <v>90161500</v>
      </c>
      <c r="AK81" s="91">
        <v>76711522.090000004</v>
      </c>
      <c r="AL81" s="91">
        <v>75878187</v>
      </c>
      <c r="AM81" s="91">
        <v>75878187</v>
      </c>
      <c r="AN81" s="91"/>
      <c r="AO81" s="91">
        <v>174455946.78999999</v>
      </c>
      <c r="AP81" s="91"/>
      <c r="AQ81" s="91"/>
      <c r="AR81" s="91"/>
      <c r="AS81" s="91"/>
      <c r="AT81" s="91">
        <v>43000000</v>
      </c>
      <c r="AU81" s="91">
        <v>28074511.960000001</v>
      </c>
      <c r="AV81" s="91">
        <v>26655395</v>
      </c>
      <c r="AW81" s="91">
        <v>26655395</v>
      </c>
      <c r="AX81" s="91"/>
      <c r="AY81" s="91"/>
      <c r="AZ81" s="91"/>
      <c r="BA81" s="91"/>
      <c r="BB81" s="91"/>
      <c r="BC81" s="91"/>
      <c r="BD81" s="91"/>
      <c r="BE81" s="91"/>
      <c r="BF81" s="91"/>
      <c r="BG81" s="91"/>
      <c r="BH81" s="91"/>
      <c r="BI81" s="91"/>
      <c r="BJ81" s="91"/>
      <c r="BK81" s="91"/>
      <c r="BL81" s="91"/>
      <c r="BM81" s="91"/>
      <c r="BN81" s="91"/>
      <c r="BO81" s="91"/>
      <c r="BP81" s="91"/>
      <c r="BQ81" s="91"/>
      <c r="BR81" s="91"/>
      <c r="BS81" s="91"/>
      <c r="BT81" s="91">
        <v>174455946.69999999</v>
      </c>
      <c r="BU81" s="91">
        <v>174455946</v>
      </c>
      <c r="BV81" s="91">
        <v>174455946</v>
      </c>
      <c r="BW81" s="91"/>
      <c r="BX81" s="91"/>
      <c r="BY81" s="91"/>
      <c r="BZ81" s="91"/>
      <c r="CA81" s="91"/>
      <c r="CB81" s="91"/>
      <c r="CC81" s="91"/>
      <c r="CD81" s="91"/>
      <c r="CE81" s="91"/>
      <c r="CF81" s="91"/>
      <c r="CG81" s="91"/>
      <c r="CH81" s="91">
        <f t="shared" si="27"/>
        <v>10000000</v>
      </c>
      <c r="CI81" s="91"/>
      <c r="CJ81" s="91"/>
      <c r="CK81" s="91">
        <v>10000000</v>
      </c>
      <c r="CL81" s="91"/>
      <c r="CM81" s="91"/>
      <c r="CN81" s="91"/>
      <c r="CO81" s="91"/>
      <c r="CP81" s="91"/>
      <c r="CQ81" s="91"/>
      <c r="CR81" s="91"/>
      <c r="CS81" s="91">
        <f t="shared" si="28"/>
        <v>135463000</v>
      </c>
      <c r="CT81" s="91">
        <v>125463000</v>
      </c>
      <c r="CU81" s="91"/>
      <c r="CV81" s="91">
        <v>10000000</v>
      </c>
      <c r="CW81" s="91"/>
      <c r="CX81" s="91"/>
      <c r="CY81" s="91"/>
      <c r="CZ81" s="91"/>
      <c r="DA81" s="91"/>
      <c r="DB81" s="91"/>
      <c r="DC81" s="91"/>
      <c r="DD81" s="91">
        <f t="shared" si="29"/>
        <v>139621343</v>
      </c>
      <c r="DE81" s="91">
        <v>126529000</v>
      </c>
      <c r="DF81" s="91"/>
      <c r="DG81" s="91">
        <v>13092343</v>
      </c>
      <c r="DH81" s="91"/>
      <c r="DI81" s="91"/>
      <c r="DJ81" s="91"/>
      <c r="DK81" s="91"/>
      <c r="DL81" s="91"/>
      <c r="DM81" s="91"/>
      <c r="DN81" s="92"/>
      <c r="DO81" s="93">
        <f t="shared" si="30"/>
        <v>592701789.78999996</v>
      </c>
    </row>
    <row r="82" spans="1:119" s="225" customFormat="1" ht="157.5" customHeight="1" x14ac:dyDescent="0.2">
      <c r="A82" s="244">
        <v>1</v>
      </c>
      <c r="B82" s="253" t="s">
        <v>19</v>
      </c>
      <c r="C82" s="59" t="s">
        <v>667</v>
      </c>
      <c r="D82" s="59" t="s">
        <v>149</v>
      </c>
      <c r="E82" s="119" t="s">
        <v>710</v>
      </c>
      <c r="F82" s="13" t="s">
        <v>711</v>
      </c>
      <c r="G82" s="59" t="s">
        <v>712</v>
      </c>
      <c r="H82" s="55" t="s">
        <v>713</v>
      </c>
      <c r="I82" s="13">
        <v>22</v>
      </c>
      <c r="J82" s="13" t="s">
        <v>672</v>
      </c>
      <c r="K82" s="50">
        <v>1</v>
      </c>
      <c r="L82" s="13" t="s">
        <v>672</v>
      </c>
      <c r="M82" s="246">
        <v>15</v>
      </c>
      <c r="N82" s="248">
        <v>2201</v>
      </c>
      <c r="O82" s="245" t="s">
        <v>23</v>
      </c>
      <c r="P82" s="13" t="s">
        <v>714</v>
      </c>
      <c r="Q82" s="121">
        <v>2201028</v>
      </c>
      <c r="R82" s="121">
        <v>2201028</v>
      </c>
      <c r="S82" s="59" t="s">
        <v>150</v>
      </c>
      <c r="T82" s="13" t="s">
        <v>715</v>
      </c>
      <c r="U82" s="121">
        <v>220102801</v>
      </c>
      <c r="V82" s="121">
        <v>220102801</v>
      </c>
      <c r="W82" s="87" t="s">
        <v>716</v>
      </c>
      <c r="X82" s="88" t="s">
        <v>8</v>
      </c>
      <c r="Y82" s="13">
        <v>36000</v>
      </c>
      <c r="Z82" s="13">
        <v>36000</v>
      </c>
      <c r="AA82" s="13">
        <v>28368</v>
      </c>
      <c r="AB82" s="13">
        <v>36000</v>
      </c>
      <c r="AC82" s="13">
        <v>36000</v>
      </c>
      <c r="AD82" s="13">
        <v>36000</v>
      </c>
      <c r="AE82" s="89">
        <f t="shared" si="26"/>
        <v>12853465113.83</v>
      </c>
      <c r="AF82" s="89">
        <f t="shared" si="26"/>
        <v>15517148022.32</v>
      </c>
      <c r="AG82" s="89">
        <f t="shared" si="26"/>
        <v>13998909432</v>
      </c>
      <c r="AH82" s="89">
        <f t="shared" si="26"/>
        <v>13994944395.440001</v>
      </c>
      <c r="AI82" s="89">
        <f t="shared" si="26"/>
        <v>508299252</v>
      </c>
      <c r="AJ82" s="91">
        <v>286000000</v>
      </c>
      <c r="AK82" s="91"/>
      <c r="AL82" s="91"/>
      <c r="AM82" s="91"/>
      <c r="AN82" s="91">
        <v>55229933</v>
      </c>
      <c r="AO82" s="91"/>
      <c r="AP82" s="91">
        <v>286000000</v>
      </c>
      <c r="AQ82" s="91">
        <v>286000000</v>
      </c>
      <c r="AR82" s="91">
        <v>286000000</v>
      </c>
      <c r="AS82" s="91"/>
      <c r="AT82" s="91">
        <v>394351422</v>
      </c>
      <c r="AU82" s="91">
        <v>394351422</v>
      </c>
      <c r="AV82" s="91">
        <v>394351422</v>
      </c>
      <c r="AW82" s="91">
        <v>394351422</v>
      </c>
      <c r="AX82" s="91"/>
      <c r="AY82" s="91"/>
      <c r="AZ82" s="91"/>
      <c r="BA82" s="91"/>
      <c r="BB82" s="91"/>
      <c r="BC82" s="91"/>
      <c r="BD82" s="91"/>
      <c r="BE82" s="91"/>
      <c r="BF82" s="91"/>
      <c r="BG82" s="91"/>
      <c r="BH82" s="91"/>
      <c r="BI82" s="91">
        <v>12173030541.870001</v>
      </c>
      <c r="BJ82" s="91"/>
      <c r="BK82" s="91"/>
      <c r="BL82" s="91"/>
      <c r="BM82" s="91"/>
      <c r="BN82" s="91"/>
      <c r="BO82" s="91"/>
      <c r="BP82" s="91"/>
      <c r="BQ82" s="91"/>
      <c r="BR82" s="91"/>
      <c r="BS82" s="91"/>
      <c r="BT82" s="91">
        <f>14695615717.32+'[2]SGTO POAI DIC 30'!$AC$198</f>
        <v>14836713450.360001</v>
      </c>
      <c r="BU82" s="91">
        <f>13284269528+'[2]SGTO POAI DIC 30'!$AD$198</f>
        <v>13318474860.040001</v>
      </c>
      <c r="BV82" s="91">
        <f>13280387641.4+'[2]SGTO POAI DIC 30'!$AE$198</f>
        <v>13314592973.440001</v>
      </c>
      <c r="BW82" s="91">
        <v>453069319</v>
      </c>
      <c r="BX82" s="91"/>
      <c r="BY82" s="91"/>
      <c r="BZ82" s="91"/>
      <c r="CA82" s="91"/>
      <c r="CB82" s="91"/>
      <c r="CC82" s="91">
        <v>83149.960000000006</v>
      </c>
      <c r="CD82" s="91">
        <v>83149.960000000006</v>
      </c>
      <c r="CE82" s="91">
        <v>83149.960000000006</v>
      </c>
      <c r="CF82" s="91"/>
      <c r="CG82" s="91"/>
      <c r="CH82" s="91">
        <f t="shared" si="27"/>
        <v>12209698141.98</v>
      </c>
      <c r="CI82" s="91"/>
      <c r="CJ82" s="91"/>
      <c r="CK82" s="91"/>
      <c r="CL82" s="91"/>
      <c r="CM82" s="91"/>
      <c r="CN82" s="91">
        <v>12209698141.98</v>
      </c>
      <c r="CO82" s="91"/>
      <c r="CP82" s="91"/>
      <c r="CQ82" s="91"/>
      <c r="CR82" s="91"/>
      <c r="CS82" s="91">
        <f t="shared" si="28"/>
        <v>12575989086</v>
      </c>
      <c r="CT82" s="91"/>
      <c r="CU82" s="91"/>
      <c r="CV82" s="91"/>
      <c r="CW82" s="91"/>
      <c r="CX82" s="91"/>
      <c r="CY82" s="91">
        <v>12575989086</v>
      </c>
      <c r="CZ82" s="91"/>
      <c r="DA82" s="91"/>
      <c r="DB82" s="91"/>
      <c r="DC82" s="91"/>
      <c r="DD82" s="91">
        <f t="shared" si="29"/>
        <v>13087166755.4018</v>
      </c>
      <c r="DE82" s="91">
        <v>133897996.40180001</v>
      </c>
      <c r="DF82" s="91"/>
      <c r="DG82" s="91"/>
      <c r="DH82" s="91"/>
      <c r="DI82" s="91"/>
      <c r="DJ82" s="91">
        <v>12953268759</v>
      </c>
      <c r="DK82" s="91"/>
      <c r="DL82" s="91"/>
      <c r="DM82" s="91"/>
      <c r="DN82" s="92"/>
      <c r="DO82" s="93">
        <f t="shared" si="30"/>
        <v>50726319097.2118</v>
      </c>
    </row>
    <row r="83" spans="1:119" s="225" customFormat="1" ht="157.5" customHeight="1" x14ac:dyDescent="0.2">
      <c r="A83" s="244">
        <v>1</v>
      </c>
      <c r="B83" s="253" t="s">
        <v>19</v>
      </c>
      <c r="C83" s="59" t="s">
        <v>667</v>
      </c>
      <c r="D83" s="59" t="s">
        <v>149</v>
      </c>
      <c r="E83" s="119" t="s">
        <v>710</v>
      </c>
      <c r="F83" s="13" t="s">
        <v>711</v>
      </c>
      <c r="G83" s="59" t="s">
        <v>712</v>
      </c>
      <c r="H83" s="55" t="s">
        <v>713</v>
      </c>
      <c r="I83" s="13">
        <v>22</v>
      </c>
      <c r="J83" s="13" t="s">
        <v>672</v>
      </c>
      <c r="K83" s="50">
        <v>1</v>
      </c>
      <c r="L83" s="13" t="s">
        <v>672</v>
      </c>
      <c r="M83" s="246">
        <v>15</v>
      </c>
      <c r="N83" s="248">
        <v>2201</v>
      </c>
      <c r="O83" s="245" t="s">
        <v>23</v>
      </c>
      <c r="P83" s="13" t="s">
        <v>717</v>
      </c>
      <c r="Q83" s="124">
        <v>2201029</v>
      </c>
      <c r="R83" s="124">
        <v>2201029</v>
      </c>
      <c r="S83" s="59" t="s">
        <v>151</v>
      </c>
      <c r="T83" s="13" t="s">
        <v>718</v>
      </c>
      <c r="U83" s="124">
        <v>220102900</v>
      </c>
      <c r="V83" s="124">
        <v>220102900</v>
      </c>
      <c r="W83" s="87" t="s">
        <v>719</v>
      </c>
      <c r="X83" s="88" t="s">
        <v>9</v>
      </c>
      <c r="Y83" s="13">
        <v>4000</v>
      </c>
      <c r="Z83" s="13">
        <v>0</v>
      </c>
      <c r="AA83" s="13"/>
      <c r="AB83" s="13">
        <v>1000</v>
      </c>
      <c r="AC83" s="13">
        <v>1500</v>
      </c>
      <c r="AD83" s="13">
        <v>1500</v>
      </c>
      <c r="AE83" s="89">
        <f t="shared" si="26"/>
        <v>482906493.21831596</v>
      </c>
      <c r="AF83" s="89">
        <f t="shared" si="26"/>
        <v>0</v>
      </c>
      <c r="AG83" s="89">
        <f t="shared" si="26"/>
        <v>0</v>
      </c>
      <c r="AH83" s="89">
        <f t="shared" si="26"/>
        <v>0</v>
      </c>
      <c r="AI83" s="89">
        <f t="shared" si="26"/>
        <v>0</v>
      </c>
      <c r="AJ83" s="3">
        <f>860000000+40000000-400000000-317093240.421684-266.36</f>
        <v>182906493.21831596</v>
      </c>
      <c r="AK83" s="3"/>
      <c r="AL83" s="3"/>
      <c r="AM83" s="3"/>
      <c r="AN83" s="3"/>
      <c r="AO83" s="91">
        <v>300000000</v>
      </c>
      <c r="AP83" s="3"/>
      <c r="AQ83" s="91"/>
      <c r="AR83" s="91"/>
      <c r="AS83" s="91"/>
      <c r="AT83" s="91"/>
      <c r="AU83" s="3"/>
      <c r="AV83" s="91"/>
      <c r="AW83" s="91"/>
      <c r="AX83" s="91"/>
      <c r="AY83" s="91"/>
      <c r="AZ83" s="3"/>
      <c r="BA83" s="91"/>
      <c r="BB83" s="91"/>
      <c r="BC83" s="91"/>
      <c r="BD83" s="91"/>
      <c r="BE83" s="3"/>
      <c r="BF83" s="91"/>
      <c r="BG83" s="91"/>
      <c r="BH83" s="91"/>
      <c r="BI83" s="91"/>
      <c r="BJ83" s="3"/>
      <c r="BK83" s="91"/>
      <c r="BL83" s="91"/>
      <c r="BM83" s="91"/>
      <c r="BN83" s="91"/>
      <c r="BO83" s="3"/>
      <c r="BP83" s="91"/>
      <c r="BQ83" s="91"/>
      <c r="BR83" s="91"/>
      <c r="BS83" s="91"/>
      <c r="BT83" s="3"/>
      <c r="BU83" s="91"/>
      <c r="BV83" s="91"/>
      <c r="BW83" s="91"/>
      <c r="BX83" s="91"/>
      <c r="BY83" s="3"/>
      <c r="BZ83" s="91"/>
      <c r="CA83" s="91"/>
      <c r="CB83" s="91"/>
      <c r="CC83" s="91"/>
      <c r="CD83" s="3"/>
      <c r="CE83" s="91"/>
      <c r="CF83" s="91"/>
      <c r="CG83" s="91"/>
      <c r="CH83" s="91">
        <f t="shared" si="27"/>
        <v>379856000</v>
      </c>
      <c r="CI83" s="91">
        <v>379856000</v>
      </c>
      <c r="CJ83" s="91"/>
      <c r="CK83" s="91"/>
      <c r="CL83" s="91"/>
      <c r="CM83" s="91"/>
      <c r="CN83" s="91"/>
      <c r="CO83" s="91"/>
      <c r="CP83" s="91"/>
      <c r="CQ83" s="91"/>
      <c r="CR83" s="91"/>
      <c r="CS83" s="91">
        <f t="shared" si="28"/>
        <v>937258795.20000005</v>
      </c>
      <c r="CT83" s="91">
        <v>937258795.20000005</v>
      </c>
      <c r="CU83" s="91"/>
      <c r="CV83" s="91"/>
      <c r="CW83" s="91"/>
      <c r="CX83" s="91"/>
      <c r="CY83" s="91"/>
      <c r="CZ83" s="91"/>
      <c r="DA83" s="91"/>
      <c r="DB83" s="91"/>
      <c r="DC83" s="91"/>
      <c r="DD83" s="91">
        <f t="shared" si="29"/>
        <v>1070630000</v>
      </c>
      <c r="DE83" s="91">
        <v>1070630000</v>
      </c>
      <c r="DF83" s="91"/>
      <c r="DG83" s="91"/>
      <c r="DH83" s="91"/>
      <c r="DI83" s="91"/>
      <c r="DJ83" s="91"/>
      <c r="DK83" s="91"/>
      <c r="DL83" s="91"/>
      <c r="DM83" s="91"/>
      <c r="DN83" s="92"/>
      <c r="DO83" s="93">
        <f t="shared" si="30"/>
        <v>2870651288.4183159</v>
      </c>
    </row>
    <row r="84" spans="1:119" s="225" customFormat="1" ht="173.25" customHeight="1" x14ac:dyDescent="0.2">
      <c r="A84" s="244">
        <v>1</v>
      </c>
      <c r="B84" s="253" t="s">
        <v>19</v>
      </c>
      <c r="C84" s="59" t="s">
        <v>667</v>
      </c>
      <c r="D84" s="59" t="s">
        <v>154</v>
      </c>
      <c r="E84" s="119" t="s">
        <v>720</v>
      </c>
      <c r="F84" s="13" t="s">
        <v>721</v>
      </c>
      <c r="G84" s="59" t="s">
        <v>722</v>
      </c>
      <c r="H84" s="55" t="s">
        <v>723</v>
      </c>
      <c r="I84" s="13">
        <v>22</v>
      </c>
      <c r="J84" s="13" t="s">
        <v>672</v>
      </c>
      <c r="K84" s="50">
        <v>1</v>
      </c>
      <c r="L84" s="13" t="s">
        <v>672</v>
      </c>
      <c r="M84" s="246">
        <v>15</v>
      </c>
      <c r="N84" s="248">
        <v>2201</v>
      </c>
      <c r="O84" s="245" t="s">
        <v>23</v>
      </c>
      <c r="P84" s="13" t="s">
        <v>724</v>
      </c>
      <c r="Q84" s="121">
        <v>2201030</v>
      </c>
      <c r="R84" s="121">
        <v>2201030</v>
      </c>
      <c r="S84" s="59" t="s">
        <v>155</v>
      </c>
      <c r="T84" s="116" t="s">
        <v>725</v>
      </c>
      <c r="U84" s="121">
        <v>220103000</v>
      </c>
      <c r="V84" s="121">
        <v>220103000</v>
      </c>
      <c r="W84" s="87" t="s">
        <v>726</v>
      </c>
      <c r="X84" s="88" t="s">
        <v>8</v>
      </c>
      <c r="Y84" s="13">
        <v>2500</v>
      </c>
      <c r="Z84" s="13">
        <v>2500</v>
      </c>
      <c r="AA84" s="13">
        <v>2540</v>
      </c>
      <c r="AB84" s="13">
        <v>2500</v>
      </c>
      <c r="AC84" s="13">
        <v>2500</v>
      </c>
      <c r="AD84" s="13">
        <v>2500</v>
      </c>
      <c r="AE84" s="89">
        <f t="shared" si="26"/>
        <v>1580000000</v>
      </c>
      <c r="AF84" s="89">
        <f t="shared" si="26"/>
        <v>1182594792</v>
      </c>
      <c r="AG84" s="89">
        <f t="shared" si="26"/>
        <v>1171273594</v>
      </c>
      <c r="AH84" s="89">
        <f t="shared" si="26"/>
        <v>1171273594</v>
      </c>
      <c r="AI84" s="89">
        <f t="shared" si="26"/>
        <v>0</v>
      </c>
      <c r="AJ84" s="91"/>
      <c r="AK84" s="91"/>
      <c r="AL84" s="91"/>
      <c r="AM84" s="91"/>
      <c r="AN84" s="91"/>
      <c r="AO84" s="91"/>
      <c r="AP84" s="91"/>
      <c r="AQ84" s="91"/>
      <c r="AR84" s="91"/>
      <c r="AS84" s="91"/>
      <c r="AT84" s="91">
        <v>1580000000</v>
      </c>
      <c r="AU84" s="91">
        <v>1182594792</v>
      </c>
      <c r="AV84" s="91">
        <v>1171273594</v>
      </c>
      <c r="AW84" s="91">
        <v>1171273594</v>
      </c>
      <c r="AX84" s="91"/>
      <c r="AY84" s="91"/>
      <c r="AZ84" s="91"/>
      <c r="BA84" s="91"/>
      <c r="BB84" s="91"/>
      <c r="BC84" s="91"/>
      <c r="BD84" s="91"/>
      <c r="BE84" s="91"/>
      <c r="BF84" s="91"/>
      <c r="BG84" s="91"/>
      <c r="BH84" s="91"/>
      <c r="BI84" s="91"/>
      <c r="BJ84" s="91"/>
      <c r="BK84" s="91"/>
      <c r="BL84" s="91"/>
      <c r="BM84" s="91"/>
      <c r="BN84" s="91"/>
      <c r="BO84" s="91"/>
      <c r="BP84" s="91"/>
      <c r="BQ84" s="91"/>
      <c r="BR84" s="91"/>
      <c r="BS84" s="91"/>
      <c r="BT84" s="91"/>
      <c r="BU84" s="91"/>
      <c r="BV84" s="91"/>
      <c r="BW84" s="91"/>
      <c r="BX84" s="91"/>
      <c r="BY84" s="91"/>
      <c r="BZ84" s="91"/>
      <c r="CA84" s="91"/>
      <c r="CB84" s="91"/>
      <c r="CC84" s="91"/>
      <c r="CD84" s="91"/>
      <c r="CE84" s="91"/>
      <c r="CF84" s="91"/>
      <c r="CG84" s="91"/>
      <c r="CH84" s="91">
        <f t="shared" si="27"/>
        <v>1131907412.9024</v>
      </c>
      <c r="CI84" s="91"/>
      <c r="CJ84" s="91"/>
      <c r="CK84" s="91">
        <v>1131907412.9024</v>
      </c>
      <c r="CL84" s="91"/>
      <c r="CM84" s="91"/>
      <c r="CN84" s="91"/>
      <c r="CO84" s="91"/>
      <c r="CP84" s="91"/>
      <c r="CQ84" s="91"/>
      <c r="CR84" s="91"/>
      <c r="CS84" s="91">
        <f t="shared" si="28"/>
        <v>1191642134</v>
      </c>
      <c r="CT84" s="91">
        <v>24127500</v>
      </c>
      <c r="CU84" s="91"/>
      <c r="CV84" s="91">
        <v>1167514634</v>
      </c>
      <c r="CW84" s="91"/>
      <c r="CX84" s="91"/>
      <c r="CY84" s="91"/>
      <c r="CZ84" s="91"/>
      <c r="DA84" s="91"/>
      <c r="DB84" s="91"/>
      <c r="DC84" s="91"/>
      <c r="DD84" s="91">
        <f t="shared" si="29"/>
        <v>1228522574</v>
      </c>
      <c r="DE84" s="91">
        <v>24332500</v>
      </c>
      <c r="DF84" s="91"/>
      <c r="DG84" s="91">
        <v>1204190074</v>
      </c>
      <c r="DH84" s="91"/>
      <c r="DI84" s="91"/>
      <c r="DJ84" s="91"/>
      <c r="DK84" s="91"/>
      <c r="DL84" s="91"/>
      <c r="DM84" s="91"/>
      <c r="DN84" s="92"/>
      <c r="DO84" s="93">
        <f t="shared" si="30"/>
        <v>5132072120.9024</v>
      </c>
    </row>
    <row r="85" spans="1:119" s="225" customFormat="1" ht="78.75" customHeight="1" x14ac:dyDescent="0.2">
      <c r="A85" s="244">
        <v>1</v>
      </c>
      <c r="B85" s="253" t="s">
        <v>19</v>
      </c>
      <c r="C85" s="59" t="s">
        <v>667</v>
      </c>
      <c r="D85" s="59" t="s">
        <v>727</v>
      </c>
      <c r="E85" s="125">
        <v>4.3999999999999997E-2</v>
      </c>
      <c r="F85" s="13">
        <v>2018</v>
      </c>
      <c r="G85" s="59" t="s">
        <v>728</v>
      </c>
      <c r="H85" s="125">
        <v>4.2000000000000003E-2</v>
      </c>
      <c r="I85" s="13">
        <v>22</v>
      </c>
      <c r="J85" s="13" t="s">
        <v>672</v>
      </c>
      <c r="K85" s="50">
        <v>1</v>
      </c>
      <c r="L85" s="13" t="s">
        <v>672</v>
      </c>
      <c r="M85" s="246">
        <v>15</v>
      </c>
      <c r="N85" s="248">
        <v>2201</v>
      </c>
      <c r="O85" s="245" t="s">
        <v>23</v>
      </c>
      <c r="P85" s="13" t="s">
        <v>729</v>
      </c>
      <c r="Q85" s="121">
        <v>2201032</v>
      </c>
      <c r="R85" s="121">
        <v>2201032</v>
      </c>
      <c r="S85" s="59" t="s">
        <v>730</v>
      </c>
      <c r="T85" s="116" t="s">
        <v>731</v>
      </c>
      <c r="U85" s="121">
        <v>220103200</v>
      </c>
      <c r="V85" s="121">
        <v>220103200</v>
      </c>
      <c r="W85" s="87" t="s">
        <v>732</v>
      </c>
      <c r="X85" s="88" t="s">
        <v>9</v>
      </c>
      <c r="Y85" s="13">
        <v>600</v>
      </c>
      <c r="Z85" s="59"/>
      <c r="AA85" s="59"/>
      <c r="AB85" s="13">
        <v>200</v>
      </c>
      <c r="AC85" s="13">
        <v>200</v>
      </c>
      <c r="AD85" s="13">
        <v>200</v>
      </c>
      <c r="AE85" s="89">
        <f t="shared" si="26"/>
        <v>0</v>
      </c>
      <c r="AF85" s="89">
        <f t="shared" si="26"/>
        <v>0</v>
      </c>
      <c r="AG85" s="89">
        <f t="shared" si="26"/>
        <v>0</v>
      </c>
      <c r="AH85" s="89">
        <f t="shared" si="26"/>
        <v>0</v>
      </c>
      <c r="AI85" s="89">
        <f t="shared" si="26"/>
        <v>0</v>
      </c>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c r="BW85" s="91"/>
      <c r="BX85" s="91"/>
      <c r="BY85" s="91"/>
      <c r="BZ85" s="91"/>
      <c r="CA85" s="91"/>
      <c r="CB85" s="91"/>
      <c r="CC85" s="91"/>
      <c r="CD85" s="91"/>
      <c r="CE85" s="91"/>
      <c r="CF85" s="91"/>
      <c r="CG85" s="91"/>
      <c r="CH85" s="91">
        <f t="shared" si="27"/>
        <v>9496400</v>
      </c>
      <c r="CI85" s="91">
        <v>9496400</v>
      </c>
      <c r="CJ85" s="91"/>
      <c r="CK85" s="91"/>
      <c r="CL85" s="91"/>
      <c r="CM85" s="91"/>
      <c r="CN85" s="91"/>
      <c r="CO85" s="91"/>
      <c r="CP85" s="91"/>
      <c r="CQ85" s="91"/>
      <c r="CR85" s="91"/>
      <c r="CS85" s="91">
        <f t="shared" si="28"/>
        <v>24127500</v>
      </c>
      <c r="CT85" s="91">
        <v>24127500</v>
      </c>
      <c r="CU85" s="91"/>
      <c r="CV85" s="91"/>
      <c r="CW85" s="91"/>
      <c r="CX85" s="91"/>
      <c r="CY85" s="91"/>
      <c r="CZ85" s="91"/>
      <c r="DA85" s="91"/>
      <c r="DB85" s="91"/>
      <c r="DC85" s="91"/>
      <c r="DD85" s="91">
        <f t="shared" si="29"/>
        <v>24332500</v>
      </c>
      <c r="DE85" s="91">
        <v>24332500</v>
      </c>
      <c r="DF85" s="91"/>
      <c r="DG85" s="91"/>
      <c r="DH85" s="91"/>
      <c r="DI85" s="91"/>
      <c r="DJ85" s="91"/>
      <c r="DK85" s="91"/>
      <c r="DL85" s="91"/>
      <c r="DM85" s="91"/>
      <c r="DN85" s="92"/>
      <c r="DO85" s="93">
        <f t="shared" si="30"/>
        <v>57956400</v>
      </c>
    </row>
    <row r="86" spans="1:119" s="225" customFormat="1" ht="94.5" customHeight="1" x14ac:dyDescent="0.2">
      <c r="A86" s="244">
        <v>1</v>
      </c>
      <c r="B86" s="253" t="s">
        <v>19</v>
      </c>
      <c r="C86" s="59" t="s">
        <v>667</v>
      </c>
      <c r="D86" s="59" t="s">
        <v>147</v>
      </c>
      <c r="E86" s="119" t="s">
        <v>733</v>
      </c>
      <c r="F86" s="13">
        <v>2018</v>
      </c>
      <c r="G86" s="59" t="s">
        <v>734</v>
      </c>
      <c r="H86" s="125">
        <v>3.5000000000000003E-2</v>
      </c>
      <c r="I86" s="13">
        <v>22</v>
      </c>
      <c r="J86" s="13" t="s">
        <v>672</v>
      </c>
      <c r="K86" s="50">
        <v>1</v>
      </c>
      <c r="L86" s="13" t="s">
        <v>672</v>
      </c>
      <c r="M86" s="246">
        <v>15</v>
      </c>
      <c r="N86" s="248">
        <v>2201</v>
      </c>
      <c r="O86" s="245" t="s">
        <v>23</v>
      </c>
      <c r="P86" s="13" t="s">
        <v>735</v>
      </c>
      <c r="Q86" s="121">
        <v>2201033</v>
      </c>
      <c r="R86" s="121">
        <v>2201033</v>
      </c>
      <c r="S86" s="59" t="s">
        <v>148</v>
      </c>
      <c r="T86" s="116" t="s">
        <v>736</v>
      </c>
      <c r="U86" s="121">
        <v>220103300</v>
      </c>
      <c r="V86" s="121">
        <v>220103300</v>
      </c>
      <c r="W86" s="87" t="s">
        <v>737</v>
      </c>
      <c r="X86" s="88" t="s">
        <v>9</v>
      </c>
      <c r="Y86" s="13">
        <v>36000</v>
      </c>
      <c r="Z86" s="13">
        <v>9000</v>
      </c>
      <c r="AA86" s="13">
        <v>9000</v>
      </c>
      <c r="AB86" s="13">
        <v>9000</v>
      </c>
      <c r="AC86" s="13">
        <v>9000</v>
      </c>
      <c r="AD86" s="13">
        <v>9000</v>
      </c>
      <c r="AE86" s="89">
        <f t="shared" si="26"/>
        <v>3985452042</v>
      </c>
      <c r="AF86" s="89">
        <f t="shared" si="26"/>
        <v>5441777273.1800003</v>
      </c>
      <c r="AG86" s="89">
        <f t="shared" si="26"/>
        <v>4941898082</v>
      </c>
      <c r="AH86" s="89">
        <f t="shared" si="26"/>
        <v>4619200448.5599995</v>
      </c>
      <c r="AI86" s="89">
        <f t="shared" si="26"/>
        <v>202677526</v>
      </c>
      <c r="AJ86" s="91">
        <v>1670863000</v>
      </c>
      <c r="AK86" s="91">
        <v>3388840549.2200003</v>
      </c>
      <c r="AL86" s="91">
        <v>3387934568.2200003</v>
      </c>
      <c r="AM86" s="91">
        <v>3176338363</v>
      </c>
      <c r="AN86" s="91">
        <v>202677526</v>
      </c>
      <c r="AO86" s="91">
        <v>2289589042</v>
      </c>
      <c r="AP86" s="91"/>
      <c r="AQ86" s="91"/>
      <c r="AR86" s="91"/>
      <c r="AS86" s="91"/>
      <c r="AT86" s="91">
        <v>25000000</v>
      </c>
      <c r="AU86" s="91">
        <v>9316891</v>
      </c>
      <c r="AV86" s="91">
        <v>9316891</v>
      </c>
      <c r="AW86" s="91">
        <v>9316891</v>
      </c>
      <c r="AX86" s="91"/>
      <c r="AY86" s="91"/>
      <c r="AZ86" s="91"/>
      <c r="BA86" s="91"/>
      <c r="BB86" s="91"/>
      <c r="BC86" s="91"/>
      <c r="BD86" s="91"/>
      <c r="BE86" s="91"/>
      <c r="BF86" s="91"/>
      <c r="BG86" s="91"/>
      <c r="BH86" s="91"/>
      <c r="BI86" s="91"/>
      <c r="BJ86" s="91"/>
      <c r="BK86" s="91"/>
      <c r="BL86" s="91"/>
      <c r="BM86" s="91"/>
      <c r="BN86" s="91"/>
      <c r="BO86" s="91"/>
      <c r="BP86" s="91"/>
      <c r="BQ86" s="91"/>
      <c r="BR86" s="91"/>
      <c r="BS86" s="91"/>
      <c r="BT86" s="91">
        <v>2043619832.96</v>
      </c>
      <c r="BU86" s="91">
        <v>1544646622.78</v>
      </c>
      <c r="BV86" s="91">
        <v>1433545194.5599999</v>
      </c>
      <c r="BW86" s="91">
        <v>0</v>
      </c>
      <c r="BX86" s="91"/>
      <c r="BY86" s="91"/>
      <c r="BZ86" s="91"/>
      <c r="CA86" s="91"/>
      <c r="CB86" s="91"/>
      <c r="CC86" s="91"/>
      <c r="CD86" s="91"/>
      <c r="CE86" s="91"/>
      <c r="CF86" s="91"/>
      <c r="CG86" s="91"/>
      <c r="CH86" s="91">
        <f t="shared" si="27"/>
        <v>1229483.8585779001</v>
      </c>
      <c r="CI86" s="91">
        <v>1229483.8585779001</v>
      </c>
      <c r="CJ86" s="91"/>
      <c r="CK86" s="91"/>
      <c r="CL86" s="91"/>
      <c r="CM86" s="91"/>
      <c r="CN86" s="91"/>
      <c r="CO86" s="91"/>
      <c r="CP86" s="91"/>
      <c r="CQ86" s="91"/>
      <c r="CR86" s="91"/>
      <c r="CS86" s="91">
        <f t="shared" si="28"/>
        <v>9651000</v>
      </c>
      <c r="CT86" s="91">
        <v>9651000</v>
      </c>
      <c r="CU86" s="91"/>
      <c r="CV86" s="91"/>
      <c r="CW86" s="91"/>
      <c r="CX86" s="91"/>
      <c r="CY86" s="91"/>
      <c r="CZ86" s="91"/>
      <c r="DA86" s="91"/>
      <c r="DB86" s="91"/>
      <c r="DC86" s="91"/>
      <c r="DD86" s="91">
        <f t="shared" si="29"/>
        <v>9733000</v>
      </c>
      <c r="DE86" s="91">
        <v>9733000</v>
      </c>
      <c r="DF86" s="91"/>
      <c r="DG86" s="91"/>
      <c r="DH86" s="91"/>
      <c r="DI86" s="91"/>
      <c r="DJ86" s="91"/>
      <c r="DK86" s="91"/>
      <c r="DL86" s="91"/>
      <c r="DM86" s="91"/>
      <c r="DN86" s="92"/>
      <c r="DO86" s="93">
        <f t="shared" si="30"/>
        <v>4006065525.8585777</v>
      </c>
    </row>
    <row r="87" spans="1:119" s="225" customFormat="1" ht="110.25" customHeight="1" x14ac:dyDescent="0.2">
      <c r="A87" s="244">
        <v>1</v>
      </c>
      <c r="B87" s="253" t="s">
        <v>19</v>
      </c>
      <c r="C87" s="59" t="s">
        <v>667</v>
      </c>
      <c r="D87" s="59" t="s">
        <v>167</v>
      </c>
      <c r="E87" s="119">
        <v>0.05</v>
      </c>
      <c r="F87" s="13">
        <v>2019</v>
      </c>
      <c r="G87" s="59" t="s">
        <v>738</v>
      </c>
      <c r="H87" s="119">
        <v>7.0000000000000007E-2</v>
      </c>
      <c r="I87" s="13">
        <v>22</v>
      </c>
      <c r="J87" s="13" t="s">
        <v>672</v>
      </c>
      <c r="K87" s="50">
        <v>1</v>
      </c>
      <c r="L87" s="13" t="s">
        <v>672</v>
      </c>
      <c r="M87" s="246">
        <v>15</v>
      </c>
      <c r="N87" s="248">
        <v>2201</v>
      </c>
      <c r="O87" s="245" t="s">
        <v>23</v>
      </c>
      <c r="P87" s="13" t="s">
        <v>739</v>
      </c>
      <c r="Q87" s="121">
        <v>2201034</v>
      </c>
      <c r="R87" s="121">
        <v>2201034</v>
      </c>
      <c r="S87" s="59" t="s">
        <v>740</v>
      </c>
      <c r="T87" s="116" t="s">
        <v>741</v>
      </c>
      <c r="U87" s="121">
        <v>220103400</v>
      </c>
      <c r="V87" s="121">
        <v>220103400</v>
      </c>
      <c r="W87" s="87" t="s">
        <v>742</v>
      </c>
      <c r="X87" s="88" t="s">
        <v>9</v>
      </c>
      <c r="Y87" s="13">
        <v>15000</v>
      </c>
      <c r="Z87" s="13">
        <v>100</v>
      </c>
      <c r="AA87" s="13">
        <v>102</v>
      </c>
      <c r="AB87" s="13">
        <v>5500</v>
      </c>
      <c r="AC87" s="13">
        <v>5000</v>
      </c>
      <c r="AD87" s="13">
        <v>4400</v>
      </c>
      <c r="AE87" s="89">
        <f t="shared" si="26"/>
        <v>5000000</v>
      </c>
      <c r="AF87" s="89">
        <f t="shared" si="26"/>
        <v>6380336139</v>
      </c>
      <c r="AG87" s="89">
        <f t="shared" si="26"/>
        <v>1279130925</v>
      </c>
      <c r="AH87" s="89">
        <f t="shared" si="26"/>
        <v>594986807</v>
      </c>
      <c r="AI87" s="89">
        <f t="shared" si="26"/>
        <v>0</v>
      </c>
      <c r="AJ87" s="91">
        <v>5000000</v>
      </c>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v>6380336139</v>
      </c>
      <c r="BP87" s="91">
        <v>1279130925</v>
      </c>
      <c r="BQ87" s="91">
        <v>594986807</v>
      </c>
      <c r="BR87" s="91"/>
      <c r="BS87" s="91"/>
      <c r="BT87" s="91"/>
      <c r="BU87" s="91"/>
      <c r="BV87" s="91"/>
      <c r="BW87" s="91"/>
      <c r="BX87" s="91"/>
      <c r="BY87" s="91"/>
      <c r="BZ87" s="91"/>
      <c r="CA87" s="91"/>
      <c r="CB87" s="91"/>
      <c r="CC87" s="91"/>
      <c r="CD87" s="91"/>
      <c r="CE87" s="91"/>
      <c r="CF87" s="91"/>
      <c r="CG87" s="91"/>
      <c r="CH87" s="91">
        <f t="shared" si="27"/>
        <v>9496400</v>
      </c>
      <c r="CI87" s="91">
        <v>9496400</v>
      </c>
      <c r="CJ87" s="91"/>
      <c r="CK87" s="91"/>
      <c r="CL87" s="91"/>
      <c r="CM87" s="91"/>
      <c r="CN87" s="91"/>
      <c r="CO87" s="91"/>
      <c r="CP87" s="91"/>
      <c r="CQ87" s="91"/>
      <c r="CR87" s="91"/>
      <c r="CS87" s="91">
        <f t="shared" si="28"/>
        <v>19302000</v>
      </c>
      <c r="CT87" s="91">
        <v>19302000</v>
      </c>
      <c r="CU87" s="91"/>
      <c r="CV87" s="91"/>
      <c r="CW87" s="91"/>
      <c r="CX87" s="91"/>
      <c r="CY87" s="91"/>
      <c r="CZ87" s="91"/>
      <c r="DA87" s="91"/>
      <c r="DB87" s="91"/>
      <c r="DC87" s="91"/>
      <c r="DD87" s="91">
        <f t="shared" si="29"/>
        <v>19466000</v>
      </c>
      <c r="DE87" s="91">
        <v>19466000</v>
      </c>
      <c r="DF87" s="91"/>
      <c r="DG87" s="91"/>
      <c r="DH87" s="91"/>
      <c r="DI87" s="91"/>
      <c r="DJ87" s="91"/>
      <c r="DK87" s="91"/>
      <c r="DL87" s="91"/>
      <c r="DM87" s="91"/>
      <c r="DN87" s="92"/>
      <c r="DO87" s="93">
        <f t="shared" si="30"/>
        <v>53264400</v>
      </c>
    </row>
    <row r="88" spans="1:119" s="225" customFormat="1" ht="141.75" customHeight="1" x14ac:dyDescent="0.2">
      <c r="A88" s="244">
        <v>1</v>
      </c>
      <c r="B88" s="253" t="s">
        <v>19</v>
      </c>
      <c r="C88" s="59" t="s">
        <v>667</v>
      </c>
      <c r="D88" s="59" t="s">
        <v>167</v>
      </c>
      <c r="E88" s="119">
        <v>0.05</v>
      </c>
      <c r="F88" s="13">
        <v>2019</v>
      </c>
      <c r="G88" s="59" t="s">
        <v>738</v>
      </c>
      <c r="H88" s="119">
        <v>7.0000000000000007E-2</v>
      </c>
      <c r="I88" s="13">
        <v>22</v>
      </c>
      <c r="J88" s="13" t="s">
        <v>672</v>
      </c>
      <c r="K88" s="50">
        <v>1</v>
      </c>
      <c r="L88" s="13" t="s">
        <v>672</v>
      </c>
      <c r="M88" s="246">
        <v>15</v>
      </c>
      <c r="N88" s="248">
        <v>2201</v>
      </c>
      <c r="O88" s="245" t="s">
        <v>23</v>
      </c>
      <c r="P88" s="13" t="s">
        <v>739</v>
      </c>
      <c r="Q88" s="121">
        <v>2201034</v>
      </c>
      <c r="R88" s="121">
        <v>2201034</v>
      </c>
      <c r="S88" s="59" t="s">
        <v>740</v>
      </c>
      <c r="T88" s="116" t="s">
        <v>743</v>
      </c>
      <c r="U88" s="121">
        <v>220103401</v>
      </c>
      <c r="V88" s="121">
        <v>220103401</v>
      </c>
      <c r="W88" s="87" t="s">
        <v>744</v>
      </c>
      <c r="X88" s="88" t="s">
        <v>8</v>
      </c>
      <c r="Y88" s="13">
        <v>54</v>
      </c>
      <c r="Z88" s="13">
        <v>54</v>
      </c>
      <c r="AA88" s="13">
        <v>54</v>
      </c>
      <c r="AB88" s="13">
        <v>54</v>
      </c>
      <c r="AC88" s="13">
        <v>54</v>
      </c>
      <c r="AD88" s="13">
        <v>54</v>
      </c>
      <c r="AE88" s="89">
        <f t="shared" si="26"/>
        <v>12643190827</v>
      </c>
      <c r="AF88" s="89">
        <f t="shared" si="26"/>
        <v>0</v>
      </c>
      <c r="AG88" s="89">
        <f t="shared" si="26"/>
        <v>0</v>
      </c>
      <c r="AH88" s="89">
        <f t="shared" si="26"/>
        <v>0</v>
      </c>
      <c r="AI88" s="89">
        <f t="shared" si="26"/>
        <v>0</v>
      </c>
      <c r="AJ88" s="91">
        <v>10000000</v>
      </c>
      <c r="AK88" s="91"/>
      <c r="AL88" s="91"/>
      <c r="AM88" s="91"/>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c r="BM88" s="91"/>
      <c r="BN88" s="91">
        <v>12633190827</v>
      </c>
      <c r="BO88" s="91"/>
      <c r="BP88" s="91"/>
      <c r="BQ88" s="91"/>
      <c r="BR88" s="91"/>
      <c r="BS88" s="91"/>
      <c r="BT88" s="91"/>
      <c r="BU88" s="91"/>
      <c r="BV88" s="91"/>
      <c r="BW88" s="91"/>
      <c r="BX88" s="91"/>
      <c r="BY88" s="91"/>
      <c r="BZ88" s="91"/>
      <c r="CA88" s="91"/>
      <c r="CB88" s="91"/>
      <c r="CC88" s="91"/>
      <c r="CD88" s="91"/>
      <c r="CE88" s="91"/>
      <c r="CF88" s="91"/>
      <c r="CG88" s="91"/>
      <c r="CH88" s="91">
        <f t="shared" si="27"/>
        <v>4748200</v>
      </c>
      <c r="CI88" s="91">
        <v>4748200</v>
      </c>
      <c r="CJ88" s="91"/>
      <c r="CK88" s="91"/>
      <c r="CL88" s="91"/>
      <c r="CM88" s="91"/>
      <c r="CN88" s="91"/>
      <c r="CO88" s="91"/>
      <c r="CP88" s="91"/>
      <c r="CQ88" s="91"/>
      <c r="CR88" s="91"/>
      <c r="CS88" s="91">
        <f t="shared" si="28"/>
        <v>14476500</v>
      </c>
      <c r="CT88" s="91">
        <v>14476500</v>
      </c>
      <c r="CU88" s="91"/>
      <c r="CV88" s="91"/>
      <c r="CW88" s="91"/>
      <c r="CX88" s="91"/>
      <c r="CY88" s="91"/>
      <c r="CZ88" s="91"/>
      <c r="DA88" s="91"/>
      <c r="DB88" s="91"/>
      <c r="DC88" s="91"/>
      <c r="DD88" s="91">
        <f t="shared" si="29"/>
        <v>14599500</v>
      </c>
      <c r="DE88" s="91">
        <v>14599500</v>
      </c>
      <c r="DF88" s="91"/>
      <c r="DG88" s="91"/>
      <c r="DH88" s="91"/>
      <c r="DI88" s="91"/>
      <c r="DJ88" s="91"/>
      <c r="DK88" s="91"/>
      <c r="DL88" s="91"/>
      <c r="DM88" s="91"/>
      <c r="DN88" s="92"/>
      <c r="DO88" s="93">
        <f t="shared" si="30"/>
        <v>12677015027</v>
      </c>
    </row>
    <row r="89" spans="1:119" s="225" customFormat="1" ht="110.25" customHeight="1" x14ac:dyDescent="0.2">
      <c r="A89" s="244">
        <v>1</v>
      </c>
      <c r="B89" s="253" t="s">
        <v>19</v>
      </c>
      <c r="C89" s="59" t="s">
        <v>667</v>
      </c>
      <c r="D89" s="59" t="s">
        <v>745</v>
      </c>
      <c r="E89" s="125" t="s">
        <v>746</v>
      </c>
      <c r="F89" s="13" t="s">
        <v>747</v>
      </c>
      <c r="G89" s="59" t="s">
        <v>748</v>
      </c>
      <c r="H89" s="119" t="s">
        <v>749</v>
      </c>
      <c r="I89" s="13">
        <v>22</v>
      </c>
      <c r="J89" s="13" t="s">
        <v>672</v>
      </c>
      <c r="K89" s="50">
        <v>1</v>
      </c>
      <c r="L89" s="13" t="s">
        <v>672</v>
      </c>
      <c r="M89" s="246">
        <v>15</v>
      </c>
      <c r="N89" s="248">
        <v>2201</v>
      </c>
      <c r="O89" s="245" t="s">
        <v>23</v>
      </c>
      <c r="P89" s="13" t="s">
        <v>750</v>
      </c>
      <c r="Q89" s="121">
        <v>2201035</v>
      </c>
      <c r="R89" s="121">
        <v>2201035</v>
      </c>
      <c r="S89" s="59" t="s">
        <v>751</v>
      </c>
      <c r="T89" s="116" t="s">
        <v>752</v>
      </c>
      <c r="U89" s="121">
        <v>220103500</v>
      </c>
      <c r="V89" s="121">
        <v>220103500</v>
      </c>
      <c r="W89" s="87" t="s">
        <v>753</v>
      </c>
      <c r="X89" s="88" t="s">
        <v>9</v>
      </c>
      <c r="Y89" s="13">
        <v>25</v>
      </c>
      <c r="Z89" s="13">
        <v>0</v>
      </c>
      <c r="AA89" s="13"/>
      <c r="AB89" s="13">
        <v>8</v>
      </c>
      <c r="AC89" s="13">
        <v>9</v>
      </c>
      <c r="AD89" s="13">
        <v>8</v>
      </c>
      <c r="AE89" s="89">
        <f t="shared" si="26"/>
        <v>0</v>
      </c>
      <c r="AF89" s="89">
        <f t="shared" si="26"/>
        <v>0</v>
      </c>
      <c r="AG89" s="89">
        <f t="shared" si="26"/>
        <v>0</v>
      </c>
      <c r="AH89" s="89">
        <f t="shared" si="26"/>
        <v>0</v>
      </c>
      <c r="AI89" s="89">
        <f t="shared" si="26"/>
        <v>0</v>
      </c>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M89" s="91"/>
      <c r="BN89" s="91"/>
      <c r="BO89" s="91"/>
      <c r="BP89" s="91"/>
      <c r="BQ89" s="91"/>
      <c r="BR89" s="91"/>
      <c r="BS89" s="91"/>
      <c r="BT89" s="91"/>
      <c r="BU89" s="91"/>
      <c r="BV89" s="91"/>
      <c r="BW89" s="91"/>
      <c r="BX89" s="91"/>
      <c r="BY89" s="91"/>
      <c r="BZ89" s="91"/>
      <c r="CA89" s="91"/>
      <c r="CB89" s="91"/>
      <c r="CC89" s="91"/>
      <c r="CD89" s="91"/>
      <c r="CE89" s="91"/>
      <c r="CF89" s="91"/>
      <c r="CG89" s="91"/>
      <c r="CH89" s="91">
        <f t="shared" si="27"/>
        <v>10000000</v>
      </c>
      <c r="CI89" s="91"/>
      <c r="CJ89" s="91"/>
      <c r="CK89" s="91">
        <v>10000000</v>
      </c>
      <c r="CL89" s="91"/>
      <c r="CM89" s="91"/>
      <c r="CN89" s="91"/>
      <c r="CO89" s="91"/>
      <c r="CP89" s="91"/>
      <c r="CQ89" s="91"/>
      <c r="CR89" s="91"/>
      <c r="CS89" s="91">
        <f t="shared" si="28"/>
        <v>29302000</v>
      </c>
      <c r="CT89" s="91">
        <v>19302000</v>
      </c>
      <c r="CU89" s="91"/>
      <c r="CV89" s="91">
        <v>10000000</v>
      </c>
      <c r="CW89" s="91"/>
      <c r="CX89" s="91"/>
      <c r="CY89" s="91"/>
      <c r="CZ89" s="91"/>
      <c r="DA89" s="91"/>
      <c r="DB89" s="91"/>
      <c r="DC89" s="91"/>
      <c r="DD89" s="91">
        <f t="shared" si="29"/>
        <v>29466000</v>
      </c>
      <c r="DE89" s="91">
        <v>19466000</v>
      </c>
      <c r="DF89" s="91"/>
      <c r="DG89" s="91">
        <v>10000000</v>
      </c>
      <c r="DH89" s="91"/>
      <c r="DI89" s="91"/>
      <c r="DJ89" s="91"/>
      <c r="DK89" s="91"/>
      <c r="DL89" s="91"/>
      <c r="DM89" s="91"/>
      <c r="DN89" s="92"/>
      <c r="DO89" s="93">
        <f t="shared" si="30"/>
        <v>68768000</v>
      </c>
    </row>
    <row r="90" spans="1:119" s="225" customFormat="1" ht="141.75" customHeight="1" x14ac:dyDescent="0.2">
      <c r="A90" s="244">
        <v>1</v>
      </c>
      <c r="B90" s="253" t="s">
        <v>19</v>
      </c>
      <c r="C90" s="59" t="s">
        <v>667</v>
      </c>
      <c r="D90" s="59" t="s">
        <v>164</v>
      </c>
      <c r="E90" s="125">
        <v>0.61960000000000004</v>
      </c>
      <c r="F90" s="13">
        <v>2018</v>
      </c>
      <c r="G90" s="59" t="s">
        <v>734</v>
      </c>
      <c r="H90" s="119">
        <v>0.64</v>
      </c>
      <c r="I90" s="13">
        <v>22</v>
      </c>
      <c r="J90" s="13" t="s">
        <v>672</v>
      </c>
      <c r="K90" s="50">
        <v>1</v>
      </c>
      <c r="L90" s="13" t="s">
        <v>672</v>
      </c>
      <c r="M90" s="246">
        <v>15</v>
      </c>
      <c r="N90" s="248">
        <v>2201</v>
      </c>
      <c r="O90" s="245" t="s">
        <v>23</v>
      </c>
      <c r="P90" s="13" t="s">
        <v>754</v>
      </c>
      <c r="Q90" s="121">
        <v>2201037</v>
      </c>
      <c r="R90" s="121">
        <v>2201037</v>
      </c>
      <c r="S90" s="59" t="s">
        <v>165</v>
      </c>
      <c r="T90" s="116" t="s">
        <v>755</v>
      </c>
      <c r="U90" s="121">
        <v>220103700</v>
      </c>
      <c r="V90" s="121">
        <v>220103700</v>
      </c>
      <c r="W90" s="87" t="s">
        <v>756</v>
      </c>
      <c r="X90" s="88" t="s">
        <v>8</v>
      </c>
      <c r="Y90" s="13">
        <v>54</v>
      </c>
      <c r="Z90" s="13">
        <v>54</v>
      </c>
      <c r="AA90" s="13">
        <v>54</v>
      </c>
      <c r="AB90" s="13">
        <v>54</v>
      </c>
      <c r="AC90" s="13">
        <v>54</v>
      </c>
      <c r="AD90" s="13">
        <v>54</v>
      </c>
      <c r="AE90" s="89">
        <f t="shared" si="26"/>
        <v>40000000</v>
      </c>
      <c r="AF90" s="89">
        <f t="shared" si="26"/>
        <v>40000000</v>
      </c>
      <c r="AG90" s="89">
        <v>39999332.869999997</v>
      </c>
      <c r="AH90" s="89">
        <v>39999332.869999997</v>
      </c>
      <c r="AI90" s="89">
        <f t="shared" si="26"/>
        <v>0</v>
      </c>
      <c r="AJ90" s="91">
        <v>40000000</v>
      </c>
      <c r="AK90" s="91">
        <v>40000000</v>
      </c>
      <c r="AL90" s="91">
        <v>39999333</v>
      </c>
      <c r="AM90" s="91">
        <v>39999333</v>
      </c>
      <c r="AN90" s="91"/>
      <c r="AO90" s="91"/>
      <c r="AP90" s="91"/>
      <c r="AQ90" s="91"/>
      <c r="AR90" s="91"/>
      <c r="AS90" s="91"/>
      <c r="AT90" s="91"/>
      <c r="AU90" s="91"/>
      <c r="AV90" s="91"/>
      <c r="AW90" s="91"/>
      <c r="AX90" s="91"/>
      <c r="AY90" s="91"/>
      <c r="AZ90" s="91"/>
      <c r="BA90" s="91"/>
      <c r="BB90" s="91"/>
      <c r="BC90" s="91"/>
      <c r="BD90" s="91"/>
      <c r="BE90" s="91"/>
      <c r="BF90" s="91"/>
      <c r="BG90" s="91"/>
      <c r="BH90" s="91"/>
      <c r="BI90" s="91"/>
      <c r="BJ90" s="91"/>
      <c r="BK90" s="91"/>
      <c r="BL90" s="91"/>
      <c r="BM90" s="91"/>
      <c r="BN90" s="91"/>
      <c r="BO90" s="91"/>
      <c r="BP90" s="91"/>
      <c r="BQ90" s="91"/>
      <c r="BR90" s="91"/>
      <c r="BS90" s="91"/>
      <c r="BT90" s="91"/>
      <c r="BU90" s="91"/>
      <c r="BV90" s="91"/>
      <c r="BW90" s="91"/>
      <c r="BX90" s="91"/>
      <c r="BY90" s="91"/>
      <c r="BZ90" s="91"/>
      <c r="CA90" s="91"/>
      <c r="CB90" s="91"/>
      <c r="CC90" s="91"/>
      <c r="CD90" s="91"/>
      <c r="CE90" s="91"/>
      <c r="CF90" s="91"/>
      <c r="CG90" s="91"/>
      <c r="CH90" s="91">
        <f t="shared" si="27"/>
        <v>9500000</v>
      </c>
      <c r="CI90" s="91"/>
      <c r="CJ90" s="91"/>
      <c r="CK90" s="91">
        <v>9500000</v>
      </c>
      <c r="CL90" s="91"/>
      <c r="CM90" s="91"/>
      <c r="CN90" s="91"/>
      <c r="CO90" s="91"/>
      <c r="CP90" s="91"/>
      <c r="CQ90" s="91"/>
      <c r="CR90" s="91"/>
      <c r="CS90" s="91">
        <f t="shared" si="28"/>
        <v>19151000</v>
      </c>
      <c r="CT90" s="91">
        <v>9651000</v>
      </c>
      <c r="CU90" s="91"/>
      <c r="CV90" s="91">
        <v>9500000</v>
      </c>
      <c r="CW90" s="91"/>
      <c r="CX90" s="91"/>
      <c r="CY90" s="91"/>
      <c r="CZ90" s="91"/>
      <c r="DA90" s="91"/>
      <c r="DB90" s="91"/>
      <c r="DC90" s="91"/>
      <c r="DD90" s="91">
        <f t="shared" si="29"/>
        <v>19233000</v>
      </c>
      <c r="DE90" s="91">
        <v>9733000</v>
      </c>
      <c r="DF90" s="91"/>
      <c r="DG90" s="91">
        <v>9500000</v>
      </c>
      <c r="DH90" s="91"/>
      <c r="DI90" s="91"/>
      <c r="DJ90" s="91"/>
      <c r="DK90" s="91"/>
      <c r="DL90" s="91"/>
      <c r="DM90" s="91"/>
      <c r="DN90" s="92"/>
      <c r="DO90" s="93">
        <f t="shared" si="30"/>
        <v>87884000</v>
      </c>
    </row>
    <row r="91" spans="1:119" s="225" customFormat="1" ht="157.5" customHeight="1" x14ac:dyDescent="0.2">
      <c r="A91" s="244">
        <v>1</v>
      </c>
      <c r="B91" s="253" t="s">
        <v>19</v>
      </c>
      <c r="C91" s="59" t="s">
        <v>667</v>
      </c>
      <c r="D91" s="59" t="s">
        <v>149</v>
      </c>
      <c r="E91" s="119" t="s">
        <v>710</v>
      </c>
      <c r="F91" s="13" t="s">
        <v>711</v>
      </c>
      <c r="G91" s="59" t="s">
        <v>712</v>
      </c>
      <c r="H91" s="55" t="s">
        <v>713</v>
      </c>
      <c r="I91" s="13">
        <v>22</v>
      </c>
      <c r="J91" s="13" t="s">
        <v>672</v>
      </c>
      <c r="K91" s="50">
        <v>1</v>
      </c>
      <c r="L91" s="13" t="s">
        <v>672</v>
      </c>
      <c r="M91" s="246">
        <v>15</v>
      </c>
      <c r="N91" s="248">
        <v>2201</v>
      </c>
      <c r="O91" s="245" t="s">
        <v>23</v>
      </c>
      <c r="P91" s="13" t="s">
        <v>757</v>
      </c>
      <c r="Q91" s="121">
        <v>2201042</v>
      </c>
      <c r="R91" s="121">
        <v>2201042</v>
      </c>
      <c r="S91" s="59" t="s">
        <v>758</v>
      </c>
      <c r="T91" s="116" t="s">
        <v>759</v>
      </c>
      <c r="U91" s="121">
        <v>220104200</v>
      </c>
      <c r="V91" s="121">
        <v>220104200</v>
      </c>
      <c r="W91" s="87" t="s">
        <v>760</v>
      </c>
      <c r="X91" s="88" t="s">
        <v>9</v>
      </c>
      <c r="Y91" s="13">
        <v>18000</v>
      </c>
      <c r="Z91" s="13">
        <v>0</v>
      </c>
      <c r="AA91" s="13"/>
      <c r="AB91" s="13">
        <v>6000</v>
      </c>
      <c r="AC91" s="13">
        <v>6000</v>
      </c>
      <c r="AD91" s="13">
        <v>6000</v>
      </c>
      <c r="AE91" s="89">
        <f t="shared" si="26"/>
        <v>0</v>
      </c>
      <c r="AF91" s="89">
        <f t="shared" si="26"/>
        <v>0</v>
      </c>
      <c r="AG91" s="89">
        <f t="shared" si="26"/>
        <v>0</v>
      </c>
      <c r="AH91" s="89">
        <f t="shared" si="26"/>
        <v>0</v>
      </c>
      <c r="AI91" s="89">
        <f t="shared" si="26"/>
        <v>0</v>
      </c>
      <c r="AJ91" s="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c r="BM91" s="91"/>
      <c r="BN91" s="91"/>
      <c r="BO91" s="91"/>
      <c r="BP91" s="91"/>
      <c r="BQ91" s="91"/>
      <c r="BR91" s="91"/>
      <c r="BS91" s="91"/>
      <c r="BT91" s="91"/>
      <c r="BU91" s="91"/>
      <c r="BV91" s="91"/>
      <c r="BW91" s="91"/>
      <c r="BX91" s="91"/>
      <c r="BY91" s="91"/>
      <c r="BZ91" s="91"/>
      <c r="CA91" s="91"/>
      <c r="CB91" s="91"/>
      <c r="CC91" s="91"/>
      <c r="CD91" s="91"/>
      <c r="CE91" s="91"/>
      <c r="CF91" s="91"/>
      <c r="CG91" s="91"/>
      <c r="CH91" s="91">
        <f t="shared" si="27"/>
        <v>9496400</v>
      </c>
      <c r="CI91" s="91">
        <v>9496400</v>
      </c>
      <c r="CJ91" s="91"/>
      <c r="CK91" s="91"/>
      <c r="CL91" s="91"/>
      <c r="CM91" s="91"/>
      <c r="CN91" s="91"/>
      <c r="CO91" s="91"/>
      <c r="CP91" s="91"/>
      <c r="CQ91" s="91"/>
      <c r="CR91" s="91"/>
      <c r="CS91" s="91">
        <f t="shared" si="28"/>
        <v>38604000</v>
      </c>
      <c r="CT91" s="91">
        <v>38604000</v>
      </c>
      <c r="CU91" s="91"/>
      <c r="CV91" s="91"/>
      <c r="CW91" s="91"/>
      <c r="CX91" s="91"/>
      <c r="CY91" s="91"/>
      <c r="CZ91" s="91"/>
      <c r="DA91" s="91"/>
      <c r="DB91" s="91"/>
      <c r="DC91" s="91"/>
      <c r="DD91" s="91">
        <f t="shared" si="29"/>
        <v>38932000</v>
      </c>
      <c r="DE91" s="91">
        <v>38932000</v>
      </c>
      <c r="DF91" s="91"/>
      <c r="DG91" s="91"/>
      <c r="DH91" s="91"/>
      <c r="DI91" s="91"/>
      <c r="DJ91" s="91"/>
      <c r="DK91" s="91"/>
      <c r="DL91" s="91"/>
      <c r="DM91" s="91"/>
      <c r="DN91" s="92"/>
      <c r="DO91" s="93">
        <f t="shared" si="30"/>
        <v>87032400</v>
      </c>
    </row>
    <row r="92" spans="1:119" s="225" customFormat="1" ht="157.5" customHeight="1" x14ac:dyDescent="0.2">
      <c r="A92" s="244">
        <v>1</v>
      </c>
      <c r="B92" s="253" t="s">
        <v>19</v>
      </c>
      <c r="C92" s="59" t="s">
        <v>667</v>
      </c>
      <c r="D92" s="59" t="s">
        <v>149</v>
      </c>
      <c r="E92" s="119" t="s">
        <v>710</v>
      </c>
      <c r="F92" s="13" t="s">
        <v>711</v>
      </c>
      <c r="G92" s="59" t="s">
        <v>712</v>
      </c>
      <c r="H92" s="55" t="s">
        <v>713</v>
      </c>
      <c r="I92" s="13">
        <v>22</v>
      </c>
      <c r="J92" s="13" t="s">
        <v>672</v>
      </c>
      <c r="K92" s="50">
        <v>1</v>
      </c>
      <c r="L92" s="13" t="s">
        <v>672</v>
      </c>
      <c r="M92" s="246">
        <v>15</v>
      </c>
      <c r="N92" s="248">
        <v>2201</v>
      </c>
      <c r="O92" s="245" t="s">
        <v>23</v>
      </c>
      <c r="P92" s="13" t="s">
        <v>761</v>
      </c>
      <c r="Q92" s="121">
        <v>2201046</v>
      </c>
      <c r="R92" s="121">
        <v>2201046</v>
      </c>
      <c r="S92" s="59" t="s">
        <v>160</v>
      </c>
      <c r="T92" s="116" t="s">
        <v>762</v>
      </c>
      <c r="U92" s="121">
        <v>220104602</v>
      </c>
      <c r="V92" s="121">
        <v>220104602</v>
      </c>
      <c r="W92" s="87" t="s">
        <v>763</v>
      </c>
      <c r="X92" s="88" t="s">
        <v>9</v>
      </c>
      <c r="Y92" s="13">
        <v>54</v>
      </c>
      <c r="Z92" s="13">
        <v>5</v>
      </c>
      <c r="AA92" s="13">
        <v>5</v>
      </c>
      <c r="AB92" s="13">
        <v>13</v>
      </c>
      <c r="AC92" s="13">
        <v>18</v>
      </c>
      <c r="AD92" s="13">
        <v>18</v>
      </c>
      <c r="AE92" s="89">
        <f t="shared" si="26"/>
        <v>81400000</v>
      </c>
      <c r="AF92" s="89">
        <f t="shared" si="26"/>
        <v>1184806214</v>
      </c>
      <c r="AG92" s="89">
        <f t="shared" ref="AG92" si="31">AL92+AQ92+AV92+BA92+BF92+BK92+BP92+BU92+BZ92+CE92</f>
        <v>427174319</v>
      </c>
      <c r="AH92" s="89">
        <f t="shared" ref="AH92" si="32">AM92+AR92+AW92+BB92+BG92+BL92+BQ92+BV92+CA92+CF92</f>
        <v>227735404</v>
      </c>
      <c r="AI92" s="89">
        <f t="shared" si="26"/>
        <v>0</v>
      </c>
      <c r="AJ92" s="91">
        <v>81400000</v>
      </c>
      <c r="AK92" s="91">
        <v>63900000</v>
      </c>
      <c r="AL92" s="91">
        <v>63900000</v>
      </c>
      <c r="AM92" s="91">
        <v>63900000</v>
      </c>
      <c r="AN92" s="91"/>
      <c r="AO92" s="91"/>
      <c r="AP92" s="91"/>
      <c r="AQ92" s="91"/>
      <c r="AR92" s="91"/>
      <c r="AS92" s="91"/>
      <c r="AT92" s="91"/>
      <c r="AU92" s="91"/>
      <c r="AV92" s="91"/>
      <c r="AW92" s="91"/>
      <c r="AX92" s="91"/>
      <c r="AY92" s="91"/>
      <c r="AZ92" s="91"/>
      <c r="BA92" s="91"/>
      <c r="BB92" s="91"/>
      <c r="BC92" s="91"/>
      <c r="BD92" s="91"/>
      <c r="BE92" s="91"/>
      <c r="BF92" s="91"/>
      <c r="BG92" s="91"/>
      <c r="BH92" s="91"/>
      <c r="BI92" s="91"/>
      <c r="BJ92" s="91"/>
      <c r="BK92" s="91"/>
      <c r="BL92" s="91"/>
      <c r="BM92" s="91"/>
      <c r="BN92" s="91"/>
      <c r="BO92" s="91">
        <v>1120906214</v>
      </c>
      <c r="BP92" s="91">
        <v>363274319</v>
      </c>
      <c r="BQ92" s="91">
        <v>163835404</v>
      </c>
      <c r="BR92" s="91"/>
      <c r="BS92" s="91"/>
      <c r="BT92" s="91"/>
      <c r="BU92" s="91"/>
      <c r="BV92" s="91"/>
      <c r="BW92" s="91"/>
      <c r="BX92" s="91"/>
      <c r="BY92" s="91"/>
      <c r="BZ92" s="91"/>
      <c r="CA92" s="91"/>
      <c r="CB92" s="91"/>
      <c r="CC92" s="91"/>
      <c r="CD92" s="91"/>
      <c r="CE92" s="91"/>
      <c r="CF92" s="91"/>
      <c r="CG92" s="91"/>
      <c r="CH92" s="91">
        <f t="shared" si="27"/>
        <v>5000000</v>
      </c>
      <c r="CI92" s="91"/>
      <c r="CJ92" s="91"/>
      <c r="CK92" s="91">
        <v>5000000</v>
      </c>
      <c r="CL92" s="91"/>
      <c r="CM92" s="91"/>
      <c r="CN92" s="91"/>
      <c r="CO92" s="91"/>
      <c r="CP92" s="91"/>
      <c r="CQ92" s="91"/>
      <c r="CR92" s="91"/>
      <c r="CS92" s="91">
        <f t="shared" si="28"/>
        <v>53255000</v>
      </c>
      <c r="CT92" s="91">
        <v>48255000</v>
      </c>
      <c r="CU92" s="91"/>
      <c r="CV92" s="91">
        <v>5000000</v>
      </c>
      <c r="CW92" s="91"/>
      <c r="CX92" s="91"/>
      <c r="CY92" s="91"/>
      <c r="CZ92" s="91"/>
      <c r="DA92" s="91"/>
      <c r="DB92" s="91"/>
      <c r="DC92" s="91"/>
      <c r="DD92" s="91">
        <f t="shared" si="29"/>
        <v>53665000</v>
      </c>
      <c r="DE92" s="91">
        <v>48665000</v>
      </c>
      <c r="DF92" s="91"/>
      <c r="DG92" s="91">
        <v>5000000</v>
      </c>
      <c r="DH92" s="91"/>
      <c r="DI92" s="91"/>
      <c r="DJ92" s="91"/>
      <c r="DK92" s="91"/>
      <c r="DL92" s="91"/>
      <c r="DM92" s="91"/>
      <c r="DN92" s="92"/>
      <c r="DO92" s="93">
        <f t="shared" si="30"/>
        <v>193320000</v>
      </c>
    </row>
    <row r="93" spans="1:119" s="225" customFormat="1" ht="157.5" customHeight="1" x14ac:dyDescent="0.2">
      <c r="A93" s="244">
        <v>1</v>
      </c>
      <c r="B93" s="253" t="s">
        <v>19</v>
      </c>
      <c r="C93" s="59" t="s">
        <v>667</v>
      </c>
      <c r="D93" s="59" t="s">
        <v>149</v>
      </c>
      <c r="E93" s="119" t="s">
        <v>710</v>
      </c>
      <c r="F93" s="13" t="s">
        <v>711</v>
      </c>
      <c r="G93" s="59" t="s">
        <v>712</v>
      </c>
      <c r="H93" s="55" t="s">
        <v>713</v>
      </c>
      <c r="I93" s="13">
        <v>22</v>
      </c>
      <c r="J93" s="13" t="s">
        <v>672</v>
      </c>
      <c r="K93" s="50">
        <v>1</v>
      </c>
      <c r="L93" s="13" t="s">
        <v>672</v>
      </c>
      <c r="M93" s="246">
        <v>15</v>
      </c>
      <c r="N93" s="248">
        <v>2201</v>
      </c>
      <c r="O93" s="245" t="s">
        <v>23</v>
      </c>
      <c r="P93" s="13" t="s">
        <v>764</v>
      </c>
      <c r="Q93" s="121">
        <v>2201048</v>
      </c>
      <c r="R93" s="121">
        <v>2201048</v>
      </c>
      <c r="S93" s="59" t="s">
        <v>765</v>
      </c>
      <c r="T93" s="116" t="s">
        <v>766</v>
      </c>
      <c r="U93" s="121">
        <v>220104801</v>
      </c>
      <c r="V93" s="121">
        <v>220104801</v>
      </c>
      <c r="W93" s="87" t="s">
        <v>767</v>
      </c>
      <c r="X93" s="88" t="s">
        <v>8</v>
      </c>
      <c r="Y93" s="13">
        <v>1</v>
      </c>
      <c r="Z93" s="13"/>
      <c r="AA93" s="13"/>
      <c r="AB93" s="13">
        <v>1</v>
      </c>
      <c r="AC93" s="13">
        <v>1</v>
      </c>
      <c r="AD93" s="13">
        <v>1</v>
      </c>
      <c r="AE93" s="89">
        <f t="shared" si="26"/>
        <v>0</v>
      </c>
      <c r="AF93" s="89">
        <f t="shared" si="26"/>
        <v>0</v>
      </c>
      <c r="AG93" s="89">
        <f t="shared" si="26"/>
        <v>0</v>
      </c>
      <c r="AH93" s="89">
        <f t="shared" si="26"/>
        <v>0</v>
      </c>
      <c r="AI93" s="89">
        <f t="shared" si="26"/>
        <v>0</v>
      </c>
      <c r="AJ93" s="91"/>
      <c r="AK93" s="91"/>
      <c r="AL93" s="91"/>
      <c r="AM93" s="91"/>
      <c r="AN93" s="91"/>
      <c r="AO93" s="91"/>
      <c r="AP93" s="91"/>
      <c r="AQ93" s="91"/>
      <c r="AR93" s="91"/>
      <c r="AS93" s="91"/>
      <c r="AT93" s="91"/>
      <c r="AU93" s="91"/>
      <c r="AV93" s="91"/>
      <c r="AW93" s="91"/>
      <c r="AX93" s="91"/>
      <c r="AY93" s="91"/>
      <c r="AZ93" s="91"/>
      <c r="BA93" s="91"/>
      <c r="BB93" s="91"/>
      <c r="BC93" s="91"/>
      <c r="BD93" s="91"/>
      <c r="BE93" s="91"/>
      <c r="BF93" s="91"/>
      <c r="BG93" s="91"/>
      <c r="BH93" s="91"/>
      <c r="BI93" s="91"/>
      <c r="BJ93" s="91"/>
      <c r="BK93" s="91"/>
      <c r="BL93" s="91"/>
      <c r="BM93" s="91"/>
      <c r="BN93" s="91"/>
      <c r="BO93" s="91"/>
      <c r="BP93" s="91"/>
      <c r="BQ93" s="91"/>
      <c r="BR93" s="91"/>
      <c r="BS93" s="91"/>
      <c r="BT93" s="91"/>
      <c r="BU93" s="91"/>
      <c r="BV93" s="91"/>
      <c r="BW93" s="91"/>
      <c r="BX93" s="91"/>
      <c r="BY93" s="91"/>
      <c r="BZ93" s="91"/>
      <c r="CA93" s="91"/>
      <c r="CB93" s="91"/>
      <c r="CC93" s="91"/>
      <c r="CD93" s="91"/>
      <c r="CE93" s="91"/>
      <c r="CF93" s="91"/>
      <c r="CG93" s="91"/>
      <c r="CH93" s="91">
        <f t="shared" si="27"/>
        <v>9496400</v>
      </c>
      <c r="CI93" s="91">
        <v>9496400</v>
      </c>
      <c r="CJ93" s="91"/>
      <c r="CK93" s="91"/>
      <c r="CL93" s="91"/>
      <c r="CM93" s="91"/>
      <c r="CN93" s="91"/>
      <c r="CO93" s="91"/>
      <c r="CP93" s="91"/>
      <c r="CQ93" s="91"/>
      <c r="CR93" s="91"/>
      <c r="CS93" s="91">
        <f t="shared" si="28"/>
        <v>24127500</v>
      </c>
      <c r="CT93" s="91">
        <v>24127500</v>
      </c>
      <c r="CU93" s="91"/>
      <c r="CV93" s="91"/>
      <c r="CW93" s="91"/>
      <c r="CX93" s="91"/>
      <c r="CY93" s="91"/>
      <c r="CZ93" s="91"/>
      <c r="DA93" s="91"/>
      <c r="DB93" s="91"/>
      <c r="DC93" s="91"/>
      <c r="DD93" s="91">
        <f t="shared" si="29"/>
        <v>24332500</v>
      </c>
      <c r="DE93" s="91">
        <v>24332500</v>
      </c>
      <c r="DF93" s="91"/>
      <c r="DG93" s="91"/>
      <c r="DH93" s="91"/>
      <c r="DI93" s="91"/>
      <c r="DJ93" s="91"/>
      <c r="DK93" s="91"/>
      <c r="DL93" s="91"/>
      <c r="DM93" s="91"/>
      <c r="DN93" s="92"/>
      <c r="DO93" s="93">
        <f t="shared" si="30"/>
        <v>57956400</v>
      </c>
    </row>
    <row r="94" spans="1:119" s="225" customFormat="1" ht="157.5" customHeight="1" x14ac:dyDescent="0.2">
      <c r="A94" s="244">
        <v>1</v>
      </c>
      <c r="B94" s="253" t="s">
        <v>19</v>
      </c>
      <c r="C94" s="59" t="s">
        <v>667</v>
      </c>
      <c r="D94" s="59" t="s">
        <v>149</v>
      </c>
      <c r="E94" s="119" t="s">
        <v>710</v>
      </c>
      <c r="F94" s="13" t="s">
        <v>711</v>
      </c>
      <c r="G94" s="59" t="s">
        <v>712</v>
      </c>
      <c r="H94" s="55" t="s">
        <v>713</v>
      </c>
      <c r="I94" s="13">
        <v>22</v>
      </c>
      <c r="J94" s="13" t="s">
        <v>672</v>
      </c>
      <c r="K94" s="50">
        <v>1</v>
      </c>
      <c r="L94" s="13" t="s">
        <v>672</v>
      </c>
      <c r="M94" s="246">
        <v>15</v>
      </c>
      <c r="N94" s="248">
        <v>2201</v>
      </c>
      <c r="O94" s="245" t="s">
        <v>23</v>
      </c>
      <c r="P94" s="13" t="s">
        <v>768</v>
      </c>
      <c r="Q94" s="121">
        <v>2201050</v>
      </c>
      <c r="R94" s="121">
        <v>2201050</v>
      </c>
      <c r="S94" s="59" t="s">
        <v>166</v>
      </c>
      <c r="T94" s="116" t="s">
        <v>769</v>
      </c>
      <c r="U94" s="121">
        <v>220105000</v>
      </c>
      <c r="V94" s="121">
        <v>220105000</v>
      </c>
      <c r="W94" s="87" t="s">
        <v>770</v>
      </c>
      <c r="X94" s="88" t="s">
        <v>9</v>
      </c>
      <c r="Y94" s="13">
        <v>33000</v>
      </c>
      <c r="Z94" s="13">
        <v>10000</v>
      </c>
      <c r="AA94" s="13">
        <v>7650</v>
      </c>
      <c r="AB94" s="13">
        <v>8000</v>
      </c>
      <c r="AC94" s="13">
        <v>8000</v>
      </c>
      <c r="AD94" s="13">
        <v>7000</v>
      </c>
      <c r="AE94" s="89">
        <f t="shared" si="26"/>
        <v>0</v>
      </c>
      <c r="AF94" s="89">
        <f t="shared" si="26"/>
        <v>0</v>
      </c>
      <c r="AG94" s="89">
        <f t="shared" si="26"/>
        <v>0</v>
      </c>
      <c r="AH94" s="89">
        <f t="shared" si="26"/>
        <v>0</v>
      </c>
      <c r="AI94" s="89">
        <f t="shared" si="26"/>
        <v>0</v>
      </c>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1"/>
      <c r="BM94" s="91"/>
      <c r="BN94" s="91"/>
      <c r="BO94" s="91"/>
      <c r="BP94" s="91"/>
      <c r="BQ94" s="91"/>
      <c r="BR94" s="91"/>
      <c r="BS94" s="91"/>
      <c r="BT94" s="91"/>
      <c r="BU94" s="91"/>
      <c r="BV94" s="91"/>
      <c r="BW94" s="91"/>
      <c r="BX94" s="91"/>
      <c r="BY94" s="91"/>
      <c r="BZ94" s="91"/>
      <c r="CA94" s="91"/>
      <c r="CB94" s="91"/>
      <c r="CC94" s="91"/>
      <c r="CD94" s="91"/>
      <c r="CE94" s="91"/>
      <c r="CF94" s="91"/>
      <c r="CG94" s="91"/>
      <c r="CH94" s="91">
        <f t="shared" si="27"/>
        <v>9496400</v>
      </c>
      <c r="CI94" s="91">
        <v>9496400</v>
      </c>
      <c r="CJ94" s="91"/>
      <c r="CK94" s="91"/>
      <c r="CL94" s="91"/>
      <c r="CM94" s="91"/>
      <c r="CN94" s="91"/>
      <c r="CO94" s="91"/>
      <c r="CP94" s="91"/>
      <c r="CQ94" s="91"/>
      <c r="CR94" s="91"/>
      <c r="CS94" s="91">
        <f t="shared" si="28"/>
        <v>19302000</v>
      </c>
      <c r="CT94" s="91">
        <v>19302000</v>
      </c>
      <c r="CU94" s="91"/>
      <c r="CV94" s="91"/>
      <c r="CW94" s="91"/>
      <c r="CX94" s="91"/>
      <c r="CY94" s="91"/>
      <c r="CZ94" s="91"/>
      <c r="DA94" s="91"/>
      <c r="DB94" s="91"/>
      <c r="DC94" s="91"/>
      <c r="DD94" s="91">
        <f t="shared" si="29"/>
        <v>19466000</v>
      </c>
      <c r="DE94" s="91">
        <v>19466000</v>
      </c>
      <c r="DF94" s="91"/>
      <c r="DG94" s="91"/>
      <c r="DH94" s="91"/>
      <c r="DI94" s="91"/>
      <c r="DJ94" s="91"/>
      <c r="DK94" s="91"/>
      <c r="DL94" s="91"/>
      <c r="DM94" s="91"/>
      <c r="DN94" s="92"/>
      <c r="DO94" s="93">
        <f t="shared" si="30"/>
        <v>48264400</v>
      </c>
    </row>
    <row r="95" spans="1:119" s="225" customFormat="1" ht="157.5" customHeight="1" x14ac:dyDescent="0.2">
      <c r="A95" s="244">
        <v>1</v>
      </c>
      <c r="B95" s="253" t="s">
        <v>19</v>
      </c>
      <c r="C95" s="59" t="s">
        <v>667</v>
      </c>
      <c r="D95" s="59" t="s">
        <v>149</v>
      </c>
      <c r="E95" s="119" t="s">
        <v>710</v>
      </c>
      <c r="F95" s="13" t="s">
        <v>711</v>
      </c>
      <c r="G95" s="59" t="s">
        <v>712</v>
      </c>
      <c r="H95" s="55" t="s">
        <v>713</v>
      </c>
      <c r="I95" s="13">
        <v>22</v>
      </c>
      <c r="J95" s="13" t="s">
        <v>672</v>
      </c>
      <c r="K95" s="50">
        <v>1</v>
      </c>
      <c r="L95" s="13" t="s">
        <v>672</v>
      </c>
      <c r="M95" s="246">
        <v>15</v>
      </c>
      <c r="N95" s="248">
        <v>2201</v>
      </c>
      <c r="O95" s="245" t="s">
        <v>23</v>
      </c>
      <c r="P95" s="13" t="s">
        <v>768</v>
      </c>
      <c r="Q95" s="121">
        <v>2201050</v>
      </c>
      <c r="R95" s="121">
        <v>2201050</v>
      </c>
      <c r="S95" s="59" t="s">
        <v>166</v>
      </c>
      <c r="T95" s="116" t="s">
        <v>771</v>
      </c>
      <c r="U95" s="121">
        <v>220105001</v>
      </c>
      <c r="V95" s="121">
        <v>220105001</v>
      </c>
      <c r="W95" s="87" t="s">
        <v>772</v>
      </c>
      <c r="X95" s="88" t="s">
        <v>8</v>
      </c>
      <c r="Y95" s="13">
        <v>150</v>
      </c>
      <c r="Z95" s="13">
        <v>150</v>
      </c>
      <c r="AA95" s="13">
        <v>54</v>
      </c>
      <c r="AB95" s="13">
        <v>150</v>
      </c>
      <c r="AC95" s="13">
        <v>150</v>
      </c>
      <c r="AD95" s="13">
        <v>150</v>
      </c>
      <c r="AE95" s="89">
        <f t="shared" si="26"/>
        <v>700000000</v>
      </c>
      <c r="AF95" s="89">
        <f t="shared" si="26"/>
        <v>549272916</v>
      </c>
      <c r="AG95" s="89">
        <f t="shared" ref="AG95" si="33">AL95+AQ95+AV95+BA95+BF95+BK95+BP95+BU95+BZ95+CE95</f>
        <v>549272916</v>
      </c>
      <c r="AH95" s="89">
        <f t="shared" ref="AH95" si="34">AM95+AR95+AW95+BB95+BG95+BL95+BQ95+BV95+CA95+CF95</f>
        <v>549272916</v>
      </c>
      <c r="AI95" s="89">
        <f t="shared" ref="AI95" si="35">AN95+AS95+AX95+BC95+BH95+BM95+BR95+BW95+CB95+CG95</f>
        <v>0</v>
      </c>
      <c r="AJ95" s="91"/>
      <c r="AK95" s="91"/>
      <c r="AL95" s="91"/>
      <c r="AM95" s="91"/>
      <c r="AN95" s="91"/>
      <c r="AO95" s="91"/>
      <c r="AP95" s="91"/>
      <c r="AQ95" s="91"/>
      <c r="AR95" s="91"/>
      <c r="AS95" s="91"/>
      <c r="AT95" s="91">
        <v>700000000</v>
      </c>
      <c r="AU95" s="91">
        <v>549272916</v>
      </c>
      <c r="AV95" s="91">
        <v>549272916</v>
      </c>
      <c r="AW95" s="91">
        <v>549272916</v>
      </c>
      <c r="AX95" s="91"/>
      <c r="AY95" s="91"/>
      <c r="AZ95" s="91"/>
      <c r="BA95" s="91"/>
      <c r="BB95" s="91"/>
      <c r="BC95" s="91"/>
      <c r="BD95" s="91"/>
      <c r="BE95" s="91"/>
      <c r="BF95" s="91"/>
      <c r="BG95" s="91"/>
      <c r="BH95" s="91"/>
      <c r="BI95" s="91"/>
      <c r="BJ95" s="91"/>
      <c r="BK95" s="91"/>
      <c r="BL95" s="91"/>
      <c r="BM95" s="91"/>
      <c r="BN95" s="91"/>
      <c r="BO95" s="91"/>
      <c r="BP95" s="91"/>
      <c r="BQ95" s="91"/>
      <c r="BR95" s="91"/>
      <c r="BS95" s="91"/>
      <c r="BT95" s="91"/>
      <c r="BU95" s="91"/>
      <c r="BV95" s="91"/>
      <c r="BW95" s="91"/>
      <c r="BX95" s="91"/>
      <c r="BY95" s="91"/>
      <c r="BZ95" s="91"/>
      <c r="CA95" s="91"/>
      <c r="CB95" s="91"/>
      <c r="CC95" s="91"/>
      <c r="CD95" s="91"/>
      <c r="CE95" s="91"/>
      <c r="CF95" s="91"/>
      <c r="CG95" s="91"/>
      <c r="CH95" s="91">
        <f t="shared" si="27"/>
        <v>215043553</v>
      </c>
      <c r="CI95" s="91"/>
      <c r="CJ95" s="91"/>
      <c r="CK95" s="91">
        <v>215043553</v>
      </c>
      <c r="CL95" s="91"/>
      <c r="CM95" s="91"/>
      <c r="CN95" s="91"/>
      <c r="CO95" s="91"/>
      <c r="CP95" s="91"/>
      <c r="CQ95" s="91"/>
      <c r="CR95" s="91"/>
      <c r="CS95" s="91">
        <f t="shared" si="28"/>
        <v>289051860</v>
      </c>
      <c r="CT95" s="91">
        <v>67557000</v>
      </c>
      <c r="CU95" s="91"/>
      <c r="CV95" s="91">
        <v>221494860</v>
      </c>
      <c r="CW95" s="91"/>
      <c r="CX95" s="91"/>
      <c r="CY95" s="91"/>
      <c r="CZ95" s="91"/>
      <c r="DA95" s="91"/>
      <c r="DB95" s="91"/>
      <c r="DC95" s="91"/>
      <c r="DD95" s="91">
        <f t="shared" si="29"/>
        <v>296270706</v>
      </c>
      <c r="DE95" s="91">
        <v>68131000</v>
      </c>
      <c r="DF95" s="91"/>
      <c r="DG95" s="91">
        <v>228139706</v>
      </c>
      <c r="DH95" s="91"/>
      <c r="DI95" s="91"/>
      <c r="DJ95" s="91"/>
      <c r="DK95" s="91"/>
      <c r="DL95" s="91"/>
      <c r="DM95" s="91"/>
      <c r="DN95" s="92"/>
      <c r="DO95" s="93">
        <f t="shared" si="30"/>
        <v>1500366119</v>
      </c>
    </row>
    <row r="96" spans="1:119" s="225" customFormat="1" ht="189" customHeight="1" x14ac:dyDescent="0.2">
      <c r="A96" s="244">
        <v>1</v>
      </c>
      <c r="B96" s="253" t="s">
        <v>19</v>
      </c>
      <c r="C96" s="59" t="s">
        <v>667</v>
      </c>
      <c r="D96" s="59" t="s">
        <v>149</v>
      </c>
      <c r="E96" s="119" t="s">
        <v>710</v>
      </c>
      <c r="F96" s="13" t="s">
        <v>711</v>
      </c>
      <c r="G96" s="59" t="s">
        <v>712</v>
      </c>
      <c r="H96" s="55" t="s">
        <v>713</v>
      </c>
      <c r="I96" s="13">
        <v>22</v>
      </c>
      <c r="J96" s="13" t="s">
        <v>672</v>
      </c>
      <c r="K96" s="50">
        <v>1</v>
      </c>
      <c r="L96" s="13" t="s">
        <v>672</v>
      </c>
      <c r="M96" s="246">
        <v>15</v>
      </c>
      <c r="N96" s="248">
        <v>2201</v>
      </c>
      <c r="O96" s="245" t="s">
        <v>23</v>
      </c>
      <c r="P96" s="13" t="s">
        <v>773</v>
      </c>
      <c r="Q96" s="121">
        <v>2201054</v>
      </c>
      <c r="R96" s="121">
        <v>2201054</v>
      </c>
      <c r="S96" s="59" t="s">
        <v>774</v>
      </c>
      <c r="T96" s="116" t="s">
        <v>775</v>
      </c>
      <c r="U96" s="121">
        <v>220105400</v>
      </c>
      <c r="V96" s="121">
        <v>220105400</v>
      </c>
      <c r="W96" s="87" t="s">
        <v>776</v>
      </c>
      <c r="X96" s="88" t="s">
        <v>8</v>
      </c>
      <c r="Y96" s="13">
        <v>11</v>
      </c>
      <c r="Z96" s="59"/>
      <c r="AA96" s="59"/>
      <c r="AB96" s="13">
        <v>11</v>
      </c>
      <c r="AC96" s="13">
        <v>11</v>
      </c>
      <c r="AD96" s="13">
        <v>11</v>
      </c>
      <c r="AE96" s="89">
        <f t="shared" si="26"/>
        <v>0</v>
      </c>
      <c r="AF96" s="89">
        <f t="shared" si="26"/>
        <v>0</v>
      </c>
      <c r="AG96" s="89">
        <f t="shared" si="26"/>
        <v>0</v>
      </c>
      <c r="AH96" s="89">
        <f t="shared" si="26"/>
        <v>0</v>
      </c>
      <c r="AI96" s="89">
        <f t="shared" si="26"/>
        <v>0</v>
      </c>
      <c r="AJ96" s="91"/>
      <c r="AK96" s="91"/>
      <c r="AL96" s="91"/>
      <c r="AM96" s="91"/>
      <c r="AN96" s="91"/>
      <c r="AO96" s="91"/>
      <c r="AP96" s="91"/>
      <c r="AQ96" s="91"/>
      <c r="AR96" s="91"/>
      <c r="AS96" s="91"/>
      <c r="AT96" s="91"/>
      <c r="AU96" s="91"/>
      <c r="AV96" s="91"/>
      <c r="AW96" s="91"/>
      <c r="AX96" s="91"/>
      <c r="AY96" s="91"/>
      <c r="AZ96" s="91"/>
      <c r="BA96" s="91"/>
      <c r="BB96" s="91"/>
      <c r="BC96" s="91"/>
      <c r="BD96" s="91"/>
      <c r="BE96" s="91"/>
      <c r="BF96" s="91"/>
      <c r="BG96" s="91"/>
      <c r="BH96" s="91"/>
      <c r="BI96" s="91"/>
      <c r="BJ96" s="91"/>
      <c r="BK96" s="91"/>
      <c r="BL96" s="91"/>
      <c r="BM96" s="91"/>
      <c r="BN96" s="91"/>
      <c r="BO96" s="91"/>
      <c r="BP96" s="91"/>
      <c r="BQ96" s="91"/>
      <c r="BR96" s="91"/>
      <c r="BS96" s="91"/>
      <c r="BT96" s="91"/>
      <c r="BU96" s="91"/>
      <c r="BV96" s="91"/>
      <c r="BW96" s="91"/>
      <c r="BX96" s="91"/>
      <c r="BY96" s="91"/>
      <c r="BZ96" s="91"/>
      <c r="CA96" s="91"/>
      <c r="CB96" s="91"/>
      <c r="CC96" s="91"/>
      <c r="CD96" s="91"/>
      <c r="CE96" s="91"/>
      <c r="CF96" s="91"/>
      <c r="CG96" s="91"/>
      <c r="CH96" s="91">
        <f t="shared" si="27"/>
        <v>10000000</v>
      </c>
      <c r="CI96" s="91"/>
      <c r="CJ96" s="91"/>
      <c r="CK96" s="91">
        <v>10000000</v>
      </c>
      <c r="CL96" s="91"/>
      <c r="CM96" s="91"/>
      <c r="CN96" s="91"/>
      <c r="CO96" s="91"/>
      <c r="CP96" s="91"/>
      <c r="CQ96" s="91"/>
      <c r="CR96" s="91"/>
      <c r="CS96" s="91">
        <f t="shared" si="28"/>
        <v>29302000</v>
      </c>
      <c r="CT96" s="91">
        <v>19302000</v>
      </c>
      <c r="CU96" s="91"/>
      <c r="CV96" s="91">
        <v>10000000</v>
      </c>
      <c r="CW96" s="91"/>
      <c r="CX96" s="91"/>
      <c r="CY96" s="91"/>
      <c r="CZ96" s="91"/>
      <c r="DA96" s="91"/>
      <c r="DB96" s="91"/>
      <c r="DC96" s="91"/>
      <c r="DD96" s="91">
        <f t="shared" si="29"/>
        <v>29466000</v>
      </c>
      <c r="DE96" s="91">
        <v>19466000</v>
      </c>
      <c r="DF96" s="91"/>
      <c r="DG96" s="91">
        <v>10000000</v>
      </c>
      <c r="DH96" s="91"/>
      <c r="DI96" s="91"/>
      <c r="DJ96" s="91"/>
      <c r="DK96" s="91"/>
      <c r="DL96" s="91"/>
      <c r="DM96" s="91"/>
      <c r="DN96" s="92"/>
      <c r="DO96" s="93">
        <f t="shared" si="30"/>
        <v>68768000</v>
      </c>
    </row>
    <row r="97" spans="1:119" s="225" customFormat="1" ht="236.25" customHeight="1" x14ac:dyDescent="0.2">
      <c r="A97" s="244">
        <v>1</v>
      </c>
      <c r="B97" s="253" t="s">
        <v>19</v>
      </c>
      <c r="C97" s="59" t="s">
        <v>667</v>
      </c>
      <c r="D97" s="59" t="s">
        <v>152</v>
      </c>
      <c r="E97" s="119" t="s">
        <v>777</v>
      </c>
      <c r="F97" s="13" t="s">
        <v>747</v>
      </c>
      <c r="G97" s="59" t="s">
        <v>778</v>
      </c>
      <c r="H97" s="55" t="s">
        <v>779</v>
      </c>
      <c r="I97" s="13">
        <v>22</v>
      </c>
      <c r="J97" s="13" t="s">
        <v>672</v>
      </c>
      <c r="K97" s="50">
        <v>1</v>
      </c>
      <c r="L97" s="13" t="s">
        <v>672</v>
      </c>
      <c r="M97" s="246">
        <v>15</v>
      </c>
      <c r="N97" s="248">
        <v>2201</v>
      </c>
      <c r="O97" s="245" t="s">
        <v>23</v>
      </c>
      <c r="P97" s="13" t="s">
        <v>780</v>
      </c>
      <c r="Q97" s="121">
        <v>2201055</v>
      </c>
      <c r="R97" s="121">
        <v>2201055</v>
      </c>
      <c r="S97" s="59" t="s">
        <v>153</v>
      </c>
      <c r="T97" s="116" t="s">
        <v>781</v>
      </c>
      <c r="U97" s="121">
        <v>220105500</v>
      </c>
      <c r="V97" s="121">
        <v>220105500</v>
      </c>
      <c r="W97" s="87" t="s">
        <v>782</v>
      </c>
      <c r="X97" s="88" t="s">
        <v>8</v>
      </c>
      <c r="Y97" s="13">
        <v>1</v>
      </c>
      <c r="Z97" s="13">
        <v>1</v>
      </c>
      <c r="AA97" s="13">
        <v>1</v>
      </c>
      <c r="AB97" s="13">
        <v>1</v>
      </c>
      <c r="AC97" s="13">
        <v>1</v>
      </c>
      <c r="AD97" s="13">
        <v>1</v>
      </c>
      <c r="AE97" s="89">
        <f t="shared" si="26"/>
        <v>52000000</v>
      </c>
      <c r="AF97" s="89">
        <f t="shared" ref="AF97:AF98" si="36">AK97+AP97+AU97+AZ97+BE97+BJ97+BO97+BT97+BY97+CD97</f>
        <v>62388620</v>
      </c>
      <c r="AG97" s="89">
        <f t="shared" ref="AG97" si="37">AL97+AQ97+AV97+BA97+BF97+BK97+BP97+BU97+BZ97+CE97</f>
        <v>62388620</v>
      </c>
      <c r="AH97" s="89">
        <f t="shared" ref="AH97" si="38">AM97+AR97+AW97+BB97+BG97+BL97+BQ97+BV97+CA97+CF97</f>
        <v>62388620</v>
      </c>
      <c r="AI97" s="89">
        <f t="shared" si="26"/>
        <v>0</v>
      </c>
      <c r="AJ97" s="91"/>
      <c r="AK97" s="91"/>
      <c r="AL97" s="91"/>
      <c r="AM97" s="91"/>
      <c r="AN97" s="91"/>
      <c r="AO97" s="91"/>
      <c r="AP97" s="91"/>
      <c r="AQ97" s="91"/>
      <c r="AR97" s="91"/>
      <c r="AS97" s="91"/>
      <c r="AT97" s="91">
        <v>52000000</v>
      </c>
      <c r="AU97" s="91">
        <v>62388620</v>
      </c>
      <c r="AV97" s="91">
        <v>62388620</v>
      </c>
      <c r="AW97" s="91">
        <v>62388620</v>
      </c>
      <c r="AX97" s="91"/>
      <c r="AY97" s="91"/>
      <c r="AZ97" s="91"/>
      <c r="BA97" s="91"/>
      <c r="BB97" s="91"/>
      <c r="BC97" s="91"/>
      <c r="BD97" s="91"/>
      <c r="BE97" s="91"/>
      <c r="BF97" s="91"/>
      <c r="BG97" s="91"/>
      <c r="BH97" s="91"/>
      <c r="BI97" s="91"/>
      <c r="BJ97" s="91"/>
      <c r="BK97" s="91"/>
      <c r="BL97" s="91"/>
      <c r="BM97" s="91"/>
      <c r="BN97" s="91"/>
      <c r="BO97" s="91"/>
      <c r="BP97" s="91"/>
      <c r="BQ97" s="91"/>
      <c r="BR97" s="91"/>
      <c r="BS97" s="91"/>
      <c r="BT97" s="91"/>
      <c r="BU97" s="91"/>
      <c r="BV97" s="91"/>
      <c r="BW97" s="91"/>
      <c r="BX97" s="91"/>
      <c r="BY97" s="91"/>
      <c r="BZ97" s="91"/>
      <c r="CA97" s="91"/>
      <c r="CB97" s="91"/>
      <c r="CC97" s="91"/>
      <c r="CD97" s="91"/>
      <c r="CE97" s="91"/>
      <c r="CF97" s="91"/>
      <c r="CG97" s="91"/>
      <c r="CH97" s="91">
        <f t="shared" si="27"/>
        <v>55000000</v>
      </c>
      <c r="CI97" s="91"/>
      <c r="CJ97" s="91"/>
      <c r="CK97" s="91">
        <v>55000000</v>
      </c>
      <c r="CL97" s="91"/>
      <c r="CM97" s="91"/>
      <c r="CN97" s="91"/>
      <c r="CO97" s="91"/>
      <c r="CP97" s="91"/>
      <c r="CQ97" s="91"/>
      <c r="CR97" s="91"/>
      <c r="CS97" s="91">
        <f t="shared" si="28"/>
        <v>55000000</v>
      </c>
      <c r="CT97" s="91"/>
      <c r="CU97" s="91"/>
      <c r="CV97" s="91">
        <v>55000000</v>
      </c>
      <c r="CW97" s="91"/>
      <c r="CX97" s="91"/>
      <c r="CY97" s="91"/>
      <c r="CZ97" s="91"/>
      <c r="DA97" s="91"/>
      <c r="DB97" s="91"/>
      <c r="DC97" s="91"/>
      <c r="DD97" s="91">
        <f t="shared" si="29"/>
        <v>55000000</v>
      </c>
      <c r="DE97" s="91"/>
      <c r="DF97" s="91"/>
      <c r="DG97" s="91">
        <v>55000000</v>
      </c>
      <c r="DH97" s="91"/>
      <c r="DI97" s="91"/>
      <c r="DJ97" s="91"/>
      <c r="DK97" s="91"/>
      <c r="DL97" s="91"/>
      <c r="DM97" s="91"/>
      <c r="DN97" s="92"/>
      <c r="DO97" s="93">
        <f t="shared" si="30"/>
        <v>217000000</v>
      </c>
    </row>
    <row r="98" spans="1:119" s="225" customFormat="1" ht="110.25" customHeight="1" x14ac:dyDescent="0.2">
      <c r="A98" s="244">
        <v>1</v>
      </c>
      <c r="B98" s="253" t="s">
        <v>19</v>
      </c>
      <c r="C98" s="59" t="s">
        <v>667</v>
      </c>
      <c r="D98" s="59" t="s">
        <v>167</v>
      </c>
      <c r="E98" s="119">
        <v>0.05</v>
      </c>
      <c r="F98" s="13">
        <v>2019</v>
      </c>
      <c r="G98" s="59" t="s">
        <v>738</v>
      </c>
      <c r="H98" s="119">
        <v>7.0000000000000007E-2</v>
      </c>
      <c r="I98" s="13">
        <v>22</v>
      </c>
      <c r="J98" s="13" t="s">
        <v>672</v>
      </c>
      <c r="K98" s="50">
        <v>1</v>
      </c>
      <c r="L98" s="13" t="s">
        <v>672</v>
      </c>
      <c r="M98" s="246">
        <v>15</v>
      </c>
      <c r="N98" s="248">
        <v>2201</v>
      </c>
      <c r="O98" s="245" t="s">
        <v>23</v>
      </c>
      <c r="P98" s="13" t="s">
        <v>783</v>
      </c>
      <c r="Q98" s="121">
        <v>2201060</v>
      </c>
      <c r="R98" s="121">
        <v>2201060</v>
      </c>
      <c r="S98" s="59" t="s">
        <v>168</v>
      </c>
      <c r="T98" s="116" t="s">
        <v>784</v>
      </c>
      <c r="U98" s="121">
        <v>220106000</v>
      </c>
      <c r="V98" s="121">
        <v>220106000</v>
      </c>
      <c r="W98" s="87" t="s">
        <v>785</v>
      </c>
      <c r="X98" s="88" t="s">
        <v>9</v>
      </c>
      <c r="Y98" s="13">
        <v>500</v>
      </c>
      <c r="Z98" s="13">
        <v>50</v>
      </c>
      <c r="AA98" s="13">
        <v>37</v>
      </c>
      <c r="AB98" s="13">
        <v>200</v>
      </c>
      <c r="AC98" s="13">
        <v>150</v>
      </c>
      <c r="AD98" s="13">
        <v>100</v>
      </c>
      <c r="AE98" s="89">
        <f t="shared" si="26"/>
        <v>5000000</v>
      </c>
      <c r="AF98" s="89">
        <f t="shared" si="36"/>
        <v>0</v>
      </c>
      <c r="AG98" s="89">
        <f t="shared" si="26"/>
        <v>0</v>
      </c>
      <c r="AH98" s="89">
        <f t="shared" si="26"/>
        <v>0</v>
      </c>
      <c r="AI98" s="89">
        <f t="shared" si="26"/>
        <v>0</v>
      </c>
      <c r="AJ98" s="91">
        <v>5000000</v>
      </c>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1"/>
      <c r="BM98" s="91"/>
      <c r="BN98" s="91"/>
      <c r="BO98" s="91"/>
      <c r="BP98" s="91"/>
      <c r="BQ98" s="91"/>
      <c r="BR98" s="91"/>
      <c r="BS98" s="91"/>
      <c r="BT98" s="91"/>
      <c r="BU98" s="91"/>
      <c r="BV98" s="91"/>
      <c r="BW98" s="91"/>
      <c r="BX98" s="91"/>
      <c r="BY98" s="91"/>
      <c r="BZ98" s="91"/>
      <c r="CA98" s="91"/>
      <c r="CB98" s="91"/>
      <c r="CC98" s="91"/>
      <c r="CD98" s="91"/>
      <c r="CE98" s="91"/>
      <c r="CF98" s="91"/>
      <c r="CG98" s="91"/>
      <c r="CH98" s="91">
        <f t="shared" si="27"/>
        <v>4748200</v>
      </c>
      <c r="CI98" s="91">
        <v>4748200</v>
      </c>
      <c r="CJ98" s="91"/>
      <c r="CK98" s="91"/>
      <c r="CL98" s="91"/>
      <c r="CM98" s="91"/>
      <c r="CN98" s="91"/>
      <c r="CO98" s="91"/>
      <c r="CP98" s="91"/>
      <c r="CQ98" s="91"/>
      <c r="CR98" s="91"/>
      <c r="CS98" s="91">
        <f t="shared" si="28"/>
        <v>14476500</v>
      </c>
      <c r="CT98" s="91">
        <v>14476500</v>
      </c>
      <c r="CU98" s="91"/>
      <c r="CV98" s="91"/>
      <c r="CW98" s="91"/>
      <c r="CX98" s="91"/>
      <c r="CY98" s="91"/>
      <c r="CZ98" s="91"/>
      <c r="DA98" s="91"/>
      <c r="DB98" s="91"/>
      <c r="DC98" s="91"/>
      <c r="DD98" s="91">
        <f t="shared" si="29"/>
        <v>14599500</v>
      </c>
      <c r="DE98" s="91">
        <v>14599500</v>
      </c>
      <c r="DF98" s="91"/>
      <c r="DG98" s="91"/>
      <c r="DH98" s="91"/>
      <c r="DI98" s="91"/>
      <c r="DJ98" s="91"/>
      <c r="DK98" s="91"/>
      <c r="DL98" s="91"/>
      <c r="DM98" s="91"/>
      <c r="DN98" s="92"/>
      <c r="DO98" s="93">
        <f t="shared" si="30"/>
        <v>38824200</v>
      </c>
    </row>
    <row r="99" spans="1:119" s="225" customFormat="1" ht="78.75" customHeight="1" x14ac:dyDescent="0.2">
      <c r="A99" s="244">
        <v>1</v>
      </c>
      <c r="B99" s="253" t="s">
        <v>19</v>
      </c>
      <c r="C99" s="59" t="s">
        <v>667</v>
      </c>
      <c r="D99" s="59" t="s">
        <v>152</v>
      </c>
      <c r="E99" s="119" t="s">
        <v>786</v>
      </c>
      <c r="F99" s="13" t="s">
        <v>747</v>
      </c>
      <c r="G99" s="59" t="s">
        <v>778</v>
      </c>
      <c r="H99" s="55" t="s">
        <v>779</v>
      </c>
      <c r="I99" s="13">
        <v>22</v>
      </c>
      <c r="J99" s="13" t="s">
        <v>672</v>
      </c>
      <c r="K99" s="50">
        <v>1</v>
      </c>
      <c r="L99" s="13" t="s">
        <v>672</v>
      </c>
      <c r="M99" s="246">
        <v>15</v>
      </c>
      <c r="N99" s="248">
        <v>2201</v>
      </c>
      <c r="O99" s="245" t="s">
        <v>23</v>
      </c>
      <c r="P99" s="13" t="s">
        <v>787</v>
      </c>
      <c r="Q99" s="121">
        <v>2201061</v>
      </c>
      <c r="R99" s="121">
        <v>2201061</v>
      </c>
      <c r="S99" s="59" t="s">
        <v>1669</v>
      </c>
      <c r="T99" s="116" t="s">
        <v>788</v>
      </c>
      <c r="U99" s="121">
        <v>220106102</v>
      </c>
      <c r="V99" s="121">
        <v>220106102</v>
      </c>
      <c r="W99" s="87" t="s">
        <v>789</v>
      </c>
      <c r="X99" s="88" t="s">
        <v>9</v>
      </c>
      <c r="Y99" s="13">
        <v>40</v>
      </c>
      <c r="Z99" s="13">
        <v>0</v>
      </c>
      <c r="AA99" s="13"/>
      <c r="AB99" s="13">
        <v>12</v>
      </c>
      <c r="AC99" s="13">
        <v>14</v>
      </c>
      <c r="AD99" s="13">
        <v>14</v>
      </c>
      <c r="AE99" s="89">
        <f t="shared" si="26"/>
        <v>0</v>
      </c>
      <c r="AF99" s="89">
        <f t="shared" si="26"/>
        <v>0</v>
      </c>
      <c r="AG99" s="89">
        <f t="shared" si="26"/>
        <v>0</v>
      </c>
      <c r="AH99" s="89">
        <f t="shared" si="26"/>
        <v>0</v>
      </c>
      <c r="AI99" s="89">
        <f t="shared" si="26"/>
        <v>0</v>
      </c>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91"/>
      <c r="BY99" s="91"/>
      <c r="BZ99" s="91"/>
      <c r="CA99" s="91"/>
      <c r="CB99" s="91"/>
      <c r="CC99" s="91"/>
      <c r="CD99" s="91"/>
      <c r="CE99" s="91"/>
      <c r="CF99" s="91"/>
      <c r="CG99" s="91"/>
      <c r="CH99" s="91">
        <f t="shared" si="27"/>
        <v>9496400</v>
      </c>
      <c r="CI99" s="91">
        <v>9496400</v>
      </c>
      <c r="CJ99" s="91"/>
      <c r="CK99" s="91"/>
      <c r="CL99" s="91"/>
      <c r="CM99" s="91"/>
      <c r="CN99" s="91"/>
      <c r="CO99" s="91"/>
      <c r="CP99" s="91"/>
      <c r="CQ99" s="91"/>
      <c r="CR99" s="91"/>
      <c r="CS99" s="91">
        <f t="shared" si="28"/>
        <v>28953000</v>
      </c>
      <c r="CT99" s="91">
        <v>28953000</v>
      </c>
      <c r="CU99" s="91"/>
      <c r="CV99" s="91"/>
      <c r="CW99" s="91"/>
      <c r="CX99" s="91"/>
      <c r="CY99" s="91"/>
      <c r="CZ99" s="91"/>
      <c r="DA99" s="91"/>
      <c r="DB99" s="91"/>
      <c r="DC99" s="91"/>
      <c r="DD99" s="91">
        <f t="shared" si="29"/>
        <v>29199000</v>
      </c>
      <c r="DE99" s="91">
        <v>29199000</v>
      </c>
      <c r="DF99" s="91"/>
      <c r="DG99" s="91"/>
      <c r="DH99" s="91"/>
      <c r="DI99" s="91"/>
      <c r="DJ99" s="91"/>
      <c r="DK99" s="91"/>
      <c r="DL99" s="91"/>
      <c r="DM99" s="91"/>
      <c r="DN99" s="92"/>
      <c r="DO99" s="93">
        <f t="shared" si="30"/>
        <v>67648400</v>
      </c>
    </row>
    <row r="100" spans="1:119" s="225" customFormat="1" ht="126" customHeight="1" x14ac:dyDescent="0.2">
      <c r="A100" s="244">
        <v>1</v>
      </c>
      <c r="B100" s="253" t="s">
        <v>19</v>
      </c>
      <c r="C100" s="59" t="s">
        <v>667</v>
      </c>
      <c r="D100" s="59" t="s">
        <v>162</v>
      </c>
      <c r="E100" s="55" t="s">
        <v>704</v>
      </c>
      <c r="F100" s="13" t="s">
        <v>571</v>
      </c>
      <c r="G100" s="59" t="s">
        <v>705</v>
      </c>
      <c r="H100" s="55" t="s">
        <v>706</v>
      </c>
      <c r="I100" s="13">
        <v>22</v>
      </c>
      <c r="J100" s="13" t="s">
        <v>672</v>
      </c>
      <c r="K100" s="50">
        <v>1</v>
      </c>
      <c r="L100" s="50" t="s">
        <v>672</v>
      </c>
      <c r="M100" s="246">
        <v>15</v>
      </c>
      <c r="N100" s="248">
        <v>2201</v>
      </c>
      <c r="O100" s="245" t="s">
        <v>23</v>
      </c>
      <c r="P100" s="13" t="s">
        <v>790</v>
      </c>
      <c r="Q100" s="121">
        <v>2201063</v>
      </c>
      <c r="R100" s="121">
        <v>2201063</v>
      </c>
      <c r="S100" s="59" t="s">
        <v>791</v>
      </c>
      <c r="T100" s="116" t="s">
        <v>792</v>
      </c>
      <c r="U100" s="121">
        <v>220106300</v>
      </c>
      <c r="V100" s="121">
        <v>220106300</v>
      </c>
      <c r="W100" s="87" t="s">
        <v>793</v>
      </c>
      <c r="X100" s="88" t="s">
        <v>9</v>
      </c>
      <c r="Y100" s="13">
        <v>5</v>
      </c>
      <c r="Z100" s="59"/>
      <c r="AA100" s="59"/>
      <c r="AB100" s="13">
        <v>2</v>
      </c>
      <c r="AC100" s="13">
        <v>2</v>
      </c>
      <c r="AD100" s="13">
        <v>1</v>
      </c>
      <c r="AE100" s="89">
        <f t="shared" si="26"/>
        <v>0</v>
      </c>
      <c r="AF100" s="89">
        <f t="shared" si="26"/>
        <v>0</v>
      </c>
      <c r="AG100" s="89">
        <f t="shared" si="26"/>
        <v>0</v>
      </c>
      <c r="AH100" s="89">
        <f t="shared" si="26"/>
        <v>0</v>
      </c>
      <c r="AI100" s="89">
        <f t="shared" si="26"/>
        <v>0</v>
      </c>
      <c r="AJ100" s="91"/>
      <c r="AK100" s="91"/>
      <c r="AL100" s="91"/>
      <c r="AM100" s="91"/>
      <c r="AN100" s="91"/>
      <c r="AO100" s="91"/>
      <c r="AP100" s="91"/>
      <c r="AQ100" s="91"/>
      <c r="AR100" s="91"/>
      <c r="AS100" s="91"/>
      <c r="AT100" s="91"/>
      <c r="AU100" s="91"/>
      <c r="AV100" s="91"/>
      <c r="AW100" s="91"/>
      <c r="AX100" s="91"/>
      <c r="AY100" s="91"/>
      <c r="AZ100" s="91"/>
      <c r="BA100" s="91"/>
      <c r="BB100" s="91"/>
      <c r="BC100" s="91"/>
      <c r="BD100" s="91"/>
      <c r="BE100" s="91"/>
      <c r="BF100" s="91"/>
      <c r="BG100" s="91"/>
      <c r="BH100" s="91"/>
      <c r="BI100" s="91"/>
      <c r="BJ100" s="91"/>
      <c r="BK100" s="91"/>
      <c r="BL100" s="91"/>
      <c r="BM100" s="91"/>
      <c r="BN100" s="91"/>
      <c r="BO100" s="91"/>
      <c r="BP100" s="91"/>
      <c r="BQ100" s="91"/>
      <c r="BR100" s="91"/>
      <c r="BS100" s="91"/>
      <c r="BT100" s="91"/>
      <c r="BU100" s="91"/>
      <c r="BV100" s="91"/>
      <c r="BW100" s="91"/>
      <c r="BX100" s="91"/>
      <c r="BY100" s="91"/>
      <c r="BZ100" s="91"/>
      <c r="CA100" s="91"/>
      <c r="CB100" s="91"/>
      <c r="CC100" s="91"/>
      <c r="CD100" s="91"/>
      <c r="CE100" s="91"/>
      <c r="CF100" s="91"/>
      <c r="CG100" s="91"/>
      <c r="CH100" s="91">
        <f t="shared" si="27"/>
        <v>949640</v>
      </c>
      <c r="CI100" s="91">
        <v>949640</v>
      </c>
      <c r="CJ100" s="91"/>
      <c r="CK100" s="91"/>
      <c r="CL100" s="91"/>
      <c r="CM100" s="91"/>
      <c r="CN100" s="91"/>
      <c r="CO100" s="91"/>
      <c r="CP100" s="91"/>
      <c r="CQ100" s="91"/>
      <c r="CR100" s="91"/>
      <c r="CS100" s="91">
        <f t="shared" si="28"/>
        <v>9651000</v>
      </c>
      <c r="CT100" s="91">
        <v>9651000</v>
      </c>
      <c r="CU100" s="91"/>
      <c r="CV100" s="91"/>
      <c r="CW100" s="91"/>
      <c r="CX100" s="91"/>
      <c r="CY100" s="91"/>
      <c r="CZ100" s="91"/>
      <c r="DA100" s="91"/>
      <c r="DB100" s="91"/>
      <c r="DC100" s="91"/>
      <c r="DD100" s="91">
        <f t="shared" si="29"/>
        <v>9733000</v>
      </c>
      <c r="DE100" s="91">
        <v>9733000</v>
      </c>
      <c r="DF100" s="91"/>
      <c r="DG100" s="91"/>
      <c r="DH100" s="91"/>
      <c r="DI100" s="91"/>
      <c r="DJ100" s="91"/>
      <c r="DK100" s="91"/>
      <c r="DL100" s="91"/>
      <c r="DM100" s="91"/>
      <c r="DN100" s="92"/>
      <c r="DO100" s="93">
        <f t="shared" si="30"/>
        <v>20333640</v>
      </c>
    </row>
    <row r="101" spans="1:119" s="225" customFormat="1" ht="78.75" customHeight="1" x14ac:dyDescent="0.2">
      <c r="A101" s="244">
        <v>1</v>
      </c>
      <c r="B101" s="253" t="s">
        <v>19</v>
      </c>
      <c r="C101" s="59" t="s">
        <v>667</v>
      </c>
      <c r="D101" s="59" t="s">
        <v>171</v>
      </c>
      <c r="E101" s="127">
        <v>0.623</v>
      </c>
      <c r="F101" s="13">
        <v>2018</v>
      </c>
      <c r="G101" s="59" t="s">
        <v>794</v>
      </c>
      <c r="H101" s="119">
        <v>0.65</v>
      </c>
      <c r="I101" s="13">
        <v>22</v>
      </c>
      <c r="J101" s="13" t="s">
        <v>672</v>
      </c>
      <c r="K101" s="50">
        <v>1</v>
      </c>
      <c r="L101" s="50" t="s">
        <v>672</v>
      </c>
      <c r="M101" s="246">
        <v>15</v>
      </c>
      <c r="N101" s="248">
        <v>2201</v>
      </c>
      <c r="O101" s="245" t="s">
        <v>23</v>
      </c>
      <c r="P101" s="13" t="s">
        <v>795</v>
      </c>
      <c r="Q101" s="121">
        <v>2201066</v>
      </c>
      <c r="R101" s="121">
        <v>2201066</v>
      </c>
      <c r="S101" s="59" t="s">
        <v>796</v>
      </c>
      <c r="T101" s="116" t="s">
        <v>797</v>
      </c>
      <c r="U101" s="121">
        <v>220106600</v>
      </c>
      <c r="V101" s="121">
        <v>220106600</v>
      </c>
      <c r="W101" s="87" t="s">
        <v>798</v>
      </c>
      <c r="X101" s="88" t="s">
        <v>9</v>
      </c>
      <c r="Y101" s="13">
        <v>29496</v>
      </c>
      <c r="Z101" s="59"/>
      <c r="AA101" s="59"/>
      <c r="AB101" s="13">
        <v>10000</v>
      </c>
      <c r="AC101" s="13">
        <v>10000</v>
      </c>
      <c r="AD101" s="13">
        <v>9496</v>
      </c>
      <c r="AE101" s="89">
        <f t="shared" si="26"/>
        <v>0</v>
      </c>
      <c r="AF101" s="89">
        <f t="shared" si="26"/>
        <v>0</v>
      </c>
      <c r="AG101" s="89">
        <f t="shared" si="26"/>
        <v>0</v>
      </c>
      <c r="AH101" s="89">
        <f t="shared" si="26"/>
        <v>0</v>
      </c>
      <c r="AI101" s="89">
        <f t="shared" si="26"/>
        <v>0</v>
      </c>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1"/>
      <c r="BM101" s="91"/>
      <c r="BN101" s="91"/>
      <c r="BO101" s="91"/>
      <c r="BP101" s="91"/>
      <c r="BQ101" s="91"/>
      <c r="BR101" s="91"/>
      <c r="BS101" s="91"/>
      <c r="BT101" s="91"/>
      <c r="BU101" s="91"/>
      <c r="BV101" s="91"/>
      <c r="BW101" s="91"/>
      <c r="BX101" s="91"/>
      <c r="BY101" s="91"/>
      <c r="BZ101" s="91"/>
      <c r="CA101" s="91"/>
      <c r="CB101" s="91"/>
      <c r="CC101" s="91"/>
      <c r="CD101" s="91"/>
      <c r="CE101" s="91"/>
      <c r="CF101" s="91"/>
      <c r="CG101" s="91"/>
      <c r="CH101" s="91">
        <f t="shared" si="27"/>
        <v>9496400</v>
      </c>
      <c r="CI101" s="91">
        <v>9496400</v>
      </c>
      <c r="CJ101" s="91"/>
      <c r="CK101" s="91"/>
      <c r="CL101" s="91"/>
      <c r="CM101" s="91"/>
      <c r="CN101" s="91"/>
      <c r="CO101" s="91"/>
      <c r="CP101" s="91"/>
      <c r="CQ101" s="91"/>
      <c r="CR101" s="91"/>
      <c r="CS101" s="91">
        <f t="shared" si="28"/>
        <v>24127500</v>
      </c>
      <c r="CT101" s="91">
        <v>24127500</v>
      </c>
      <c r="CU101" s="91"/>
      <c r="CV101" s="91"/>
      <c r="CW101" s="91"/>
      <c r="CX101" s="91"/>
      <c r="CY101" s="91"/>
      <c r="CZ101" s="91"/>
      <c r="DA101" s="91"/>
      <c r="DB101" s="91"/>
      <c r="DC101" s="91"/>
      <c r="DD101" s="91">
        <f t="shared" si="29"/>
        <v>24332500</v>
      </c>
      <c r="DE101" s="91">
        <v>24332500</v>
      </c>
      <c r="DF101" s="91"/>
      <c r="DG101" s="91"/>
      <c r="DH101" s="91"/>
      <c r="DI101" s="91"/>
      <c r="DJ101" s="91"/>
      <c r="DK101" s="91"/>
      <c r="DL101" s="91"/>
      <c r="DM101" s="91"/>
      <c r="DN101" s="92"/>
      <c r="DO101" s="93">
        <f t="shared" si="30"/>
        <v>57956400</v>
      </c>
    </row>
    <row r="102" spans="1:119" s="225" customFormat="1" ht="157.5" customHeight="1" x14ac:dyDescent="0.2">
      <c r="A102" s="244">
        <v>1</v>
      </c>
      <c r="B102" s="253" t="s">
        <v>19</v>
      </c>
      <c r="C102" s="59" t="s">
        <v>667</v>
      </c>
      <c r="D102" s="59" t="s">
        <v>149</v>
      </c>
      <c r="E102" s="119" t="s">
        <v>710</v>
      </c>
      <c r="F102" s="13" t="s">
        <v>711</v>
      </c>
      <c r="G102" s="59" t="s">
        <v>712</v>
      </c>
      <c r="H102" s="55" t="s">
        <v>713</v>
      </c>
      <c r="I102" s="13">
        <v>22</v>
      </c>
      <c r="J102" s="13" t="s">
        <v>672</v>
      </c>
      <c r="K102" s="50">
        <v>1</v>
      </c>
      <c r="L102" s="50" t="s">
        <v>672</v>
      </c>
      <c r="M102" s="246">
        <v>15</v>
      </c>
      <c r="N102" s="248">
        <v>2201</v>
      </c>
      <c r="O102" s="245" t="s">
        <v>23</v>
      </c>
      <c r="P102" s="13" t="s">
        <v>799</v>
      </c>
      <c r="Q102" s="121">
        <v>2201067</v>
      </c>
      <c r="R102" s="121">
        <v>2201067</v>
      </c>
      <c r="S102" s="59" t="s">
        <v>800</v>
      </c>
      <c r="T102" s="116" t="s">
        <v>801</v>
      </c>
      <c r="U102" s="121">
        <v>220106700</v>
      </c>
      <c r="V102" s="121">
        <v>220106700</v>
      </c>
      <c r="W102" s="87" t="s">
        <v>802</v>
      </c>
      <c r="X102" s="88" t="s">
        <v>8</v>
      </c>
      <c r="Y102" s="13">
        <v>54</v>
      </c>
      <c r="Z102" s="59"/>
      <c r="AA102" s="59"/>
      <c r="AB102" s="13">
        <v>54</v>
      </c>
      <c r="AC102" s="13">
        <v>54</v>
      </c>
      <c r="AD102" s="13">
        <v>54</v>
      </c>
      <c r="AE102" s="89">
        <f t="shared" si="26"/>
        <v>0</v>
      </c>
      <c r="AF102" s="89">
        <f t="shared" si="26"/>
        <v>0</v>
      </c>
      <c r="AG102" s="89">
        <f t="shared" si="26"/>
        <v>0</v>
      </c>
      <c r="AH102" s="89">
        <f t="shared" si="26"/>
        <v>0</v>
      </c>
      <c r="AI102" s="89">
        <f t="shared" si="26"/>
        <v>0</v>
      </c>
      <c r="AJ102" s="91"/>
      <c r="AK102" s="91"/>
      <c r="AL102" s="91"/>
      <c r="AM102" s="91"/>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c r="BL102" s="91"/>
      <c r="BM102" s="91"/>
      <c r="BN102" s="91"/>
      <c r="BO102" s="91"/>
      <c r="BP102" s="91"/>
      <c r="BQ102" s="91"/>
      <c r="BR102" s="91"/>
      <c r="BS102" s="91"/>
      <c r="BT102" s="91"/>
      <c r="BU102" s="91"/>
      <c r="BV102" s="91"/>
      <c r="BW102" s="91"/>
      <c r="BX102" s="91"/>
      <c r="BY102" s="91"/>
      <c r="BZ102" s="91"/>
      <c r="CA102" s="91"/>
      <c r="CB102" s="91"/>
      <c r="CC102" s="91"/>
      <c r="CD102" s="91"/>
      <c r="CE102" s="91"/>
      <c r="CF102" s="91"/>
      <c r="CG102" s="91"/>
      <c r="CH102" s="91">
        <f t="shared" si="27"/>
        <v>9496400</v>
      </c>
      <c r="CI102" s="91">
        <v>9496400</v>
      </c>
      <c r="CJ102" s="91"/>
      <c r="CK102" s="91"/>
      <c r="CL102" s="91"/>
      <c r="CM102" s="91"/>
      <c r="CN102" s="91"/>
      <c r="CO102" s="91"/>
      <c r="CP102" s="91"/>
      <c r="CQ102" s="91"/>
      <c r="CR102" s="91"/>
      <c r="CS102" s="91">
        <f t="shared" si="28"/>
        <v>19302000</v>
      </c>
      <c r="CT102" s="91">
        <v>19302000</v>
      </c>
      <c r="CU102" s="91"/>
      <c r="CV102" s="91"/>
      <c r="CW102" s="91"/>
      <c r="CX102" s="91"/>
      <c r="CY102" s="91"/>
      <c r="CZ102" s="91"/>
      <c r="DA102" s="91"/>
      <c r="DB102" s="91"/>
      <c r="DC102" s="91"/>
      <c r="DD102" s="91">
        <f t="shared" si="29"/>
        <v>19466000</v>
      </c>
      <c r="DE102" s="91">
        <v>19466000</v>
      </c>
      <c r="DF102" s="91"/>
      <c r="DG102" s="91"/>
      <c r="DH102" s="91"/>
      <c r="DI102" s="91"/>
      <c r="DJ102" s="91"/>
      <c r="DK102" s="91"/>
      <c r="DL102" s="91"/>
      <c r="DM102" s="91"/>
      <c r="DN102" s="92"/>
      <c r="DO102" s="93">
        <f t="shared" si="30"/>
        <v>48264400</v>
      </c>
    </row>
    <row r="103" spans="1:119" s="225" customFormat="1" ht="126" customHeight="1" x14ac:dyDescent="0.2">
      <c r="A103" s="244">
        <v>1</v>
      </c>
      <c r="B103" s="253" t="s">
        <v>19</v>
      </c>
      <c r="C103" s="59" t="s">
        <v>667</v>
      </c>
      <c r="D103" s="59" t="s">
        <v>1586</v>
      </c>
      <c r="E103" s="125">
        <v>0.75939999999999996</v>
      </c>
      <c r="F103" s="13">
        <v>2019</v>
      </c>
      <c r="G103" s="59" t="s">
        <v>1587</v>
      </c>
      <c r="H103" s="125">
        <v>1</v>
      </c>
      <c r="I103" s="13">
        <v>22</v>
      </c>
      <c r="J103" s="13" t="s">
        <v>672</v>
      </c>
      <c r="K103" s="50">
        <v>1</v>
      </c>
      <c r="L103" s="13" t="s">
        <v>672</v>
      </c>
      <c r="M103" s="246">
        <v>15</v>
      </c>
      <c r="N103" s="248">
        <v>2201</v>
      </c>
      <c r="O103" s="245" t="s">
        <v>23</v>
      </c>
      <c r="P103" s="13" t="s">
        <v>803</v>
      </c>
      <c r="Q103" s="121">
        <v>2201068</v>
      </c>
      <c r="R103" s="121">
        <v>2201068</v>
      </c>
      <c r="S103" s="59" t="s">
        <v>65</v>
      </c>
      <c r="T103" s="116" t="s">
        <v>804</v>
      </c>
      <c r="U103" s="121">
        <v>220106800</v>
      </c>
      <c r="V103" s="121">
        <v>220106800</v>
      </c>
      <c r="W103" s="87" t="s">
        <v>805</v>
      </c>
      <c r="X103" s="88" t="s">
        <v>9</v>
      </c>
      <c r="Y103" s="13">
        <v>266</v>
      </c>
      <c r="Z103" s="13">
        <v>48</v>
      </c>
      <c r="AA103" s="13">
        <v>48</v>
      </c>
      <c r="AB103" s="13">
        <v>70</v>
      </c>
      <c r="AC103" s="13">
        <v>76</v>
      </c>
      <c r="AD103" s="13">
        <v>72</v>
      </c>
      <c r="AE103" s="89">
        <f t="shared" si="26"/>
        <v>56644667</v>
      </c>
      <c r="AF103" s="89">
        <f t="shared" ref="AF103" si="39">AK103+AP103+AU103+AZ103+BE103+BJ103+BO103+BT103+BY103+CD103</f>
        <v>229224115</v>
      </c>
      <c r="AG103" s="89">
        <f t="shared" ref="AG103" si="40">AL103+AQ103+AV103+BA103+BF103+BK103+BP103+BU103+BZ103+CE103</f>
        <v>32198801</v>
      </c>
      <c r="AH103" s="89">
        <f t="shared" ref="AH103" si="41">AM103+AR103+AW103+BB103+BG103+BL103+BQ103+BV103+CA103+CF103</f>
        <v>32198801</v>
      </c>
      <c r="AI103" s="89">
        <f t="shared" si="26"/>
        <v>0</v>
      </c>
      <c r="AJ103" s="91">
        <f>21866667+34778000</f>
        <v>56644667</v>
      </c>
      <c r="AK103" s="91">
        <f>27357448+201866667</f>
        <v>229224115</v>
      </c>
      <c r="AL103" s="91">
        <f>18756135+13442666</f>
        <v>32198801</v>
      </c>
      <c r="AM103" s="91">
        <f>18756135+13442666</f>
        <v>32198801</v>
      </c>
      <c r="AN103" s="91"/>
      <c r="AO103" s="91"/>
      <c r="AP103" s="91"/>
      <c r="AQ103" s="91"/>
      <c r="AR103" s="91"/>
      <c r="AS103" s="91"/>
      <c r="AT103" s="91"/>
      <c r="AU103" s="91"/>
      <c r="AV103" s="91"/>
      <c r="AW103" s="91"/>
      <c r="AX103" s="91"/>
      <c r="AY103" s="91"/>
      <c r="AZ103" s="91"/>
      <c r="BA103" s="91"/>
      <c r="BB103" s="91"/>
      <c r="BC103" s="91"/>
      <c r="BD103" s="91"/>
      <c r="BE103" s="91"/>
      <c r="BF103" s="91"/>
      <c r="BG103" s="91"/>
      <c r="BH103" s="91"/>
      <c r="BI103" s="91"/>
      <c r="BJ103" s="91"/>
      <c r="BK103" s="91"/>
      <c r="BL103" s="91"/>
      <c r="BM103" s="91"/>
      <c r="BN103" s="91"/>
      <c r="BO103" s="91"/>
      <c r="BP103" s="91"/>
      <c r="BQ103" s="91"/>
      <c r="BR103" s="91"/>
      <c r="BS103" s="91"/>
      <c r="BT103" s="91"/>
      <c r="BU103" s="91"/>
      <c r="BV103" s="91"/>
      <c r="BW103" s="91"/>
      <c r="BX103" s="91"/>
      <c r="BY103" s="91"/>
      <c r="BZ103" s="91"/>
      <c r="CA103" s="91"/>
      <c r="CB103" s="91"/>
      <c r="CC103" s="91"/>
      <c r="CD103" s="91"/>
      <c r="CE103" s="91"/>
      <c r="CF103" s="91"/>
      <c r="CG103" s="91"/>
      <c r="CH103" s="91">
        <f t="shared" si="27"/>
        <v>29571893.649999999</v>
      </c>
      <c r="CI103" s="91">
        <f>20773333.65+3798560</f>
        <v>24571893.649999999</v>
      </c>
      <c r="CJ103" s="91"/>
      <c r="CK103" s="91">
        <v>5000000</v>
      </c>
      <c r="CL103" s="91"/>
      <c r="CM103" s="91"/>
      <c r="CN103" s="91"/>
      <c r="CO103" s="91"/>
      <c r="CP103" s="91"/>
      <c r="CQ103" s="91"/>
      <c r="CR103" s="91"/>
      <c r="CS103" s="91">
        <f t="shared" si="28"/>
        <v>73346418.986599997</v>
      </c>
      <c r="CT103" s="91">
        <f>21103520.3217+47242898.6649</f>
        <v>68346418.986599997</v>
      </c>
      <c r="CU103" s="91"/>
      <c r="CV103" s="91">
        <v>5000000</v>
      </c>
      <c r="CW103" s="91"/>
      <c r="CX103" s="91"/>
      <c r="CY103" s="91"/>
      <c r="CZ103" s="91"/>
      <c r="DA103" s="91"/>
      <c r="DB103" s="91"/>
      <c r="DC103" s="91"/>
      <c r="DD103" s="91">
        <f t="shared" si="29"/>
        <v>76976799.316699997</v>
      </c>
      <c r="DE103" s="91">
        <f>24332500+47644299.3167</f>
        <v>71976799.316699997</v>
      </c>
      <c r="DF103" s="91"/>
      <c r="DG103" s="91">
        <v>5000000</v>
      </c>
      <c r="DH103" s="91"/>
      <c r="DI103" s="91"/>
      <c r="DJ103" s="91"/>
      <c r="DK103" s="91"/>
      <c r="DL103" s="91"/>
      <c r="DM103" s="91"/>
      <c r="DN103" s="92"/>
      <c r="DO103" s="93">
        <f t="shared" si="30"/>
        <v>236539778.9533</v>
      </c>
    </row>
    <row r="104" spans="1:119" s="225" customFormat="1" ht="141.75" customHeight="1" x14ac:dyDescent="0.2">
      <c r="A104" s="244">
        <v>1</v>
      </c>
      <c r="B104" s="253" t="s">
        <v>19</v>
      </c>
      <c r="C104" s="59" t="s">
        <v>667</v>
      </c>
      <c r="D104" s="59" t="s">
        <v>162</v>
      </c>
      <c r="E104" s="55" t="s">
        <v>704</v>
      </c>
      <c r="F104" s="13" t="s">
        <v>571</v>
      </c>
      <c r="G104" s="59" t="s">
        <v>806</v>
      </c>
      <c r="H104" s="55" t="s">
        <v>807</v>
      </c>
      <c r="I104" s="13">
        <v>22</v>
      </c>
      <c r="J104" s="13" t="s">
        <v>672</v>
      </c>
      <c r="K104" s="50">
        <v>1</v>
      </c>
      <c r="L104" s="50" t="s">
        <v>672</v>
      </c>
      <c r="M104" s="246">
        <v>15</v>
      </c>
      <c r="N104" s="248">
        <v>2201</v>
      </c>
      <c r="O104" s="245" t="s">
        <v>23</v>
      </c>
      <c r="P104" s="13" t="s">
        <v>808</v>
      </c>
      <c r="Q104" s="121">
        <v>2201069</v>
      </c>
      <c r="R104" s="121">
        <v>2201069</v>
      </c>
      <c r="S104" s="59" t="s">
        <v>809</v>
      </c>
      <c r="T104" s="116" t="s">
        <v>810</v>
      </c>
      <c r="U104" s="121">
        <v>220106900</v>
      </c>
      <c r="V104" s="121">
        <v>220106900</v>
      </c>
      <c r="W104" s="87" t="s">
        <v>811</v>
      </c>
      <c r="X104" s="88" t="s">
        <v>9</v>
      </c>
      <c r="Y104" s="13">
        <v>12</v>
      </c>
      <c r="Z104" s="13">
        <v>0</v>
      </c>
      <c r="AA104" s="13"/>
      <c r="AB104" s="13">
        <v>3</v>
      </c>
      <c r="AC104" s="13">
        <v>5</v>
      </c>
      <c r="AD104" s="13">
        <v>4</v>
      </c>
      <c r="AE104" s="89">
        <f t="shared" si="26"/>
        <v>0</v>
      </c>
      <c r="AF104" s="89">
        <f t="shared" si="26"/>
        <v>0</v>
      </c>
      <c r="AG104" s="89">
        <f t="shared" si="26"/>
        <v>0</v>
      </c>
      <c r="AH104" s="89">
        <f t="shared" si="26"/>
        <v>0</v>
      </c>
      <c r="AI104" s="89">
        <f t="shared" si="26"/>
        <v>0</v>
      </c>
      <c r="AJ104" s="91"/>
      <c r="AK104" s="91"/>
      <c r="AL104" s="91"/>
      <c r="AM104" s="91"/>
      <c r="AN104" s="91"/>
      <c r="AO104" s="91"/>
      <c r="AP104" s="91"/>
      <c r="AQ104" s="91"/>
      <c r="AR104" s="91"/>
      <c r="AS104" s="91"/>
      <c r="AT104" s="91"/>
      <c r="AU104" s="91"/>
      <c r="AV104" s="91"/>
      <c r="AW104" s="91"/>
      <c r="AX104" s="91"/>
      <c r="AY104" s="91"/>
      <c r="AZ104" s="91"/>
      <c r="BA104" s="91"/>
      <c r="BB104" s="91"/>
      <c r="BC104" s="91"/>
      <c r="BD104" s="91"/>
      <c r="BE104" s="91"/>
      <c r="BF104" s="91"/>
      <c r="BG104" s="91"/>
      <c r="BH104" s="91"/>
      <c r="BI104" s="91"/>
      <c r="BJ104" s="91"/>
      <c r="BK104" s="91"/>
      <c r="BL104" s="91"/>
      <c r="BM104" s="91"/>
      <c r="BN104" s="91"/>
      <c r="BO104" s="91"/>
      <c r="BP104" s="91"/>
      <c r="BQ104" s="91"/>
      <c r="BR104" s="91"/>
      <c r="BS104" s="91"/>
      <c r="BT104" s="91"/>
      <c r="BU104" s="91"/>
      <c r="BV104" s="91"/>
      <c r="BW104" s="91"/>
      <c r="BX104" s="91"/>
      <c r="BY104" s="91"/>
      <c r="BZ104" s="91"/>
      <c r="CA104" s="91"/>
      <c r="CB104" s="91"/>
      <c r="CC104" s="91"/>
      <c r="CD104" s="91"/>
      <c r="CE104" s="91"/>
      <c r="CF104" s="91"/>
      <c r="CG104" s="91"/>
      <c r="CH104" s="91">
        <f t="shared" si="27"/>
        <v>4748200</v>
      </c>
      <c r="CI104" s="91">
        <v>4748200</v>
      </c>
      <c r="CJ104" s="91"/>
      <c r="CK104" s="91"/>
      <c r="CL104" s="91"/>
      <c r="CM104" s="91"/>
      <c r="CN104" s="91"/>
      <c r="CO104" s="91"/>
      <c r="CP104" s="91"/>
      <c r="CQ104" s="91"/>
      <c r="CR104" s="91"/>
      <c r="CS104" s="91">
        <f t="shared" si="28"/>
        <v>48255000</v>
      </c>
      <c r="CT104" s="91">
        <v>48255000</v>
      </c>
      <c r="CU104" s="91"/>
      <c r="CV104" s="91"/>
      <c r="CW104" s="91"/>
      <c r="CX104" s="91"/>
      <c r="CY104" s="91"/>
      <c r="CZ104" s="91"/>
      <c r="DA104" s="91"/>
      <c r="DB104" s="91"/>
      <c r="DC104" s="91"/>
      <c r="DD104" s="91">
        <f t="shared" si="29"/>
        <v>48665000</v>
      </c>
      <c r="DE104" s="91">
        <v>48665000</v>
      </c>
      <c r="DF104" s="91"/>
      <c r="DG104" s="91"/>
      <c r="DH104" s="91"/>
      <c r="DI104" s="91"/>
      <c r="DJ104" s="91"/>
      <c r="DK104" s="91"/>
      <c r="DL104" s="91"/>
      <c r="DM104" s="91"/>
      <c r="DN104" s="92"/>
      <c r="DO104" s="93">
        <f t="shared" si="30"/>
        <v>101668200</v>
      </c>
    </row>
    <row r="105" spans="1:119" s="225" customFormat="1" ht="94.5" customHeight="1" x14ac:dyDescent="0.2">
      <c r="A105" s="244">
        <v>1</v>
      </c>
      <c r="B105" s="253" t="s">
        <v>19</v>
      </c>
      <c r="C105" s="59" t="s">
        <v>324</v>
      </c>
      <c r="D105" s="59" t="s">
        <v>156</v>
      </c>
      <c r="E105" s="119" t="s">
        <v>819</v>
      </c>
      <c r="F105" s="13" t="s">
        <v>475</v>
      </c>
      <c r="G105" s="59" t="s">
        <v>820</v>
      </c>
      <c r="H105" s="55" t="s">
        <v>821</v>
      </c>
      <c r="I105" s="13">
        <v>22</v>
      </c>
      <c r="J105" s="13" t="s">
        <v>672</v>
      </c>
      <c r="K105" s="50">
        <v>1</v>
      </c>
      <c r="L105" s="13" t="s">
        <v>672</v>
      </c>
      <c r="M105" s="246">
        <v>15</v>
      </c>
      <c r="N105" s="248">
        <v>2201</v>
      </c>
      <c r="O105" s="245" t="s">
        <v>23</v>
      </c>
      <c r="P105" s="13" t="s">
        <v>822</v>
      </c>
      <c r="Q105" s="121">
        <v>2201071</v>
      </c>
      <c r="R105" s="121">
        <v>2201071</v>
      </c>
      <c r="S105" s="128" t="s">
        <v>157</v>
      </c>
      <c r="T105" s="116" t="s">
        <v>823</v>
      </c>
      <c r="U105" s="121">
        <v>220107100</v>
      </c>
      <c r="V105" s="121">
        <v>220107100</v>
      </c>
      <c r="W105" s="87" t="s">
        <v>824</v>
      </c>
      <c r="X105" s="88" t="s">
        <v>8</v>
      </c>
      <c r="Y105" s="13">
        <v>54</v>
      </c>
      <c r="Z105" s="13">
        <v>54</v>
      </c>
      <c r="AA105" s="13">
        <v>54</v>
      </c>
      <c r="AB105" s="13">
        <v>54</v>
      </c>
      <c r="AC105" s="13">
        <v>54</v>
      </c>
      <c r="AD105" s="13">
        <v>54</v>
      </c>
      <c r="AE105" s="89">
        <f t="shared" si="26"/>
        <v>155683135464.94</v>
      </c>
      <c r="AF105" s="89">
        <f t="shared" ref="AF105" si="42">AK105+AP105+AU105+AZ105+BE105+BJ105+BO105+BT105+BY105+CD105</f>
        <v>152980732085.94</v>
      </c>
      <c r="AG105" s="89">
        <f t="shared" ref="AG105" si="43">AL105+AQ105+AV105+BA105+BF105+BK105+BP105+BU105+BZ105+CE105</f>
        <v>152816490982</v>
      </c>
      <c r="AH105" s="89">
        <f t="shared" ref="AH105" si="44">AM105+AR105+AW105+BB105+BG105+BL105+BQ105+BV105+CA105+CF105</f>
        <v>152813370982</v>
      </c>
      <c r="AI105" s="89">
        <f t="shared" si="26"/>
        <v>0</v>
      </c>
      <c r="AJ105" s="91"/>
      <c r="AK105" s="91"/>
      <c r="AL105" s="91"/>
      <c r="AM105" s="91"/>
      <c r="AN105" s="91"/>
      <c r="AO105" s="91"/>
      <c r="AP105" s="91"/>
      <c r="AQ105" s="91"/>
      <c r="AR105" s="91"/>
      <c r="AS105" s="91"/>
      <c r="AT105" s="91">
        <v>155683135464.94</v>
      </c>
      <c r="AU105" s="91">
        <v>152980732085.94</v>
      </c>
      <c r="AV105" s="89">
        <v>152816490982</v>
      </c>
      <c r="AW105" s="89">
        <v>152813370982</v>
      </c>
      <c r="AX105" s="91"/>
      <c r="AY105" s="91"/>
      <c r="AZ105" s="91"/>
      <c r="BA105" s="91"/>
      <c r="BB105" s="91"/>
      <c r="BC105" s="91"/>
      <c r="BD105" s="91"/>
      <c r="BE105" s="91"/>
      <c r="BF105" s="91"/>
      <c r="BG105" s="91"/>
      <c r="BH105" s="91"/>
      <c r="BI105" s="91"/>
      <c r="BJ105" s="91"/>
      <c r="BK105" s="91"/>
      <c r="BL105" s="91"/>
      <c r="BM105" s="91"/>
      <c r="BN105" s="91"/>
      <c r="BO105" s="91"/>
      <c r="BP105" s="91"/>
      <c r="BQ105" s="91"/>
      <c r="BR105" s="91"/>
      <c r="BS105" s="91"/>
      <c r="BT105" s="91"/>
      <c r="BU105" s="91"/>
      <c r="BV105" s="91"/>
      <c r="BW105" s="91"/>
      <c r="BX105" s="91"/>
      <c r="BY105" s="91"/>
      <c r="BZ105" s="91"/>
      <c r="CA105" s="91"/>
      <c r="CB105" s="91"/>
      <c r="CC105" s="91"/>
      <c r="CD105" s="91"/>
      <c r="CE105" s="91"/>
      <c r="CF105" s="91"/>
      <c r="CG105" s="91"/>
      <c r="CH105" s="91">
        <f t="shared" si="27"/>
        <v>170778569599.94519</v>
      </c>
      <c r="CI105" s="91">
        <v>1134768979.9452</v>
      </c>
      <c r="CJ105" s="91">
        <v>2367749820</v>
      </c>
      <c r="CK105" s="91">
        <v>167276050800</v>
      </c>
      <c r="CL105" s="91"/>
      <c r="CM105" s="91"/>
      <c r="CN105" s="91"/>
      <c r="CO105" s="91"/>
      <c r="CP105" s="91"/>
      <c r="CQ105" s="91"/>
      <c r="CR105" s="91"/>
      <c r="CS105" s="91">
        <f t="shared" si="28"/>
        <v>184327685864</v>
      </c>
      <c r="CT105" s="91">
        <v>974751000</v>
      </c>
      <c r="CU105" s="91">
        <v>2696000000</v>
      </c>
      <c r="CV105" s="91">
        <v>180656934864</v>
      </c>
      <c r="CW105" s="91"/>
      <c r="CX105" s="91"/>
      <c r="CY105" s="91"/>
      <c r="CZ105" s="91"/>
      <c r="DA105" s="91"/>
      <c r="DB105" s="91"/>
      <c r="DC105" s="91"/>
      <c r="DD105" s="91">
        <f t="shared" si="29"/>
        <v>200557515104</v>
      </c>
      <c r="DE105" s="91">
        <v>2354412700</v>
      </c>
      <c r="DF105" s="91">
        <v>3094812751</v>
      </c>
      <c r="DG105" s="91">
        <v>195108289653</v>
      </c>
      <c r="DH105" s="91"/>
      <c r="DI105" s="91"/>
      <c r="DJ105" s="91"/>
      <c r="DK105" s="91"/>
      <c r="DL105" s="91"/>
      <c r="DM105" s="91"/>
      <c r="DN105" s="92"/>
      <c r="DO105" s="93">
        <f t="shared" si="30"/>
        <v>711346906032.88525</v>
      </c>
    </row>
    <row r="106" spans="1:119" s="225" customFormat="1" ht="157.5" customHeight="1" x14ac:dyDescent="0.2">
      <c r="A106" s="244">
        <v>1</v>
      </c>
      <c r="B106" s="253" t="s">
        <v>19</v>
      </c>
      <c r="C106" s="59" t="s">
        <v>667</v>
      </c>
      <c r="D106" s="59" t="s">
        <v>162</v>
      </c>
      <c r="E106" s="55" t="s">
        <v>704</v>
      </c>
      <c r="F106" s="13" t="s">
        <v>571</v>
      </c>
      <c r="G106" s="59" t="s">
        <v>705</v>
      </c>
      <c r="H106" s="55" t="s">
        <v>706</v>
      </c>
      <c r="I106" s="13">
        <v>22</v>
      </c>
      <c r="J106" s="13" t="s">
        <v>672</v>
      </c>
      <c r="K106" s="50">
        <v>1</v>
      </c>
      <c r="L106" s="50" t="s">
        <v>672</v>
      </c>
      <c r="M106" s="246">
        <v>15</v>
      </c>
      <c r="N106" s="248">
        <v>2201</v>
      </c>
      <c r="O106" s="245" t="s">
        <v>23</v>
      </c>
      <c r="P106" s="13" t="s">
        <v>812</v>
      </c>
      <c r="Q106" s="13" t="s">
        <v>77</v>
      </c>
      <c r="R106" s="13">
        <v>2201001</v>
      </c>
      <c r="S106" s="59" t="s">
        <v>813</v>
      </c>
      <c r="T106" s="116" t="s">
        <v>814</v>
      </c>
      <c r="U106" s="13" t="s">
        <v>77</v>
      </c>
      <c r="V106" s="13">
        <v>220100100</v>
      </c>
      <c r="W106" s="87" t="s">
        <v>815</v>
      </c>
      <c r="X106" s="88" t="s">
        <v>8</v>
      </c>
      <c r="Y106" s="13">
        <v>2</v>
      </c>
      <c r="Z106" s="13">
        <v>0</v>
      </c>
      <c r="AA106" s="13"/>
      <c r="AB106" s="13">
        <v>2</v>
      </c>
      <c r="AC106" s="13">
        <v>2</v>
      </c>
      <c r="AD106" s="13">
        <v>2</v>
      </c>
      <c r="AE106" s="89">
        <f t="shared" si="26"/>
        <v>0</v>
      </c>
      <c r="AF106" s="89">
        <f t="shared" si="26"/>
        <v>0</v>
      </c>
      <c r="AG106" s="89">
        <f t="shared" si="26"/>
        <v>0</v>
      </c>
      <c r="AH106" s="89">
        <f t="shared" si="26"/>
        <v>0</v>
      </c>
      <c r="AI106" s="89">
        <f t="shared" si="26"/>
        <v>0</v>
      </c>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91"/>
      <c r="BU106" s="91"/>
      <c r="BV106" s="91"/>
      <c r="BW106" s="91"/>
      <c r="BX106" s="91"/>
      <c r="BY106" s="91"/>
      <c r="BZ106" s="91"/>
      <c r="CA106" s="91"/>
      <c r="CB106" s="91"/>
      <c r="CC106" s="91"/>
      <c r="CD106" s="91"/>
      <c r="CE106" s="91"/>
      <c r="CF106" s="91"/>
      <c r="CG106" s="91"/>
      <c r="CH106" s="91">
        <f t="shared" si="27"/>
        <v>9496400</v>
      </c>
      <c r="CI106" s="91">
        <v>9496400</v>
      </c>
      <c r="CJ106" s="91"/>
      <c r="CK106" s="91"/>
      <c r="CL106" s="91"/>
      <c r="CM106" s="91"/>
      <c r="CN106" s="91"/>
      <c r="CO106" s="91"/>
      <c r="CP106" s="91"/>
      <c r="CQ106" s="91"/>
      <c r="CR106" s="91"/>
      <c r="CS106" s="91">
        <f t="shared" si="28"/>
        <v>48255000</v>
      </c>
      <c r="CT106" s="91">
        <v>48255000</v>
      </c>
      <c r="CU106" s="91"/>
      <c r="CV106" s="91"/>
      <c r="CW106" s="91"/>
      <c r="CX106" s="91"/>
      <c r="CY106" s="91"/>
      <c r="CZ106" s="91"/>
      <c r="DA106" s="91"/>
      <c r="DB106" s="91"/>
      <c r="DC106" s="91"/>
      <c r="DD106" s="91">
        <f t="shared" si="29"/>
        <v>48665000</v>
      </c>
      <c r="DE106" s="91">
        <v>48665000</v>
      </c>
      <c r="DF106" s="91"/>
      <c r="DG106" s="91"/>
      <c r="DH106" s="91"/>
      <c r="DI106" s="91"/>
      <c r="DJ106" s="91"/>
      <c r="DK106" s="91"/>
      <c r="DL106" s="91"/>
      <c r="DM106" s="91"/>
      <c r="DN106" s="92"/>
      <c r="DO106" s="93">
        <f t="shared" si="30"/>
        <v>106416400</v>
      </c>
    </row>
    <row r="107" spans="1:119" s="225" customFormat="1" ht="141.75" customHeight="1" x14ac:dyDescent="0.2">
      <c r="A107" s="244">
        <v>1</v>
      </c>
      <c r="B107" s="253" t="s">
        <v>19</v>
      </c>
      <c r="C107" s="59" t="s">
        <v>667</v>
      </c>
      <c r="D107" s="59" t="s">
        <v>24</v>
      </c>
      <c r="E107" s="119" t="s">
        <v>704</v>
      </c>
      <c r="F107" s="13" t="s">
        <v>571</v>
      </c>
      <c r="G107" s="59" t="s">
        <v>816</v>
      </c>
      <c r="H107" s="55" t="s">
        <v>706</v>
      </c>
      <c r="I107" s="13">
        <v>22</v>
      </c>
      <c r="J107" s="13" t="s">
        <v>672</v>
      </c>
      <c r="K107" s="50">
        <v>1</v>
      </c>
      <c r="L107" s="13" t="s">
        <v>672</v>
      </c>
      <c r="M107" s="246">
        <v>15</v>
      </c>
      <c r="N107" s="248">
        <v>2201</v>
      </c>
      <c r="O107" s="245" t="s">
        <v>23</v>
      </c>
      <c r="P107" s="13" t="s">
        <v>817</v>
      </c>
      <c r="Q107" s="13" t="s">
        <v>77</v>
      </c>
      <c r="R107" s="13">
        <v>2201062</v>
      </c>
      <c r="S107" s="59" t="s">
        <v>25</v>
      </c>
      <c r="T107" s="116" t="s">
        <v>818</v>
      </c>
      <c r="U107" s="13" t="s">
        <v>77</v>
      </c>
      <c r="V107" s="13">
        <v>220106200</v>
      </c>
      <c r="W107" s="87" t="s">
        <v>161</v>
      </c>
      <c r="X107" s="88" t="s">
        <v>9</v>
      </c>
      <c r="Y107" s="13">
        <v>54</v>
      </c>
      <c r="Z107" s="13">
        <v>9</v>
      </c>
      <c r="AA107" s="13">
        <f>0+4+15</f>
        <v>19</v>
      </c>
      <c r="AB107" s="13">
        <v>15</v>
      </c>
      <c r="AC107" s="13">
        <v>15</v>
      </c>
      <c r="AD107" s="13">
        <v>15</v>
      </c>
      <c r="AE107" s="89">
        <f t="shared" si="26"/>
        <v>3174263958.52</v>
      </c>
      <c r="AF107" s="89">
        <f t="shared" si="26"/>
        <v>2975897825.52</v>
      </c>
      <c r="AG107" s="89">
        <f t="shared" si="26"/>
        <v>816845445.25333333</v>
      </c>
      <c r="AH107" s="89">
        <f t="shared" si="26"/>
        <v>816845445.25333333</v>
      </c>
      <c r="AI107" s="89">
        <f t="shared" si="26"/>
        <v>313485448.30000001</v>
      </c>
      <c r="AJ107" s="91">
        <v>25000000</v>
      </c>
      <c r="AK107" s="91">
        <f>25000000+628874337</f>
        <v>653874337</v>
      </c>
      <c r="AL107" s="91">
        <f>25000000+310970132.1</f>
        <v>335970132.10000002</v>
      </c>
      <c r="AM107" s="91">
        <v>335970132.10000002</v>
      </c>
      <c r="AN107" s="91">
        <v>313485448.30000001</v>
      </c>
      <c r="AO107" s="91">
        <f>2575091000+372570330</f>
        <v>2947661330</v>
      </c>
      <c r="AP107" s="91"/>
      <c r="AQ107" s="91"/>
      <c r="AR107" s="91"/>
      <c r="AS107" s="91"/>
      <c r="AT107" s="91">
        <v>12426628.52</v>
      </c>
      <c r="AU107" s="91">
        <v>12426628.52</v>
      </c>
      <c r="AV107" s="91"/>
      <c r="AW107" s="91"/>
      <c r="AX107" s="91"/>
      <c r="AY107" s="91"/>
      <c r="AZ107" s="91"/>
      <c r="BA107" s="91"/>
      <c r="BB107" s="91"/>
      <c r="BC107" s="91"/>
      <c r="BD107" s="91"/>
      <c r="BE107" s="91"/>
      <c r="BF107" s="91"/>
      <c r="BG107" s="91"/>
      <c r="BH107" s="91"/>
      <c r="BI107" s="91"/>
      <c r="BJ107" s="91"/>
      <c r="BK107" s="91"/>
      <c r="BL107" s="91"/>
      <c r="BM107" s="91"/>
      <c r="BN107" s="91"/>
      <c r="BO107" s="91"/>
      <c r="BP107" s="91"/>
      <c r="BQ107" s="91"/>
      <c r="BR107" s="91"/>
      <c r="BS107" s="91"/>
      <c r="BT107" s="91">
        <v>1791506530</v>
      </c>
      <c r="BU107" s="91"/>
      <c r="BV107" s="91"/>
      <c r="BW107" s="91"/>
      <c r="BX107" s="91"/>
      <c r="BY107" s="91"/>
      <c r="BZ107" s="91"/>
      <c r="CA107" s="91"/>
      <c r="CB107" s="91"/>
      <c r="CC107" s="91">
        <v>189176000</v>
      </c>
      <c r="CD107" s="91">
        <v>518090330</v>
      </c>
      <c r="CE107" s="91">
        <v>480875313.15333331</v>
      </c>
      <c r="CF107" s="91">
        <v>480875313.15333331</v>
      </c>
      <c r="CG107" s="91"/>
      <c r="CH107" s="91">
        <f t="shared" si="27"/>
        <v>2285619460.1879649</v>
      </c>
      <c r="CI107" s="91">
        <v>3798560</v>
      </c>
      <c r="CJ107" s="91">
        <f>1700000000+581820900.187965</f>
        <v>2281820900.1879649</v>
      </c>
      <c r="CK107" s="91"/>
      <c r="CL107" s="91"/>
      <c r="CM107" s="91"/>
      <c r="CN107" s="91"/>
      <c r="CO107" s="91"/>
      <c r="CP107" s="91"/>
      <c r="CQ107" s="91"/>
      <c r="CR107" s="91"/>
      <c r="CS107" s="91">
        <f t="shared" si="28"/>
        <v>3407963467.666667</v>
      </c>
      <c r="CT107" s="91">
        <v>33778500</v>
      </c>
      <c r="CU107" s="91">
        <f>2700000000+674184967.666667</f>
        <v>3374184967.666667</v>
      </c>
      <c r="CV107" s="91"/>
      <c r="CW107" s="91"/>
      <c r="CX107" s="91"/>
      <c r="CY107" s="91"/>
      <c r="CZ107" s="91"/>
      <c r="DA107" s="91"/>
      <c r="DB107" s="91"/>
      <c r="DC107" s="91"/>
      <c r="DD107" s="91">
        <f t="shared" si="29"/>
        <v>2805632741.0335488</v>
      </c>
      <c r="DE107" s="91">
        <v>34065500</v>
      </c>
      <c r="DF107" s="91">
        <f>2000000000+771567241.033549</f>
        <v>2771567241.0335488</v>
      </c>
      <c r="DG107" s="91"/>
      <c r="DH107" s="91"/>
      <c r="DI107" s="91"/>
      <c r="DJ107" s="91"/>
      <c r="DK107" s="91"/>
      <c r="DL107" s="91"/>
      <c r="DM107" s="91"/>
      <c r="DN107" s="92"/>
      <c r="DO107" s="93">
        <f t="shared" si="30"/>
        <v>11673479627.40818</v>
      </c>
    </row>
    <row r="108" spans="1:119" ht="27" customHeight="1" x14ac:dyDescent="0.2">
      <c r="A108" s="244"/>
      <c r="B108" s="253"/>
      <c r="C108" s="94"/>
      <c r="D108" s="59"/>
      <c r="E108" s="55"/>
      <c r="F108" s="13"/>
      <c r="G108" s="59"/>
      <c r="H108" s="55"/>
      <c r="I108" s="13"/>
      <c r="J108" s="13"/>
      <c r="K108" s="50"/>
      <c r="L108" s="13"/>
      <c r="M108" s="96">
        <v>16</v>
      </c>
      <c r="N108" s="96">
        <v>2301</v>
      </c>
      <c r="O108" s="97" t="s">
        <v>1673</v>
      </c>
      <c r="P108" s="97"/>
      <c r="Q108" s="98"/>
      <c r="R108" s="98"/>
      <c r="S108" s="98"/>
      <c r="T108" s="98"/>
      <c r="U108" s="98"/>
      <c r="V108" s="98"/>
      <c r="W108" s="83"/>
      <c r="X108" s="84"/>
      <c r="Y108" s="84"/>
      <c r="Z108" s="84"/>
      <c r="AA108" s="84"/>
      <c r="AB108" s="84"/>
      <c r="AC108" s="84"/>
      <c r="AD108" s="81"/>
      <c r="AE108" s="99">
        <f>SUM(AE109:AE116)</f>
        <v>200000000</v>
      </c>
      <c r="AF108" s="99">
        <f t="shared" ref="AF108:CG108" si="45">SUM(AF109:AF116)</f>
        <v>200000000</v>
      </c>
      <c r="AG108" s="99">
        <f t="shared" si="45"/>
        <v>189971698</v>
      </c>
      <c r="AH108" s="99">
        <f t="shared" si="45"/>
        <v>189971698</v>
      </c>
      <c r="AI108" s="99">
        <f t="shared" si="45"/>
        <v>0</v>
      </c>
      <c r="AJ108" s="99">
        <f t="shared" si="45"/>
        <v>200000000</v>
      </c>
      <c r="AK108" s="99">
        <f t="shared" si="45"/>
        <v>200000000</v>
      </c>
      <c r="AL108" s="99">
        <f t="shared" si="45"/>
        <v>189971698</v>
      </c>
      <c r="AM108" s="99">
        <f t="shared" si="45"/>
        <v>189971698</v>
      </c>
      <c r="AN108" s="99"/>
      <c r="AO108" s="99">
        <f t="shared" si="45"/>
        <v>0</v>
      </c>
      <c r="AP108" s="99">
        <f t="shared" si="45"/>
        <v>0</v>
      </c>
      <c r="AQ108" s="99">
        <f t="shared" si="45"/>
        <v>0</v>
      </c>
      <c r="AR108" s="99">
        <f t="shared" si="45"/>
        <v>0</v>
      </c>
      <c r="AS108" s="99">
        <f t="shared" si="45"/>
        <v>0</v>
      </c>
      <c r="AT108" s="99">
        <f t="shared" si="45"/>
        <v>0</v>
      </c>
      <c r="AU108" s="99">
        <f t="shared" si="45"/>
        <v>0</v>
      </c>
      <c r="AV108" s="99">
        <f t="shared" si="45"/>
        <v>0</v>
      </c>
      <c r="AW108" s="99">
        <f t="shared" si="45"/>
        <v>0</v>
      </c>
      <c r="AX108" s="99">
        <f t="shared" si="45"/>
        <v>0</v>
      </c>
      <c r="AY108" s="99">
        <f t="shared" si="45"/>
        <v>0</v>
      </c>
      <c r="AZ108" s="99">
        <f t="shared" si="45"/>
        <v>0</v>
      </c>
      <c r="BA108" s="99">
        <f t="shared" si="45"/>
        <v>0</v>
      </c>
      <c r="BB108" s="99">
        <f t="shared" si="45"/>
        <v>0</v>
      </c>
      <c r="BC108" s="99">
        <f t="shared" si="45"/>
        <v>0</v>
      </c>
      <c r="BD108" s="99">
        <f t="shared" si="45"/>
        <v>0</v>
      </c>
      <c r="BE108" s="99">
        <f t="shared" si="45"/>
        <v>0</v>
      </c>
      <c r="BF108" s="99">
        <f t="shared" si="45"/>
        <v>0</v>
      </c>
      <c r="BG108" s="99">
        <f t="shared" si="45"/>
        <v>0</v>
      </c>
      <c r="BH108" s="99">
        <f t="shared" si="45"/>
        <v>0</v>
      </c>
      <c r="BI108" s="99">
        <f t="shared" si="45"/>
        <v>0</v>
      </c>
      <c r="BJ108" s="99">
        <f t="shared" si="45"/>
        <v>0</v>
      </c>
      <c r="BK108" s="99">
        <f t="shared" si="45"/>
        <v>0</v>
      </c>
      <c r="BL108" s="99">
        <f t="shared" si="45"/>
        <v>0</v>
      </c>
      <c r="BM108" s="99">
        <f t="shared" si="45"/>
        <v>0</v>
      </c>
      <c r="BN108" s="99">
        <f t="shared" si="45"/>
        <v>0</v>
      </c>
      <c r="BO108" s="99">
        <f t="shared" si="45"/>
        <v>0</v>
      </c>
      <c r="BP108" s="99">
        <f t="shared" si="45"/>
        <v>0</v>
      </c>
      <c r="BQ108" s="99">
        <f t="shared" si="45"/>
        <v>0</v>
      </c>
      <c r="BR108" s="99">
        <f t="shared" si="45"/>
        <v>0</v>
      </c>
      <c r="BS108" s="99">
        <f t="shared" si="45"/>
        <v>0</v>
      </c>
      <c r="BT108" s="99">
        <f t="shared" si="45"/>
        <v>0</v>
      </c>
      <c r="BU108" s="99">
        <f t="shared" si="45"/>
        <v>0</v>
      </c>
      <c r="BV108" s="99">
        <f t="shared" si="45"/>
        <v>0</v>
      </c>
      <c r="BW108" s="99">
        <f t="shared" si="45"/>
        <v>0</v>
      </c>
      <c r="BX108" s="99">
        <f t="shared" si="45"/>
        <v>0</v>
      </c>
      <c r="BY108" s="99">
        <f t="shared" si="45"/>
        <v>0</v>
      </c>
      <c r="BZ108" s="99">
        <f t="shared" si="45"/>
        <v>0</v>
      </c>
      <c r="CA108" s="99">
        <f t="shared" si="45"/>
        <v>0</v>
      </c>
      <c r="CB108" s="99">
        <f t="shared" si="45"/>
        <v>0</v>
      </c>
      <c r="CC108" s="99">
        <f t="shared" si="45"/>
        <v>0</v>
      </c>
      <c r="CD108" s="99">
        <f t="shared" si="45"/>
        <v>0</v>
      </c>
      <c r="CE108" s="99">
        <f t="shared" si="45"/>
        <v>0</v>
      </c>
      <c r="CF108" s="99">
        <f t="shared" si="45"/>
        <v>0</v>
      </c>
      <c r="CG108" s="99">
        <f t="shared" si="45"/>
        <v>0</v>
      </c>
      <c r="CH108" s="99">
        <f>SUM(CH109:CH117)</f>
        <v>1378342037</v>
      </c>
      <c r="CI108" s="99">
        <f t="shared" ref="CI108:DO108" si="46">SUM(CI109:CI117)</f>
        <v>74842037</v>
      </c>
      <c r="CJ108" s="99">
        <f t="shared" si="46"/>
        <v>0</v>
      </c>
      <c r="CK108" s="99">
        <f t="shared" si="46"/>
        <v>0</v>
      </c>
      <c r="CL108" s="99">
        <f t="shared" si="46"/>
        <v>0</v>
      </c>
      <c r="CM108" s="99">
        <f t="shared" si="46"/>
        <v>0</v>
      </c>
      <c r="CN108" s="99">
        <f t="shared" si="46"/>
        <v>0</v>
      </c>
      <c r="CO108" s="99">
        <f t="shared" si="46"/>
        <v>1303500000</v>
      </c>
      <c r="CP108" s="99">
        <f t="shared" si="46"/>
        <v>0</v>
      </c>
      <c r="CQ108" s="99">
        <f t="shared" si="46"/>
        <v>0</v>
      </c>
      <c r="CR108" s="99">
        <f t="shared" si="46"/>
        <v>0</v>
      </c>
      <c r="CS108" s="99">
        <f t="shared" si="46"/>
        <v>1414785305</v>
      </c>
      <c r="CT108" s="99">
        <f t="shared" si="46"/>
        <v>111285305</v>
      </c>
      <c r="CU108" s="99">
        <f t="shared" si="46"/>
        <v>0</v>
      </c>
      <c r="CV108" s="99">
        <f t="shared" si="46"/>
        <v>0</v>
      </c>
      <c r="CW108" s="99">
        <f t="shared" si="46"/>
        <v>0</v>
      </c>
      <c r="CX108" s="99">
        <f t="shared" si="46"/>
        <v>0</v>
      </c>
      <c r="CY108" s="99">
        <f t="shared" si="46"/>
        <v>0</v>
      </c>
      <c r="CZ108" s="99">
        <f t="shared" si="46"/>
        <v>1303500000</v>
      </c>
      <c r="DA108" s="99">
        <f t="shared" si="46"/>
        <v>0</v>
      </c>
      <c r="DB108" s="99">
        <f t="shared" si="46"/>
        <v>0</v>
      </c>
      <c r="DC108" s="99">
        <f t="shared" si="46"/>
        <v>0</v>
      </c>
      <c r="DD108" s="99">
        <f t="shared" si="46"/>
        <v>2544949059</v>
      </c>
      <c r="DE108" s="99">
        <f t="shared" si="46"/>
        <v>372449059</v>
      </c>
      <c r="DF108" s="99">
        <f t="shared" si="46"/>
        <v>0</v>
      </c>
      <c r="DG108" s="99">
        <f t="shared" si="46"/>
        <v>0</v>
      </c>
      <c r="DH108" s="99">
        <f t="shared" si="46"/>
        <v>0</v>
      </c>
      <c r="DI108" s="99">
        <f t="shared" si="46"/>
        <v>0</v>
      </c>
      <c r="DJ108" s="99">
        <f t="shared" si="46"/>
        <v>0</v>
      </c>
      <c r="DK108" s="99">
        <f t="shared" si="46"/>
        <v>2172500000</v>
      </c>
      <c r="DL108" s="99">
        <f t="shared" si="46"/>
        <v>0</v>
      </c>
      <c r="DM108" s="99">
        <f t="shared" si="46"/>
        <v>0</v>
      </c>
      <c r="DN108" s="99">
        <f t="shared" si="46"/>
        <v>0</v>
      </c>
      <c r="DO108" s="99">
        <f t="shared" si="46"/>
        <v>5586052401</v>
      </c>
    </row>
    <row r="109" spans="1:119" s="225" customFormat="1" ht="173.25" customHeight="1" x14ac:dyDescent="0.2">
      <c r="A109" s="244">
        <v>1</v>
      </c>
      <c r="B109" s="253" t="s">
        <v>19</v>
      </c>
      <c r="C109" s="59" t="s">
        <v>825</v>
      </c>
      <c r="D109" s="59" t="s">
        <v>280</v>
      </c>
      <c r="E109" s="125" t="s">
        <v>840</v>
      </c>
      <c r="F109" s="13" t="s">
        <v>827</v>
      </c>
      <c r="G109" s="129" t="s">
        <v>841</v>
      </c>
      <c r="H109" s="125" t="s">
        <v>1722</v>
      </c>
      <c r="I109" s="13">
        <v>23</v>
      </c>
      <c r="J109" s="59" t="s">
        <v>829</v>
      </c>
      <c r="K109" s="50">
        <v>13</v>
      </c>
      <c r="L109" s="13" t="s">
        <v>346</v>
      </c>
      <c r="M109" s="246">
        <v>16</v>
      </c>
      <c r="N109" s="244">
        <v>2301</v>
      </c>
      <c r="O109" s="245" t="s">
        <v>1673</v>
      </c>
      <c r="P109" s="13" t="s">
        <v>849</v>
      </c>
      <c r="Q109" s="13">
        <v>2301004</v>
      </c>
      <c r="R109" s="13">
        <v>2301004</v>
      </c>
      <c r="S109" s="59" t="s">
        <v>105</v>
      </c>
      <c r="T109" s="13" t="s">
        <v>850</v>
      </c>
      <c r="U109" s="13">
        <v>230100400</v>
      </c>
      <c r="V109" s="13">
        <v>230100400</v>
      </c>
      <c r="W109" s="87" t="s">
        <v>851</v>
      </c>
      <c r="X109" s="88" t="s">
        <v>8</v>
      </c>
      <c r="Y109" s="13">
        <v>1</v>
      </c>
      <c r="Z109" s="13">
        <v>0</v>
      </c>
      <c r="AA109" s="13"/>
      <c r="AB109" s="13">
        <v>1</v>
      </c>
      <c r="AC109" s="13">
        <v>1</v>
      </c>
      <c r="AD109" s="13">
        <v>1</v>
      </c>
      <c r="AE109" s="89">
        <f t="shared" ref="AE109:AF116" si="47">AJ109+AO109+AT109+AY109+BD109+BI109+BN109+BS109+BX109+CC109</f>
        <v>0</v>
      </c>
      <c r="AF109" s="89">
        <f t="shared" si="47"/>
        <v>0</v>
      </c>
      <c r="AG109" s="89">
        <f>AL109+AQ109+AV109+BA109+BF109+BK109+BP109+BU109+BZ109+CE109</f>
        <v>0</v>
      </c>
      <c r="AH109" s="89">
        <f t="shared" ref="AH109:AI111" si="48">AM109+AR109+AW109+BB109+BG109+BL109+BQ109+BV109+CA109+CF109</f>
        <v>0</v>
      </c>
      <c r="AI109" s="89">
        <f t="shared" si="48"/>
        <v>0</v>
      </c>
      <c r="AJ109" s="91"/>
      <c r="AK109" s="91"/>
      <c r="AL109" s="91"/>
      <c r="AM109" s="91"/>
      <c r="AN109" s="91"/>
      <c r="AO109" s="91"/>
      <c r="AP109" s="91"/>
      <c r="AQ109" s="91"/>
      <c r="AR109" s="91"/>
      <c r="AS109" s="91"/>
      <c r="AT109" s="91"/>
      <c r="AU109" s="91"/>
      <c r="AV109" s="91"/>
      <c r="AW109" s="91"/>
      <c r="AX109" s="91"/>
      <c r="AY109" s="91"/>
      <c r="AZ109" s="91"/>
      <c r="BA109" s="91"/>
      <c r="BB109" s="91"/>
      <c r="BC109" s="91"/>
      <c r="BD109" s="91"/>
      <c r="BE109" s="91"/>
      <c r="BF109" s="91"/>
      <c r="BG109" s="91"/>
      <c r="BH109" s="91"/>
      <c r="BI109" s="91"/>
      <c r="BJ109" s="91"/>
      <c r="BK109" s="91"/>
      <c r="BL109" s="91"/>
      <c r="BM109" s="91"/>
      <c r="BN109" s="91"/>
      <c r="BO109" s="91"/>
      <c r="BP109" s="91"/>
      <c r="BQ109" s="91"/>
      <c r="BR109" s="91"/>
      <c r="BS109" s="91"/>
      <c r="BT109" s="91"/>
      <c r="BU109" s="91"/>
      <c r="BV109" s="91"/>
      <c r="BW109" s="91"/>
      <c r="BX109" s="91"/>
      <c r="BY109" s="91"/>
      <c r="BZ109" s="91"/>
      <c r="CA109" s="91"/>
      <c r="CB109" s="91"/>
      <c r="CC109" s="91"/>
      <c r="CD109" s="91"/>
      <c r="CE109" s="91"/>
      <c r="CF109" s="91"/>
      <c r="CG109" s="91"/>
      <c r="CH109" s="91">
        <f t="shared" ref="CH109:CH117" si="49">CI109+CJ109+CK109+CL109+CM109+CN109+CO109+CP109+CQ109+CR109</f>
        <v>7496397</v>
      </c>
      <c r="CI109" s="91">
        <v>4496397</v>
      </c>
      <c r="CJ109" s="91"/>
      <c r="CK109" s="91"/>
      <c r="CL109" s="91"/>
      <c r="CM109" s="91"/>
      <c r="CN109" s="91"/>
      <c r="CO109" s="91">
        <v>3000000</v>
      </c>
      <c r="CP109" s="91"/>
      <c r="CQ109" s="91"/>
      <c r="CR109" s="91"/>
      <c r="CS109" s="91">
        <f t="shared" ref="CS109:CS117" si="50">CT109+CU109+CV109+CW109+CX109+CY109+CZ109+DA109+DB109+DC109</f>
        <v>10265951</v>
      </c>
      <c r="CT109" s="91">
        <v>7265951</v>
      </c>
      <c r="CU109" s="91"/>
      <c r="CV109" s="91"/>
      <c r="CW109" s="91"/>
      <c r="CX109" s="91"/>
      <c r="CY109" s="91"/>
      <c r="CZ109" s="91">
        <v>3000000</v>
      </c>
      <c r="DA109" s="91"/>
      <c r="DB109" s="91"/>
      <c r="DC109" s="91"/>
      <c r="DD109" s="91">
        <f t="shared" ref="DD109:DD117" si="51">DE109+DF109+DG109+DH109+DI109+DJ109+DK109+DL109+DM109+DN109</f>
        <v>19302885</v>
      </c>
      <c r="DE109" s="91">
        <v>14302885</v>
      </c>
      <c r="DF109" s="91"/>
      <c r="DG109" s="91"/>
      <c r="DH109" s="91"/>
      <c r="DI109" s="91"/>
      <c r="DJ109" s="91"/>
      <c r="DK109" s="91">
        <v>5000000</v>
      </c>
      <c r="DL109" s="91"/>
      <c r="DM109" s="91"/>
      <c r="DN109" s="92"/>
      <c r="DO109" s="93">
        <f t="shared" ref="DO109:DO116" si="52">AE109+CH109+CS109+DD109</f>
        <v>37065233</v>
      </c>
    </row>
    <row r="110" spans="1:119" s="225" customFormat="1" ht="141.75" customHeight="1" x14ac:dyDescent="0.2">
      <c r="A110" s="244">
        <v>1</v>
      </c>
      <c r="B110" s="253" t="s">
        <v>19</v>
      </c>
      <c r="C110" s="59" t="s">
        <v>825</v>
      </c>
      <c r="D110" s="59" t="s">
        <v>279</v>
      </c>
      <c r="E110" s="119" t="s">
        <v>826</v>
      </c>
      <c r="F110" s="13" t="s">
        <v>827</v>
      </c>
      <c r="G110" s="59" t="s">
        <v>828</v>
      </c>
      <c r="H110" s="125" t="s">
        <v>1723</v>
      </c>
      <c r="I110" s="13">
        <v>23</v>
      </c>
      <c r="J110" s="13" t="s">
        <v>829</v>
      </c>
      <c r="K110" s="50">
        <v>13</v>
      </c>
      <c r="L110" s="13" t="s">
        <v>346</v>
      </c>
      <c r="M110" s="246">
        <v>16</v>
      </c>
      <c r="N110" s="244">
        <v>2301</v>
      </c>
      <c r="O110" s="245" t="s">
        <v>1673</v>
      </c>
      <c r="P110" s="13" t="s">
        <v>830</v>
      </c>
      <c r="Q110" s="13">
        <v>2301012</v>
      </c>
      <c r="R110" s="50">
        <v>2301079</v>
      </c>
      <c r="S110" s="59" t="s">
        <v>831</v>
      </c>
      <c r="T110" s="116" t="s">
        <v>832</v>
      </c>
      <c r="U110" s="13">
        <v>230101204</v>
      </c>
      <c r="V110" s="13">
        <v>230107902</v>
      </c>
      <c r="W110" s="87" t="s">
        <v>833</v>
      </c>
      <c r="X110" s="88" t="s">
        <v>9</v>
      </c>
      <c r="Y110" s="13">
        <v>43</v>
      </c>
      <c r="Z110" s="13">
        <v>0</v>
      </c>
      <c r="AA110" s="13"/>
      <c r="AB110" s="13">
        <v>13</v>
      </c>
      <c r="AC110" s="13">
        <v>15</v>
      </c>
      <c r="AD110" s="13">
        <v>15</v>
      </c>
      <c r="AE110" s="89">
        <f t="shared" si="47"/>
        <v>0</v>
      </c>
      <c r="AF110" s="89">
        <f t="shared" si="47"/>
        <v>0</v>
      </c>
      <c r="AG110" s="89">
        <f>AL110+AQ110+AV110+BA110+BF110+BK110+BP110+BU110+BZ110+CE110</f>
        <v>0</v>
      </c>
      <c r="AH110" s="89">
        <f t="shared" si="48"/>
        <v>0</v>
      </c>
      <c r="AI110" s="89">
        <f t="shared" si="48"/>
        <v>0</v>
      </c>
      <c r="AJ110" s="91"/>
      <c r="AK110" s="91"/>
      <c r="AL110" s="91"/>
      <c r="AM110" s="91"/>
      <c r="AN110" s="91"/>
      <c r="AO110" s="91"/>
      <c r="AP110" s="91"/>
      <c r="AQ110" s="91"/>
      <c r="AR110" s="91"/>
      <c r="AS110" s="91"/>
      <c r="AT110" s="91"/>
      <c r="AU110" s="91"/>
      <c r="AV110" s="91"/>
      <c r="AW110" s="91"/>
      <c r="AX110" s="91"/>
      <c r="AY110" s="91"/>
      <c r="AZ110" s="91"/>
      <c r="BA110" s="91"/>
      <c r="BB110" s="91"/>
      <c r="BC110" s="91"/>
      <c r="BD110" s="91"/>
      <c r="BE110" s="91"/>
      <c r="BF110" s="91"/>
      <c r="BG110" s="91"/>
      <c r="BH110" s="91"/>
      <c r="BI110" s="91"/>
      <c r="BJ110" s="91"/>
      <c r="BK110" s="91"/>
      <c r="BL110" s="91"/>
      <c r="BM110" s="91"/>
      <c r="BN110" s="91"/>
      <c r="BO110" s="91"/>
      <c r="BP110" s="91"/>
      <c r="BQ110" s="91"/>
      <c r="BR110" s="91"/>
      <c r="BS110" s="91"/>
      <c r="BT110" s="91"/>
      <c r="BU110" s="91"/>
      <c r="BV110" s="91"/>
      <c r="BW110" s="91"/>
      <c r="BX110" s="91"/>
      <c r="BY110" s="91"/>
      <c r="BZ110" s="91"/>
      <c r="CA110" s="91"/>
      <c r="CB110" s="91"/>
      <c r="CC110" s="91"/>
      <c r="CD110" s="91"/>
      <c r="CE110" s="91"/>
      <c r="CF110" s="91"/>
      <c r="CG110" s="91"/>
      <c r="CH110" s="91">
        <f t="shared" si="49"/>
        <v>122000000</v>
      </c>
      <c r="CI110" s="91">
        <v>17000000</v>
      </c>
      <c r="CJ110" s="91"/>
      <c r="CK110" s="91"/>
      <c r="CL110" s="91"/>
      <c r="CM110" s="91"/>
      <c r="CN110" s="91"/>
      <c r="CO110" s="91">
        <v>105000000</v>
      </c>
      <c r="CP110" s="91"/>
      <c r="CQ110" s="91"/>
      <c r="CR110" s="91"/>
      <c r="CS110" s="91">
        <f t="shared" si="50"/>
        <v>113405321</v>
      </c>
      <c r="CT110" s="91">
        <v>8405321</v>
      </c>
      <c r="CU110" s="91"/>
      <c r="CV110" s="91"/>
      <c r="CW110" s="91"/>
      <c r="CX110" s="91"/>
      <c r="CY110" s="91"/>
      <c r="CZ110" s="91">
        <v>105000000</v>
      </c>
      <c r="DA110" s="91"/>
      <c r="DB110" s="91"/>
      <c r="DC110" s="91"/>
      <c r="DD110" s="91">
        <f t="shared" si="51"/>
        <v>221403325</v>
      </c>
      <c r="DE110" s="91">
        <v>46403325</v>
      </c>
      <c r="DF110" s="91"/>
      <c r="DG110" s="91"/>
      <c r="DH110" s="91"/>
      <c r="DI110" s="91"/>
      <c r="DJ110" s="91"/>
      <c r="DK110" s="91">
        <v>175000000</v>
      </c>
      <c r="DL110" s="91"/>
      <c r="DM110" s="91"/>
      <c r="DN110" s="92"/>
      <c r="DO110" s="93">
        <f t="shared" si="52"/>
        <v>456808646</v>
      </c>
    </row>
    <row r="111" spans="1:119" s="225" customFormat="1" ht="173.25" customHeight="1" x14ac:dyDescent="0.2">
      <c r="A111" s="244">
        <v>1</v>
      </c>
      <c r="B111" s="253" t="s">
        <v>19</v>
      </c>
      <c r="C111" s="59" t="s">
        <v>825</v>
      </c>
      <c r="D111" s="59" t="s">
        <v>280</v>
      </c>
      <c r="E111" s="125" t="s">
        <v>840</v>
      </c>
      <c r="F111" s="13" t="s">
        <v>827</v>
      </c>
      <c r="G111" s="129" t="s">
        <v>841</v>
      </c>
      <c r="H111" s="125" t="s">
        <v>1722</v>
      </c>
      <c r="I111" s="13">
        <v>23</v>
      </c>
      <c r="J111" s="59" t="s">
        <v>829</v>
      </c>
      <c r="K111" s="50">
        <v>13</v>
      </c>
      <c r="L111" s="13" t="s">
        <v>346</v>
      </c>
      <c r="M111" s="246">
        <v>16</v>
      </c>
      <c r="N111" s="244">
        <v>2301</v>
      </c>
      <c r="O111" s="245" t="s">
        <v>1673</v>
      </c>
      <c r="P111" s="13" t="s">
        <v>845</v>
      </c>
      <c r="Q111" s="13">
        <v>2301015</v>
      </c>
      <c r="R111" s="13">
        <v>2301015</v>
      </c>
      <c r="S111" s="59" t="s">
        <v>846</v>
      </c>
      <c r="T111" s="13" t="s">
        <v>847</v>
      </c>
      <c r="U111" s="13">
        <v>230101500</v>
      </c>
      <c r="V111" s="13">
        <v>230101500</v>
      </c>
      <c r="W111" s="87" t="s">
        <v>848</v>
      </c>
      <c r="X111" s="88" t="s">
        <v>8</v>
      </c>
      <c r="Y111" s="13">
        <v>3</v>
      </c>
      <c r="Z111" s="13">
        <v>0</v>
      </c>
      <c r="AA111" s="13"/>
      <c r="AB111" s="13">
        <v>3</v>
      </c>
      <c r="AC111" s="13">
        <v>3</v>
      </c>
      <c r="AD111" s="13">
        <v>3</v>
      </c>
      <c r="AE111" s="89">
        <f t="shared" si="47"/>
        <v>0</v>
      </c>
      <c r="AF111" s="89">
        <f t="shared" si="47"/>
        <v>0</v>
      </c>
      <c r="AG111" s="89">
        <f>AL111+AQ111+AV111+BA111+BF111+BK111+BP111+BU111+BZ111+CE111</f>
        <v>0</v>
      </c>
      <c r="AH111" s="89">
        <f t="shared" si="48"/>
        <v>0</v>
      </c>
      <c r="AI111" s="89">
        <f t="shared" si="48"/>
        <v>0</v>
      </c>
      <c r="AJ111" s="91"/>
      <c r="AK111" s="91"/>
      <c r="AL111" s="91"/>
      <c r="AM111" s="91"/>
      <c r="AN111" s="91"/>
      <c r="AO111" s="91"/>
      <c r="AP111" s="91"/>
      <c r="AQ111" s="91"/>
      <c r="AR111" s="91"/>
      <c r="AS111" s="91"/>
      <c r="AT111" s="91"/>
      <c r="AU111" s="91"/>
      <c r="AV111" s="91"/>
      <c r="AW111" s="91"/>
      <c r="AX111" s="91"/>
      <c r="AY111" s="91"/>
      <c r="AZ111" s="91"/>
      <c r="BA111" s="91"/>
      <c r="BB111" s="91"/>
      <c r="BC111" s="91"/>
      <c r="BD111" s="91"/>
      <c r="BE111" s="91"/>
      <c r="BF111" s="91"/>
      <c r="BG111" s="91"/>
      <c r="BH111" s="91"/>
      <c r="BI111" s="91"/>
      <c r="BJ111" s="91"/>
      <c r="BK111" s="91"/>
      <c r="BL111" s="91"/>
      <c r="BM111" s="91"/>
      <c r="BN111" s="91"/>
      <c r="BO111" s="91"/>
      <c r="BP111" s="91"/>
      <c r="BQ111" s="91"/>
      <c r="BR111" s="91"/>
      <c r="BS111" s="91"/>
      <c r="BT111" s="91"/>
      <c r="BU111" s="91"/>
      <c r="BV111" s="91"/>
      <c r="BW111" s="91"/>
      <c r="BX111" s="91"/>
      <c r="BY111" s="91"/>
      <c r="BZ111" s="91"/>
      <c r="CA111" s="91"/>
      <c r="CB111" s="91"/>
      <c r="CC111" s="91"/>
      <c r="CD111" s="91"/>
      <c r="CE111" s="91"/>
      <c r="CF111" s="91"/>
      <c r="CG111" s="91"/>
      <c r="CH111" s="91">
        <f t="shared" si="49"/>
        <v>12996397</v>
      </c>
      <c r="CI111" s="91">
        <v>5496397</v>
      </c>
      <c r="CJ111" s="91"/>
      <c r="CK111" s="91"/>
      <c r="CL111" s="91"/>
      <c r="CM111" s="91"/>
      <c r="CN111" s="91"/>
      <c r="CO111" s="91">
        <v>7500000</v>
      </c>
      <c r="CP111" s="91"/>
      <c r="CQ111" s="91"/>
      <c r="CR111" s="91"/>
      <c r="CS111" s="91">
        <f t="shared" si="50"/>
        <v>15765951</v>
      </c>
      <c r="CT111" s="91">
        <v>8265951</v>
      </c>
      <c r="CU111" s="91"/>
      <c r="CV111" s="91"/>
      <c r="CW111" s="91"/>
      <c r="CX111" s="91"/>
      <c r="CY111" s="91"/>
      <c r="CZ111" s="91">
        <v>7500000</v>
      </c>
      <c r="DA111" s="91"/>
      <c r="DB111" s="91"/>
      <c r="DC111" s="91"/>
      <c r="DD111" s="91">
        <f t="shared" si="51"/>
        <v>46802885</v>
      </c>
      <c r="DE111" s="91">
        <v>34302885</v>
      </c>
      <c r="DF111" s="91"/>
      <c r="DG111" s="91"/>
      <c r="DH111" s="91"/>
      <c r="DI111" s="91"/>
      <c r="DJ111" s="91"/>
      <c r="DK111" s="91">
        <v>12500000</v>
      </c>
      <c r="DL111" s="91"/>
      <c r="DM111" s="91"/>
      <c r="DN111" s="92"/>
      <c r="DO111" s="93">
        <f t="shared" si="52"/>
        <v>75565233</v>
      </c>
    </row>
    <row r="112" spans="1:119" s="225" customFormat="1" ht="141.75" customHeight="1" x14ac:dyDescent="0.2">
      <c r="A112" s="244">
        <v>1</v>
      </c>
      <c r="B112" s="253" t="s">
        <v>19</v>
      </c>
      <c r="C112" s="59" t="s">
        <v>825</v>
      </c>
      <c r="D112" s="59" t="s">
        <v>279</v>
      </c>
      <c r="E112" s="119" t="s">
        <v>826</v>
      </c>
      <c r="F112" s="13" t="s">
        <v>827</v>
      </c>
      <c r="G112" s="59" t="s">
        <v>828</v>
      </c>
      <c r="H112" s="125" t="s">
        <v>1723</v>
      </c>
      <c r="I112" s="13">
        <v>23</v>
      </c>
      <c r="J112" s="59" t="s">
        <v>829</v>
      </c>
      <c r="K112" s="50">
        <v>13</v>
      </c>
      <c r="L112" s="13" t="s">
        <v>346</v>
      </c>
      <c r="M112" s="246">
        <v>16</v>
      </c>
      <c r="N112" s="244">
        <v>2301</v>
      </c>
      <c r="O112" s="245" t="s">
        <v>1673</v>
      </c>
      <c r="P112" s="13" t="s">
        <v>834</v>
      </c>
      <c r="Q112" s="13">
        <v>2301024</v>
      </c>
      <c r="R112" s="13">
        <v>2301024</v>
      </c>
      <c r="S112" s="59" t="s">
        <v>835</v>
      </c>
      <c r="T112" s="13" t="s">
        <v>836</v>
      </c>
      <c r="U112" s="13">
        <v>230102401</v>
      </c>
      <c r="V112" s="13">
        <v>230102401</v>
      </c>
      <c r="W112" s="87" t="s">
        <v>837</v>
      </c>
      <c r="X112" s="88" t="s">
        <v>8</v>
      </c>
      <c r="Y112" s="13">
        <v>15</v>
      </c>
      <c r="Z112" s="13">
        <v>0</v>
      </c>
      <c r="AA112" s="13"/>
      <c r="AB112" s="13">
        <v>15</v>
      </c>
      <c r="AC112" s="13">
        <v>15</v>
      </c>
      <c r="AD112" s="13">
        <v>15</v>
      </c>
      <c r="AE112" s="89">
        <f t="shared" ref="AE112" si="53">AJ112+AO112+AT112+AY112+BD112+BI112+BN112+BS112+BX112+CC112</f>
        <v>0</v>
      </c>
      <c r="AF112" s="89">
        <f t="shared" ref="AF112" si="54">AK112+AP112+AU112+AZ112+BE112+BJ112+BO112+BT112+BY112+CD112</f>
        <v>0</v>
      </c>
      <c r="AG112" s="89">
        <f>AL112+AQ112+AV112+BA112+BF112+BK112+BP112+BU112+BZ112+CE112</f>
        <v>0</v>
      </c>
      <c r="AH112" s="89">
        <f t="shared" ref="AH112" si="55">AM112+AR112+AW112+BB112+BG112+BL112+BQ112+BV112+CA112+CF112</f>
        <v>0</v>
      </c>
      <c r="AI112" s="89">
        <f t="shared" ref="AI112" si="56">AN112+AS112+AX112+BC112+BH112+BM112+BR112+BW112+CB112+CG112</f>
        <v>0</v>
      </c>
      <c r="AJ112" s="130"/>
      <c r="AK112" s="130"/>
      <c r="AL112" s="130"/>
      <c r="AM112" s="130"/>
      <c r="AN112" s="130"/>
      <c r="AO112" s="91"/>
      <c r="AP112" s="130"/>
      <c r="AQ112" s="91"/>
      <c r="AR112" s="91"/>
      <c r="AS112" s="91"/>
      <c r="AT112" s="91"/>
      <c r="AU112" s="130"/>
      <c r="AV112" s="91"/>
      <c r="AW112" s="91"/>
      <c r="AX112" s="91"/>
      <c r="AY112" s="91"/>
      <c r="AZ112" s="130"/>
      <c r="BA112" s="91"/>
      <c r="BB112" s="91"/>
      <c r="BC112" s="91"/>
      <c r="BD112" s="91"/>
      <c r="BE112" s="130"/>
      <c r="BF112" s="91"/>
      <c r="BG112" s="91"/>
      <c r="BH112" s="91"/>
      <c r="BI112" s="91"/>
      <c r="BJ112" s="130"/>
      <c r="BK112" s="91"/>
      <c r="BL112" s="91"/>
      <c r="BM112" s="91"/>
      <c r="BN112" s="91"/>
      <c r="BO112" s="130"/>
      <c r="BP112" s="91"/>
      <c r="BQ112" s="91"/>
      <c r="BR112" s="91"/>
      <c r="BS112" s="91"/>
      <c r="BT112" s="130"/>
      <c r="BU112" s="91"/>
      <c r="BV112" s="91"/>
      <c r="BW112" s="91"/>
      <c r="BX112" s="91"/>
      <c r="BY112" s="130"/>
      <c r="BZ112" s="91"/>
      <c r="CA112" s="91"/>
      <c r="CB112" s="91"/>
      <c r="CC112" s="91"/>
      <c r="CD112" s="130"/>
      <c r="CE112" s="91"/>
      <c r="CF112" s="91"/>
      <c r="CG112" s="91"/>
      <c r="CH112" s="91">
        <f t="shared" si="49"/>
        <v>10278639</v>
      </c>
      <c r="CI112" s="91">
        <v>7278639</v>
      </c>
      <c r="CJ112" s="91"/>
      <c r="CK112" s="91"/>
      <c r="CL112" s="91"/>
      <c r="CM112" s="91"/>
      <c r="CN112" s="91"/>
      <c r="CO112" s="91">
        <v>3000000</v>
      </c>
      <c r="CP112" s="91"/>
      <c r="CQ112" s="91"/>
      <c r="CR112" s="91"/>
      <c r="CS112" s="91">
        <f t="shared" si="50"/>
        <v>13223977</v>
      </c>
      <c r="CT112" s="91">
        <v>10223977</v>
      </c>
      <c r="CU112" s="91"/>
      <c r="CV112" s="91"/>
      <c r="CW112" s="91"/>
      <c r="CX112" s="91"/>
      <c r="CY112" s="91"/>
      <c r="CZ112" s="91">
        <v>3000000</v>
      </c>
      <c r="DA112" s="91"/>
      <c r="DB112" s="91"/>
      <c r="DC112" s="91"/>
      <c r="DD112" s="91">
        <f t="shared" si="51"/>
        <v>38935631</v>
      </c>
      <c r="DE112" s="91">
        <v>33935631</v>
      </c>
      <c r="DF112" s="91"/>
      <c r="DG112" s="91"/>
      <c r="DH112" s="91"/>
      <c r="DI112" s="91"/>
      <c r="DJ112" s="91"/>
      <c r="DK112" s="91">
        <v>5000000</v>
      </c>
      <c r="DL112" s="91"/>
      <c r="DM112" s="91"/>
      <c r="DN112" s="92"/>
      <c r="DO112" s="93">
        <f>AE113+CH112+CS112+DD112</f>
        <v>214462247</v>
      </c>
    </row>
    <row r="113" spans="1:119" s="225" customFormat="1" ht="141.75" customHeight="1" x14ac:dyDescent="0.2">
      <c r="A113" s="244">
        <v>1</v>
      </c>
      <c r="B113" s="253" t="s">
        <v>19</v>
      </c>
      <c r="C113" s="59" t="s">
        <v>825</v>
      </c>
      <c r="D113" s="59" t="s">
        <v>279</v>
      </c>
      <c r="E113" s="119" t="s">
        <v>826</v>
      </c>
      <c r="F113" s="13" t="s">
        <v>827</v>
      </c>
      <c r="G113" s="59" t="s">
        <v>828</v>
      </c>
      <c r="H113" s="125" t="s">
        <v>1723</v>
      </c>
      <c r="I113" s="13">
        <v>23</v>
      </c>
      <c r="J113" s="59" t="s">
        <v>829</v>
      </c>
      <c r="K113" s="50">
        <v>13</v>
      </c>
      <c r="L113" s="13" t="s">
        <v>346</v>
      </c>
      <c r="M113" s="246">
        <v>16</v>
      </c>
      <c r="N113" s="244">
        <v>2301</v>
      </c>
      <c r="O113" s="245" t="s">
        <v>1673</v>
      </c>
      <c r="P113" s="13" t="s">
        <v>834</v>
      </c>
      <c r="Q113" s="13">
        <v>2301024</v>
      </c>
      <c r="R113" s="13">
        <v>2301024</v>
      </c>
      <c r="S113" s="59" t="s">
        <v>835</v>
      </c>
      <c r="T113" s="13" t="s">
        <v>838</v>
      </c>
      <c r="U113" s="13">
        <v>230102404</v>
      </c>
      <c r="V113" s="13">
        <v>230102404</v>
      </c>
      <c r="W113" s="87" t="s">
        <v>839</v>
      </c>
      <c r="X113" s="88" t="s">
        <v>9</v>
      </c>
      <c r="Y113" s="13">
        <v>12</v>
      </c>
      <c r="Z113" s="13">
        <v>1</v>
      </c>
      <c r="AA113" s="13">
        <v>1</v>
      </c>
      <c r="AB113" s="13">
        <v>3</v>
      </c>
      <c r="AC113" s="13">
        <v>4</v>
      </c>
      <c r="AD113" s="13">
        <v>4</v>
      </c>
      <c r="AE113" s="89">
        <f>AJ113+AO112+AT112+AY112+BD112+BI112+BN112+BS112+BX112+CC112</f>
        <v>152024000</v>
      </c>
      <c r="AF113" s="89">
        <f>AK113+AP112+AU112+AZ112+BE112+BJ112+BO112+BT112+BY112+CD112</f>
        <v>175841070</v>
      </c>
      <c r="AG113" s="89">
        <f>AL113+AQ112+AV112+BA112+BF112+BK112+BP112+BU112+BZ112+CE112</f>
        <v>165812768</v>
      </c>
      <c r="AH113" s="89">
        <f>AM113+AR112+AW112+BB112+BG112+BL112+BQ112+BV112+CA112+CF112</f>
        <v>165812768</v>
      </c>
      <c r="AI113" s="89">
        <f>AN113+AS112+AX112+BC112+BH112+BM112+BR112+BW112+CB112+CG112</f>
        <v>0</v>
      </c>
      <c r="AJ113" s="91">
        <v>152024000</v>
      </c>
      <c r="AK113" s="91">
        <v>175841070</v>
      </c>
      <c r="AL113" s="91">
        <v>165812768</v>
      </c>
      <c r="AM113" s="91">
        <v>165812768</v>
      </c>
      <c r="AN113" s="91"/>
      <c r="AO113" s="91">
        <v>0</v>
      </c>
      <c r="AP113" s="91"/>
      <c r="AQ113" s="91">
        <v>0</v>
      </c>
      <c r="AR113" s="91">
        <v>0</v>
      </c>
      <c r="AS113" s="91">
        <v>0</v>
      </c>
      <c r="AT113" s="91">
        <v>0</v>
      </c>
      <c r="AU113" s="91"/>
      <c r="AV113" s="91">
        <v>0</v>
      </c>
      <c r="AW113" s="91">
        <v>0</v>
      </c>
      <c r="AX113" s="91">
        <v>0</v>
      </c>
      <c r="AY113" s="91">
        <v>0</v>
      </c>
      <c r="AZ113" s="91"/>
      <c r="BA113" s="91">
        <v>0</v>
      </c>
      <c r="BB113" s="91">
        <v>0</v>
      </c>
      <c r="BC113" s="91"/>
      <c r="BD113" s="91">
        <v>0</v>
      </c>
      <c r="BE113" s="91"/>
      <c r="BF113" s="91">
        <v>0</v>
      </c>
      <c r="BG113" s="91">
        <v>0</v>
      </c>
      <c r="BH113" s="91">
        <v>0</v>
      </c>
      <c r="BI113" s="91">
        <v>0</v>
      </c>
      <c r="BJ113" s="91"/>
      <c r="BK113" s="91">
        <v>0</v>
      </c>
      <c r="BL113" s="91">
        <v>0</v>
      </c>
      <c r="BM113" s="91"/>
      <c r="BN113" s="91">
        <v>0</v>
      </c>
      <c r="BO113" s="91"/>
      <c r="BP113" s="91">
        <v>0</v>
      </c>
      <c r="BQ113" s="91">
        <v>0</v>
      </c>
      <c r="BR113" s="91">
        <v>0</v>
      </c>
      <c r="BS113" s="91">
        <v>0</v>
      </c>
      <c r="BT113" s="91"/>
      <c r="BU113" s="91">
        <v>0</v>
      </c>
      <c r="BV113" s="91">
        <v>0</v>
      </c>
      <c r="BW113" s="91"/>
      <c r="BX113" s="91">
        <v>0</v>
      </c>
      <c r="BY113" s="91"/>
      <c r="BZ113" s="91">
        <v>0</v>
      </c>
      <c r="CA113" s="91">
        <v>0</v>
      </c>
      <c r="CB113" s="91"/>
      <c r="CC113" s="91">
        <v>0</v>
      </c>
      <c r="CD113" s="91"/>
      <c r="CE113" s="91">
        <v>0</v>
      </c>
      <c r="CF113" s="91">
        <v>0</v>
      </c>
      <c r="CG113" s="91">
        <v>0</v>
      </c>
      <c r="CH113" s="91">
        <f t="shared" si="49"/>
        <v>545270897</v>
      </c>
      <c r="CI113" s="91">
        <v>20270897</v>
      </c>
      <c r="CJ113" s="91">
        <v>0</v>
      </c>
      <c r="CK113" s="91">
        <v>0</v>
      </c>
      <c r="CL113" s="91">
        <v>0</v>
      </c>
      <c r="CM113" s="91">
        <v>0</v>
      </c>
      <c r="CN113" s="91">
        <v>0</v>
      </c>
      <c r="CO113" s="91">
        <v>525000000</v>
      </c>
      <c r="CP113" s="91">
        <v>0</v>
      </c>
      <c r="CQ113" s="91">
        <v>0</v>
      </c>
      <c r="CR113" s="91">
        <v>0</v>
      </c>
      <c r="CS113" s="91">
        <f t="shared" si="50"/>
        <v>564849007</v>
      </c>
      <c r="CT113" s="91">
        <v>39849007</v>
      </c>
      <c r="CU113" s="91">
        <v>0</v>
      </c>
      <c r="CV113" s="91">
        <v>0</v>
      </c>
      <c r="CW113" s="91">
        <v>0</v>
      </c>
      <c r="CX113" s="91">
        <v>0</v>
      </c>
      <c r="CY113" s="91">
        <v>0</v>
      </c>
      <c r="CZ113" s="91">
        <v>525000000</v>
      </c>
      <c r="DA113" s="91">
        <v>0</v>
      </c>
      <c r="DB113" s="91">
        <v>0</v>
      </c>
      <c r="DC113" s="91">
        <v>0</v>
      </c>
      <c r="DD113" s="91">
        <f t="shared" si="51"/>
        <v>964393585</v>
      </c>
      <c r="DE113" s="91">
        <v>89393585</v>
      </c>
      <c r="DF113" s="91">
        <v>0</v>
      </c>
      <c r="DG113" s="91">
        <v>0</v>
      </c>
      <c r="DH113" s="91">
        <v>0</v>
      </c>
      <c r="DI113" s="91">
        <v>0</v>
      </c>
      <c r="DJ113" s="91">
        <v>0</v>
      </c>
      <c r="DK113" s="91">
        <v>875000000</v>
      </c>
      <c r="DL113" s="91"/>
      <c r="DM113" s="91"/>
      <c r="DN113" s="92"/>
      <c r="DO113" s="93">
        <f>AE114+CH113+CS113+DD113</f>
        <v>2122489489</v>
      </c>
    </row>
    <row r="114" spans="1:119" s="225" customFormat="1" ht="128.25" customHeight="1" x14ac:dyDescent="0.2">
      <c r="A114" s="244">
        <v>1</v>
      </c>
      <c r="B114" s="253" t="s">
        <v>19</v>
      </c>
      <c r="C114" s="59" t="s">
        <v>825</v>
      </c>
      <c r="D114" s="59" t="s">
        <v>280</v>
      </c>
      <c r="E114" s="125" t="s">
        <v>840</v>
      </c>
      <c r="F114" s="13" t="s">
        <v>827</v>
      </c>
      <c r="G114" s="129" t="s">
        <v>841</v>
      </c>
      <c r="H114" s="125" t="s">
        <v>1722</v>
      </c>
      <c r="I114" s="13">
        <v>23</v>
      </c>
      <c r="J114" s="13" t="s">
        <v>829</v>
      </c>
      <c r="K114" s="50">
        <v>13</v>
      </c>
      <c r="L114" s="13" t="s">
        <v>346</v>
      </c>
      <c r="M114" s="246">
        <v>16</v>
      </c>
      <c r="N114" s="244">
        <v>2301</v>
      </c>
      <c r="O114" s="245" t="s">
        <v>1673</v>
      </c>
      <c r="P114" s="13" t="s">
        <v>842</v>
      </c>
      <c r="Q114" s="13">
        <v>2301030</v>
      </c>
      <c r="R114" s="13">
        <v>2301030</v>
      </c>
      <c r="S114" s="59" t="s">
        <v>281</v>
      </c>
      <c r="T114" s="13" t="s">
        <v>843</v>
      </c>
      <c r="U114" s="13">
        <v>230103000</v>
      </c>
      <c r="V114" s="13">
        <v>230103000</v>
      </c>
      <c r="W114" s="87" t="s">
        <v>844</v>
      </c>
      <c r="X114" s="88" t="s">
        <v>9</v>
      </c>
      <c r="Y114" s="13">
        <v>17000</v>
      </c>
      <c r="Z114" s="13">
        <v>500</v>
      </c>
      <c r="AA114" s="13">
        <v>500</v>
      </c>
      <c r="AB114" s="13">
        <v>2500</v>
      </c>
      <c r="AC114" s="13">
        <v>7000</v>
      </c>
      <c r="AD114" s="13">
        <v>7000</v>
      </c>
      <c r="AE114" s="89">
        <f t="shared" si="47"/>
        <v>47976000</v>
      </c>
      <c r="AF114" s="89">
        <f t="shared" ref="AF114" si="57">AK114+AP114+AU114+AZ114+BE114+BJ114+BO114+BT114+BY114+CD114</f>
        <v>24158930</v>
      </c>
      <c r="AG114" s="89">
        <f t="shared" ref="AG114" si="58">AL114+AQ114+AV114+BA114+BF114+BK114+BP114+BU114+BZ114+CE114</f>
        <v>24158930</v>
      </c>
      <c r="AH114" s="89">
        <f t="shared" ref="AH114" si="59">AM114+AR114+AW114+BB114+BG114+BL114+BQ114+BV114+CA114+CF114</f>
        <v>24158930</v>
      </c>
      <c r="AI114" s="89">
        <f t="shared" ref="AH114:AI116" si="60">AN114+AS114+AX114+BC114+BH114+BM114+BR114+BW114+CB114+CG114</f>
        <v>0</v>
      </c>
      <c r="AJ114" s="91">
        <v>47976000</v>
      </c>
      <c r="AK114" s="91">
        <v>24158930</v>
      </c>
      <c r="AL114" s="91">
        <v>24158930</v>
      </c>
      <c r="AM114" s="91">
        <v>24158930</v>
      </c>
      <c r="AN114" s="91"/>
      <c r="AO114" s="91"/>
      <c r="AP114" s="91"/>
      <c r="AQ114" s="91"/>
      <c r="AR114" s="91"/>
      <c r="AS114" s="91"/>
      <c r="AT114" s="91"/>
      <c r="AU114" s="91"/>
      <c r="AV114" s="91"/>
      <c r="AW114" s="91"/>
      <c r="AX114" s="91"/>
      <c r="AY114" s="91"/>
      <c r="AZ114" s="91"/>
      <c r="BA114" s="91"/>
      <c r="BB114" s="91"/>
      <c r="BC114" s="91"/>
      <c r="BD114" s="91"/>
      <c r="BE114" s="91"/>
      <c r="BF114" s="91"/>
      <c r="BG114" s="91"/>
      <c r="BH114" s="91"/>
      <c r="BI114" s="91"/>
      <c r="BJ114" s="91"/>
      <c r="BK114" s="91"/>
      <c r="BL114" s="91"/>
      <c r="BM114" s="91"/>
      <c r="BN114" s="91"/>
      <c r="BO114" s="91"/>
      <c r="BP114" s="91"/>
      <c r="BQ114" s="91"/>
      <c r="BR114" s="91"/>
      <c r="BS114" s="91"/>
      <c r="BT114" s="91"/>
      <c r="BU114" s="91"/>
      <c r="BV114" s="91"/>
      <c r="BW114" s="91"/>
      <c r="BX114" s="91"/>
      <c r="BY114" s="91"/>
      <c r="BZ114" s="91"/>
      <c r="CA114" s="91"/>
      <c r="CB114" s="91"/>
      <c r="CC114" s="91"/>
      <c r="CD114" s="91"/>
      <c r="CE114" s="91"/>
      <c r="CF114" s="91"/>
      <c r="CG114" s="91"/>
      <c r="CH114" s="91">
        <f t="shared" si="49"/>
        <v>457267770</v>
      </c>
      <c r="CI114" s="91">
        <v>7267770</v>
      </c>
      <c r="CJ114" s="91"/>
      <c r="CK114" s="91"/>
      <c r="CL114" s="91"/>
      <c r="CM114" s="91"/>
      <c r="CN114" s="91"/>
      <c r="CO114" s="91">
        <v>450000000</v>
      </c>
      <c r="CP114" s="91"/>
      <c r="CQ114" s="91"/>
      <c r="CR114" s="91"/>
      <c r="CS114" s="91">
        <f t="shared" si="50"/>
        <v>460738752</v>
      </c>
      <c r="CT114" s="91">
        <v>10738752</v>
      </c>
      <c r="CU114" s="91"/>
      <c r="CV114" s="91"/>
      <c r="CW114" s="91"/>
      <c r="CX114" s="91"/>
      <c r="CY114" s="91"/>
      <c r="CZ114" s="91">
        <v>450000000</v>
      </c>
      <c r="DA114" s="91"/>
      <c r="DB114" s="91"/>
      <c r="DC114" s="91"/>
      <c r="DD114" s="91">
        <f t="shared" si="51"/>
        <v>782730235</v>
      </c>
      <c r="DE114" s="91">
        <v>32730235</v>
      </c>
      <c r="DF114" s="91"/>
      <c r="DG114" s="91"/>
      <c r="DH114" s="91"/>
      <c r="DI114" s="91"/>
      <c r="DJ114" s="91"/>
      <c r="DK114" s="91">
        <v>750000000</v>
      </c>
      <c r="DL114" s="91"/>
      <c r="DM114" s="91"/>
      <c r="DN114" s="92"/>
      <c r="DO114" s="93">
        <f t="shared" si="52"/>
        <v>1748712757</v>
      </c>
    </row>
    <row r="115" spans="1:119" s="225" customFormat="1" ht="173.25" customHeight="1" x14ac:dyDescent="0.2">
      <c r="A115" s="244">
        <v>1</v>
      </c>
      <c r="B115" s="253" t="s">
        <v>19</v>
      </c>
      <c r="C115" s="59" t="s">
        <v>825</v>
      </c>
      <c r="D115" s="59" t="s">
        <v>280</v>
      </c>
      <c r="E115" s="125" t="s">
        <v>840</v>
      </c>
      <c r="F115" s="13" t="s">
        <v>827</v>
      </c>
      <c r="G115" s="129" t="s">
        <v>841</v>
      </c>
      <c r="H115" s="125" t="s">
        <v>1722</v>
      </c>
      <c r="I115" s="13">
        <v>23</v>
      </c>
      <c r="J115" s="59" t="s">
        <v>829</v>
      </c>
      <c r="K115" s="50">
        <v>13</v>
      </c>
      <c r="L115" s="13" t="s">
        <v>346</v>
      </c>
      <c r="M115" s="246">
        <v>16</v>
      </c>
      <c r="N115" s="244">
        <v>2301</v>
      </c>
      <c r="O115" s="245" t="s">
        <v>1673</v>
      </c>
      <c r="P115" s="13" t="s">
        <v>852</v>
      </c>
      <c r="Q115" s="13">
        <v>2301035</v>
      </c>
      <c r="R115" s="13">
        <v>2301035</v>
      </c>
      <c r="S115" s="59" t="s">
        <v>853</v>
      </c>
      <c r="T115" s="13" t="s">
        <v>854</v>
      </c>
      <c r="U115" s="13">
        <v>230103500</v>
      </c>
      <c r="V115" s="13">
        <v>230103500</v>
      </c>
      <c r="W115" s="87" t="s">
        <v>855</v>
      </c>
      <c r="X115" s="88" t="s">
        <v>9</v>
      </c>
      <c r="Y115" s="13">
        <v>100</v>
      </c>
      <c r="Z115" s="13">
        <v>0</v>
      </c>
      <c r="AA115" s="13"/>
      <c r="AB115" s="13">
        <v>20</v>
      </c>
      <c r="AC115" s="13">
        <v>40</v>
      </c>
      <c r="AD115" s="13">
        <v>40</v>
      </c>
      <c r="AE115" s="89">
        <f t="shared" si="47"/>
        <v>0</v>
      </c>
      <c r="AF115" s="89">
        <f t="shared" si="47"/>
        <v>0</v>
      </c>
      <c r="AG115" s="89">
        <f>AL115+AQ115+AV115+BA115+BF115+BK115+BP115+BU115+BZ115+CE115</f>
        <v>0</v>
      </c>
      <c r="AH115" s="89">
        <f t="shared" si="60"/>
        <v>0</v>
      </c>
      <c r="AI115" s="89">
        <f t="shared" si="60"/>
        <v>0</v>
      </c>
      <c r="AJ115" s="91"/>
      <c r="AK115" s="91"/>
      <c r="AL115" s="91"/>
      <c r="AM115" s="91"/>
      <c r="AN115" s="91"/>
      <c r="AO115" s="91"/>
      <c r="AP115" s="91"/>
      <c r="AQ115" s="91"/>
      <c r="AR115" s="91"/>
      <c r="AS115" s="91"/>
      <c r="AT115" s="91"/>
      <c r="AU115" s="91"/>
      <c r="AV115" s="91"/>
      <c r="AW115" s="91"/>
      <c r="AX115" s="91"/>
      <c r="AY115" s="91"/>
      <c r="AZ115" s="91"/>
      <c r="BA115" s="91"/>
      <c r="BB115" s="91"/>
      <c r="BC115" s="91"/>
      <c r="BD115" s="91"/>
      <c r="BE115" s="91"/>
      <c r="BF115" s="91"/>
      <c r="BG115" s="91"/>
      <c r="BH115" s="91"/>
      <c r="BI115" s="91"/>
      <c r="BJ115" s="91"/>
      <c r="BK115" s="91"/>
      <c r="BL115" s="91"/>
      <c r="BM115" s="91"/>
      <c r="BN115" s="91"/>
      <c r="BO115" s="91"/>
      <c r="BP115" s="91"/>
      <c r="BQ115" s="91"/>
      <c r="BR115" s="91"/>
      <c r="BS115" s="91"/>
      <c r="BT115" s="91"/>
      <c r="BU115" s="91"/>
      <c r="BV115" s="91"/>
      <c r="BW115" s="91"/>
      <c r="BX115" s="91"/>
      <c r="BY115" s="91"/>
      <c r="BZ115" s="91"/>
      <c r="CA115" s="91"/>
      <c r="CB115" s="91"/>
      <c r="CC115" s="91"/>
      <c r="CD115" s="91"/>
      <c r="CE115" s="91"/>
      <c r="CF115" s="91"/>
      <c r="CG115" s="91"/>
      <c r="CH115" s="91">
        <f t="shared" si="49"/>
        <v>46442843</v>
      </c>
      <c r="CI115" s="91">
        <v>1442843</v>
      </c>
      <c r="CJ115" s="91"/>
      <c r="CK115" s="91"/>
      <c r="CL115" s="91"/>
      <c r="CM115" s="91"/>
      <c r="CN115" s="91"/>
      <c r="CO115" s="91">
        <v>45000000</v>
      </c>
      <c r="CP115" s="91"/>
      <c r="CQ115" s="91"/>
      <c r="CR115" s="91"/>
      <c r="CS115" s="91">
        <f t="shared" si="50"/>
        <v>50118200</v>
      </c>
      <c r="CT115" s="91">
        <v>5118200</v>
      </c>
      <c r="CU115" s="91"/>
      <c r="CV115" s="91"/>
      <c r="CW115" s="91"/>
      <c r="CX115" s="91"/>
      <c r="CY115" s="91"/>
      <c r="CZ115" s="91">
        <v>45000000</v>
      </c>
      <c r="DA115" s="91"/>
      <c r="DB115" s="91"/>
      <c r="DC115" s="91"/>
      <c r="DD115" s="91">
        <f t="shared" si="51"/>
        <v>91356838</v>
      </c>
      <c r="DE115" s="91">
        <v>16356838</v>
      </c>
      <c r="DF115" s="91"/>
      <c r="DG115" s="91"/>
      <c r="DH115" s="91"/>
      <c r="DI115" s="91"/>
      <c r="DJ115" s="91"/>
      <c r="DK115" s="91">
        <v>75000000</v>
      </c>
      <c r="DL115" s="91"/>
      <c r="DM115" s="91"/>
      <c r="DN115" s="92"/>
      <c r="DO115" s="93">
        <f t="shared" si="52"/>
        <v>187917881</v>
      </c>
    </row>
    <row r="116" spans="1:119" s="225" customFormat="1" ht="173.25" customHeight="1" x14ac:dyDescent="0.2">
      <c r="A116" s="244">
        <v>1</v>
      </c>
      <c r="B116" s="253" t="s">
        <v>19</v>
      </c>
      <c r="C116" s="59" t="s">
        <v>825</v>
      </c>
      <c r="D116" s="59" t="s">
        <v>280</v>
      </c>
      <c r="E116" s="125" t="s">
        <v>840</v>
      </c>
      <c r="F116" s="13" t="s">
        <v>827</v>
      </c>
      <c r="G116" s="129" t="s">
        <v>841</v>
      </c>
      <c r="H116" s="125" t="s">
        <v>1722</v>
      </c>
      <c r="I116" s="13">
        <v>23</v>
      </c>
      <c r="J116" s="59" t="s">
        <v>829</v>
      </c>
      <c r="K116" s="50">
        <v>13</v>
      </c>
      <c r="L116" s="13" t="s">
        <v>346</v>
      </c>
      <c r="M116" s="246">
        <v>16</v>
      </c>
      <c r="N116" s="244">
        <v>2301</v>
      </c>
      <c r="O116" s="245" t="s">
        <v>1673</v>
      </c>
      <c r="P116" s="13" t="s">
        <v>856</v>
      </c>
      <c r="Q116" s="13">
        <v>2301042</v>
      </c>
      <c r="R116" s="13">
        <v>2301042</v>
      </c>
      <c r="S116" s="59" t="s">
        <v>857</v>
      </c>
      <c r="T116" s="13" t="s">
        <v>858</v>
      </c>
      <c r="U116" s="13">
        <v>230104201</v>
      </c>
      <c r="V116" s="13">
        <v>230104201</v>
      </c>
      <c r="W116" s="87" t="s">
        <v>859</v>
      </c>
      <c r="X116" s="88" t="s">
        <v>8</v>
      </c>
      <c r="Y116" s="13">
        <v>1</v>
      </c>
      <c r="Z116" s="13">
        <v>0</v>
      </c>
      <c r="AA116" s="13"/>
      <c r="AB116" s="13">
        <v>1</v>
      </c>
      <c r="AC116" s="13">
        <v>1</v>
      </c>
      <c r="AD116" s="13">
        <v>1</v>
      </c>
      <c r="AE116" s="89">
        <f t="shared" si="47"/>
        <v>0</v>
      </c>
      <c r="AF116" s="89">
        <f t="shared" si="47"/>
        <v>0</v>
      </c>
      <c r="AG116" s="89">
        <f>AL116+AQ116+AV116+BA116+BF116+BK116+BP116+BU116+BZ116+CE116</f>
        <v>0</v>
      </c>
      <c r="AH116" s="89">
        <f t="shared" si="60"/>
        <v>0</v>
      </c>
      <c r="AI116" s="89">
        <f t="shared" si="60"/>
        <v>0</v>
      </c>
      <c r="AJ116" s="91"/>
      <c r="AK116" s="91"/>
      <c r="AL116" s="91"/>
      <c r="AM116" s="91"/>
      <c r="AN116" s="91"/>
      <c r="AO116" s="91"/>
      <c r="AP116" s="91"/>
      <c r="AQ116" s="91"/>
      <c r="AR116" s="91"/>
      <c r="AS116" s="91"/>
      <c r="AT116" s="91"/>
      <c r="AU116" s="91"/>
      <c r="AV116" s="91"/>
      <c r="AW116" s="91"/>
      <c r="AX116" s="91"/>
      <c r="AY116" s="91"/>
      <c r="AZ116" s="91"/>
      <c r="BA116" s="91"/>
      <c r="BB116" s="91"/>
      <c r="BC116" s="91"/>
      <c r="BD116" s="91"/>
      <c r="BE116" s="91"/>
      <c r="BF116" s="91"/>
      <c r="BG116" s="91"/>
      <c r="BH116" s="91"/>
      <c r="BI116" s="91"/>
      <c r="BJ116" s="91"/>
      <c r="BK116" s="91"/>
      <c r="BL116" s="91"/>
      <c r="BM116" s="91"/>
      <c r="BN116" s="91"/>
      <c r="BO116" s="91"/>
      <c r="BP116" s="91"/>
      <c r="BQ116" s="91"/>
      <c r="BR116" s="91"/>
      <c r="BS116" s="91"/>
      <c r="BT116" s="91"/>
      <c r="BU116" s="91"/>
      <c r="BV116" s="91"/>
      <c r="BW116" s="91"/>
      <c r="BX116" s="91"/>
      <c r="BY116" s="91"/>
      <c r="BZ116" s="91"/>
      <c r="CA116" s="91"/>
      <c r="CB116" s="91"/>
      <c r="CC116" s="91"/>
      <c r="CD116" s="91"/>
      <c r="CE116" s="91"/>
      <c r="CF116" s="91"/>
      <c r="CG116" s="91"/>
      <c r="CH116" s="91">
        <f t="shared" si="49"/>
        <v>21267770</v>
      </c>
      <c r="CI116" s="91">
        <v>6267770</v>
      </c>
      <c r="CJ116" s="91"/>
      <c r="CK116" s="91"/>
      <c r="CL116" s="91"/>
      <c r="CM116" s="91"/>
      <c r="CN116" s="91"/>
      <c r="CO116" s="91">
        <v>15000000</v>
      </c>
      <c r="CP116" s="91"/>
      <c r="CQ116" s="91"/>
      <c r="CR116" s="91"/>
      <c r="CS116" s="91">
        <f t="shared" si="50"/>
        <v>25738752</v>
      </c>
      <c r="CT116" s="91">
        <v>10738752</v>
      </c>
      <c r="CU116" s="91"/>
      <c r="CV116" s="91"/>
      <c r="CW116" s="91"/>
      <c r="CX116" s="91"/>
      <c r="CY116" s="91"/>
      <c r="CZ116" s="91">
        <v>15000000</v>
      </c>
      <c r="DA116" s="91"/>
      <c r="DB116" s="91"/>
      <c r="DC116" s="91"/>
      <c r="DD116" s="91">
        <f t="shared" si="51"/>
        <v>58730235</v>
      </c>
      <c r="DE116" s="91">
        <v>33730235</v>
      </c>
      <c r="DF116" s="91"/>
      <c r="DG116" s="91"/>
      <c r="DH116" s="91"/>
      <c r="DI116" s="91"/>
      <c r="DJ116" s="91"/>
      <c r="DK116" s="91">
        <v>25000000</v>
      </c>
      <c r="DL116" s="91"/>
      <c r="DM116" s="91"/>
      <c r="DN116" s="92"/>
      <c r="DO116" s="93">
        <f t="shared" si="52"/>
        <v>105736757</v>
      </c>
    </row>
    <row r="117" spans="1:119" s="225" customFormat="1" ht="141.75" customHeight="1" x14ac:dyDescent="0.2">
      <c r="A117" s="244">
        <v>1</v>
      </c>
      <c r="B117" s="253" t="s">
        <v>19</v>
      </c>
      <c r="C117" s="59" t="s">
        <v>825</v>
      </c>
      <c r="D117" s="59" t="s">
        <v>279</v>
      </c>
      <c r="E117" s="119" t="s">
        <v>826</v>
      </c>
      <c r="F117" s="13" t="s">
        <v>827</v>
      </c>
      <c r="G117" s="59" t="s">
        <v>828</v>
      </c>
      <c r="H117" s="125" t="s">
        <v>1723</v>
      </c>
      <c r="I117" s="131">
        <v>23</v>
      </c>
      <c r="J117" s="132" t="s">
        <v>829</v>
      </c>
      <c r="K117" s="133">
        <v>13</v>
      </c>
      <c r="L117" s="131" t="s">
        <v>346</v>
      </c>
      <c r="M117" s="246">
        <v>16</v>
      </c>
      <c r="N117" s="244">
        <v>2301</v>
      </c>
      <c r="O117" s="245" t="s">
        <v>1673</v>
      </c>
      <c r="P117" s="13" t="s">
        <v>1706</v>
      </c>
      <c r="Q117" s="13">
        <v>2301062</v>
      </c>
      <c r="R117" s="13">
        <v>2301062</v>
      </c>
      <c r="S117" s="59" t="s">
        <v>1707</v>
      </c>
      <c r="T117" s="13" t="s">
        <v>1708</v>
      </c>
      <c r="U117" s="59">
        <v>230106201</v>
      </c>
      <c r="V117" s="13">
        <v>230106201</v>
      </c>
      <c r="W117" s="87" t="s">
        <v>1709</v>
      </c>
      <c r="X117" s="88" t="s">
        <v>1710</v>
      </c>
      <c r="Y117" s="13">
        <v>7</v>
      </c>
      <c r="Z117" s="13">
        <v>0</v>
      </c>
      <c r="AA117" s="13"/>
      <c r="AB117" s="13">
        <v>9</v>
      </c>
      <c r="AC117" s="13">
        <v>8</v>
      </c>
      <c r="AD117" s="13">
        <v>7</v>
      </c>
      <c r="AE117" s="89">
        <f t="shared" ref="AE117" si="61">AJ117+AO117+AT117+AY117+BD117+BI117+BN117+BS117+BX117+CC117</f>
        <v>0</v>
      </c>
      <c r="AF117" s="89">
        <f t="shared" ref="AF117" si="62">AK117+AP117+AU117+AZ117+BE117+BJ117+BO117+BT117+BY117+CD117</f>
        <v>0</v>
      </c>
      <c r="AG117" s="89">
        <f>AL117+AQ117+AV117+BA117+BF117+BK117+BP117+BU117+BZ117+CE117</f>
        <v>0</v>
      </c>
      <c r="AH117" s="89">
        <f t="shared" ref="AH117" si="63">AM117+AR117+AW117+BB117+BG117+BL117+BQ117+BV117+CA117+CF117</f>
        <v>0</v>
      </c>
      <c r="AI117" s="89">
        <f t="shared" ref="AI117" si="64">AN117+AS117+AX117+BC117+BH117+BM117+BR117+BW117+CB117+CG117</f>
        <v>0</v>
      </c>
      <c r="AJ117" s="91"/>
      <c r="AK117" s="91"/>
      <c r="AL117" s="91"/>
      <c r="AM117" s="91"/>
      <c r="AN117" s="91"/>
      <c r="AO117" s="91"/>
      <c r="AP117" s="91"/>
      <c r="AQ117" s="91"/>
      <c r="AR117" s="91"/>
      <c r="AS117" s="91"/>
      <c r="AT117" s="91"/>
      <c r="AU117" s="91"/>
      <c r="AV117" s="91"/>
      <c r="AW117" s="91"/>
      <c r="AX117" s="91"/>
      <c r="AY117" s="91"/>
      <c r="AZ117" s="91"/>
      <c r="BA117" s="91"/>
      <c r="BB117" s="91"/>
      <c r="BC117" s="91"/>
      <c r="BD117" s="91"/>
      <c r="BE117" s="91"/>
      <c r="BF117" s="91"/>
      <c r="BG117" s="91"/>
      <c r="BH117" s="91"/>
      <c r="BI117" s="91"/>
      <c r="BJ117" s="91"/>
      <c r="BK117" s="91"/>
      <c r="BL117" s="91"/>
      <c r="BM117" s="91"/>
      <c r="BN117" s="91"/>
      <c r="BO117" s="91"/>
      <c r="BP117" s="91"/>
      <c r="BQ117" s="91"/>
      <c r="BR117" s="91"/>
      <c r="BS117" s="91"/>
      <c r="BT117" s="91"/>
      <c r="BU117" s="91"/>
      <c r="BV117" s="91"/>
      <c r="BW117" s="91"/>
      <c r="BX117" s="91"/>
      <c r="BY117" s="91"/>
      <c r="BZ117" s="91"/>
      <c r="CA117" s="91"/>
      <c r="CB117" s="91"/>
      <c r="CC117" s="91"/>
      <c r="CD117" s="91"/>
      <c r="CE117" s="91"/>
      <c r="CF117" s="91"/>
      <c r="CG117" s="91"/>
      <c r="CH117" s="134">
        <f t="shared" si="49"/>
        <v>155321324</v>
      </c>
      <c r="CI117" s="134">
        <v>5321324</v>
      </c>
      <c r="CJ117" s="134"/>
      <c r="CK117" s="134"/>
      <c r="CL117" s="134"/>
      <c r="CM117" s="134"/>
      <c r="CN117" s="134"/>
      <c r="CO117" s="134">
        <v>150000000</v>
      </c>
      <c r="CP117" s="134"/>
      <c r="CQ117" s="134"/>
      <c r="CR117" s="134"/>
      <c r="CS117" s="134">
        <f t="shared" si="50"/>
        <v>160679394</v>
      </c>
      <c r="CT117" s="134">
        <v>10679394</v>
      </c>
      <c r="CU117" s="134"/>
      <c r="CV117" s="134"/>
      <c r="CW117" s="134"/>
      <c r="CX117" s="134"/>
      <c r="CY117" s="134"/>
      <c r="CZ117" s="134">
        <v>150000000</v>
      </c>
      <c r="DA117" s="134"/>
      <c r="DB117" s="134"/>
      <c r="DC117" s="134"/>
      <c r="DD117" s="134">
        <f t="shared" si="51"/>
        <v>321293440</v>
      </c>
      <c r="DE117" s="134">
        <v>71293440</v>
      </c>
      <c r="DF117" s="134"/>
      <c r="DG117" s="134"/>
      <c r="DH117" s="134"/>
      <c r="DI117" s="134"/>
      <c r="DJ117" s="134"/>
      <c r="DK117" s="134">
        <v>250000000</v>
      </c>
      <c r="DL117" s="134"/>
      <c r="DM117" s="134"/>
      <c r="DN117" s="135"/>
      <c r="DO117" s="93">
        <f>AP117+CH117+CS117+DD117</f>
        <v>637294158</v>
      </c>
    </row>
    <row r="118" spans="1:119" ht="32.25" customHeight="1" x14ac:dyDescent="0.2">
      <c r="A118" s="244"/>
      <c r="B118" s="253"/>
      <c r="C118" s="94"/>
      <c r="D118" s="59"/>
      <c r="E118" s="55"/>
      <c r="F118" s="13"/>
      <c r="G118" s="59"/>
      <c r="H118" s="55"/>
      <c r="I118" s="13"/>
      <c r="J118" s="13"/>
      <c r="K118" s="50"/>
      <c r="L118" s="13"/>
      <c r="M118" s="96">
        <v>17</v>
      </c>
      <c r="N118" s="96">
        <v>2302</v>
      </c>
      <c r="O118" s="97" t="s">
        <v>282</v>
      </c>
      <c r="P118" s="97"/>
      <c r="Q118" s="98"/>
      <c r="R118" s="98"/>
      <c r="S118" s="98"/>
      <c r="T118" s="98"/>
      <c r="U118" s="98"/>
      <c r="V118" s="98"/>
      <c r="W118" s="83"/>
      <c r="X118" s="84"/>
      <c r="Y118" s="84"/>
      <c r="Z118" s="84"/>
      <c r="AA118" s="84"/>
      <c r="AB118" s="84"/>
      <c r="AC118" s="84"/>
      <c r="AD118" s="81"/>
      <c r="AE118" s="99">
        <f t="shared" ref="AE118:BJ118" si="65">SUM(AE119:AE124)</f>
        <v>7747432067</v>
      </c>
      <c r="AF118" s="99">
        <f t="shared" si="65"/>
        <v>7164000</v>
      </c>
      <c r="AG118" s="99">
        <f t="shared" si="65"/>
        <v>6628000</v>
      </c>
      <c r="AH118" s="99">
        <f t="shared" si="65"/>
        <v>6628000</v>
      </c>
      <c r="AI118" s="99">
        <f t="shared" si="65"/>
        <v>0</v>
      </c>
      <c r="AJ118" s="99">
        <f t="shared" si="65"/>
        <v>7164000</v>
      </c>
      <c r="AK118" s="99">
        <f t="shared" si="65"/>
        <v>7164000</v>
      </c>
      <c r="AL118" s="99">
        <f t="shared" si="65"/>
        <v>6628000</v>
      </c>
      <c r="AM118" s="99">
        <f t="shared" si="65"/>
        <v>6628000</v>
      </c>
      <c r="AN118" s="99">
        <f t="shared" si="65"/>
        <v>0</v>
      </c>
      <c r="AO118" s="99">
        <f t="shared" si="65"/>
        <v>0</v>
      </c>
      <c r="AP118" s="99">
        <f t="shared" si="65"/>
        <v>0</v>
      </c>
      <c r="AQ118" s="99">
        <f t="shared" si="65"/>
        <v>0</v>
      </c>
      <c r="AR118" s="99">
        <f t="shared" si="65"/>
        <v>0</v>
      </c>
      <c r="AS118" s="99">
        <f t="shared" si="65"/>
        <v>0</v>
      </c>
      <c r="AT118" s="99">
        <f t="shared" si="65"/>
        <v>0</v>
      </c>
      <c r="AU118" s="99">
        <f t="shared" si="65"/>
        <v>0</v>
      </c>
      <c r="AV118" s="99">
        <f t="shared" si="65"/>
        <v>0</v>
      </c>
      <c r="AW118" s="99">
        <f t="shared" si="65"/>
        <v>0</v>
      </c>
      <c r="AX118" s="99">
        <f t="shared" si="65"/>
        <v>0</v>
      </c>
      <c r="AY118" s="99">
        <f t="shared" si="65"/>
        <v>0</v>
      </c>
      <c r="AZ118" s="99">
        <f t="shared" si="65"/>
        <v>0</v>
      </c>
      <c r="BA118" s="99">
        <f t="shared" si="65"/>
        <v>0</v>
      </c>
      <c r="BB118" s="99">
        <f t="shared" si="65"/>
        <v>0</v>
      </c>
      <c r="BC118" s="99">
        <f t="shared" si="65"/>
        <v>0</v>
      </c>
      <c r="BD118" s="99">
        <f t="shared" si="65"/>
        <v>0</v>
      </c>
      <c r="BE118" s="99">
        <f t="shared" si="65"/>
        <v>0</v>
      </c>
      <c r="BF118" s="99">
        <f t="shared" si="65"/>
        <v>0</v>
      </c>
      <c r="BG118" s="99">
        <f t="shared" si="65"/>
        <v>0</v>
      </c>
      <c r="BH118" s="99">
        <f t="shared" si="65"/>
        <v>0</v>
      </c>
      <c r="BI118" s="99">
        <f t="shared" si="65"/>
        <v>0</v>
      </c>
      <c r="BJ118" s="99">
        <f t="shared" si="65"/>
        <v>0</v>
      </c>
      <c r="BK118" s="99">
        <f t="shared" ref="BK118:CP118" si="66">SUM(BK119:BK124)</f>
        <v>0</v>
      </c>
      <c r="BL118" s="99">
        <f t="shared" si="66"/>
        <v>0</v>
      </c>
      <c r="BM118" s="99">
        <f t="shared" si="66"/>
        <v>0</v>
      </c>
      <c r="BN118" s="99">
        <f t="shared" si="66"/>
        <v>7740268067</v>
      </c>
      <c r="BO118" s="99">
        <f t="shared" si="66"/>
        <v>0</v>
      </c>
      <c r="BP118" s="99">
        <f t="shared" si="66"/>
        <v>0</v>
      </c>
      <c r="BQ118" s="99">
        <f t="shared" si="66"/>
        <v>0</v>
      </c>
      <c r="BR118" s="99">
        <f t="shared" si="66"/>
        <v>0</v>
      </c>
      <c r="BS118" s="99">
        <f t="shared" si="66"/>
        <v>0</v>
      </c>
      <c r="BT118" s="99">
        <f t="shared" si="66"/>
        <v>0</v>
      </c>
      <c r="BU118" s="99">
        <f t="shared" si="66"/>
        <v>0</v>
      </c>
      <c r="BV118" s="99">
        <f t="shared" si="66"/>
        <v>0</v>
      </c>
      <c r="BW118" s="99">
        <f t="shared" si="66"/>
        <v>0</v>
      </c>
      <c r="BX118" s="99">
        <f t="shared" si="66"/>
        <v>0</v>
      </c>
      <c r="BY118" s="99">
        <f t="shared" si="66"/>
        <v>0</v>
      </c>
      <c r="BZ118" s="99">
        <f t="shared" si="66"/>
        <v>0</v>
      </c>
      <c r="CA118" s="99">
        <f t="shared" si="66"/>
        <v>0</v>
      </c>
      <c r="CB118" s="99">
        <f t="shared" si="66"/>
        <v>0</v>
      </c>
      <c r="CC118" s="99">
        <f t="shared" si="66"/>
        <v>0</v>
      </c>
      <c r="CD118" s="99">
        <f t="shared" si="66"/>
        <v>0</v>
      </c>
      <c r="CE118" s="99">
        <f t="shared" si="66"/>
        <v>0</v>
      </c>
      <c r="CF118" s="99">
        <f t="shared" si="66"/>
        <v>0</v>
      </c>
      <c r="CG118" s="99">
        <f t="shared" si="66"/>
        <v>0</v>
      </c>
      <c r="CH118" s="99">
        <f t="shared" si="66"/>
        <v>5579894762</v>
      </c>
      <c r="CI118" s="99">
        <f t="shared" si="66"/>
        <v>84694184</v>
      </c>
      <c r="CJ118" s="99">
        <f t="shared" si="66"/>
        <v>0</v>
      </c>
      <c r="CK118" s="99">
        <f t="shared" si="66"/>
        <v>0</v>
      </c>
      <c r="CL118" s="99">
        <f t="shared" si="66"/>
        <v>0</v>
      </c>
      <c r="CM118" s="99">
        <f t="shared" si="66"/>
        <v>0</v>
      </c>
      <c r="CN118" s="99">
        <f t="shared" si="66"/>
        <v>0</v>
      </c>
      <c r="CO118" s="99">
        <f t="shared" si="66"/>
        <v>5495200578</v>
      </c>
      <c r="CP118" s="99">
        <f t="shared" si="66"/>
        <v>0</v>
      </c>
      <c r="CQ118" s="99">
        <f t="shared" ref="CQ118:DO118" si="67">SUM(CQ119:CQ124)</f>
        <v>0</v>
      </c>
      <c r="CR118" s="99">
        <f t="shared" si="67"/>
        <v>0</v>
      </c>
      <c r="CS118" s="99">
        <f t="shared" si="67"/>
        <v>5407844311</v>
      </c>
      <c r="CT118" s="99">
        <f t="shared" si="67"/>
        <v>176000000</v>
      </c>
      <c r="CU118" s="99">
        <f t="shared" si="67"/>
        <v>0</v>
      </c>
      <c r="CV118" s="99">
        <f t="shared" si="67"/>
        <v>0</v>
      </c>
      <c r="CW118" s="99">
        <f t="shared" si="67"/>
        <v>0</v>
      </c>
      <c r="CX118" s="99">
        <f t="shared" si="67"/>
        <v>0</v>
      </c>
      <c r="CY118" s="99">
        <f t="shared" si="67"/>
        <v>0</v>
      </c>
      <c r="CZ118" s="99">
        <f t="shared" si="67"/>
        <v>5231844311</v>
      </c>
      <c r="DA118" s="99">
        <f t="shared" si="67"/>
        <v>0</v>
      </c>
      <c r="DB118" s="99">
        <f t="shared" si="67"/>
        <v>0</v>
      </c>
      <c r="DC118" s="99">
        <f t="shared" si="67"/>
        <v>0</v>
      </c>
      <c r="DD118" s="99">
        <f t="shared" si="67"/>
        <v>6141246260</v>
      </c>
      <c r="DE118" s="99">
        <f t="shared" si="67"/>
        <v>184900194</v>
      </c>
      <c r="DF118" s="99">
        <f t="shared" si="67"/>
        <v>0</v>
      </c>
      <c r="DG118" s="99">
        <f t="shared" si="67"/>
        <v>0</v>
      </c>
      <c r="DH118" s="99">
        <f t="shared" si="67"/>
        <v>0</v>
      </c>
      <c r="DI118" s="99">
        <f t="shared" si="67"/>
        <v>0</v>
      </c>
      <c r="DJ118" s="99">
        <f t="shared" si="67"/>
        <v>0</v>
      </c>
      <c r="DK118" s="99">
        <f t="shared" si="67"/>
        <v>5956346066</v>
      </c>
      <c r="DL118" s="99">
        <f t="shared" si="67"/>
        <v>0</v>
      </c>
      <c r="DM118" s="99">
        <f t="shared" si="67"/>
        <v>0</v>
      </c>
      <c r="DN118" s="99">
        <f t="shared" si="67"/>
        <v>0</v>
      </c>
      <c r="DO118" s="99">
        <f t="shared" si="67"/>
        <v>24876417400</v>
      </c>
    </row>
    <row r="119" spans="1:119" s="225" customFormat="1" ht="173.25" customHeight="1" x14ac:dyDescent="0.2">
      <c r="A119" s="244">
        <v>1</v>
      </c>
      <c r="B119" s="253" t="s">
        <v>19</v>
      </c>
      <c r="C119" s="59" t="s">
        <v>860</v>
      </c>
      <c r="D119" s="59" t="s">
        <v>280</v>
      </c>
      <c r="E119" s="125" t="s">
        <v>840</v>
      </c>
      <c r="F119" s="13" t="s">
        <v>827</v>
      </c>
      <c r="G119" s="129" t="s">
        <v>841</v>
      </c>
      <c r="H119" s="125" t="s">
        <v>1722</v>
      </c>
      <c r="I119" s="13">
        <v>23</v>
      </c>
      <c r="J119" s="59" t="s">
        <v>829</v>
      </c>
      <c r="K119" s="50">
        <v>13</v>
      </c>
      <c r="L119" s="50" t="s">
        <v>346</v>
      </c>
      <c r="M119" s="244">
        <v>17</v>
      </c>
      <c r="N119" s="244">
        <v>2302</v>
      </c>
      <c r="O119" s="245" t="s">
        <v>282</v>
      </c>
      <c r="P119" s="13" t="s">
        <v>869</v>
      </c>
      <c r="Q119" s="13">
        <v>2302021</v>
      </c>
      <c r="R119" s="13">
        <v>2302021</v>
      </c>
      <c r="S119" s="59" t="s">
        <v>870</v>
      </c>
      <c r="T119" s="115" t="s">
        <v>871</v>
      </c>
      <c r="U119" s="13">
        <v>230202100</v>
      </c>
      <c r="V119" s="13">
        <v>230202100</v>
      </c>
      <c r="W119" s="87" t="s">
        <v>872</v>
      </c>
      <c r="X119" s="88" t="s">
        <v>9</v>
      </c>
      <c r="Y119" s="13">
        <v>28</v>
      </c>
      <c r="Z119" s="13">
        <v>0</v>
      </c>
      <c r="AA119" s="13"/>
      <c r="AB119" s="13">
        <v>8</v>
      </c>
      <c r="AC119" s="13">
        <v>10</v>
      </c>
      <c r="AD119" s="13">
        <v>10</v>
      </c>
      <c r="AE119" s="89">
        <f t="shared" ref="AE119:AF124" si="68">AJ119+AO119+AT119+AY119+BD119+BI119+BN119+BS119+BX119+CC119</f>
        <v>139347098</v>
      </c>
      <c r="AF119" s="89">
        <f t="shared" si="68"/>
        <v>0</v>
      </c>
      <c r="AG119" s="89">
        <f t="shared" ref="AG119:AG124" si="69">AL119+AQ119+AV119+BA119+BF119+BK119+BP119+BU119+BZ119+CE119</f>
        <v>0</v>
      </c>
      <c r="AH119" s="89">
        <f t="shared" ref="AH119:AI124" si="70">AM119+AR119+AW119+BB119+BG119+BL119+BQ119+BV119+CA119+CF119</f>
        <v>0</v>
      </c>
      <c r="AI119" s="89">
        <f t="shared" si="70"/>
        <v>0</v>
      </c>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c r="BM119" s="91"/>
      <c r="BN119" s="91">
        <v>139347098</v>
      </c>
      <c r="BO119" s="91"/>
      <c r="BP119" s="91"/>
      <c r="BQ119" s="91"/>
      <c r="BR119" s="91"/>
      <c r="BS119" s="91"/>
      <c r="BT119" s="91"/>
      <c r="BU119" s="91"/>
      <c r="BV119" s="91"/>
      <c r="BW119" s="91"/>
      <c r="BX119" s="91"/>
      <c r="BY119" s="91"/>
      <c r="BZ119" s="91"/>
      <c r="CA119" s="91"/>
      <c r="CB119" s="91"/>
      <c r="CC119" s="91"/>
      <c r="CD119" s="91"/>
      <c r="CE119" s="91"/>
      <c r="CF119" s="91"/>
      <c r="CG119" s="91"/>
      <c r="CH119" s="91">
        <f t="shared" ref="CH119:CH124" si="71">CI119+CJ119+CK119+CL119+CM119+CN119+CO119+CP119+CQ119+CR119</f>
        <v>103382084</v>
      </c>
      <c r="CI119" s="91">
        <v>13382084</v>
      </c>
      <c r="CJ119" s="91"/>
      <c r="CK119" s="91"/>
      <c r="CL119" s="91"/>
      <c r="CM119" s="91"/>
      <c r="CN119" s="91"/>
      <c r="CO119" s="91">
        <v>90000000</v>
      </c>
      <c r="CP119" s="91"/>
      <c r="CQ119" s="91"/>
      <c r="CR119" s="91"/>
      <c r="CS119" s="91">
        <f t="shared" ref="CS119:CS124" si="72">CT119+CU119+CV119+CW119+CX119+CY119+CZ119+DA119+DB119+DC119</f>
        <v>115000000</v>
      </c>
      <c r="CT119" s="91">
        <v>25000000</v>
      </c>
      <c r="CU119" s="91"/>
      <c r="CV119" s="91"/>
      <c r="CW119" s="91"/>
      <c r="CX119" s="91"/>
      <c r="CY119" s="91"/>
      <c r="CZ119" s="91">
        <v>90000000</v>
      </c>
      <c r="DA119" s="91"/>
      <c r="DB119" s="91"/>
      <c r="DC119" s="91"/>
      <c r="DD119" s="91">
        <f t="shared" ref="DD119:DD124" si="73">DE119+DF119+DG119+DH119+DI119+DJ119+DK119+DL119+DM119+DN119</f>
        <v>191120279</v>
      </c>
      <c r="DE119" s="91">
        <v>41120279</v>
      </c>
      <c r="DF119" s="91"/>
      <c r="DG119" s="91"/>
      <c r="DH119" s="91"/>
      <c r="DI119" s="91"/>
      <c r="DJ119" s="91"/>
      <c r="DK119" s="91">
        <v>150000000</v>
      </c>
      <c r="DL119" s="91"/>
      <c r="DM119" s="91"/>
      <c r="DN119" s="92"/>
      <c r="DO119" s="93">
        <f t="shared" ref="DO119:DO124" si="74">AE119+CH119+CS119+DD119</f>
        <v>548849461</v>
      </c>
    </row>
    <row r="120" spans="1:119" s="225" customFormat="1" ht="141.75" customHeight="1" x14ac:dyDescent="0.2">
      <c r="A120" s="64">
        <v>1</v>
      </c>
      <c r="B120" s="253" t="s">
        <v>19</v>
      </c>
      <c r="C120" s="59" t="s">
        <v>860</v>
      </c>
      <c r="D120" s="59" t="s">
        <v>877</v>
      </c>
      <c r="E120" s="119">
        <v>0.56999999999999995</v>
      </c>
      <c r="F120" s="13">
        <v>2018</v>
      </c>
      <c r="G120" s="59" t="s">
        <v>878</v>
      </c>
      <c r="H120" s="125">
        <v>0.80300000000000005</v>
      </c>
      <c r="I120" s="13">
        <v>23</v>
      </c>
      <c r="J120" s="59" t="s">
        <v>829</v>
      </c>
      <c r="K120" s="50">
        <v>13</v>
      </c>
      <c r="L120" s="50" t="s">
        <v>346</v>
      </c>
      <c r="M120" s="246">
        <v>17</v>
      </c>
      <c r="N120" s="244">
        <v>2302</v>
      </c>
      <c r="O120" s="245" t="s">
        <v>282</v>
      </c>
      <c r="P120" s="101" t="s">
        <v>879</v>
      </c>
      <c r="Q120" s="13">
        <v>2302058</v>
      </c>
      <c r="R120" s="13">
        <v>2302058</v>
      </c>
      <c r="S120" s="59" t="s">
        <v>880</v>
      </c>
      <c r="T120" s="101" t="s">
        <v>881</v>
      </c>
      <c r="U120" s="13">
        <v>230205800</v>
      </c>
      <c r="V120" s="13">
        <v>230205800</v>
      </c>
      <c r="W120" s="87" t="s">
        <v>882</v>
      </c>
      <c r="X120" s="13" t="s">
        <v>9</v>
      </c>
      <c r="Y120" s="13">
        <v>1000</v>
      </c>
      <c r="Z120" s="13">
        <v>0</v>
      </c>
      <c r="AA120" s="13"/>
      <c r="AB120" s="13">
        <v>300</v>
      </c>
      <c r="AC120" s="13">
        <v>300</v>
      </c>
      <c r="AD120" s="13">
        <v>400</v>
      </c>
      <c r="AE120" s="89">
        <f>AJ120+AO120+AT120+AY120+BD120+BI120+BN120+BS120+BX120+CC120</f>
        <v>0</v>
      </c>
      <c r="AF120" s="89">
        <f>AK120+AP120+AU120+AZ120+BE120+BJ120+BO120+BT120+BY120+CD120</f>
        <v>0</v>
      </c>
      <c r="AG120" s="89">
        <f t="shared" si="69"/>
        <v>0</v>
      </c>
      <c r="AH120" s="89">
        <f t="shared" si="70"/>
        <v>0</v>
      </c>
      <c r="AI120" s="89">
        <f t="shared" si="70"/>
        <v>0</v>
      </c>
      <c r="AJ120" s="91"/>
      <c r="AK120" s="91"/>
      <c r="AL120" s="91"/>
      <c r="AM120" s="91"/>
      <c r="AN120" s="91"/>
      <c r="AO120" s="91"/>
      <c r="AP120" s="91"/>
      <c r="AQ120" s="91"/>
      <c r="AR120" s="91"/>
      <c r="AS120" s="91"/>
      <c r="AT120" s="91"/>
      <c r="AU120" s="91"/>
      <c r="AV120" s="91"/>
      <c r="AW120" s="91"/>
      <c r="AX120" s="91"/>
      <c r="AY120" s="91"/>
      <c r="AZ120" s="91"/>
      <c r="BA120" s="91"/>
      <c r="BB120" s="91"/>
      <c r="BC120" s="91"/>
      <c r="BD120" s="91"/>
      <c r="BE120" s="91"/>
      <c r="BF120" s="91"/>
      <c r="BG120" s="91"/>
      <c r="BH120" s="91"/>
      <c r="BI120" s="91"/>
      <c r="BJ120" s="91"/>
      <c r="BK120" s="91"/>
      <c r="BL120" s="91"/>
      <c r="BM120" s="91"/>
      <c r="BN120" s="91"/>
      <c r="BO120" s="91"/>
      <c r="BP120" s="91"/>
      <c r="BQ120" s="91"/>
      <c r="BR120" s="91"/>
      <c r="BS120" s="91"/>
      <c r="BT120" s="91"/>
      <c r="BU120" s="91"/>
      <c r="BV120" s="91"/>
      <c r="BW120" s="91"/>
      <c r="BX120" s="91"/>
      <c r="BY120" s="91"/>
      <c r="BZ120" s="91"/>
      <c r="CA120" s="91"/>
      <c r="CB120" s="91"/>
      <c r="CC120" s="91"/>
      <c r="CD120" s="91"/>
      <c r="CE120" s="91"/>
      <c r="CF120" s="91"/>
      <c r="CG120" s="91"/>
      <c r="CH120" s="91">
        <f t="shared" si="71"/>
        <v>170657059</v>
      </c>
      <c r="CI120" s="91">
        <f>14657059+6000000</f>
        <v>20657059</v>
      </c>
      <c r="CJ120" s="91"/>
      <c r="CK120" s="91"/>
      <c r="CL120" s="91"/>
      <c r="CM120" s="91"/>
      <c r="CN120" s="91"/>
      <c r="CO120" s="91">
        <v>150000000</v>
      </c>
      <c r="CP120" s="91"/>
      <c r="CQ120" s="91"/>
      <c r="CR120" s="91"/>
      <c r="CS120" s="91">
        <f t="shared" si="72"/>
        <v>186000000</v>
      </c>
      <c r="CT120" s="91">
        <f>30000000+6000000</f>
        <v>36000000</v>
      </c>
      <c r="CU120" s="91"/>
      <c r="CV120" s="91"/>
      <c r="CW120" s="91"/>
      <c r="CX120" s="91"/>
      <c r="CY120" s="91"/>
      <c r="CZ120" s="91">
        <v>150000000</v>
      </c>
      <c r="DA120" s="91"/>
      <c r="DB120" s="91"/>
      <c r="DC120" s="91"/>
      <c r="DD120" s="136">
        <f t="shared" si="73"/>
        <v>286141026</v>
      </c>
      <c r="DE120" s="91">
        <f>30141026+6000000</f>
        <v>36141026</v>
      </c>
      <c r="DF120" s="91"/>
      <c r="DG120" s="91"/>
      <c r="DH120" s="91"/>
      <c r="DI120" s="91"/>
      <c r="DJ120" s="91"/>
      <c r="DK120" s="91">
        <v>250000000</v>
      </c>
      <c r="DL120" s="91"/>
      <c r="DM120" s="91"/>
      <c r="DN120" s="92"/>
      <c r="DO120" s="93">
        <f t="shared" si="74"/>
        <v>642798085</v>
      </c>
    </row>
    <row r="121" spans="1:119" s="225" customFormat="1" ht="141.75" customHeight="1" x14ac:dyDescent="0.2">
      <c r="A121" s="244">
        <v>1</v>
      </c>
      <c r="B121" s="253" t="s">
        <v>19</v>
      </c>
      <c r="C121" s="59" t="s">
        <v>860</v>
      </c>
      <c r="D121" s="59" t="s">
        <v>877</v>
      </c>
      <c r="E121" s="119">
        <v>0.56999999999999995</v>
      </c>
      <c r="F121" s="13">
        <v>2018</v>
      </c>
      <c r="G121" s="59" t="s">
        <v>878</v>
      </c>
      <c r="H121" s="125">
        <v>0.80300000000000005</v>
      </c>
      <c r="I121" s="13">
        <v>23</v>
      </c>
      <c r="J121" s="59" t="s">
        <v>829</v>
      </c>
      <c r="K121" s="50">
        <v>13</v>
      </c>
      <c r="L121" s="50" t="s">
        <v>346</v>
      </c>
      <c r="M121" s="244">
        <v>17</v>
      </c>
      <c r="N121" s="244">
        <v>2302</v>
      </c>
      <c r="O121" s="245" t="s">
        <v>282</v>
      </c>
      <c r="P121" s="115" t="s">
        <v>883</v>
      </c>
      <c r="Q121" s="13">
        <v>2302068</v>
      </c>
      <c r="R121" s="13">
        <v>2302068</v>
      </c>
      <c r="S121" s="59" t="s">
        <v>884</v>
      </c>
      <c r="T121" s="115" t="s">
        <v>885</v>
      </c>
      <c r="U121" s="13">
        <v>230206800</v>
      </c>
      <c r="V121" s="13">
        <v>230206800</v>
      </c>
      <c r="W121" s="87" t="s">
        <v>886</v>
      </c>
      <c r="X121" s="13" t="s">
        <v>9</v>
      </c>
      <c r="Y121" s="13">
        <v>200</v>
      </c>
      <c r="Z121" s="13">
        <v>0</v>
      </c>
      <c r="AA121" s="13"/>
      <c r="AB121" s="13">
        <v>60</v>
      </c>
      <c r="AC121" s="13">
        <v>60</v>
      </c>
      <c r="AD121" s="13">
        <v>80</v>
      </c>
      <c r="AE121" s="89">
        <f>AJ121+AO121+AT121+AY121+BD121+BI121+BN121+BS121+BX121+CC121</f>
        <v>0</v>
      </c>
      <c r="AF121" s="89">
        <f>AK121+AP121+AU121+AZ121+BE121+BJ121+BO121+BT121+BY121+CD121</f>
        <v>0</v>
      </c>
      <c r="AG121" s="89">
        <f t="shared" si="69"/>
        <v>0</v>
      </c>
      <c r="AH121" s="89">
        <f>AM121+AR121+AW121+BB121+BG121+BL121+BQ121+BV121+CA121+CF121</f>
        <v>0</v>
      </c>
      <c r="AI121" s="89">
        <f>AN121+AS121+AX121+BC121+BH121+BM121+BR121+BW121+CB121+CG121</f>
        <v>0</v>
      </c>
      <c r="AJ121" s="91"/>
      <c r="AK121" s="91"/>
      <c r="AL121" s="91"/>
      <c r="AM121" s="91"/>
      <c r="AN121" s="91"/>
      <c r="AO121" s="91"/>
      <c r="AP121" s="91"/>
      <c r="AQ121" s="91"/>
      <c r="AR121" s="91"/>
      <c r="AS121" s="91"/>
      <c r="AT121" s="91"/>
      <c r="AU121" s="91"/>
      <c r="AV121" s="91"/>
      <c r="AW121" s="91"/>
      <c r="AX121" s="91"/>
      <c r="AY121" s="91"/>
      <c r="AZ121" s="91"/>
      <c r="BA121" s="91"/>
      <c r="BB121" s="91"/>
      <c r="BC121" s="91"/>
      <c r="BD121" s="91"/>
      <c r="BE121" s="91"/>
      <c r="BF121" s="91"/>
      <c r="BG121" s="91"/>
      <c r="BH121" s="91"/>
      <c r="BI121" s="91"/>
      <c r="BJ121" s="91"/>
      <c r="BK121" s="91"/>
      <c r="BL121" s="91"/>
      <c r="BM121" s="91"/>
      <c r="BN121" s="91"/>
      <c r="BO121" s="91"/>
      <c r="BP121" s="91"/>
      <c r="BQ121" s="91"/>
      <c r="BR121" s="91"/>
      <c r="BS121" s="91"/>
      <c r="BT121" s="91"/>
      <c r="BU121" s="91"/>
      <c r="BV121" s="91"/>
      <c r="BW121" s="91"/>
      <c r="BX121" s="91"/>
      <c r="BY121" s="91"/>
      <c r="BZ121" s="91"/>
      <c r="CA121" s="91"/>
      <c r="CB121" s="91"/>
      <c r="CC121" s="91"/>
      <c r="CD121" s="91"/>
      <c r="CE121" s="91"/>
      <c r="CF121" s="91"/>
      <c r="CG121" s="91"/>
      <c r="CH121" s="91">
        <f t="shared" si="71"/>
        <v>110214216</v>
      </c>
      <c r="CI121" s="91">
        <f>15214216+5000000</f>
        <v>20214216</v>
      </c>
      <c r="CJ121" s="91"/>
      <c r="CK121" s="91"/>
      <c r="CL121" s="91"/>
      <c r="CM121" s="91"/>
      <c r="CN121" s="91"/>
      <c r="CO121" s="91">
        <v>90000000</v>
      </c>
      <c r="CP121" s="91"/>
      <c r="CQ121" s="91"/>
      <c r="CR121" s="91"/>
      <c r="CS121" s="91">
        <f t="shared" si="72"/>
        <v>120000000</v>
      </c>
      <c r="CT121" s="91">
        <f>25000000+5000000</f>
        <v>30000000</v>
      </c>
      <c r="CU121" s="91"/>
      <c r="CV121" s="91"/>
      <c r="CW121" s="91"/>
      <c r="CX121" s="91"/>
      <c r="CY121" s="91"/>
      <c r="CZ121" s="91">
        <v>90000000</v>
      </c>
      <c r="DA121" s="91"/>
      <c r="DB121" s="91"/>
      <c r="DC121" s="91"/>
      <c r="DD121" s="136">
        <f t="shared" si="73"/>
        <v>186784188</v>
      </c>
      <c r="DE121" s="91">
        <f>30784188+6000000</f>
        <v>36784188</v>
      </c>
      <c r="DF121" s="91"/>
      <c r="DG121" s="91"/>
      <c r="DH121" s="91"/>
      <c r="DI121" s="91"/>
      <c r="DJ121" s="91"/>
      <c r="DK121" s="91">
        <v>150000000</v>
      </c>
      <c r="DL121" s="91"/>
      <c r="DM121" s="91"/>
      <c r="DN121" s="92"/>
      <c r="DO121" s="93">
        <f t="shared" si="74"/>
        <v>416998404</v>
      </c>
    </row>
    <row r="122" spans="1:119" s="225" customFormat="1" ht="141.75" customHeight="1" x14ac:dyDescent="0.2">
      <c r="A122" s="244">
        <v>1</v>
      </c>
      <c r="B122" s="253" t="s">
        <v>19</v>
      </c>
      <c r="C122" s="59" t="s">
        <v>860</v>
      </c>
      <c r="D122" s="59" t="s">
        <v>279</v>
      </c>
      <c r="E122" s="119" t="s">
        <v>826</v>
      </c>
      <c r="F122" s="13" t="s">
        <v>827</v>
      </c>
      <c r="G122" s="59" t="s">
        <v>828</v>
      </c>
      <c r="H122" s="125" t="s">
        <v>1723</v>
      </c>
      <c r="I122" s="13">
        <v>23</v>
      </c>
      <c r="J122" s="59" t="s">
        <v>829</v>
      </c>
      <c r="K122" s="50">
        <v>13</v>
      </c>
      <c r="L122" s="50" t="s">
        <v>346</v>
      </c>
      <c r="M122" s="244">
        <v>17</v>
      </c>
      <c r="N122" s="244">
        <v>2302</v>
      </c>
      <c r="O122" s="245" t="s">
        <v>282</v>
      </c>
      <c r="P122" s="13" t="s">
        <v>861</v>
      </c>
      <c r="Q122" s="13">
        <v>2302022</v>
      </c>
      <c r="R122" s="13">
        <v>2302022</v>
      </c>
      <c r="S122" s="59" t="s">
        <v>862</v>
      </c>
      <c r="T122" s="115" t="s">
        <v>863</v>
      </c>
      <c r="U122" s="13">
        <v>230202200</v>
      </c>
      <c r="V122" s="13">
        <v>230202200</v>
      </c>
      <c r="W122" s="87" t="s">
        <v>864</v>
      </c>
      <c r="X122" s="88" t="s">
        <v>9</v>
      </c>
      <c r="Y122" s="13">
        <v>80</v>
      </c>
      <c r="Z122" s="13">
        <v>0</v>
      </c>
      <c r="AA122" s="13"/>
      <c r="AB122" s="13">
        <v>20</v>
      </c>
      <c r="AC122" s="13">
        <v>30</v>
      </c>
      <c r="AD122" s="13">
        <v>30</v>
      </c>
      <c r="AE122" s="89">
        <f t="shared" si="68"/>
        <v>0</v>
      </c>
      <c r="AF122" s="89">
        <f t="shared" si="68"/>
        <v>0</v>
      </c>
      <c r="AG122" s="89">
        <f t="shared" si="69"/>
        <v>0</v>
      </c>
      <c r="AH122" s="89">
        <f t="shared" si="70"/>
        <v>0</v>
      </c>
      <c r="AI122" s="89">
        <f t="shared" si="70"/>
        <v>0</v>
      </c>
      <c r="AJ122" s="91"/>
      <c r="AK122" s="91"/>
      <c r="AL122" s="91"/>
      <c r="AM122" s="91"/>
      <c r="AN122" s="91"/>
      <c r="AO122" s="91"/>
      <c r="AP122" s="91"/>
      <c r="AQ122" s="91"/>
      <c r="AR122" s="91"/>
      <c r="AS122" s="91"/>
      <c r="AT122" s="91"/>
      <c r="AU122" s="91"/>
      <c r="AV122" s="91"/>
      <c r="AW122" s="91"/>
      <c r="AX122" s="91"/>
      <c r="AY122" s="91"/>
      <c r="AZ122" s="91"/>
      <c r="BA122" s="91"/>
      <c r="BB122" s="91"/>
      <c r="BC122" s="91"/>
      <c r="BD122" s="91"/>
      <c r="BE122" s="91"/>
      <c r="BF122" s="91"/>
      <c r="BG122" s="91"/>
      <c r="BH122" s="91"/>
      <c r="BI122" s="91"/>
      <c r="BJ122" s="91"/>
      <c r="BK122" s="91"/>
      <c r="BL122" s="91"/>
      <c r="BM122" s="91"/>
      <c r="BN122" s="91"/>
      <c r="BO122" s="91"/>
      <c r="BP122" s="91"/>
      <c r="BQ122" s="91"/>
      <c r="BR122" s="91"/>
      <c r="BS122" s="91"/>
      <c r="BT122" s="91"/>
      <c r="BU122" s="91"/>
      <c r="BV122" s="91"/>
      <c r="BW122" s="91"/>
      <c r="BX122" s="91"/>
      <c r="BY122" s="91"/>
      <c r="BZ122" s="91"/>
      <c r="CA122" s="91"/>
      <c r="CB122" s="91"/>
      <c r="CC122" s="91"/>
      <c r="CD122" s="91"/>
      <c r="CE122" s="91"/>
      <c r="CF122" s="91"/>
      <c r="CG122" s="91"/>
      <c r="CH122" s="91">
        <f t="shared" si="71"/>
        <v>160000000</v>
      </c>
      <c r="CI122" s="91">
        <v>10000000</v>
      </c>
      <c r="CJ122" s="91"/>
      <c r="CK122" s="91"/>
      <c r="CL122" s="91"/>
      <c r="CM122" s="91"/>
      <c r="CN122" s="91"/>
      <c r="CO122" s="91">
        <v>150000000</v>
      </c>
      <c r="CP122" s="91"/>
      <c r="CQ122" s="91"/>
      <c r="CR122" s="91"/>
      <c r="CS122" s="91">
        <f t="shared" si="72"/>
        <v>180000000</v>
      </c>
      <c r="CT122" s="91">
        <v>30000000</v>
      </c>
      <c r="CU122" s="91"/>
      <c r="CV122" s="91"/>
      <c r="CW122" s="91"/>
      <c r="CX122" s="91"/>
      <c r="CY122" s="91"/>
      <c r="CZ122" s="91">
        <v>150000000</v>
      </c>
      <c r="DA122" s="91"/>
      <c r="DB122" s="91"/>
      <c r="DC122" s="91"/>
      <c r="DD122" s="91">
        <f t="shared" si="73"/>
        <v>276356838</v>
      </c>
      <c r="DE122" s="91">
        <v>26356838</v>
      </c>
      <c r="DF122" s="91"/>
      <c r="DG122" s="91"/>
      <c r="DH122" s="91"/>
      <c r="DI122" s="91"/>
      <c r="DJ122" s="91"/>
      <c r="DK122" s="91">
        <v>250000000</v>
      </c>
      <c r="DL122" s="91"/>
      <c r="DM122" s="91"/>
      <c r="DN122" s="92"/>
      <c r="DO122" s="93">
        <f t="shared" si="74"/>
        <v>616356838</v>
      </c>
    </row>
    <row r="123" spans="1:119" s="225" customFormat="1" ht="173.25" customHeight="1" x14ac:dyDescent="0.2">
      <c r="A123" s="244">
        <v>1</v>
      </c>
      <c r="B123" s="253" t="s">
        <v>19</v>
      </c>
      <c r="C123" s="59" t="s">
        <v>860</v>
      </c>
      <c r="D123" s="59" t="s">
        <v>280</v>
      </c>
      <c r="E123" s="125" t="s">
        <v>840</v>
      </c>
      <c r="F123" s="13" t="s">
        <v>827</v>
      </c>
      <c r="G123" s="129" t="s">
        <v>841</v>
      </c>
      <c r="H123" s="125" t="s">
        <v>1722</v>
      </c>
      <c r="I123" s="13">
        <v>23</v>
      </c>
      <c r="J123" s="59" t="s">
        <v>829</v>
      </c>
      <c r="K123" s="50">
        <v>13</v>
      </c>
      <c r="L123" s="50" t="s">
        <v>346</v>
      </c>
      <c r="M123" s="246">
        <v>17</v>
      </c>
      <c r="N123" s="244">
        <v>2302</v>
      </c>
      <c r="O123" s="245" t="s">
        <v>282</v>
      </c>
      <c r="P123" s="13" t="s">
        <v>873</v>
      </c>
      <c r="Q123" s="13">
        <v>2302039</v>
      </c>
      <c r="R123" s="13">
        <v>2302039</v>
      </c>
      <c r="S123" s="59" t="s">
        <v>874</v>
      </c>
      <c r="T123" s="101" t="s">
        <v>875</v>
      </c>
      <c r="U123" s="13">
        <v>230203900</v>
      </c>
      <c r="V123" s="13" t="s">
        <v>1704</v>
      </c>
      <c r="W123" s="87" t="s">
        <v>876</v>
      </c>
      <c r="X123" s="88" t="s">
        <v>8</v>
      </c>
      <c r="Y123" s="13">
        <v>1</v>
      </c>
      <c r="Z123" s="13">
        <v>1</v>
      </c>
      <c r="AA123" s="13"/>
      <c r="AB123" s="13">
        <v>1</v>
      </c>
      <c r="AC123" s="13">
        <v>1</v>
      </c>
      <c r="AD123" s="13">
        <v>1</v>
      </c>
      <c r="AE123" s="89">
        <f t="shared" si="68"/>
        <v>7600920969</v>
      </c>
      <c r="AF123" s="89">
        <f t="shared" si="68"/>
        <v>0</v>
      </c>
      <c r="AG123" s="89">
        <f t="shared" si="69"/>
        <v>0</v>
      </c>
      <c r="AH123" s="89">
        <f t="shared" si="70"/>
        <v>0</v>
      </c>
      <c r="AI123" s="89">
        <f t="shared" si="70"/>
        <v>0</v>
      </c>
      <c r="AJ123" s="91"/>
      <c r="AK123" s="91"/>
      <c r="AL123" s="91"/>
      <c r="AM123" s="91"/>
      <c r="AN123" s="91"/>
      <c r="AO123" s="91"/>
      <c r="AP123" s="91"/>
      <c r="AQ123" s="91"/>
      <c r="AR123" s="91"/>
      <c r="AS123" s="91"/>
      <c r="AT123" s="91"/>
      <c r="AU123" s="91"/>
      <c r="AV123" s="91"/>
      <c r="AW123" s="91"/>
      <c r="AX123" s="91"/>
      <c r="AY123" s="91"/>
      <c r="AZ123" s="91"/>
      <c r="BA123" s="91"/>
      <c r="BB123" s="91"/>
      <c r="BC123" s="91"/>
      <c r="BD123" s="91"/>
      <c r="BE123" s="91"/>
      <c r="BF123" s="91"/>
      <c r="BG123" s="91"/>
      <c r="BH123" s="91"/>
      <c r="BI123" s="91"/>
      <c r="BJ123" s="91"/>
      <c r="BK123" s="91"/>
      <c r="BL123" s="91"/>
      <c r="BM123" s="91"/>
      <c r="BN123" s="91">
        <v>7600920969</v>
      </c>
      <c r="BO123" s="91"/>
      <c r="BP123" s="91"/>
      <c r="BQ123" s="91"/>
      <c r="BR123" s="91"/>
      <c r="BS123" s="91"/>
      <c r="BT123" s="91"/>
      <c r="BU123" s="91"/>
      <c r="BV123" s="91"/>
      <c r="BW123" s="91"/>
      <c r="BX123" s="91"/>
      <c r="BY123" s="91"/>
      <c r="BZ123" s="91"/>
      <c r="CA123" s="91"/>
      <c r="CB123" s="91"/>
      <c r="CC123" s="91"/>
      <c r="CD123" s="91"/>
      <c r="CE123" s="91"/>
      <c r="CF123" s="91"/>
      <c r="CG123" s="91"/>
      <c r="CH123" s="91">
        <f t="shared" si="71"/>
        <v>5011534295</v>
      </c>
      <c r="CI123" s="91">
        <v>11333717</v>
      </c>
      <c r="CJ123" s="91"/>
      <c r="CK123" s="91"/>
      <c r="CL123" s="91"/>
      <c r="CM123" s="91"/>
      <c r="CN123" s="91"/>
      <c r="CO123" s="91">
        <v>5000200578</v>
      </c>
      <c r="CP123" s="91"/>
      <c r="CQ123" s="91"/>
      <c r="CR123" s="91"/>
      <c r="CS123" s="91">
        <f t="shared" si="72"/>
        <v>4766844311</v>
      </c>
      <c r="CT123" s="91">
        <v>30000000</v>
      </c>
      <c r="CU123" s="91"/>
      <c r="CV123" s="91"/>
      <c r="CW123" s="91"/>
      <c r="CX123" s="91"/>
      <c r="CY123" s="91"/>
      <c r="CZ123" s="91">
        <v>4736844311</v>
      </c>
      <c r="DA123" s="91"/>
      <c r="DB123" s="91"/>
      <c r="DC123" s="91"/>
      <c r="DD123" s="91">
        <f t="shared" si="73"/>
        <v>5159951835</v>
      </c>
      <c r="DE123" s="91">
        <v>28605769</v>
      </c>
      <c r="DF123" s="91"/>
      <c r="DG123" s="91"/>
      <c r="DH123" s="91"/>
      <c r="DI123" s="91"/>
      <c r="DJ123" s="91"/>
      <c r="DK123" s="91">
        <v>5131346066</v>
      </c>
      <c r="DL123" s="91"/>
      <c r="DM123" s="91"/>
      <c r="DN123" s="92"/>
      <c r="DO123" s="93">
        <f t="shared" si="74"/>
        <v>22539251410</v>
      </c>
    </row>
    <row r="124" spans="1:119" s="225" customFormat="1" ht="141.75" customHeight="1" x14ac:dyDescent="0.2">
      <c r="A124" s="244">
        <v>1</v>
      </c>
      <c r="B124" s="253" t="s">
        <v>19</v>
      </c>
      <c r="C124" s="59" t="s">
        <v>860</v>
      </c>
      <c r="D124" s="59" t="s">
        <v>279</v>
      </c>
      <c r="E124" s="119" t="s">
        <v>826</v>
      </c>
      <c r="F124" s="13" t="s">
        <v>827</v>
      </c>
      <c r="G124" s="59" t="s">
        <v>828</v>
      </c>
      <c r="H124" s="125" t="s">
        <v>1723</v>
      </c>
      <c r="I124" s="13">
        <v>23</v>
      </c>
      <c r="J124" s="59" t="s">
        <v>829</v>
      </c>
      <c r="K124" s="50">
        <v>13</v>
      </c>
      <c r="L124" s="13" t="s">
        <v>346</v>
      </c>
      <c r="M124" s="244">
        <v>17</v>
      </c>
      <c r="N124" s="244">
        <v>2302</v>
      </c>
      <c r="O124" s="245" t="s">
        <v>282</v>
      </c>
      <c r="P124" s="13" t="s">
        <v>865</v>
      </c>
      <c r="Q124" s="13">
        <v>2302042</v>
      </c>
      <c r="R124" s="13">
        <v>2302042</v>
      </c>
      <c r="S124" s="59" t="s">
        <v>866</v>
      </c>
      <c r="T124" s="115" t="s">
        <v>867</v>
      </c>
      <c r="U124" s="13">
        <v>230204200</v>
      </c>
      <c r="V124" s="13">
        <v>230204200</v>
      </c>
      <c r="W124" s="87" t="s">
        <v>868</v>
      </c>
      <c r="X124" s="88" t="s">
        <v>9</v>
      </c>
      <c r="Y124" s="13">
        <v>3</v>
      </c>
      <c r="Z124" s="13">
        <v>1</v>
      </c>
      <c r="AA124" s="13">
        <v>1</v>
      </c>
      <c r="AB124" s="13">
        <v>1</v>
      </c>
      <c r="AC124" s="13">
        <v>1</v>
      </c>
      <c r="AD124" s="13">
        <v>0</v>
      </c>
      <c r="AE124" s="89">
        <f t="shared" si="68"/>
        <v>7164000</v>
      </c>
      <c r="AF124" s="89">
        <f t="shared" si="68"/>
        <v>7164000</v>
      </c>
      <c r="AG124" s="89">
        <f t="shared" si="69"/>
        <v>6628000</v>
      </c>
      <c r="AH124" s="89">
        <f t="shared" si="70"/>
        <v>6628000</v>
      </c>
      <c r="AI124" s="89">
        <f t="shared" si="70"/>
        <v>0</v>
      </c>
      <c r="AJ124" s="91">
        <v>7164000</v>
      </c>
      <c r="AK124" s="91">
        <v>7164000</v>
      </c>
      <c r="AL124" s="91">
        <v>6628000</v>
      </c>
      <c r="AM124" s="91">
        <v>6628000</v>
      </c>
      <c r="AN124" s="91"/>
      <c r="AO124" s="91"/>
      <c r="AP124" s="91"/>
      <c r="AQ124" s="91"/>
      <c r="AR124" s="91"/>
      <c r="AS124" s="91"/>
      <c r="AT124" s="91"/>
      <c r="AU124" s="91"/>
      <c r="AV124" s="91"/>
      <c r="AW124" s="91"/>
      <c r="AX124" s="91"/>
      <c r="AY124" s="91"/>
      <c r="AZ124" s="91"/>
      <c r="BA124" s="91"/>
      <c r="BB124" s="91"/>
      <c r="BC124" s="91"/>
      <c r="BD124" s="91"/>
      <c r="BE124" s="91"/>
      <c r="BF124" s="91"/>
      <c r="BG124" s="91"/>
      <c r="BH124" s="91"/>
      <c r="BI124" s="91"/>
      <c r="BJ124" s="91"/>
      <c r="BK124" s="91"/>
      <c r="BL124" s="91"/>
      <c r="BM124" s="91"/>
      <c r="BN124" s="91"/>
      <c r="BO124" s="91"/>
      <c r="BP124" s="91"/>
      <c r="BQ124" s="91"/>
      <c r="BR124" s="91"/>
      <c r="BS124" s="91"/>
      <c r="BT124" s="91"/>
      <c r="BU124" s="91"/>
      <c r="BV124" s="91"/>
      <c r="BW124" s="91"/>
      <c r="BX124" s="91"/>
      <c r="BY124" s="91"/>
      <c r="BZ124" s="91"/>
      <c r="CA124" s="91"/>
      <c r="CB124" s="91"/>
      <c r="CC124" s="91"/>
      <c r="CD124" s="91"/>
      <c r="CE124" s="91"/>
      <c r="CF124" s="91"/>
      <c r="CG124" s="91"/>
      <c r="CH124" s="91">
        <f t="shared" si="71"/>
        <v>24107108</v>
      </c>
      <c r="CI124" s="91">
        <v>9107108</v>
      </c>
      <c r="CJ124" s="91"/>
      <c r="CK124" s="91"/>
      <c r="CL124" s="91"/>
      <c r="CM124" s="91"/>
      <c r="CN124" s="91"/>
      <c r="CO124" s="91">
        <v>15000000</v>
      </c>
      <c r="CP124" s="91"/>
      <c r="CQ124" s="91"/>
      <c r="CR124" s="91"/>
      <c r="CS124" s="91">
        <f t="shared" si="72"/>
        <v>40000000</v>
      </c>
      <c r="CT124" s="91">
        <v>25000000</v>
      </c>
      <c r="CU124" s="91"/>
      <c r="CV124" s="91"/>
      <c r="CW124" s="91"/>
      <c r="CX124" s="91"/>
      <c r="CY124" s="91"/>
      <c r="CZ124" s="91">
        <v>15000000</v>
      </c>
      <c r="DA124" s="91"/>
      <c r="DB124" s="91"/>
      <c r="DC124" s="91"/>
      <c r="DD124" s="91">
        <f t="shared" si="73"/>
        <v>40892094</v>
      </c>
      <c r="DE124" s="91">
        <v>15892094</v>
      </c>
      <c r="DF124" s="91"/>
      <c r="DG124" s="91"/>
      <c r="DH124" s="91"/>
      <c r="DI124" s="91"/>
      <c r="DJ124" s="91"/>
      <c r="DK124" s="91">
        <v>25000000</v>
      </c>
      <c r="DL124" s="91"/>
      <c r="DM124" s="91"/>
      <c r="DN124" s="92"/>
      <c r="DO124" s="93">
        <f t="shared" si="74"/>
        <v>112163202</v>
      </c>
    </row>
    <row r="125" spans="1:119" ht="31.5" customHeight="1" x14ac:dyDescent="0.2">
      <c r="A125" s="244"/>
      <c r="B125" s="253"/>
      <c r="C125" s="94"/>
      <c r="D125" s="59"/>
      <c r="E125" s="55"/>
      <c r="F125" s="13"/>
      <c r="G125" s="59"/>
      <c r="H125" s="55"/>
      <c r="I125" s="13"/>
      <c r="J125" s="13"/>
      <c r="K125" s="50"/>
      <c r="L125" s="13"/>
      <c r="M125" s="96">
        <v>25</v>
      </c>
      <c r="N125" s="96">
        <v>3301</v>
      </c>
      <c r="O125" s="97" t="s">
        <v>26</v>
      </c>
      <c r="P125" s="98"/>
      <c r="Q125" s="98"/>
      <c r="R125" s="98"/>
      <c r="S125" s="98"/>
      <c r="T125" s="98"/>
      <c r="U125" s="98"/>
      <c r="V125" s="98"/>
      <c r="W125" s="83"/>
      <c r="X125" s="84"/>
      <c r="Y125" s="84"/>
      <c r="Z125" s="84"/>
      <c r="AA125" s="84"/>
      <c r="AB125" s="84"/>
      <c r="AC125" s="84"/>
      <c r="AD125" s="81"/>
      <c r="AE125" s="99">
        <f>SUBTOTAL(9,AE126:AE135)</f>
        <v>6761512093.8299999</v>
      </c>
      <c r="AF125" s="99">
        <f>SUBTOTAL(9,AF126:AF135)</f>
        <v>5987588140.0199995</v>
      </c>
      <c r="AG125" s="99">
        <f t="shared" ref="AG125:DO125" si="75">SUBTOTAL(9,AG126:AG135)</f>
        <v>1297825992.8299999</v>
      </c>
      <c r="AH125" s="99">
        <f t="shared" si="75"/>
        <v>1296007492.8299999</v>
      </c>
      <c r="AI125" s="99">
        <f t="shared" si="75"/>
        <v>0</v>
      </c>
      <c r="AJ125" s="99">
        <f t="shared" si="75"/>
        <v>924149741</v>
      </c>
      <c r="AK125" s="99">
        <f>SUBTOTAL(9,AK126:AK135)</f>
        <v>2727601771.0199995</v>
      </c>
      <c r="AL125" s="99">
        <f t="shared" si="75"/>
        <v>1270548492.8299999</v>
      </c>
      <c r="AM125" s="99">
        <f t="shared" si="75"/>
        <v>1270548492.8299999</v>
      </c>
      <c r="AN125" s="99">
        <f t="shared" si="75"/>
        <v>0</v>
      </c>
      <c r="AO125" s="99">
        <f t="shared" si="75"/>
        <v>2577375983.8299999</v>
      </c>
      <c r="AP125" s="99">
        <f t="shared" si="75"/>
        <v>0</v>
      </c>
      <c r="AQ125" s="99">
        <f t="shared" si="75"/>
        <v>0</v>
      </c>
      <c r="AR125" s="99">
        <f t="shared" si="75"/>
        <v>0</v>
      </c>
      <c r="AS125" s="99">
        <f t="shared" si="75"/>
        <v>0</v>
      </c>
      <c r="AT125" s="99">
        <f t="shared" si="75"/>
        <v>0</v>
      </c>
      <c r="AU125" s="99">
        <f>SUBTOTAL(9,AU126:AU135)</f>
        <v>0</v>
      </c>
      <c r="AV125" s="99">
        <f t="shared" si="75"/>
        <v>0</v>
      </c>
      <c r="AW125" s="99">
        <f t="shared" si="75"/>
        <v>0</v>
      </c>
      <c r="AX125" s="99">
        <f t="shared" si="75"/>
        <v>0</v>
      </c>
      <c r="AY125" s="99">
        <f t="shared" si="75"/>
        <v>0</v>
      </c>
      <c r="AZ125" s="99">
        <f t="shared" si="75"/>
        <v>0</v>
      </c>
      <c r="BA125" s="99">
        <f t="shared" si="75"/>
        <v>0</v>
      </c>
      <c r="BB125" s="99">
        <f t="shared" si="75"/>
        <v>0</v>
      </c>
      <c r="BC125" s="99">
        <f t="shared" si="75"/>
        <v>0</v>
      </c>
      <c r="BD125" s="99">
        <f t="shared" si="75"/>
        <v>0</v>
      </c>
      <c r="BE125" s="99">
        <f>SUBTOTAL(9,BE126:BE135)</f>
        <v>0</v>
      </c>
      <c r="BF125" s="99">
        <f t="shared" si="75"/>
        <v>0</v>
      </c>
      <c r="BG125" s="99">
        <f t="shared" si="75"/>
        <v>0</v>
      </c>
      <c r="BH125" s="99">
        <f t="shared" si="75"/>
        <v>0</v>
      </c>
      <c r="BI125" s="99">
        <f t="shared" si="75"/>
        <v>0</v>
      </c>
      <c r="BJ125" s="99">
        <f t="shared" si="75"/>
        <v>0</v>
      </c>
      <c r="BK125" s="99">
        <f t="shared" si="75"/>
        <v>0</v>
      </c>
      <c r="BL125" s="99">
        <f t="shared" si="75"/>
        <v>0</v>
      </c>
      <c r="BM125" s="99">
        <f t="shared" si="75"/>
        <v>0</v>
      </c>
      <c r="BN125" s="99">
        <f t="shared" si="75"/>
        <v>3259986369</v>
      </c>
      <c r="BO125" s="99">
        <f>SUBTOTAL(9,BO126:BO135)</f>
        <v>3259986369</v>
      </c>
      <c r="BP125" s="99">
        <f t="shared" si="75"/>
        <v>27277500</v>
      </c>
      <c r="BQ125" s="99">
        <f t="shared" si="75"/>
        <v>25459000</v>
      </c>
      <c r="BR125" s="99">
        <f t="shared" si="75"/>
        <v>0</v>
      </c>
      <c r="BS125" s="99">
        <f t="shared" si="75"/>
        <v>0</v>
      </c>
      <c r="BT125" s="99">
        <f t="shared" si="75"/>
        <v>0</v>
      </c>
      <c r="BU125" s="99">
        <f t="shared" si="75"/>
        <v>0</v>
      </c>
      <c r="BV125" s="99">
        <f t="shared" si="75"/>
        <v>0</v>
      </c>
      <c r="BW125" s="99">
        <f t="shared" si="75"/>
        <v>0</v>
      </c>
      <c r="BX125" s="99">
        <f t="shared" si="75"/>
        <v>0</v>
      </c>
      <c r="BY125" s="99">
        <f>SUBTOTAL(9,BY126:BY135)</f>
        <v>0</v>
      </c>
      <c r="BZ125" s="99">
        <f t="shared" si="75"/>
        <v>0</v>
      </c>
      <c r="CA125" s="99">
        <f t="shared" si="75"/>
        <v>0</v>
      </c>
      <c r="CB125" s="99">
        <f t="shared" si="75"/>
        <v>0</v>
      </c>
      <c r="CC125" s="99">
        <f t="shared" si="75"/>
        <v>0</v>
      </c>
      <c r="CD125" s="99">
        <f t="shared" si="75"/>
        <v>0</v>
      </c>
      <c r="CE125" s="99">
        <f t="shared" si="75"/>
        <v>0</v>
      </c>
      <c r="CF125" s="99">
        <f t="shared" si="75"/>
        <v>0</v>
      </c>
      <c r="CG125" s="99">
        <f t="shared" si="75"/>
        <v>0</v>
      </c>
      <c r="CH125" s="99">
        <f t="shared" si="75"/>
        <v>1924592272.4000001</v>
      </c>
      <c r="CI125" s="99">
        <f t="shared" si="75"/>
        <v>760471362.39999998</v>
      </c>
      <c r="CJ125" s="99">
        <f t="shared" si="75"/>
        <v>1164120910</v>
      </c>
      <c r="CK125" s="99">
        <f t="shared" si="75"/>
        <v>0</v>
      </c>
      <c r="CL125" s="99">
        <f t="shared" si="75"/>
        <v>0</v>
      </c>
      <c r="CM125" s="99">
        <f t="shared" si="75"/>
        <v>0</v>
      </c>
      <c r="CN125" s="99">
        <f t="shared" si="75"/>
        <v>0</v>
      </c>
      <c r="CO125" s="99">
        <f t="shared" si="75"/>
        <v>0</v>
      </c>
      <c r="CP125" s="99">
        <f t="shared" si="75"/>
        <v>0</v>
      </c>
      <c r="CQ125" s="99">
        <f t="shared" si="75"/>
        <v>0</v>
      </c>
      <c r="CR125" s="99">
        <f t="shared" si="75"/>
        <v>0</v>
      </c>
      <c r="CS125" s="99">
        <f t="shared" si="75"/>
        <v>2751430028.73</v>
      </c>
      <c r="CT125" s="99">
        <f t="shared" si="75"/>
        <v>1402504924.73</v>
      </c>
      <c r="CU125" s="99">
        <f t="shared" si="75"/>
        <v>1348925104</v>
      </c>
      <c r="CV125" s="99">
        <f t="shared" si="75"/>
        <v>0</v>
      </c>
      <c r="CW125" s="99">
        <f t="shared" si="75"/>
        <v>0</v>
      </c>
      <c r="CX125" s="99">
        <f t="shared" si="75"/>
        <v>0</v>
      </c>
      <c r="CY125" s="99">
        <f t="shared" si="75"/>
        <v>0</v>
      </c>
      <c r="CZ125" s="99">
        <f t="shared" si="75"/>
        <v>0</v>
      </c>
      <c r="DA125" s="99">
        <f t="shared" si="75"/>
        <v>0</v>
      </c>
      <c r="DB125" s="99">
        <f t="shared" si="75"/>
        <v>0</v>
      </c>
      <c r="DC125" s="99">
        <f t="shared" si="75"/>
        <v>0</v>
      </c>
      <c r="DD125" s="99">
        <f t="shared" si="75"/>
        <v>3819688910.3400002</v>
      </c>
      <c r="DE125" s="99">
        <f t="shared" si="75"/>
        <v>2275919068.3400002</v>
      </c>
      <c r="DF125" s="99">
        <f t="shared" si="75"/>
        <v>1543769842</v>
      </c>
      <c r="DG125" s="99">
        <f t="shared" si="75"/>
        <v>0</v>
      </c>
      <c r="DH125" s="99">
        <f t="shared" si="75"/>
        <v>0</v>
      </c>
      <c r="DI125" s="99">
        <f t="shared" si="75"/>
        <v>0</v>
      </c>
      <c r="DJ125" s="99">
        <f t="shared" si="75"/>
        <v>0</v>
      </c>
      <c r="DK125" s="99">
        <f t="shared" si="75"/>
        <v>0</v>
      </c>
      <c r="DL125" s="99">
        <f t="shared" si="75"/>
        <v>0</v>
      </c>
      <c r="DM125" s="99">
        <f t="shared" si="75"/>
        <v>0</v>
      </c>
      <c r="DN125" s="100">
        <f t="shared" si="75"/>
        <v>0</v>
      </c>
      <c r="DO125" s="99">
        <f t="shared" si="75"/>
        <v>15257223305.299999</v>
      </c>
    </row>
    <row r="126" spans="1:119" s="225" customFormat="1" ht="78.75" customHeight="1" x14ac:dyDescent="0.2">
      <c r="A126" s="244">
        <v>1</v>
      </c>
      <c r="B126" s="253" t="s">
        <v>19</v>
      </c>
      <c r="C126" s="59" t="s">
        <v>212</v>
      </c>
      <c r="D126" s="59" t="s">
        <v>177</v>
      </c>
      <c r="E126" s="55" t="s">
        <v>951</v>
      </c>
      <c r="F126" s="13">
        <v>2018</v>
      </c>
      <c r="G126" s="59" t="s">
        <v>952</v>
      </c>
      <c r="H126" s="119">
        <v>1</v>
      </c>
      <c r="I126" s="13">
        <v>33</v>
      </c>
      <c r="J126" s="137" t="s">
        <v>953</v>
      </c>
      <c r="K126" s="50">
        <v>5</v>
      </c>
      <c r="L126" s="137" t="s">
        <v>954</v>
      </c>
      <c r="M126" s="244">
        <v>25</v>
      </c>
      <c r="N126" s="247">
        <v>3301</v>
      </c>
      <c r="O126" s="245" t="s">
        <v>26</v>
      </c>
      <c r="P126" s="13" t="s">
        <v>955</v>
      </c>
      <c r="Q126" s="48">
        <v>3301051</v>
      </c>
      <c r="R126" s="48">
        <v>3301051</v>
      </c>
      <c r="S126" s="59" t="s">
        <v>178</v>
      </c>
      <c r="T126" s="13" t="s">
        <v>956</v>
      </c>
      <c r="U126" s="48">
        <v>330105110</v>
      </c>
      <c r="V126" s="48">
        <v>330105110</v>
      </c>
      <c r="W126" s="87" t="s">
        <v>957</v>
      </c>
      <c r="X126" s="88" t="s">
        <v>9</v>
      </c>
      <c r="Y126" s="13">
        <v>1000</v>
      </c>
      <c r="Z126" s="13">
        <v>50</v>
      </c>
      <c r="AA126" s="13">
        <v>50</v>
      </c>
      <c r="AB126" s="13">
        <v>250</v>
      </c>
      <c r="AC126" s="13">
        <v>350</v>
      </c>
      <c r="AD126" s="13">
        <v>350</v>
      </c>
      <c r="AE126" s="89">
        <f t="shared" ref="AE126:AI135" si="76">AJ126+AO126+AT126+AY126+BD126+BI126+BN126+BS126+BX126+CC126</f>
        <v>20000000</v>
      </c>
      <c r="AF126" s="89">
        <f t="shared" si="76"/>
        <v>85158589</v>
      </c>
      <c r="AG126" s="89">
        <f t="shared" si="76"/>
        <v>59410833</v>
      </c>
      <c r="AH126" s="89">
        <f t="shared" si="76"/>
        <v>57592333</v>
      </c>
      <c r="AI126" s="89">
        <f t="shared" si="76"/>
        <v>0</v>
      </c>
      <c r="AJ126" s="91">
        <v>20000000</v>
      </c>
      <c r="AK126" s="91">
        <v>47000000</v>
      </c>
      <c r="AL126" s="91">
        <v>32133333</v>
      </c>
      <c r="AM126" s="91">
        <v>32133333</v>
      </c>
      <c r="AN126" s="91"/>
      <c r="AO126" s="91"/>
      <c r="AP126" s="91"/>
      <c r="AQ126" s="91"/>
      <c r="AR126" s="91"/>
      <c r="AS126" s="91"/>
      <c r="AT126" s="91"/>
      <c r="AU126" s="91"/>
      <c r="AV126" s="91"/>
      <c r="AW126" s="91"/>
      <c r="AX126" s="91"/>
      <c r="AY126" s="91"/>
      <c r="AZ126" s="91"/>
      <c r="BA126" s="91"/>
      <c r="BB126" s="91"/>
      <c r="BC126" s="91"/>
      <c r="BD126" s="91"/>
      <c r="BE126" s="91"/>
      <c r="BF126" s="91"/>
      <c r="BG126" s="91"/>
      <c r="BH126" s="91"/>
      <c r="BI126" s="91"/>
      <c r="BJ126" s="91"/>
      <c r="BK126" s="91"/>
      <c r="BL126" s="91"/>
      <c r="BM126" s="91"/>
      <c r="BN126" s="91"/>
      <c r="BO126" s="91">
        <v>38158589</v>
      </c>
      <c r="BP126" s="91">
        <v>27277500</v>
      </c>
      <c r="BQ126" s="91">
        <v>25459000</v>
      </c>
      <c r="BR126" s="91"/>
      <c r="BS126" s="91"/>
      <c r="BT126" s="91"/>
      <c r="BU126" s="91"/>
      <c r="BV126" s="91"/>
      <c r="BW126" s="91"/>
      <c r="BX126" s="91"/>
      <c r="BY126" s="91"/>
      <c r="BZ126" s="91"/>
      <c r="CA126" s="91"/>
      <c r="CB126" s="91"/>
      <c r="CC126" s="91"/>
      <c r="CD126" s="91"/>
      <c r="CE126" s="91"/>
      <c r="CF126" s="91"/>
      <c r="CG126" s="91"/>
      <c r="CH126" s="91">
        <f t="shared" ref="CH126:CH135" si="77">CI126+CJ126+CK126+CL126+CM126+CN126+CO126+CP126+CQ126+CR126</f>
        <v>14250000</v>
      </c>
      <c r="CI126" s="91">
        <v>14250000</v>
      </c>
      <c r="CJ126" s="91"/>
      <c r="CK126" s="91"/>
      <c r="CL126" s="91"/>
      <c r="CM126" s="91"/>
      <c r="CN126" s="91"/>
      <c r="CO126" s="91"/>
      <c r="CP126" s="91"/>
      <c r="CQ126" s="91"/>
      <c r="CR126" s="91"/>
      <c r="CS126" s="91">
        <f t="shared" ref="CS126:CS135" si="78">CT126+CU126+CV126+CW126+CX126+CY126+CZ126+DA126+DB126+DC126</f>
        <v>31848300</v>
      </c>
      <c r="CT126" s="91">
        <v>31848300</v>
      </c>
      <c r="CU126" s="91"/>
      <c r="CV126" s="91"/>
      <c r="CW126" s="91"/>
      <c r="CX126" s="91"/>
      <c r="CY126" s="91"/>
      <c r="CZ126" s="91"/>
      <c r="DA126" s="91"/>
      <c r="DB126" s="91"/>
      <c r="DC126" s="91"/>
      <c r="DD126" s="91">
        <f t="shared" ref="DD126:DD135" si="79">DE126+DF126+DG126+DH126+DI126+DJ126+DK126+DL126+DM126+DN126</f>
        <v>68131000</v>
      </c>
      <c r="DE126" s="91">
        <v>68131000</v>
      </c>
      <c r="DF126" s="91"/>
      <c r="DG126" s="91"/>
      <c r="DH126" s="91"/>
      <c r="DI126" s="91"/>
      <c r="DJ126" s="91"/>
      <c r="DK126" s="91"/>
      <c r="DL126" s="91"/>
      <c r="DM126" s="91"/>
      <c r="DN126" s="92"/>
      <c r="DO126" s="93">
        <f t="shared" ref="DO126:DO135" si="80">AE126+CH126+CS126+DD126</f>
        <v>134229300</v>
      </c>
    </row>
    <row r="127" spans="1:119" s="225" customFormat="1" ht="63" customHeight="1" x14ac:dyDescent="0.2">
      <c r="A127" s="244">
        <v>1</v>
      </c>
      <c r="B127" s="253" t="s">
        <v>19</v>
      </c>
      <c r="C127" s="59" t="s">
        <v>958</v>
      </c>
      <c r="D127" s="59" t="s">
        <v>92</v>
      </c>
      <c r="E127" s="138" t="s">
        <v>959</v>
      </c>
      <c r="F127" s="13" t="s">
        <v>960</v>
      </c>
      <c r="G127" s="59" t="s">
        <v>961</v>
      </c>
      <c r="H127" s="139" t="s">
        <v>962</v>
      </c>
      <c r="I127" s="13">
        <v>33</v>
      </c>
      <c r="J127" s="137" t="s">
        <v>953</v>
      </c>
      <c r="K127" s="50">
        <v>5</v>
      </c>
      <c r="L127" s="137" t="s">
        <v>953</v>
      </c>
      <c r="M127" s="244">
        <v>25</v>
      </c>
      <c r="N127" s="249">
        <v>3301</v>
      </c>
      <c r="O127" s="245" t="s">
        <v>26</v>
      </c>
      <c r="P127" s="13" t="s">
        <v>965</v>
      </c>
      <c r="Q127" s="124">
        <v>3301052</v>
      </c>
      <c r="R127" s="124">
        <v>3301052</v>
      </c>
      <c r="S127" s="60" t="s">
        <v>966</v>
      </c>
      <c r="T127" s="13" t="s">
        <v>967</v>
      </c>
      <c r="U127" s="124">
        <v>330105203</v>
      </c>
      <c r="V127" s="124">
        <v>330105203</v>
      </c>
      <c r="W127" s="87" t="s">
        <v>968</v>
      </c>
      <c r="X127" s="88" t="s">
        <v>8</v>
      </c>
      <c r="Y127" s="13">
        <v>135</v>
      </c>
      <c r="Z127" s="13">
        <v>135</v>
      </c>
      <c r="AA127" s="13"/>
      <c r="AB127" s="13">
        <v>135</v>
      </c>
      <c r="AC127" s="13">
        <v>135</v>
      </c>
      <c r="AD127" s="13">
        <v>135</v>
      </c>
      <c r="AE127" s="89">
        <f t="shared" si="76"/>
        <v>3259986369</v>
      </c>
      <c r="AF127" s="89">
        <f t="shared" si="76"/>
        <v>3221827780</v>
      </c>
      <c r="AG127" s="89">
        <f t="shared" si="76"/>
        <v>0</v>
      </c>
      <c r="AH127" s="89">
        <f t="shared" si="76"/>
        <v>0</v>
      </c>
      <c r="AI127" s="89">
        <f t="shared" si="76"/>
        <v>0</v>
      </c>
      <c r="AJ127" s="91"/>
      <c r="AK127" s="91"/>
      <c r="AL127" s="91"/>
      <c r="AM127" s="91"/>
      <c r="AN127" s="91"/>
      <c r="AO127" s="91"/>
      <c r="AP127" s="91"/>
      <c r="AQ127" s="91"/>
      <c r="AR127" s="91"/>
      <c r="AS127" s="91"/>
      <c r="AT127" s="91"/>
      <c r="AU127" s="91"/>
      <c r="AV127" s="91"/>
      <c r="AW127" s="91"/>
      <c r="AX127" s="91"/>
      <c r="AY127" s="91"/>
      <c r="AZ127" s="91"/>
      <c r="BA127" s="91"/>
      <c r="BB127" s="91"/>
      <c r="BC127" s="91"/>
      <c r="BD127" s="91"/>
      <c r="BE127" s="91"/>
      <c r="BF127" s="91"/>
      <c r="BG127" s="91"/>
      <c r="BH127" s="91"/>
      <c r="BI127" s="91"/>
      <c r="BJ127" s="91"/>
      <c r="BK127" s="91"/>
      <c r="BL127" s="91"/>
      <c r="BM127" s="91"/>
      <c r="BN127" s="91">
        <v>3259986369</v>
      </c>
      <c r="BO127" s="91">
        <v>3221827780</v>
      </c>
      <c r="BP127" s="91"/>
      <c r="BQ127" s="91"/>
      <c r="BR127" s="91"/>
      <c r="BS127" s="91"/>
      <c r="BT127" s="91"/>
      <c r="BU127" s="91"/>
      <c r="BV127" s="91"/>
      <c r="BW127" s="91"/>
      <c r="BX127" s="91"/>
      <c r="BY127" s="91"/>
      <c r="BZ127" s="91"/>
      <c r="CA127" s="91"/>
      <c r="CB127" s="91"/>
      <c r="CC127" s="91"/>
      <c r="CD127" s="91"/>
      <c r="CE127" s="91"/>
      <c r="CF127" s="91"/>
      <c r="CG127" s="91"/>
      <c r="CH127" s="91">
        <f t="shared" si="77"/>
        <v>0</v>
      </c>
      <c r="CI127" s="91"/>
      <c r="CJ127" s="91"/>
      <c r="CK127" s="91"/>
      <c r="CL127" s="91"/>
      <c r="CM127" s="91"/>
      <c r="CN127" s="91"/>
      <c r="CO127" s="91"/>
      <c r="CP127" s="91"/>
      <c r="CQ127" s="91"/>
      <c r="CR127" s="91"/>
      <c r="CS127" s="91">
        <f t="shared" si="78"/>
        <v>0</v>
      </c>
      <c r="CT127" s="91"/>
      <c r="CU127" s="91"/>
      <c r="CV127" s="91"/>
      <c r="CW127" s="91"/>
      <c r="CX127" s="91"/>
      <c r="CY127" s="91"/>
      <c r="CZ127" s="91"/>
      <c r="DA127" s="91"/>
      <c r="DB127" s="91"/>
      <c r="DC127" s="91"/>
      <c r="DD127" s="91">
        <f t="shared" si="79"/>
        <v>0</v>
      </c>
      <c r="DE127" s="91"/>
      <c r="DF127" s="91"/>
      <c r="DG127" s="91"/>
      <c r="DH127" s="91"/>
      <c r="DI127" s="91"/>
      <c r="DJ127" s="91"/>
      <c r="DK127" s="91"/>
      <c r="DL127" s="91"/>
      <c r="DM127" s="91"/>
      <c r="DN127" s="92"/>
      <c r="DO127" s="93">
        <f t="shared" si="80"/>
        <v>3259986369</v>
      </c>
    </row>
    <row r="128" spans="1:119" s="225" customFormat="1" ht="63" customHeight="1" x14ac:dyDescent="0.2">
      <c r="A128" s="244">
        <v>1</v>
      </c>
      <c r="B128" s="253" t="s">
        <v>19</v>
      </c>
      <c r="C128" s="59" t="s">
        <v>958</v>
      </c>
      <c r="D128" s="59" t="s">
        <v>985</v>
      </c>
      <c r="E128" s="139" t="s">
        <v>980</v>
      </c>
      <c r="F128" s="13" t="s">
        <v>986</v>
      </c>
      <c r="G128" s="59" t="s">
        <v>970</v>
      </c>
      <c r="H128" s="139" t="s">
        <v>981</v>
      </c>
      <c r="I128" s="13">
        <v>33</v>
      </c>
      <c r="J128" s="13" t="s">
        <v>953</v>
      </c>
      <c r="K128" s="50">
        <v>5</v>
      </c>
      <c r="L128" s="137" t="s">
        <v>953</v>
      </c>
      <c r="M128" s="244">
        <v>25</v>
      </c>
      <c r="N128" s="249">
        <v>3301</v>
      </c>
      <c r="O128" s="245" t="s">
        <v>26</v>
      </c>
      <c r="P128" s="13" t="s">
        <v>987</v>
      </c>
      <c r="Q128" s="121">
        <v>3301068</v>
      </c>
      <c r="R128" s="13">
        <v>3301068</v>
      </c>
      <c r="S128" s="59" t="s">
        <v>27</v>
      </c>
      <c r="T128" s="13" t="s">
        <v>988</v>
      </c>
      <c r="U128" s="121" t="s">
        <v>989</v>
      </c>
      <c r="V128" s="13" t="s">
        <v>989</v>
      </c>
      <c r="W128" s="87" t="s">
        <v>990</v>
      </c>
      <c r="X128" s="88" t="s">
        <v>9</v>
      </c>
      <c r="Y128" s="13">
        <v>10</v>
      </c>
      <c r="Z128" s="13">
        <v>1</v>
      </c>
      <c r="AA128" s="13">
        <v>5</v>
      </c>
      <c r="AB128" s="13">
        <v>2</v>
      </c>
      <c r="AC128" s="13">
        <v>4</v>
      </c>
      <c r="AD128" s="13">
        <v>3</v>
      </c>
      <c r="AE128" s="89">
        <f t="shared" si="76"/>
        <v>50000000</v>
      </c>
      <c r="AF128" s="89">
        <f t="shared" si="76"/>
        <v>50000000</v>
      </c>
      <c r="AG128" s="89">
        <f t="shared" si="76"/>
        <v>27099956</v>
      </c>
      <c r="AH128" s="89">
        <f t="shared" si="76"/>
        <v>27099956</v>
      </c>
      <c r="AI128" s="89">
        <f t="shared" si="76"/>
        <v>0</v>
      </c>
      <c r="AJ128" s="91">
        <v>50000000</v>
      </c>
      <c r="AK128" s="91">
        <v>50000000</v>
      </c>
      <c r="AL128" s="91">
        <v>27099956</v>
      </c>
      <c r="AM128" s="91">
        <v>27099956</v>
      </c>
      <c r="AN128" s="91"/>
      <c r="AO128" s="91"/>
      <c r="AP128" s="91"/>
      <c r="AQ128" s="91"/>
      <c r="AR128" s="91"/>
      <c r="AS128" s="91"/>
      <c r="AT128" s="91"/>
      <c r="AU128" s="91"/>
      <c r="AV128" s="91"/>
      <c r="AW128" s="91"/>
      <c r="AX128" s="91"/>
      <c r="AY128" s="91"/>
      <c r="AZ128" s="91"/>
      <c r="BA128" s="91"/>
      <c r="BB128" s="91"/>
      <c r="BC128" s="91"/>
      <c r="BD128" s="91"/>
      <c r="BE128" s="91"/>
      <c r="BF128" s="91"/>
      <c r="BG128" s="91"/>
      <c r="BH128" s="91"/>
      <c r="BI128" s="91"/>
      <c r="BJ128" s="91"/>
      <c r="BK128" s="91"/>
      <c r="BL128" s="91"/>
      <c r="BM128" s="91"/>
      <c r="BN128" s="91"/>
      <c r="BO128" s="91"/>
      <c r="BP128" s="91"/>
      <c r="BQ128" s="91"/>
      <c r="BR128" s="91"/>
      <c r="BS128" s="91"/>
      <c r="BT128" s="91"/>
      <c r="BU128" s="91"/>
      <c r="BV128" s="91"/>
      <c r="BW128" s="91"/>
      <c r="BX128" s="91"/>
      <c r="BY128" s="91"/>
      <c r="BZ128" s="91"/>
      <c r="CA128" s="91"/>
      <c r="CB128" s="91"/>
      <c r="CC128" s="91"/>
      <c r="CD128" s="91"/>
      <c r="CE128" s="91"/>
      <c r="CF128" s="91"/>
      <c r="CG128" s="91"/>
      <c r="CH128" s="91">
        <f t="shared" si="77"/>
        <v>13000000</v>
      </c>
      <c r="CI128" s="91">
        <v>13000000</v>
      </c>
      <c r="CJ128" s="91"/>
      <c r="CK128" s="91"/>
      <c r="CL128" s="91"/>
      <c r="CM128" s="91"/>
      <c r="CN128" s="91"/>
      <c r="CO128" s="91"/>
      <c r="CP128" s="91"/>
      <c r="CQ128" s="91"/>
      <c r="CR128" s="91"/>
      <c r="CS128" s="91">
        <f t="shared" si="78"/>
        <v>20000000</v>
      </c>
      <c r="CT128" s="91">
        <v>20000000</v>
      </c>
      <c r="CU128" s="91"/>
      <c r="CV128" s="91"/>
      <c r="CW128" s="91"/>
      <c r="CX128" s="91"/>
      <c r="CY128" s="91"/>
      <c r="CZ128" s="91"/>
      <c r="DA128" s="91"/>
      <c r="DB128" s="91"/>
      <c r="DC128" s="91"/>
      <c r="DD128" s="91">
        <f t="shared" si="79"/>
        <v>24000000</v>
      </c>
      <c r="DE128" s="91">
        <v>24000000</v>
      </c>
      <c r="DF128" s="91"/>
      <c r="DG128" s="91"/>
      <c r="DH128" s="91"/>
      <c r="DI128" s="91"/>
      <c r="DJ128" s="91"/>
      <c r="DK128" s="91"/>
      <c r="DL128" s="91"/>
      <c r="DM128" s="91"/>
      <c r="DN128" s="92"/>
      <c r="DO128" s="93">
        <f t="shared" si="80"/>
        <v>107000000</v>
      </c>
    </row>
    <row r="129" spans="1:119" s="225" customFormat="1" ht="63" customHeight="1" x14ac:dyDescent="0.2">
      <c r="A129" s="244">
        <v>1</v>
      </c>
      <c r="B129" s="253" t="s">
        <v>19</v>
      </c>
      <c r="C129" s="59" t="s">
        <v>958</v>
      </c>
      <c r="D129" s="59" t="s">
        <v>1646</v>
      </c>
      <c r="E129" s="139" t="s">
        <v>980</v>
      </c>
      <c r="F129" s="13" t="s">
        <v>960</v>
      </c>
      <c r="G129" s="59" t="s">
        <v>970</v>
      </c>
      <c r="H129" s="139" t="s">
        <v>981</v>
      </c>
      <c r="I129" s="13">
        <v>33</v>
      </c>
      <c r="J129" s="137" t="s">
        <v>953</v>
      </c>
      <c r="K129" s="50">
        <v>5</v>
      </c>
      <c r="L129" s="137" t="s">
        <v>953</v>
      </c>
      <c r="M129" s="244">
        <v>25</v>
      </c>
      <c r="N129" s="249">
        <v>3301</v>
      </c>
      <c r="O129" s="245" t="s">
        <v>26</v>
      </c>
      <c r="P129" s="13" t="s">
        <v>982</v>
      </c>
      <c r="Q129" s="124">
        <v>3301073</v>
      </c>
      <c r="R129" s="121">
        <v>3301073</v>
      </c>
      <c r="S129" s="59" t="s">
        <v>94</v>
      </c>
      <c r="T129" s="13" t="s">
        <v>983</v>
      </c>
      <c r="U129" s="124">
        <v>330107301</v>
      </c>
      <c r="V129" s="124">
        <v>330107301</v>
      </c>
      <c r="W129" s="87" t="s">
        <v>984</v>
      </c>
      <c r="X129" s="88" t="s">
        <v>9</v>
      </c>
      <c r="Y129" s="13">
        <v>1800</v>
      </c>
      <c r="Z129" s="13">
        <v>200</v>
      </c>
      <c r="AA129" s="13">
        <v>150</v>
      </c>
      <c r="AB129" s="13">
        <v>500</v>
      </c>
      <c r="AC129" s="13">
        <v>550</v>
      </c>
      <c r="AD129" s="13">
        <v>550</v>
      </c>
      <c r="AE129" s="89">
        <f t="shared" si="76"/>
        <v>1308657774.3500001</v>
      </c>
      <c r="AF129" s="89">
        <f t="shared" si="76"/>
        <v>1131703080.0799999</v>
      </c>
      <c r="AG129" s="89">
        <f t="shared" si="76"/>
        <v>1080190203.8299999</v>
      </c>
      <c r="AH129" s="89">
        <f t="shared" si="76"/>
        <v>1080190203.8299999</v>
      </c>
      <c r="AI129" s="89">
        <f t="shared" si="76"/>
        <v>0</v>
      </c>
      <c r="AJ129" s="91"/>
      <c r="AK129" s="91">
        <v>1131703080.0799999</v>
      </c>
      <c r="AL129" s="91">
        <v>1080190203.8299999</v>
      </c>
      <c r="AM129" s="91">
        <v>1080190203.8299999</v>
      </c>
      <c r="AN129" s="91"/>
      <c r="AO129" s="91">
        <v>1308657774.3500001</v>
      </c>
      <c r="AP129" s="91"/>
      <c r="AQ129" s="91"/>
      <c r="AR129" s="91"/>
      <c r="AS129" s="91"/>
      <c r="AT129" s="91"/>
      <c r="AU129" s="91"/>
      <c r="AV129" s="91"/>
      <c r="AW129" s="91"/>
      <c r="AX129" s="91"/>
      <c r="AY129" s="91"/>
      <c r="AZ129" s="91"/>
      <c r="BA129" s="91"/>
      <c r="BB129" s="91"/>
      <c r="BC129" s="91"/>
      <c r="BD129" s="91"/>
      <c r="BE129" s="91"/>
      <c r="BF129" s="91"/>
      <c r="BG129" s="91"/>
      <c r="BH129" s="91"/>
      <c r="BI129" s="91"/>
      <c r="BJ129" s="91"/>
      <c r="BK129" s="91"/>
      <c r="BL129" s="91"/>
      <c r="BM129" s="91"/>
      <c r="BN129" s="91"/>
      <c r="BO129" s="91"/>
      <c r="BP129" s="91"/>
      <c r="BQ129" s="91"/>
      <c r="BR129" s="91"/>
      <c r="BS129" s="91"/>
      <c r="BT129" s="91"/>
      <c r="BU129" s="91"/>
      <c r="BV129" s="91"/>
      <c r="BW129" s="91"/>
      <c r="BX129" s="91"/>
      <c r="BY129" s="91"/>
      <c r="BZ129" s="91"/>
      <c r="CA129" s="91"/>
      <c r="CB129" s="91"/>
      <c r="CC129" s="91"/>
      <c r="CD129" s="91"/>
      <c r="CE129" s="91"/>
      <c r="CF129" s="91"/>
      <c r="CG129" s="91"/>
      <c r="CH129" s="91">
        <f t="shared" si="77"/>
        <v>903090682</v>
      </c>
      <c r="CI129" s="91">
        <v>30000000</v>
      </c>
      <c r="CJ129" s="91">
        <v>873090682</v>
      </c>
      <c r="CK129" s="91"/>
      <c r="CL129" s="91"/>
      <c r="CM129" s="91"/>
      <c r="CN129" s="91"/>
      <c r="CO129" s="91"/>
      <c r="CP129" s="91"/>
      <c r="CQ129" s="91"/>
      <c r="CR129" s="91"/>
      <c r="CS129" s="91">
        <f t="shared" si="78"/>
        <v>1489693828</v>
      </c>
      <c r="CT129" s="91">
        <v>478000000</v>
      </c>
      <c r="CU129" s="91">
        <v>1011693828</v>
      </c>
      <c r="CV129" s="91"/>
      <c r="CW129" s="91"/>
      <c r="CX129" s="91"/>
      <c r="CY129" s="91"/>
      <c r="CZ129" s="91"/>
      <c r="DA129" s="91"/>
      <c r="DB129" s="91"/>
      <c r="DC129" s="91"/>
      <c r="DD129" s="91">
        <f t="shared" si="79"/>
        <v>2251615450.3400002</v>
      </c>
      <c r="DE129" s="91">
        <v>1093788068.3399999</v>
      </c>
      <c r="DF129" s="91">
        <v>1157827382</v>
      </c>
      <c r="DG129" s="91"/>
      <c r="DH129" s="91"/>
      <c r="DI129" s="91"/>
      <c r="DJ129" s="91"/>
      <c r="DK129" s="91"/>
      <c r="DL129" s="91"/>
      <c r="DM129" s="91"/>
      <c r="DN129" s="92"/>
      <c r="DO129" s="93">
        <f t="shared" si="80"/>
        <v>5953057734.6900005</v>
      </c>
    </row>
    <row r="130" spans="1:119" s="225" customFormat="1" ht="63" customHeight="1" x14ac:dyDescent="0.2">
      <c r="A130" s="244">
        <v>1</v>
      </c>
      <c r="B130" s="253" t="s">
        <v>19</v>
      </c>
      <c r="C130" s="59" t="s">
        <v>958</v>
      </c>
      <c r="D130" s="59" t="s">
        <v>1648</v>
      </c>
      <c r="E130" s="139" t="s">
        <v>969</v>
      </c>
      <c r="F130" s="13" t="s">
        <v>960</v>
      </c>
      <c r="G130" s="59" t="s">
        <v>970</v>
      </c>
      <c r="H130" s="139" t="s">
        <v>971</v>
      </c>
      <c r="I130" s="13">
        <v>33</v>
      </c>
      <c r="J130" s="137" t="s">
        <v>953</v>
      </c>
      <c r="K130" s="50">
        <v>5</v>
      </c>
      <c r="L130" s="137" t="s">
        <v>953</v>
      </c>
      <c r="M130" s="244">
        <v>25</v>
      </c>
      <c r="N130" s="249">
        <v>3301</v>
      </c>
      <c r="O130" s="245" t="s">
        <v>26</v>
      </c>
      <c r="P130" s="13" t="s">
        <v>972</v>
      </c>
      <c r="Q130" s="124">
        <v>3301085</v>
      </c>
      <c r="R130" s="121">
        <v>3301085</v>
      </c>
      <c r="S130" s="59" t="s">
        <v>95</v>
      </c>
      <c r="T130" s="13" t="s">
        <v>973</v>
      </c>
      <c r="U130" s="48" t="s">
        <v>974</v>
      </c>
      <c r="V130" s="48" t="s">
        <v>974</v>
      </c>
      <c r="W130" s="87" t="s">
        <v>975</v>
      </c>
      <c r="X130" s="88" t="s">
        <v>9</v>
      </c>
      <c r="Y130" s="13">
        <v>270958</v>
      </c>
      <c r="Z130" s="13">
        <v>958</v>
      </c>
      <c r="AA130" s="13">
        <v>596</v>
      </c>
      <c r="AB130" s="13">
        <v>40000</v>
      </c>
      <c r="AC130" s="13">
        <f>90000+25000</f>
        <v>115000</v>
      </c>
      <c r="AD130" s="13">
        <f>90000+25000</f>
        <v>115000</v>
      </c>
      <c r="AE130" s="89">
        <f t="shared" si="76"/>
        <v>110000000</v>
      </c>
      <c r="AF130" s="89">
        <f t="shared" si="76"/>
        <v>110000000</v>
      </c>
      <c r="AG130" s="89">
        <f t="shared" si="76"/>
        <v>46725000</v>
      </c>
      <c r="AH130" s="89">
        <f t="shared" si="76"/>
        <v>46725000</v>
      </c>
      <c r="AI130" s="89">
        <f t="shared" si="76"/>
        <v>0</v>
      </c>
      <c r="AJ130" s="91"/>
      <c r="AK130" s="91">
        <v>110000000</v>
      </c>
      <c r="AL130" s="91">
        <v>46725000</v>
      </c>
      <c r="AM130" s="91">
        <v>46725000</v>
      </c>
      <c r="AN130" s="91"/>
      <c r="AO130" s="91">
        <v>110000000</v>
      </c>
      <c r="AP130" s="91"/>
      <c r="AQ130" s="91"/>
      <c r="AR130" s="91"/>
      <c r="AS130" s="91"/>
      <c r="AT130" s="91"/>
      <c r="AU130" s="91"/>
      <c r="AV130" s="91"/>
      <c r="AW130" s="91"/>
      <c r="AX130" s="91"/>
      <c r="AY130" s="91"/>
      <c r="AZ130" s="91"/>
      <c r="BA130" s="91"/>
      <c r="BB130" s="91"/>
      <c r="BC130" s="91"/>
      <c r="BD130" s="91"/>
      <c r="BE130" s="91"/>
      <c r="BF130" s="91"/>
      <c r="BG130" s="91"/>
      <c r="BH130" s="91"/>
      <c r="BI130" s="91"/>
      <c r="BJ130" s="91"/>
      <c r="BK130" s="91"/>
      <c r="BL130" s="91"/>
      <c r="BM130" s="91"/>
      <c r="BN130" s="91"/>
      <c r="BO130" s="91"/>
      <c r="BP130" s="91"/>
      <c r="BQ130" s="91"/>
      <c r="BR130" s="91"/>
      <c r="BS130" s="91"/>
      <c r="BT130" s="91"/>
      <c r="BU130" s="91"/>
      <c r="BV130" s="91"/>
      <c r="BW130" s="91"/>
      <c r="BX130" s="91"/>
      <c r="BY130" s="91"/>
      <c r="BZ130" s="91"/>
      <c r="CA130" s="91"/>
      <c r="CB130" s="91"/>
      <c r="CC130" s="91"/>
      <c r="CD130" s="91"/>
      <c r="CE130" s="91"/>
      <c r="CF130" s="91"/>
      <c r="CG130" s="91"/>
      <c r="CH130" s="91">
        <f t="shared" si="77"/>
        <v>90515114</v>
      </c>
      <c r="CI130" s="91"/>
      <c r="CJ130" s="91">
        <v>90515114</v>
      </c>
      <c r="CK130" s="91"/>
      <c r="CL130" s="91"/>
      <c r="CM130" s="91"/>
      <c r="CN130" s="91"/>
      <c r="CO130" s="91"/>
      <c r="CP130" s="91"/>
      <c r="CQ130" s="91"/>
      <c r="CR130" s="91"/>
      <c r="CS130" s="91">
        <f t="shared" si="78"/>
        <v>90000000</v>
      </c>
      <c r="CT130" s="91"/>
      <c r="CU130" s="91">
        <v>90000000</v>
      </c>
      <c r="CV130" s="91"/>
      <c r="CW130" s="91"/>
      <c r="CX130" s="91"/>
      <c r="CY130" s="91"/>
      <c r="CZ130" s="91"/>
      <c r="DA130" s="91"/>
      <c r="DB130" s="91"/>
      <c r="DC130" s="91"/>
      <c r="DD130" s="91">
        <f t="shared" si="79"/>
        <v>100000000</v>
      </c>
      <c r="DE130" s="91"/>
      <c r="DF130" s="91">
        <v>100000000</v>
      </c>
      <c r="DG130" s="91"/>
      <c r="DH130" s="91"/>
      <c r="DI130" s="91"/>
      <c r="DJ130" s="91"/>
      <c r="DK130" s="91"/>
      <c r="DL130" s="91"/>
      <c r="DM130" s="91"/>
      <c r="DN130" s="92"/>
      <c r="DO130" s="93">
        <f t="shared" si="80"/>
        <v>390515114</v>
      </c>
    </row>
    <row r="131" spans="1:119" s="225" customFormat="1" ht="63" customHeight="1" x14ac:dyDescent="0.2">
      <c r="A131" s="244">
        <v>1</v>
      </c>
      <c r="B131" s="253" t="s">
        <v>19</v>
      </c>
      <c r="C131" s="59" t="s">
        <v>958</v>
      </c>
      <c r="D131" s="59" t="s">
        <v>1647</v>
      </c>
      <c r="E131" s="138" t="s">
        <v>959</v>
      </c>
      <c r="F131" s="13" t="s">
        <v>960</v>
      </c>
      <c r="G131" s="59" t="s">
        <v>961</v>
      </c>
      <c r="H131" s="139" t="s">
        <v>962</v>
      </c>
      <c r="I131" s="13">
        <v>33</v>
      </c>
      <c r="J131" s="137" t="s">
        <v>953</v>
      </c>
      <c r="K131" s="50">
        <v>5</v>
      </c>
      <c r="L131" s="137" t="s">
        <v>953</v>
      </c>
      <c r="M131" s="244">
        <v>25</v>
      </c>
      <c r="N131" s="249">
        <v>3301</v>
      </c>
      <c r="O131" s="245" t="s">
        <v>26</v>
      </c>
      <c r="P131" s="13" t="s">
        <v>963</v>
      </c>
      <c r="Q131" s="124">
        <v>3301087</v>
      </c>
      <c r="R131" s="121">
        <v>3301087</v>
      </c>
      <c r="S131" s="60" t="s">
        <v>93</v>
      </c>
      <c r="T131" s="13" t="s">
        <v>964</v>
      </c>
      <c r="U131" s="124">
        <v>330108701</v>
      </c>
      <c r="V131" s="124">
        <v>330108701</v>
      </c>
      <c r="W131" s="87" t="s">
        <v>543</v>
      </c>
      <c r="X131" s="88" t="s">
        <v>9</v>
      </c>
      <c r="Y131" s="13">
        <v>18785</v>
      </c>
      <c r="Z131" s="13">
        <v>1600</v>
      </c>
      <c r="AA131" s="13">
        <v>172</v>
      </c>
      <c r="AB131" s="13">
        <v>5700</v>
      </c>
      <c r="AC131" s="13">
        <v>5735</v>
      </c>
      <c r="AD131" s="13">
        <v>5750</v>
      </c>
      <c r="AE131" s="89">
        <f t="shared" si="76"/>
        <v>774149741</v>
      </c>
      <c r="AF131" s="89">
        <f t="shared" si="76"/>
        <v>84400000</v>
      </c>
      <c r="AG131" s="89">
        <f t="shared" si="76"/>
        <v>84400000</v>
      </c>
      <c r="AH131" s="89">
        <f t="shared" si="76"/>
        <v>84400000</v>
      </c>
      <c r="AI131" s="89">
        <f t="shared" si="76"/>
        <v>0</v>
      </c>
      <c r="AJ131" s="91">
        <v>774149741</v>
      </c>
      <c r="AK131" s="91">
        <v>84400000</v>
      </c>
      <c r="AL131" s="91">
        <v>84400000</v>
      </c>
      <c r="AM131" s="91">
        <v>84400000</v>
      </c>
      <c r="AN131" s="91"/>
      <c r="AO131" s="91"/>
      <c r="AP131" s="91"/>
      <c r="AQ131" s="91"/>
      <c r="AR131" s="91"/>
      <c r="AS131" s="91"/>
      <c r="AT131" s="91"/>
      <c r="AU131" s="91"/>
      <c r="AV131" s="91"/>
      <c r="AW131" s="91"/>
      <c r="AX131" s="91"/>
      <c r="AY131" s="91"/>
      <c r="AZ131" s="91"/>
      <c r="BA131" s="91"/>
      <c r="BB131" s="91"/>
      <c r="BC131" s="91"/>
      <c r="BD131" s="91"/>
      <c r="BE131" s="91"/>
      <c r="BF131" s="91"/>
      <c r="BG131" s="91"/>
      <c r="BH131" s="91"/>
      <c r="BI131" s="91"/>
      <c r="BJ131" s="91"/>
      <c r="BK131" s="91"/>
      <c r="BL131" s="91"/>
      <c r="BM131" s="91"/>
      <c r="BN131" s="91"/>
      <c r="BO131" s="91"/>
      <c r="BP131" s="91"/>
      <c r="BQ131" s="91"/>
      <c r="BR131" s="91"/>
      <c r="BS131" s="91"/>
      <c r="BT131" s="91"/>
      <c r="BU131" s="91"/>
      <c r="BV131" s="91"/>
      <c r="BW131" s="91"/>
      <c r="BX131" s="91"/>
      <c r="BY131" s="91"/>
      <c r="BZ131" s="91"/>
      <c r="CA131" s="91"/>
      <c r="CB131" s="91"/>
      <c r="CC131" s="91"/>
      <c r="CD131" s="91"/>
      <c r="CE131" s="91"/>
      <c r="CF131" s="91"/>
      <c r="CG131" s="91"/>
      <c r="CH131" s="91">
        <f t="shared" si="77"/>
        <v>620221362.39999998</v>
      </c>
      <c r="CI131" s="91">
        <v>620221362.39999998</v>
      </c>
      <c r="CJ131" s="91"/>
      <c r="CK131" s="91"/>
      <c r="CL131" s="91"/>
      <c r="CM131" s="91"/>
      <c r="CN131" s="91"/>
      <c r="CO131" s="91"/>
      <c r="CP131" s="91"/>
      <c r="CQ131" s="91"/>
      <c r="CR131" s="91"/>
      <c r="CS131" s="91">
        <f t="shared" si="78"/>
        <v>762656624.73000002</v>
      </c>
      <c r="CT131" s="91">
        <v>762656624.73000002</v>
      </c>
      <c r="CU131" s="91"/>
      <c r="CV131" s="91"/>
      <c r="CW131" s="91"/>
      <c r="CX131" s="91"/>
      <c r="CY131" s="91"/>
      <c r="CZ131" s="91"/>
      <c r="DA131" s="91"/>
      <c r="DB131" s="91"/>
      <c r="DC131" s="91"/>
      <c r="DD131" s="91">
        <f t="shared" si="79"/>
        <v>965000000</v>
      </c>
      <c r="DE131" s="91">
        <v>965000000</v>
      </c>
      <c r="DF131" s="91"/>
      <c r="DG131" s="91"/>
      <c r="DH131" s="91"/>
      <c r="DI131" s="91"/>
      <c r="DJ131" s="91"/>
      <c r="DK131" s="91"/>
      <c r="DL131" s="91"/>
      <c r="DM131" s="91"/>
      <c r="DN131" s="92"/>
      <c r="DO131" s="93">
        <f t="shared" si="80"/>
        <v>3122027728.1300001</v>
      </c>
    </row>
    <row r="132" spans="1:119" s="225" customFormat="1" ht="63" customHeight="1" x14ac:dyDescent="0.2">
      <c r="A132" s="244">
        <v>1</v>
      </c>
      <c r="B132" s="253" t="s">
        <v>19</v>
      </c>
      <c r="C132" s="59" t="s">
        <v>958</v>
      </c>
      <c r="D132" s="59" t="s">
        <v>1646</v>
      </c>
      <c r="E132" s="139" t="s">
        <v>980</v>
      </c>
      <c r="F132" s="13" t="s">
        <v>960</v>
      </c>
      <c r="G132" s="59" t="s">
        <v>970</v>
      </c>
      <c r="H132" s="139" t="s">
        <v>981</v>
      </c>
      <c r="I132" s="13">
        <v>33</v>
      </c>
      <c r="J132" s="137" t="s">
        <v>953</v>
      </c>
      <c r="K132" s="50">
        <v>5</v>
      </c>
      <c r="L132" s="137" t="s">
        <v>953</v>
      </c>
      <c r="M132" s="244">
        <v>25</v>
      </c>
      <c r="N132" s="249">
        <v>3301</v>
      </c>
      <c r="O132" s="245" t="s">
        <v>26</v>
      </c>
      <c r="P132" s="13" t="s">
        <v>991</v>
      </c>
      <c r="Q132" s="124">
        <v>3301095</v>
      </c>
      <c r="R132" s="121">
        <v>3301095</v>
      </c>
      <c r="S132" s="59" t="s">
        <v>98</v>
      </c>
      <c r="T132" s="13" t="s">
        <v>992</v>
      </c>
      <c r="U132" s="140" t="s">
        <v>993</v>
      </c>
      <c r="V132" s="140" t="s">
        <v>993</v>
      </c>
      <c r="W132" s="87" t="s">
        <v>994</v>
      </c>
      <c r="X132" s="88" t="s">
        <v>9</v>
      </c>
      <c r="Y132" s="13">
        <v>480</v>
      </c>
      <c r="Z132" s="13">
        <v>30</v>
      </c>
      <c r="AA132" s="13">
        <v>0</v>
      </c>
      <c r="AB132" s="13">
        <v>150</v>
      </c>
      <c r="AC132" s="13">
        <v>150</v>
      </c>
      <c r="AD132" s="13">
        <v>150</v>
      </c>
      <c r="AE132" s="89">
        <f t="shared" si="76"/>
        <v>1063903990.74</v>
      </c>
      <c r="AF132" s="89">
        <f t="shared" si="76"/>
        <v>1191684472.2</v>
      </c>
      <c r="AG132" s="89">
        <f t="shared" si="76"/>
        <v>0</v>
      </c>
      <c r="AH132" s="89">
        <f t="shared" si="76"/>
        <v>0</v>
      </c>
      <c r="AI132" s="89">
        <f t="shared" si="76"/>
        <v>0</v>
      </c>
      <c r="AJ132" s="91"/>
      <c r="AK132" s="91">
        <v>1191684472.2</v>
      </c>
      <c r="AL132" s="91"/>
      <c r="AM132" s="91"/>
      <c r="AN132" s="91"/>
      <c r="AO132" s="91">
        <v>1063903990.74</v>
      </c>
      <c r="AP132" s="91"/>
      <c r="AQ132" s="91"/>
      <c r="AR132" s="91"/>
      <c r="AS132" s="91"/>
      <c r="AT132" s="91"/>
      <c r="AU132" s="91"/>
      <c r="AV132" s="91"/>
      <c r="AW132" s="91"/>
      <c r="AX132" s="91"/>
      <c r="AY132" s="91"/>
      <c r="AZ132" s="91"/>
      <c r="BA132" s="91"/>
      <c r="BB132" s="91"/>
      <c r="BC132" s="91"/>
      <c r="BD132" s="91"/>
      <c r="BE132" s="91"/>
      <c r="BF132" s="91"/>
      <c r="BG132" s="91"/>
      <c r="BH132" s="91"/>
      <c r="BI132" s="91"/>
      <c r="BJ132" s="91"/>
      <c r="BK132" s="91"/>
      <c r="BL132" s="91"/>
      <c r="BM132" s="91"/>
      <c r="BN132" s="91"/>
      <c r="BO132" s="91"/>
      <c r="BP132" s="91"/>
      <c r="BQ132" s="91"/>
      <c r="BR132" s="91"/>
      <c r="BS132" s="91"/>
      <c r="BT132" s="91"/>
      <c r="BU132" s="91"/>
      <c r="BV132" s="91"/>
      <c r="BW132" s="91"/>
      <c r="BX132" s="91"/>
      <c r="BY132" s="91"/>
      <c r="BZ132" s="91"/>
      <c r="CA132" s="91"/>
      <c r="CB132" s="91"/>
      <c r="CC132" s="91"/>
      <c r="CD132" s="91"/>
      <c r="CE132" s="91"/>
      <c r="CF132" s="91"/>
      <c r="CG132" s="91"/>
      <c r="CH132" s="91">
        <f t="shared" si="77"/>
        <v>165515114</v>
      </c>
      <c r="CI132" s="91">
        <v>20000000</v>
      </c>
      <c r="CJ132" s="91">
        <v>145515114</v>
      </c>
      <c r="CK132" s="91"/>
      <c r="CL132" s="91"/>
      <c r="CM132" s="91"/>
      <c r="CN132" s="91"/>
      <c r="CO132" s="91"/>
      <c r="CP132" s="91"/>
      <c r="CQ132" s="91"/>
      <c r="CR132" s="91"/>
      <c r="CS132" s="91">
        <f t="shared" si="78"/>
        <v>208615638</v>
      </c>
      <c r="CT132" s="91">
        <v>40000000</v>
      </c>
      <c r="CU132" s="91">
        <v>168615638</v>
      </c>
      <c r="CV132" s="91"/>
      <c r="CW132" s="91"/>
      <c r="CX132" s="91"/>
      <c r="CY132" s="91"/>
      <c r="CZ132" s="91"/>
      <c r="DA132" s="91"/>
      <c r="DB132" s="91"/>
      <c r="DC132" s="91"/>
      <c r="DD132" s="91">
        <f t="shared" si="79"/>
        <v>244971230</v>
      </c>
      <c r="DE132" s="91">
        <v>52000000</v>
      </c>
      <c r="DF132" s="91">
        <v>192971230</v>
      </c>
      <c r="DG132" s="91"/>
      <c r="DH132" s="91"/>
      <c r="DI132" s="91"/>
      <c r="DJ132" s="91"/>
      <c r="DK132" s="91"/>
      <c r="DL132" s="91"/>
      <c r="DM132" s="91"/>
      <c r="DN132" s="92"/>
      <c r="DO132" s="93">
        <f t="shared" si="80"/>
        <v>1683005972.74</v>
      </c>
    </row>
    <row r="133" spans="1:119" s="225" customFormat="1" ht="94.5" customHeight="1" x14ac:dyDescent="0.2">
      <c r="A133" s="244">
        <v>1</v>
      </c>
      <c r="B133" s="253" t="s">
        <v>19</v>
      </c>
      <c r="C133" s="59" t="s">
        <v>958</v>
      </c>
      <c r="D133" s="59" t="s">
        <v>1646</v>
      </c>
      <c r="E133" s="139" t="s">
        <v>980</v>
      </c>
      <c r="F133" s="13" t="s">
        <v>960</v>
      </c>
      <c r="G133" s="59" t="s">
        <v>995</v>
      </c>
      <c r="H133" s="139" t="s">
        <v>981</v>
      </c>
      <c r="I133" s="13">
        <v>33</v>
      </c>
      <c r="J133" s="137" t="s">
        <v>953</v>
      </c>
      <c r="K133" s="50">
        <v>5</v>
      </c>
      <c r="L133" s="137" t="s">
        <v>953</v>
      </c>
      <c r="M133" s="244">
        <v>25</v>
      </c>
      <c r="N133" s="249">
        <v>3301</v>
      </c>
      <c r="O133" s="245" t="s">
        <v>26</v>
      </c>
      <c r="P133" s="13" t="s">
        <v>996</v>
      </c>
      <c r="Q133" s="124">
        <v>3301099</v>
      </c>
      <c r="R133" s="121">
        <v>3301099</v>
      </c>
      <c r="S133" s="59" t="s">
        <v>97</v>
      </c>
      <c r="T133" s="13" t="s">
        <v>997</v>
      </c>
      <c r="U133" s="140" t="s">
        <v>998</v>
      </c>
      <c r="V133" s="140" t="s">
        <v>998</v>
      </c>
      <c r="W133" s="87" t="s">
        <v>999</v>
      </c>
      <c r="X133" s="88" t="s">
        <v>8</v>
      </c>
      <c r="Y133" s="13">
        <v>1</v>
      </c>
      <c r="Z133" s="13">
        <v>1</v>
      </c>
      <c r="AA133" s="13">
        <v>0</v>
      </c>
      <c r="AB133" s="13">
        <v>1</v>
      </c>
      <c r="AC133" s="13">
        <v>1</v>
      </c>
      <c r="AD133" s="13">
        <v>1</v>
      </c>
      <c r="AE133" s="89">
        <f t="shared" si="76"/>
        <v>80000000</v>
      </c>
      <c r="AF133" s="89">
        <f t="shared" si="76"/>
        <v>18000000</v>
      </c>
      <c r="AG133" s="89">
        <f t="shared" si="76"/>
        <v>0</v>
      </c>
      <c r="AH133" s="89">
        <f t="shared" si="76"/>
        <v>0</v>
      </c>
      <c r="AI133" s="89">
        <f t="shared" si="76"/>
        <v>0</v>
      </c>
      <c r="AJ133" s="91">
        <v>80000000</v>
      </c>
      <c r="AK133" s="91">
        <v>18000000</v>
      </c>
      <c r="AL133" s="91"/>
      <c r="AM133" s="91"/>
      <c r="AN133" s="91"/>
      <c r="AO133" s="91"/>
      <c r="AP133" s="91"/>
      <c r="AQ133" s="91"/>
      <c r="AR133" s="91"/>
      <c r="AS133" s="91"/>
      <c r="AT133" s="91"/>
      <c r="AU133" s="91"/>
      <c r="AV133" s="91"/>
      <c r="AW133" s="91"/>
      <c r="AX133" s="91"/>
      <c r="AY133" s="91"/>
      <c r="AZ133" s="91"/>
      <c r="BA133" s="91"/>
      <c r="BB133" s="91"/>
      <c r="BC133" s="91"/>
      <c r="BD133" s="91"/>
      <c r="BE133" s="91"/>
      <c r="BF133" s="91"/>
      <c r="BG133" s="91"/>
      <c r="BH133" s="91"/>
      <c r="BI133" s="91"/>
      <c r="BJ133" s="91"/>
      <c r="BK133" s="91"/>
      <c r="BL133" s="91"/>
      <c r="BM133" s="91"/>
      <c r="BN133" s="91"/>
      <c r="BO133" s="91"/>
      <c r="BP133" s="91"/>
      <c r="BQ133" s="91"/>
      <c r="BR133" s="91"/>
      <c r="BS133" s="91"/>
      <c r="BT133" s="91"/>
      <c r="BU133" s="91"/>
      <c r="BV133" s="91"/>
      <c r="BW133" s="91"/>
      <c r="BX133" s="91"/>
      <c r="BY133" s="91"/>
      <c r="BZ133" s="91"/>
      <c r="CA133" s="91"/>
      <c r="CB133" s="91"/>
      <c r="CC133" s="91"/>
      <c r="CD133" s="91"/>
      <c r="CE133" s="91"/>
      <c r="CF133" s="91"/>
      <c r="CG133" s="91"/>
      <c r="CH133" s="91">
        <f t="shared" si="77"/>
        <v>50000000</v>
      </c>
      <c r="CI133" s="91">
        <v>50000000</v>
      </c>
      <c r="CJ133" s="91"/>
      <c r="CK133" s="91"/>
      <c r="CL133" s="91"/>
      <c r="CM133" s="91"/>
      <c r="CN133" s="91"/>
      <c r="CO133" s="91"/>
      <c r="CP133" s="91"/>
      <c r="CQ133" s="91"/>
      <c r="CR133" s="91"/>
      <c r="CS133" s="91">
        <f t="shared" si="78"/>
        <v>50000000</v>
      </c>
      <c r="CT133" s="91">
        <v>50000000</v>
      </c>
      <c r="CU133" s="91"/>
      <c r="CV133" s="91"/>
      <c r="CW133" s="91"/>
      <c r="CX133" s="91"/>
      <c r="CY133" s="91"/>
      <c r="CZ133" s="91"/>
      <c r="DA133" s="91"/>
      <c r="DB133" s="91"/>
      <c r="DC133" s="91"/>
      <c r="DD133" s="91">
        <f t="shared" si="79"/>
        <v>53000000</v>
      </c>
      <c r="DE133" s="91">
        <v>53000000</v>
      </c>
      <c r="DF133" s="91"/>
      <c r="DG133" s="91"/>
      <c r="DH133" s="91"/>
      <c r="DI133" s="91"/>
      <c r="DJ133" s="91"/>
      <c r="DK133" s="91"/>
      <c r="DL133" s="91"/>
      <c r="DM133" s="91"/>
      <c r="DN133" s="92"/>
      <c r="DO133" s="93">
        <f t="shared" si="80"/>
        <v>233000000</v>
      </c>
    </row>
    <row r="134" spans="1:119" s="225" customFormat="1" ht="63" customHeight="1" x14ac:dyDescent="0.2">
      <c r="A134" s="244">
        <v>1</v>
      </c>
      <c r="B134" s="253" t="s">
        <v>19</v>
      </c>
      <c r="C134" s="59" t="s">
        <v>958</v>
      </c>
      <c r="D134" s="59" t="s">
        <v>1648</v>
      </c>
      <c r="E134" s="139" t="s">
        <v>969</v>
      </c>
      <c r="F134" s="13" t="s">
        <v>960</v>
      </c>
      <c r="G134" s="59" t="s">
        <v>970</v>
      </c>
      <c r="H134" s="139" t="s">
        <v>971</v>
      </c>
      <c r="I134" s="13">
        <v>33</v>
      </c>
      <c r="J134" s="137" t="s">
        <v>953</v>
      </c>
      <c r="K134" s="50">
        <v>5</v>
      </c>
      <c r="L134" s="137" t="s">
        <v>953</v>
      </c>
      <c r="M134" s="244">
        <v>25</v>
      </c>
      <c r="N134" s="249">
        <v>3301</v>
      </c>
      <c r="O134" s="245" t="s">
        <v>26</v>
      </c>
      <c r="P134" s="13" t="s">
        <v>976</v>
      </c>
      <c r="Q134" s="124">
        <v>3301100</v>
      </c>
      <c r="R134" s="121">
        <v>3301100</v>
      </c>
      <c r="S134" s="59" t="s">
        <v>96</v>
      </c>
      <c r="T134" s="13" t="s">
        <v>977</v>
      </c>
      <c r="U134" s="140" t="s">
        <v>978</v>
      </c>
      <c r="V134" s="140" t="s">
        <v>978</v>
      </c>
      <c r="W134" s="87" t="s">
        <v>979</v>
      </c>
      <c r="X134" s="88" t="s">
        <v>9</v>
      </c>
      <c r="Y134" s="13">
        <v>40</v>
      </c>
      <c r="Z134" s="13">
        <v>5</v>
      </c>
      <c r="AA134" s="13">
        <v>0</v>
      </c>
      <c r="AB134" s="13">
        <v>10</v>
      </c>
      <c r="AC134" s="13">
        <v>15</v>
      </c>
      <c r="AD134" s="13">
        <v>10</v>
      </c>
      <c r="AE134" s="89">
        <f t="shared" si="76"/>
        <v>94814218.739999995</v>
      </c>
      <c r="AF134" s="89">
        <f t="shared" si="76"/>
        <v>94814218.739999995</v>
      </c>
      <c r="AG134" s="89">
        <f t="shared" si="76"/>
        <v>0</v>
      </c>
      <c r="AH134" s="89">
        <f t="shared" si="76"/>
        <v>0</v>
      </c>
      <c r="AI134" s="89">
        <f t="shared" si="76"/>
        <v>0</v>
      </c>
      <c r="AJ134" s="91"/>
      <c r="AK134" s="91">
        <v>94814218.739999995</v>
      </c>
      <c r="AL134" s="91"/>
      <c r="AM134" s="91"/>
      <c r="AN134" s="91"/>
      <c r="AO134" s="91">
        <v>94814218.739999995</v>
      </c>
      <c r="AP134" s="91"/>
      <c r="AQ134" s="91"/>
      <c r="AR134" s="91"/>
      <c r="AS134" s="91"/>
      <c r="AT134" s="91"/>
      <c r="AU134" s="91"/>
      <c r="AV134" s="91"/>
      <c r="AW134" s="91"/>
      <c r="AX134" s="91"/>
      <c r="AY134" s="91"/>
      <c r="AZ134" s="91"/>
      <c r="BA134" s="91"/>
      <c r="BB134" s="91"/>
      <c r="BC134" s="91"/>
      <c r="BD134" s="91"/>
      <c r="BE134" s="91"/>
      <c r="BF134" s="91"/>
      <c r="BG134" s="91"/>
      <c r="BH134" s="91"/>
      <c r="BI134" s="91"/>
      <c r="BJ134" s="91"/>
      <c r="BK134" s="91"/>
      <c r="BL134" s="91"/>
      <c r="BM134" s="91"/>
      <c r="BN134" s="91"/>
      <c r="BO134" s="91"/>
      <c r="BP134" s="91"/>
      <c r="BQ134" s="91"/>
      <c r="BR134" s="91"/>
      <c r="BS134" s="91"/>
      <c r="BT134" s="91"/>
      <c r="BU134" s="91"/>
      <c r="BV134" s="91"/>
      <c r="BW134" s="91"/>
      <c r="BX134" s="91"/>
      <c r="BY134" s="91"/>
      <c r="BZ134" s="91"/>
      <c r="CA134" s="91"/>
      <c r="CB134" s="91"/>
      <c r="CC134" s="91"/>
      <c r="CD134" s="91"/>
      <c r="CE134" s="91"/>
      <c r="CF134" s="91"/>
      <c r="CG134" s="91"/>
      <c r="CH134" s="91">
        <f t="shared" si="77"/>
        <v>55000000</v>
      </c>
      <c r="CI134" s="91"/>
      <c r="CJ134" s="91">
        <v>55000000</v>
      </c>
      <c r="CK134" s="91"/>
      <c r="CL134" s="91"/>
      <c r="CM134" s="91"/>
      <c r="CN134" s="91"/>
      <c r="CO134" s="91"/>
      <c r="CP134" s="91"/>
      <c r="CQ134" s="91"/>
      <c r="CR134" s="91"/>
      <c r="CS134" s="91">
        <f t="shared" si="78"/>
        <v>78615638</v>
      </c>
      <c r="CT134" s="91"/>
      <c r="CU134" s="91">
        <v>78615638</v>
      </c>
      <c r="CV134" s="91"/>
      <c r="CW134" s="91"/>
      <c r="CX134" s="91"/>
      <c r="CY134" s="91"/>
      <c r="CZ134" s="91"/>
      <c r="DA134" s="91"/>
      <c r="DB134" s="91"/>
      <c r="DC134" s="91"/>
      <c r="DD134" s="91">
        <f t="shared" si="79"/>
        <v>92971230</v>
      </c>
      <c r="DE134" s="91"/>
      <c r="DF134" s="91">
        <v>92971230</v>
      </c>
      <c r="DG134" s="91"/>
      <c r="DH134" s="91"/>
      <c r="DI134" s="91"/>
      <c r="DJ134" s="91"/>
      <c r="DK134" s="91"/>
      <c r="DL134" s="91"/>
      <c r="DM134" s="91"/>
      <c r="DN134" s="92"/>
      <c r="DO134" s="93">
        <f t="shared" si="80"/>
        <v>321401086.74000001</v>
      </c>
    </row>
    <row r="135" spans="1:119" s="225" customFormat="1" ht="78.75" customHeight="1" x14ac:dyDescent="0.2">
      <c r="A135" s="244">
        <v>1</v>
      </c>
      <c r="B135" s="253" t="s">
        <v>19</v>
      </c>
      <c r="C135" s="59" t="s">
        <v>958</v>
      </c>
      <c r="D135" s="59" t="s">
        <v>985</v>
      </c>
      <c r="E135" s="139" t="s">
        <v>980</v>
      </c>
      <c r="F135" s="13" t="s">
        <v>960</v>
      </c>
      <c r="G135" s="59" t="s">
        <v>995</v>
      </c>
      <c r="H135" s="139" t="s">
        <v>981</v>
      </c>
      <c r="I135" s="13">
        <v>33</v>
      </c>
      <c r="J135" s="137" t="s">
        <v>953</v>
      </c>
      <c r="K135" s="50">
        <v>5</v>
      </c>
      <c r="L135" s="137" t="s">
        <v>953</v>
      </c>
      <c r="M135" s="244">
        <v>25</v>
      </c>
      <c r="N135" s="248">
        <v>3301</v>
      </c>
      <c r="O135" s="245" t="s">
        <v>26</v>
      </c>
      <c r="P135" s="120" t="s">
        <v>1554</v>
      </c>
      <c r="Q135" s="121" t="s">
        <v>951</v>
      </c>
      <c r="R135" s="121">
        <v>3301070</v>
      </c>
      <c r="S135" s="141" t="s">
        <v>1555</v>
      </c>
      <c r="T135" s="120" t="s">
        <v>1556</v>
      </c>
      <c r="U135" s="120" t="s">
        <v>951</v>
      </c>
      <c r="V135" s="121">
        <v>330107000</v>
      </c>
      <c r="W135" s="142" t="s">
        <v>1557</v>
      </c>
      <c r="X135" s="88" t="s">
        <v>9</v>
      </c>
      <c r="Y135" s="13">
        <v>1</v>
      </c>
      <c r="Z135" s="13"/>
      <c r="AA135" s="13"/>
      <c r="AB135" s="13">
        <v>0.3</v>
      </c>
      <c r="AC135" s="13">
        <v>0.4</v>
      </c>
      <c r="AD135" s="13">
        <v>0.3</v>
      </c>
      <c r="AE135" s="89">
        <f t="shared" si="76"/>
        <v>0</v>
      </c>
      <c r="AF135" s="89">
        <f t="shared" si="76"/>
        <v>0</v>
      </c>
      <c r="AG135" s="89">
        <f t="shared" si="76"/>
        <v>0</v>
      </c>
      <c r="AH135" s="89">
        <f t="shared" si="76"/>
        <v>0</v>
      </c>
      <c r="AI135" s="89">
        <f t="shared" si="76"/>
        <v>0</v>
      </c>
      <c r="AJ135" s="143"/>
      <c r="AK135" s="143"/>
      <c r="AL135" s="143"/>
      <c r="AM135" s="143"/>
      <c r="AN135" s="143"/>
      <c r="AO135" s="144"/>
      <c r="AP135" s="143"/>
      <c r="AQ135" s="144"/>
      <c r="AR135" s="144"/>
      <c r="AS135" s="144"/>
      <c r="AT135" s="144"/>
      <c r="AU135" s="143"/>
      <c r="AV135" s="144"/>
      <c r="AW135" s="144"/>
      <c r="AX135" s="144"/>
      <c r="AY135" s="144"/>
      <c r="AZ135" s="143"/>
      <c r="BA135" s="144"/>
      <c r="BB135" s="144"/>
      <c r="BC135" s="144"/>
      <c r="BD135" s="144"/>
      <c r="BE135" s="143"/>
      <c r="BF135" s="144"/>
      <c r="BG135" s="144"/>
      <c r="BH135" s="144"/>
      <c r="BI135" s="144"/>
      <c r="BJ135" s="143"/>
      <c r="BK135" s="144"/>
      <c r="BL135" s="144"/>
      <c r="BM135" s="144"/>
      <c r="BN135" s="143"/>
      <c r="BO135" s="143"/>
      <c r="BP135" s="143"/>
      <c r="BQ135" s="143"/>
      <c r="BR135" s="143"/>
      <c r="BS135" s="144"/>
      <c r="BT135" s="143"/>
      <c r="BU135" s="144"/>
      <c r="BV135" s="144"/>
      <c r="BW135" s="144"/>
      <c r="BX135" s="144"/>
      <c r="BY135" s="143"/>
      <c r="BZ135" s="144"/>
      <c r="CA135" s="144"/>
      <c r="CB135" s="144"/>
      <c r="CC135" s="144"/>
      <c r="CD135" s="143"/>
      <c r="CE135" s="144"/>
      <c r="CF135" s="144"/>
      <c r="CG135" s="144"/>
      <c r="CH135" s="91">
        <f t="shared" si="77"/>
        <v>13000000</v>
      </c>
      <c r="CI135" s="145">
        <v>13000000</v>
      </c>
      <c r="CJ135" s="145"/>
      <c r="CK135" s="145"/>
      <c r="CL135" s="145"/>
      <c r="CM135" s="145"/>
      <c r="CN135" s="145"/>
      <c r="CO135" s="145"/>
      <c r="CP135" s="145"/>
      <c r="CQ135" s="145"/>
      <c r="CR135" s="145"/>
      <c r="CS135" s="91">
        <f t="shared" si="78"/>
        <v>20000000</v>
      </c>
      <c r="CT135" s="145">
        <v>20000000</v>
      </c>
      <c r="CU135" s="145"/>
      <c r="CV135" s="145"/>
      <c r="CW135" s="145"/>
      <c r="CX135" s="145"/>
      <c r="CY135" s="145"/>
      <c r="CZ135" s="145"/>
      <c r="DA135" s="145"/>
      <c r="DB135" s="145"/>
      <c r="DC135" s="145"/>
      <c r="DD135" s="91">
        <f t="shared" si="79"/>
        <v>20000000</v>
      </c>
      <c r="DE135" s="145">
        <v>20000000</v>
      </c>
      <c r="DF135" s="145"/>
      <c r="DG135" s="145"/>
      <c r="DH135" s="145"/>
      <c r="DI135" s="145"/>
      <c r="DJ135" s="145"/>
      <c r="DK135" s="145"/>
      <c r="DL135" s="145"/>
      <c r="DM135" s="145"/>
      <c r="DN135" s="146"/>
      <c r="DO135" s="93">
        <f t="shared" si="80"/>
        <v>53000000</v>
      </c>
    </row>
    <row r="136" spans="1:119" ht="28.5" customHeight="1" x14ac:dyDescent="0.2">
      <c r="A136" s="244"/>
      <c r="B136" s="253"/>
      <c r="C136" s="94"/>
      <c r="D136" s="59"/>
      <c r="E136" s="55"/>
      <c r="F136" s="13"/>
      <c r="G136" s="59"/>
      <c r="H136" s="55"/>
      <c r="I136" s="13"/>
      <c r="J136" s="13"/>
      <c r="K136" s="50"/>
      <c r="L136" s="13"/>
      <c r="M136" s="96">
        <v>26</v>
      </c>
      <c r="N136" s="147">
        <v>3302</v>
      </c>
      <c r="O136" s="97" t="s">
        <v>99</v>
      </c>
      <c r="P136" s="96"/>
      <c r="Q136" s="96"/>
      <c r="R136" s="96"/>
      <c r="S136" s="98"/>
      <c r="T136" s="98"/>
      <c r="U136" s="98"/>
      <c r="V136" s="98"/>
      <c r="W136" s="83"/>
      <c r="X136" s="84"/>
      <c r="Y136" s="84"/>
      <c r="Z136" s="84"/>
      <c r="AA136" s="84"/>
      <c r="AB136" s="84"/>
      <c r="AC136" s="84"/>
      <c r="AD136" s="81"/>
      <c r="AE136" s="99">
        <f>SUM(AE137:AE138)</f>
        <v>367355981.30000001</v>
      </c>
      <c r="AF136" s="99">
        <f>SUM(AF137:AF138)</f>
        <v>405194764.30000001</v>
      </c>
      <c r="AG136" s="99">
        <f t="shared" ref="AG136:DO136" si="81">SUM(AG137:AG138)</f>
        <v>376520000</v>
      </c>
      <c r="AH136" s="99">
        <f t="shared" si="81"/>
        <v>376520000</v>
      </c>
      <c r="AI136" s="99">
        <f t="shared" si="81"/>
        <v>0</v>
      </c>
      <c r="AJ136" s="99">
        <f t="shared" si="81"/>
        <v>80000000</v>
      </c>
      <c r="AK136" s="99">
        <f>SUM(AK137:AK138)</f>
        <v>62440331</v>
      </c>
      <c r="AL136" s="99">
        <f t="shared" si="81"/>
        <v>62440331</v>
      </c>
      <c r="AM136" s="99">
        <f t="shared" si="81"/>
        <v>62440331</v>
      </c>
      <c r="AN136" s="99">
        <f t="shared" si="81"/>
        <v>0</v>
      </c>
      <c r="AO136" s="99">
        <f t="shared" si="81"/>
        <v>287355981.30000001</v>
      </c>
      <c r="AP136" s="99">
        <f t="shared" si="81"/>
        <v>0</v>
      </c>
      <c r="AQ136" s="99">
        <f t="shared" si="81"/>
        <v>0</v>
      </c>
      <c r="AR136" s="99">
        <f t="shared" si="81"/>
        <v>0</v>
      </c>
      <c r="AS136" s="99">
        <f t="shared" si="81"/>
        <v>0</v>
      </c>
      <c r="AT136" s="99">
        <f t="shared" si="81"/>
        <v>0</v>
      </c>
      <c r="AU136" s="99">
        <f>SUM(AU137:AU138)</f>
        <v>0</v>
      </c>
      <c r="AV136" s="99">
        <f t="shared" si="81"/>
        <v>0</v>
      </c>
      <c r="AW136" s="99">
        <f t="shared" si="81"/>
        <v>0</v>
      </c>
      <c r="AX136" s="99">
        <f t="shared" si="81"/>
        <v>0</v>
      </c>
      <c r="AY136" s="99">
        <f t="shared" si="81"/>
        <v>0</v>
      </c>
      <c r="AZ136" s="99">
        <f t="shared" si="81"/>
        <v>0</v>
      </c>
      <c r="BA136" s="99">
        <f t="shared" si="81"/>
        <v>0</v>
      </c>
      <c r="BB136" s="99">
        <f t="shared" si="81"/>
        <v>0</v>
      </c>
      <c r="BC136" s="99">
        <f t="shared" si="81"/>
        <v>0</v>
      </c>
      <c r="BD136" s="99">
        <f t="shared" si="81"/>
        <v>0</v>
      </c>
      <c r="BE136" s="99">
        <f>SUM(BE137:BE138)</f>
        <v>0</v>
      </c>
      <c r="BF136" s="99">
        <f t="shared" si="81"/>
        <v>0</v>
      </c>
      <c r="BG136" s="99">
        <f t="shared" si="81"/>
        <v>0</v>
      </c>
      <c r="BH136" s="99">
        <f t="shared" si="81"/>
        <v>0</v>
      </c>
      <c r="BI136" s="99">
        <f t="shared" si="81"/>
        <v>0</v>
      </c>
      <c r="BJ136" s="99">
        <f t="shared" si="81"/>
        <v>0</v>
      </c>
      <c r="BK136" s="99">
        <f t="shared" si="81"/>
        <v>0</v>
      </c>
      <c r="BL136" s="99">
        <f t="shared" si="81"/>
        <v>0</v>
      </c>
      <c r="BM136" s="99">
        <f t="shared" si="81"/>
        <v>0</v>
      </c>
      <c r="BN136" s="99">
        <f t="shared" si="81"/>
        <v>0</v>
      </c>
      <c r="BO136" s="99">
        <f>SUM(BO137:BO138)</f>
        <v>0</v>
      </c>
      <c r="BP136" s="99">
        <f t="shared" si="81"/>
        <v>0</v>
      </c>
      <c r="BQ136" s="99">
        <f t="shared" si="81"/>
        <v>0</v>
      </c>
      <c r="BR136" s="99">
        <f t="shared" si="81"/>
        <v>0</v>
      </c>
      <c r="BS136" s="99">
        <f t="shared" si="81"/>
        <v>0</v>
      </c>
      <c r="BT136" s="99">
        <f t="shared" si="81"/>
        <v>342754433.30000001</v>
      </c>
      <c r="BU136" s="99">
        <f t="shared" si="81"/>
        <v>314079669</v>
      </c>
      <c r="BV136" s="99">
        <f t="shared" si="81"/>
        <v>314079669</v>
      </c>
      <c r="BW136" s="99">
        <f t="shared" si="81"/>
        <v>0</v>
      </c>
      <c r="BX136" s="99">
        <f t="shared" si="81"/>
        <v>0</v>
      </c>
      <c r="BY136" s="99">
        <f>SUM(BY137:BY138)</f>
        <v>0</v>
      </c>
      <c r="BZ136" s="99">
        <f t="shared" si="81"/>
        <v>0</v>
      </c>
      <c r="CA136" s="99">
        <f t="shared" si="81"/>
        <v>0</v>
      </c>
      <c r="CB136" s="99">
        <f t="shared" si="81"/>
        <v>0</v>
      </c>
      <c r="CC136" s="99">
        <f t="shared" si="81"/>
        <v>0</v>
      </c>
      <c r="CD136" s="99">
        <f t="shared" si="81"/>
        <v>0</v>
      </c>
      <c r="CE136" s="99">
        <f t="shared" si="81"/>
        <v>0</v>
      </c>
      <c r="CF136" s="99">
        <f t="shared" si="81"/>
        <v>0</v>
      </c>
      <c r="CG136" s="99">
        <f t="shared" si="81"/>
        <v>0</v>
      </c>
      <c r="CH136" s="99">
        <f t="shared" si="81"/>
        <v>276196670</v>
      </c>
      <c r="CI136" s="99">
        <f t="shared" si="81"/>
        <v>133000000</v>
      </c>
      <c r="CJ136" s="99">
        <f t="shared" si="81"/>
        <v>143196670</v>
      </c>
      <c r="CK136" s="99">
        <f t="shared" si="81"/>
        <v>0</v>
      </c>
      <c r="CL136" s="99">
        <f t="shared" si="81"/>
        <v>0</v>
      </c>
      <c r="CM136" s="99">
        <f t="shared" si="81"/>
        <v>0</v>
      </c>
      <c r="CN136" s="99">
        <f t="shared" si="81"/>
        <v>0</v>
      </c>
      <c r="CO136" s="99">
        <f t="shared" si="81"/>
        <v>0</v>
      </c>
      <c r="CP136" s="99">
        <f t="shared" si="81"/>
        <v>0</v>
      </c>
      <c r="CQ136" s="99">
        <f t="shared" si="81"/>
        <v>0</v>
      </c>
      <c r="CR136" s="99">
        <f t="shared" si="81"/>
        <v>0</v>
      </c>
      <c r="CS136" s="99">
        <f t="shared" si="81"/>
        <v>301043141</v>
      </c>
      <c r="CT136" s="99">
        <f t="shared" si="81"/>
        <v>135114000</v>
      </c>
      <c r="CU136" s="99">
        <f t="shared" si="81"/>
        <v>165929141</v>
      </c>
      <c r="CV136" s="99">
        <f t="shared" si="81"/>
        <v>0</v>
      </c>
      <c r="CW136" s="99">
        <f t="shared" si="81"/>
        <v>0</v>
      </c>
      <c r="CX136" s="99">
        <f t="shared" si="81"/>
        <v>0</v>
      </c>
      <c r="CY136" s="99">
        <f t="shared" si="81"/>
        <v>0</v>
      </c>
      <c r="CZ136" s="99">
        <f t="shared" si="81"/>
        <v>0</v>
      </c>
      <c r="DA136" s="99">
        <f t="shared" si="81"/>
        <v>0</v>
      </c>
      <c r="DB136" s="99">
        <f t="shared" si="81"/>
        <v>0</v>
      </c>
      <c r="DC136" s="99">
        <f t="shared" si="81"/>
        <v>0</v>
      </c>
      <c r="DD136" s="99">
        <f t="shared" si="81"/>
        <v>326158683</v>
      </c>
      <c r="DE136" s="99">
        <f t="shared" si="81"/>
        <v>136262000</v>
      </c>
      <c r="DF136" s="99">
        <f t="shared" si="81"/>
        <v>189896683</v>
      </c>
      <c r="DG136" s="99">
        <f t="shared" si="81"/>
        <v>0</v>
      </c>
      <c r="DH136" s="99">
        <f t="shared" si="81"/>
        <v>0</v>
      </c>
      <c r="DI136" s="99">
        <f t="shared" si="81"/>
        <v>0</v>
      </c>
      <c r="DJ136" s="99">
        <f t="shared" si="81"/>
        <v>0</v>
      </c>
      <c r="DK136" s="99">
        <f t="shared" si="81"/>
        <v>0</v>
      </c>
      <c r="DL136" s="99">
        <f t="shared" si="81"/>
        <v>0</v>
      </c>
      <c r="DM136" s="99">
        <f t="shared" si="81"/>
        <v>0</v>
      </c>
      <c r="DN136" s="100">
        <f t="shared" si="81"/>
        <v>0</v>
      </c>
      <c r="DO136" s="99">
        <f t="shared" si="81"/>
        <v>1270754475.3</v>
      </c>
    </row>
    <row r="137" spans="1:119" s="225" customFormat="1" ht="94.5" customHeight="1" x14ac:dyDescent="0.2">
      <c r="A137" s="244">
        <v>1</v>
      </c>
      <c r="B137" s="253" t="s">
        <v>19</v>
      </c>
      <c r="C137" s="59" t="s">
        <v>958</v>
      </c>
      <c r="D137" s="59" t="s">
        <v>1649</v>
      </c>
      <c r="E137" s="139" t="s">
        <v>1000</v>
      </c>
      <c r="F137" s="13" t="s">
        <v>960</v>
      </c>
      <c r="G137" s="59" t="s">
        <v>995</v>
      </c>
      <c r="H137" s="139" t="s">
        <v>1001</v>
      </c>
      <c r="I137" s="13">
        <v>33</v>
      </c>
      <c r="J137" s="137" t="s">
        <v>953</v>
      </c>
      <c r="K137" s="50">
        <v>5</v>
      </c>
      <c r="L137" s="137" t="s">
        <v>953</v>
      </c>
      <c r="M137" s="244">
        <v>26</v>
      </c>
      <c r="N137" s="249">
        <v>3302</v>
      </c>
      <c r="O137" s="245" t="s">
        <v>99</v>
      </c>
      <c r="P137" s="13" t="s">
        <v>1002</v>
      </c>
      <c r="Q137" s="121">
        <v>3302042</v>
      </c>
      <c r="R137" s="121">
        <v>3302042</v>
      </c>
      <c r="S137" s="59" t="s">
        <v>100</v>
      </c>
      <c r="T137" s="13" t="s">
        <v>1003</v>
      </c>
      <c r="U137" s="121" t="s">
        <v>1004</v>
      </c>
      <c r="V137" s="121" t="s">
        <v>1004</v>
      </c>
      <c r="W137" s="87" t="s">
        <v>1005</v>
      </c>
      <c r="X137" s="88" t="s">
        <v>9</v>
      </c>
      <c r="Y137" s="13">
        <v>48</v>
      </c>
      <c r="Z137" s="13">
        <v>12</v>
      </c>
      <c r="AA137" s="13">
        <v>12</v>
      </c>
      <c r="AB137" s="13">
        <v>12</v>
      </c>
      <c r="AC137" s="13">
        <v>12</v>
      </c>
      <c r="AD137" s="13">
        <v>12</v>
      </c>
      <c r="AE137" s="89">
        <f t="shared" ref="AE137:AI138" si="82">AJ137+AO137+AT137+AY137+BD137+BI137+BN137+BS137+BX137+CC137</f>
        <v>80000000</v>
      </c>
      <c r="AF137" s="89">
        <f t="shared" si="82"/>
        <v>33800000</v>
      </c>
      <c r="AG137" s="89">
        <f t="shared" si="82"/>
        <v>33800000</v>
      </c>
      <c r="AH137" s="89">
        <f t="shared" si="82"/>
        <v>33800000</v>
      </c>
      <c r="AI137" s="89">
        <f t="shared" si="82"/>
        <v>0</v>
      </c>
      <c r="AJ137" s="91">
        <v>80000000</v>
      </c>
      <c r="AK137" s="91">
        <v>33800000</v>
      </c>
      <c r="AL137" s="91">
        <v>33800000</v>
      </c>
      <c r="AM137" s="91">
        <v>33800000</v>
      </c>
      <c r="AN137" s="91"/>
      <c r="AO137" s="91"/>
      <c r="AP137" s="91"/>
      <c r="AQ137" s="91"/>
      <c r="AR137" s="91"/>
      <c r="AS137" s="91"/>
      <c r="AT137" s="91"/>
      <c r="AU137" s="91"/>
      <c r="AV137" s="91"/>
      <c r="AW137" s="91"/>
      <c r="AX137" s="91"/>
      <c r="AY137" s="91"/>
      <c r="AZ137" s="91"/>
      <c r="BA137" s="91"/>
      <c r="BB137" s="91"/>
      <c r="BC137" s="91"/>
      <c r="BD137" s="91"/>
      <c r="BE137" s="91"/>
      <c r="BF137" s="91"/>
      <c r="BG137" s="91"/>
      <c r="BH137" s="91"/>
      <c r="BI137" s="91"/>
      <c r="BJ137" s="91"/>
      <c r="BK137" s="91"/>
      <c r="BL137" s="91"/>
      <c r="BM137" s="91"/>
      <c r="BN137" s="91"/>
      <c r="BO137" s="91"/>
      <c r="BP137" s="91"/>
      <c r="BQ137" s="91"/>
      <c r="BR137" s="91"/>
      <c r="BS137" s="91"/>
      <c r="BT137" s="91"/>
      <c r="BU137" s="91"/>
      <c r="BV137" s="91"/>
      <c r="BW137" s="91"/>
      <c r="BX137" s="91"/>
      <c r="BY137" s="91"/>
      <c r="BZ137" s="91"/>
      <c r="CA137" s="91"/>
      <c r="CB137" s="91"/>
      <c r="CC137" s="91"/>
      <c r="CD137" s="91"/>
      <c r="CE137" s="91"/>
      <c r="CF137" s="91"/>
      <c r="CG137" s="91"/>
      <c r="CH137" s="91">
        <f>CI137+CJ137+CK137+CL137+CM137+CN137+CO137+CP137+CQ137+CR137</f>
        <v>136500000</v>
      </c>
      <c r="CI137" s="91">
        <v>66500000</v>
      </c>
      <c r="CJ137" s="91">
        <v>70000000</v>
      </c>
      <c r="CK137" s="91"/>
      <c r="CL137" s="91"/>
      <c r="CM137" s="91"/>
      <c r="CN137" s="91"/>
      <c r="CO137" s="91"/>
      <c r="CP137" s="91"/>
      <c r="CQ137" s="91"/>
      <c r="CR137" s="91"/>
      <c r="CS137" s="91">
        <f>CT137+CU137+CV137+CW137+CX137+CY137+CZ137+DA137+DB137+DC137</f>
        <v>153486141</v>
      </c>
      <c r="CT137" s="91">
        <v>67557000</v>
      </c>
      <c r="CU137" s="91">
        <v>85929141</v>
      </c>
      <c r="CV137" s="91"/>
      <c r="CW137" s="91"/>
      <c r="CX137" s="91"/>
      <c r="CY137" s="91"/>
      <c r="CZ137" s="91"/>
      <c r="DA137" s="91"/>
      <c r="DB137" s="91"/>
      <c r="DC137" s="91"/>
      <c r="DD137" s="91">
        <f>DE137+DF137+DG137+DH137+DI137+DJ137+DK137+DL137+DM137+DN137</f>
        <v>158131000</v>
      </c>
      <c r="DE137" s="91">
        <v>68131000</v>
      </c>
      <c r="DF137" s="91">
        <v>90000000</v>
      </c>
      <c r="DG137" s="91"/>
      <c r="DH137" s="91"/>
      <c r="DI137" s="91"/>
      <c r="DJ137" s="91"/>
      <c r="DK137" s="91"/>
      <c r="DL137" s="91"/>
      <c r="DM137" s="91"/>
      <c r="DN137" s="92"/>
      <c r="DO137" s="93">
        <f>AE137+CH137+CS137+DD137</f>
        <v>528117141</v>
      </c>
    </row>
    <row r="138" spans="1:119" s="225" customFormat="1" ht="78.75" customHeight="1" x14ac:dyDescent="0.2">
      <c r="A138" s="244">
        <v>1</v>
      </c>
      <c r="B138" s="253" t="s">
        <v>19</v>
      </c>
      <c r="C138" s="59" t="s">
        <v>958</v>
      </c>
      <c r="D138" s="59" t="s">
        <v>1649</v>
      </c>
      <c r="E138" s="139" t="s">
        <v>1000</v>
      </c>
      <c r="F138" s="13" t="s">
        <v>960</v>
      </c>
      <c r="G138" s="59" t="s">
        <v>995</v>
      </c>
      <c r="H138" s="139" t="s">
        <v>1001</v>
      </c>
      <c r="I138" s="13">
        <v>33</v>
      </c>
      <c r="J138" s="137" t="s">
        <v>953</v>
      </c>
      <c r="K138" s="50">
        <v>5</v>
      </c>
      <c r="L138" s="137" t="s">
        <v>953</v>
      </c>
      <c r="M138" s="244">
        <v>26</v>
      </c>
      <c r="N138" s="249">
        <v>3302</v>
      </c>
      <c r="O138" s="245" t="s">
        <v>99</v>
      </c>
      <c r="P138" s="13" t="s">
        <v>1006</v>
      </c>
      <c r="Q138" s="140" t="s">
        <v>101</v>
      </c>
      <c r="R138" s="140" t="s">
        <v>101</v>
      </c>
      <c r="S138" s="59" t="s">
        <v>102</v>
      </c>
      <c r="T138" s="13" t="s">
        <v>1007</v>
      </c>
      <c r="U138" s="140" t="s">
        <v>1008</v>
      </c>
      <c r="V138" s="140" t="s">
        <v>1008</v>
      </c>
      <c r="W138" s="87" t="s">
        <v>979</v>
      </c>
      <c r="X138" s="88" t="s">
        <v>8</v>
      </c>
      <c r="Y138" s="13">
        <v>4</v>
      </c>
      <c r="Z138" s="13">
        <v>4</v>
      </c>
      <c r="AA138" s="13">
        <v>4</v>
      </c>
      <c r="AB138" s="13">
        <v>4</v>
      </c>
      <c r="AC138" s="13">
        <v>4</v>
      </c>
      <c r="AD138" s="13">
        <v>4</v>
      </c>
      <c r="AE138" s="89">
        <f t="shared" si="82"/>
        <v>287355981.30000001</v>
      </c>
      <c r="AF138" s="89">
        <f t="shared" si="82"/>
        <v>371394764.30000001</v>
      </c>
      <c r="AG138" s="89">
        <f t="shared" si="82"/>
        <v>342720000</v>
      </c>
      <c r="AH138" s="89">
        <f t="shared" si="82"/>
        <v>342720000</v>
      </c>
      <c r="AI138" s="89">
        <f t="shared" si="82"/>
        <v>0</v>
      </c>
      <c r="AJ138" s="91"/>
      <c r="AK138" s="91">
        <v>28640331</v>
      </c>
      <c r="AL138" s="91">
        <v>28640331</v>
      </c>
      <c r="AM138" s="91">
        <v>28640331</v>
      </c>
      <c r="AN138" s="91"/>
      <c r="AO138" s="91">
        <v>287355981.30000001</v>
      </c>
      <c r="AP138" s="91"/>
      <c r="AQ138" s="91"/>
      <c r="AR138" s="91"/>
      <c r="AS138" s="91"/>
      <c r="AT138" s="91"/>
      <c r="AU138" s="91"/>
      <c r="AV138" s="91"/>
      <c r="AW138" s="91"/>
      <c r="AX138" s="91"/>
      <c r="AY138" s="91"/>
      <c r="AZ138" s="91"/>
      <c r="BA138" s="91"/>
      <c r="BB138" s="91"/>
      <c r="BC138" s="91"/>
      <c r="BD138" s="91"/>
      <c r="BE138" s="91"/>
      <c r="BF138" s="91"/>
      <c r="BG138" s="91"/>
      <c r="BH138" s="91"/>
      <c r="BI138" s="91"/>
      <c r="BJ138" s="91"/>
      <c r="BK138" s="91"/>
      <c r="BL138" s="91"/>
      <c r="BM138" s="91"/>
      <c r="BN138" s="91"/>
      <c r="BO138" s="91"/>
      <c r="BP138" s="91"/>
      <c r="BQ138" s="91"/>
      <c r="BR138" s="91"/>
      <c r="BS138" s="91"/>
      <c r="BT138" s="91">
        <v>342754433.30000001</v>
      </c>
      <c r="BU138" s="91">
        <v>314079669</v>
      </c>
      <c r="BV138" s="91">
        <v>314079669</v>
      </c>
      <c r="BW138" s="91"/>
      <c r="BX138" s="91"/>
      <c r="BY138" s="91"/>
      <c r="BZ138" s="91"/>
      <c r="CA138" s="91"/>
      <c r="CB138" s="91"/>
      <c r="CC138" s="91"/>
      <c r="CD138" s="91"/>
      <c r="CE138" s="91"/>
      <c r="CF138" s="91"/>
      <c r="CG138" s="91"/>
      <c r="CH138" s="91">
        <f>CI138+CJ138+CK138+CL138+CM138+CN138+CO138+CP138+CQ138+CR138</f>
        <v>139696670</v>
      </c>
      <c r="CI138" s="91">
        <v>66500000</v>
      </c>
      <c r="CJ138" s="91">
        <v>73196670</v>
      </c>
      <c r="CK138" s="91"/>
      <c r="CL138" s="91"/>
      <c r="CM138" s="91"/>
      <c r="CN138" s="91"/>
      <c r="CO138" s="91"/>
      <c r="CP138" s="91"/>
      <c r="CQ138" s="91"/>
      <c r="CR138" s="91"/>
      <c r="CS138" s="91">
        <f>CT138+CU138+CV138+CW138+CX138+CY138+CZ138+DA138+DB138+DC138</f>
        <v>147557000</v>
      </c>
      <c r="CT138" s="91">
        <v>67557000</v>
      </c>
      <c r="CU138" s="91">
        <v>80000000</v>
      </c>
      <c r="CV138" s="91"/>
      <c r="CW138" s="91"/>
      <c r="CX138" s="91"/>
      <c r="CY138" s="91"/>
      <c r="CZ138" s="91"/>
      <c r="DA138" s="91"/>
      <c r="DB138" s="91"/>
      <c r="DC138" s="91"/>
      <c r="DD138" s="91">
        <f>DE138+DF138+DG138+DH138+DI138+DJ138+DK138+DL138+DM138+DN138</f>
        <v>168027683</v>
      </c>
      <c r="DE138" s="91">
        <v>68131000</v>
      </c>
      <c r="DF138" s="91">
        <v>99896683</v>
      </c>
      <c r="DG138" s="91"/>
      <c r="DH138" s="91"/>
      <c r="DI138" s="91"/>
      <c r="DJ138" s="91"/>
      <c r="DK138" s="91"/>
      <c r="DL138" s="91"/>
      <c r="DM138" s="91"/>
      <c r="DN138" s="92"/>
      <c r="DO138" s="93">
        <f>AE138+CH138+CS138+DD138</f>
        <v>742637334.29999995</v>
      </c>
    </row>
    <row r="139" spans="1:119" ht="23.25" customHeight="1" x14ac:dyDescent="0.2">
      <c r="A139" s="244"/>
      <c r="B139" s="253"/>
      <c r="C139" s="94"/>
      <c r="D139" s="59"/>
      <c r="E139" s="55"/>
      <c r="F139" s="13"/>
      <c r="G139" s="59"/>
      <c r="H139" s="55"/>
      <c r="I139" s="13"/>
      <c r="J139" s="13"/>
      <c r="K139" s="50"/>
      <c r="L139" s="13"/>
      <c r="M139" s="96">
        <v>35</v>
      </c>
      <c r="N139" s="96">
        <v>4101</v>
      </c>
      <c r="O139" s="97" t="s">
        <v>66</v>
      </c>
      <c r="P139" s="96"/>
      <c r="Q139" s="98"/>
      <c r="R139" s="98"/>
      <c r="S139" s="98"/>
      <c r="T139" s="98"/>
      <c r="U139" s="98"/>
      <c r="V139" s="98"/>
      <c r="W139" s="83"/>
      <c r="X139" s="84"/>
      <c r="Y139" s="84"/>
      <c r="Z139" s="84"/>
      <c r="AA139" s="84"/>
      <c r="AB139" s="84"/>
      <c r="AC139" s="84"/>
      <c r="AD139" s="81"/>
      <c r="AE139" s="99">
        <f>SUBTOTAL(9,AE140:AE144)</f>
        <v>522730761</v>
      </c>
      <c r="AF139" s="99">
        <f>SUBTOTAL(9,AF140:AF144)</f>
        <v>522730761</v>
      </c>
      <c r="AG139" s="99">
        <f t="shared" ref="AG139:DO139" si="83">SUBTOTAL(9,AG140:AG144)</f>
        <v>181023648</v>
      </c>
      <c r="AH139" s="99">
        <f t="shared" si="83"/>
        <v>181023648</v>
      </c>
      <c r="AI139" s="99">
        <f t="shared" si="83"/>
        <v>0</v>
      </c>
      <c r="AJ139" s="99">
        <f t="shared" si="83"/>
        <v>522730761</v>
      </c>
      <c r="AK139" s="99">
        <f>SUBTOTAL(9,AK140:AK144)</f>
        <v>522730761</v>
      </c>
      <c r="AL139" s="99">
        <f t="shared" si="83"/>
        <v>181023648</v>
      </c>
      <c r="AM139" s="99">
        <f t="shared" si="83"/>
        <v>181023648</v>
      </c>
      <c r="AN139" s="99">
        <f t="shared" si="83"/>
        <v>0</v>
      </c>
      <c r="AO139" s="99">
        <f t="shared" si="83"/>
        <v>0</v>
      </c>
      <c r="AP139" s="99">
        <f t="shared" si="83"/>
        <v>0</v>
      </c>
      <c r="AQ139" s="99">
        <f t="shared" si="83"/>
        <v>0</v>
      </c>
      <c r="AR139" s="99">
        <f t="shared" si="83"/>
        <v>0</v>
      </c>
      <c r="AS139" s="99">
        <f t="shared" si="83"/>
        <v>0</v>
      </c>
      <c r="AT139" s="99">
        <f t="shared" si="83"/>
        <v>0</v>
      </c>
      <c r="AU139" s="99">
        <f>SUBTOTAL(9,AU140:AU144)</f>
        <v>0</v>
      </c>
      <c r="AV139" s="99">
        <f t="shared" si="83"/>
        <v>0</v>
      </c>
      <c r="AW139" s="99">
        <f t="shared" si="83"/>
        <v>0</v>
      </c>
      <c r="AX139" s="99">
        <f t="shared" si="83"/>
        <v>0</v>
      </c>
      <c r="AY139" s="99">
        <f t="shared" si="83"/>
        <v>0</v>
      </c>
      <c r="AZ139" s="99">
        <f t="shared" si="83"/>
        <v>0</v>
      </c>
      <c r="BA139" s="99">
        <f t="shared" si="83"/>
        <v>0</v>
      </c>
      <c r="BB139" s="99">
        <f t="shared" si="83"/>
        <v>0</v>
      </c>
      <c r="BC139" s="99">
        <f t="shared" si="83"/>
        <v>0</v>
      </c>
      <c r="BD139" s="99">
        <f t="shared" si="83"/>
        <v>0</v>
      </c>
      <c r="BE139" s="99">
        <f>SUBTOTAL(9,BE140:BE144)</f>
        <v>0</v>
      </c>
      <c r="BF139" s="99">
        <f t="shared" si="83"/>
        <v>0</v>
      </c>
      <c r="BG139" s="99">
        <f t="shared" si="83"/>
        <v>0</v>
      </c>
      <c r="BH139" s="99">
        <f t="shared" si="83"/>
        <v>0</v>
      </c>
      <c r="BI139" s="99">
        <f t="shared" si="83"/>
        <v>0</v>
      </c>
      <c r="BJ139" s="99">
        <f t="shared" si="83"/>
        <v>0</v>
      </c>
      <c r="BK139" s="99">
        <f t="shared" si="83"/>
        <v>0</v>
      </c>
      <c r="BL139" s="99">
        <f t="shared" si="83"/>
        <v>0</v>
      </c>
      <c r="BM139" s="99">
        <f t="shared" si="83"/>
        <v>0</v>
      </c>
      <c r="BN139" s="99">
        <f t="shared" si="83"/>
        <v>0</v>
      </c>
      <c r="BO139" s="99">
        <f>SUBTOTAL(9,BO140:BO144)</f>
        <v>0</v>
      </c>
      <c r="BP139" s="99">
        <f t="shared" si="83"/>
        <v>0</v>
      </c>
      <c r="BQ139" s="99">
        <f t="shared" si="83"/>
        <v>0</v>
      </c>
      <c r="BR139" s="99">
        <f t="shared" si="83"/>
        <v>0</v>
      </c>
      <c r="BS139" s="99">
        <f t="shared" si="83"/>
        <v>0</v>
      </c>
      <c r="BT139" s="99">
        <f t="shared" si="83"/>
        <v>0</v>
      </c>
      <c r="BU139" s="99">
        <f t="shared" si="83"/>
        <v>0</v>
      </c>
      <c r="BV139" s="99">
        <f t="shared" si="83"/>
        <v>0</v>
      </c>
      <c r="BW139" s="99">
        <f t="shared" si="83"/>
        <v>0</v>
      </c>
      <c r="BX139" s="99">
        <f t="shared" si="83"/>
        <v>0</v>
      </c>
      <c r="BY139" s="99">
        <f>SUBTOTAL(9,BY140:BY144)</f>
        <v>0</v>
      </c>
      <c r="BZ139" s="99">
        <f t="shared" si="83"/>
        <v>0</v>
      </c>
      <c r="CA139" s="99">
        <f t="shared" si="83"/>
        <v>0</v>
      </c>
      <c r="CB139" s="99">
        <f t="shared" si="83"/>
        <v>0</v>
      </c>
      <c r="CC139" s="99">
        <f t="shared" si="83"/>
        <v>0</v>
      </c>
      <c r="CD139" s="99">
        <f t="shared" si="83"/>
        <v>0</v>
      </c>
      <c r="CE139" s="99">
        <f t="shared" si="83"/>
        <v>0</v>
      </c>
      <c r="CF139" s="99">
        <f t="shared" si="83"/>
        <v>0</v>
      </c>
      <c r="CG139" s="99">
        <f t="shared" si="83"/>
        <v>0</v>
      </c>
      <c r="CH139" s="99">
        <f t="shared" si="83"/>
        <v>205730761</v>
      </c>
      <c r="CI139" s="99">
        <f t="shared" si="83"/>
        <v>205730761</v>
      </c>
      <c r="CJ139" s="99">
        <f t="shared" si="83"/>
        <v>0</v>
      </c>
      <c r="CK139" s="99">
        <f t="shared" si="83"/>
        <v>0</v>
      </c>
      <c r="CL139" s="99">
        <f t="shared" si="83"/>
        <v>0</v>
      </c>
      <c r="CM139" s="99">
        <f t="shared" si="83"/>
        <v>0</v>
      </c>
      <c r="CN139" s="99">
        <f t="shared" si="83"/>
        <v>0</v>
      </c>
      <c r="CO139" s="99">
        <f t="shared" si="83"/>
        <v>0</v>
      </c>
      <c r="CP139" s="99">
        <f t="shared" si="83"/>
        <v>0</v>
      </c>
      <c r="CQ139" s="99">
        <f t="shared" si="83"/>
        <v>0</v>
      </c>
      <c r="CR139" s="99">
        <f t="shared" si="83"/>
        <v>0</v>
      </c>
      <c r="CS139" s="99">
        <f t="shared" si="83"/>
        <v>434100663.58000004</v>
      </c>
      <c r="CT139" s="99">
        <f t="shared" si="83"/>
        <v>434100663.58000004</v>
      </c>
      <c r="CU139" s="99">
        <f t="shared" si="83"/>
        <v>0</v>
      </c>
      <c r="CV139" s="99">
        <f t="shared" si="83"/>
        <v>0</v>
      </c>
      <c r="CW139" s="99">
        <f t="shared" si="83"/>
        <v>0</v>
      </c>
      <c r="CX139" s="99">
        <f t="shared" si="83"/>
        <v>0</v>
      </c>
      <c r="CY139" s="99">
        <f t="shared" si="83"/>
        <v>0</v>
      </c>
      <c r="CZ139" s="99">
        <f t="shared" si="83"/>
        <v>0</v>
      </c>
      <c r="DA139" s="99">
        <f t="shared" si="83"/>
        <v>0</v>
      </c>
      <c r="DB139" s="99">
        <f t="shared" si="83"/>
        <v>0</v>
      </c>
      <c r="DC139" s="99">
        <f t="shared" si="83"/>
        <v>0</v>
      </c>
      <c r="DD139" s="99">
        <f t="shared" si="83"/>
        <v>525504348.71000004</v>
      </c>
      <c r="DE139" s="99">
        <f t="shared" si="83"/>
        <v>525504348.71000004</v>
      </c>
      <c r="DF139" s="99">
        <f t="shared" si="83"/>
        <v>0</v>
      </c>
      <c r="DG139" s="99">
        <f t="shared" si="83"/>
        <v>0</v>
      </c>
      <c r="DH139" s="99">
        <f t="shared" si="83"/>
        <v>0</v>
      </c>
      <c r="DI139" s="99">
        <f t="shared" si="83"/>
        <v>0</v>
      </c>
      <c r="DJ139" s="99">
        <f t="shared" si="83"/>
        <v>0</v>
      </c>
      <c r="DK139" s="99">
        <f t="shared" si="83"/>
        <v>0</v>
      </c>
      <c r="DL139" s="99">
        <f t="shared" si="83"/>
        <v>0</v>
      </c>
      <c r="DM139" s="99">
        <f t="shared" si="83"/>
        <v>0</v>
      </c>
      <c r="DN139" s="100">
        <f t="shared" si="83"/>
        <v>0</v>
      </c>
      <c r="DO139" s="99">
        <f t="shared" si="83"/>
        <v>1688066534.29</v>
      </c>
    </row>
    <row r="140" spans="1:119" s="225" customFormat="1" ht="94.5" customHeight="1" x14ac:dyDescent="0.2">
      <c r="A140" s="244">
        <v>1</v>
      </c>
      <c r="B140" s="253" t="s">
        <v>19</v>
      </c>
      <c r="C140" s="59" t="s">
        <v>453</v>
      </c>
      <c r="D140" s="59" t="s">
        <v>73</v>
      </c>
      <c r="E140" s="125">
        <v>1.4999999999999999E-2</v>
      </c>
      <c r="F140" s="13">
        <v>2019</v>
      </c>
      <c r="G140" s="59" t="s">
        <v>1123</v>
      </c>
      <c r="H140" s="119">
        <v>0.04</v>
      </c>
      <c r="I140" s="120">
        <v>41</v>
      </c>
      <c r="J140" s="13" t="s">
        <v>1711</v>
      </c>
      <c r="K140" s="50">
        <v>14</v>
      </c>
      <c r="L140" s="13" t="s">
        <v>1084</v>
      </c>
      <c r="M140" s="244">
        <v>35</v>
      </c>
      <c r="N140" s="244">
        <v>4101</v>
      </c>
      <c r="O140" s="245" t="s">
        <v>66</v>
      </c>
      <c r="P140" s="13" t="s">
        <v>1124</v>
      </c>
      <c r="Q140" s="48">
        <v>4101011</v>
      </c>
      <c r="R140" s="48">
        <v>4101011</v>
      </c>
      <c r="S140" s="59" t="s">
        <v>74</v>
      </c>
      <c r="T140" s="13" t="s">
        <v>1125</v>
      </c>
      <c r="U140" s="48">
        <v>410101100</v>
      </c>
      <c r="V140" s="48">
        <v>410101100</v>
      </c>
      <c r="W140" s="87" t="s">
        <v>1126</v>
      </c>
      <c r="X140" s="88" t="s">
        <v>9</v>
      </c>
      <c r="Y140" s="13">
        <v>10</v>
      </c>
      <c r="Z140" s="13">
        <v>2</v>
      </c>
      <c r="AA140" s="13">
        <v>1</v>
      </c>
      <c r="AB140" s="13">
        <v>2</v>
      </c>
      <c r="AC140" s="13">
        <v>3</v>
      </c>
      <c r="AD140" s="13">
        <v>3</v>
      </c>
      <c r="AE140" s="89">
        <f t="shared" ref="AE140:AI144" si="84">AJ140+AO140+AT140+AY140+BD140+BI140+BN140+BS140+BX140+CC140</f>
        <v>55000000</v>
      </c>
      <c r="AF140" s="89">
        <f t="shared" si="84"/>
        <v>55000000</v>
      </c>
      <c r="AG140" s="89">
        <f t="shared" si="84"/>
        <v>12980343</v>
      </c>
      <c r="AH140" s="89">
        <f t="shared" si="84"/>
        <v>12980343</v>
      </c>
      <c r="AI140" s="89">
        <f t="shared" si="84"/>
        <v>0</v>
      </c>
      <c r="AJ140" s="91">
        <v>55000000</v>
      </c>
      <c r="AK140" s="91">
        <v>55000000</v>
      </c>
      <c r="AL140" s="91">
        <v>12980343</v>
      </c>
      <c r="AM140" s="91">
        <v>12980343</v>
      </c>
      <c r="AN140" s="91"/>
      <c r="AO140" s="91"/>
      <c r="AP140" s="91"/>
      <c r="AQ140" s="91"/>
      <c r="AR140" s="91"/>
      <c r="AS140" s="91"/>
      <c r="AT140" s="91"/>
      <c r="AU140" s="91"/>
      <c r="AV140" s="91"/>
      <c r="AW140" s="91"/>
      <c r="AX140" s="91"/>
      <c r="AY140" s="91"/>
      <c r="AZ140" s="91"/>
      <c r="BA140" s="91"/>
      <c r="BB140" s="91"/>
      <c r="BC140" s="91"/>
      <c r="BD140" s="91"/>
      <c r="BE140" s="91"/>
      <c r="BF140" s="91"/>
      <c r="BG140" s="91"/>
      <c r="BH140" s="91"/>
      <c r="BI140" s="91"/>
      <c r="BJ140" s="91"/>
      <c r="BK140" s="91"/>
      <c r="BL140" s="91"/>
      <c r="BM140" s="91"/>
      <c r="BN140" s="91"/>
      <c r="BO140" s="91"/>
      <c r="BP140" s="91"/>
      <c r="BQ140" s="91"/>
      <c r="BR140" s="91"/>
      <c r="BS140" s="91"/>
      <c r="BT140" s="91"/>
      <c r="BU140" s="91"/>
      <c r="BV140" s="91"/>
      <c r="BW140" s="91"/>
      <c r="BX140" s="91"/>
      <c r="BY140" s="91"/>
      <c r="BZ140" s="91"/>
      <c r="CA140" s="91"/>
      <c r="CB140" s="91"/>
      <c r="CC140" s="91"/>
      <c r="CD140" s="91"/>
      <c r="CE140" s="91"/>
      <c r="CF140" s="91"/>
      <c r="CG140" s="91"/>
      <c r="CH140" s="91">
        <f>CI140+CJ140+CK140+CL140+CM140+CN140+CO140+CP140+CQ140+CR140</f>
        <v>15000000</v>
      </c>
      <c r="CI140" s="91">
        <v>15000000</v>
      </c>
      <c r="CJ140" s="91"/>
      <c r="CK140" s="91"/>
      <c r="CL140" s="91"/>
      <c r="CM140" s="91"/>
      <c r="CN140" s="91"/>
      <c r="CO140" s="91"/>
      <c r="CP140" s="91"/>
      <c r="CQ140" s="91"/>
      <c r="CR140" s="91"/>
      <c r="CS140" s="91">
        <f t="shared" ref="CS140:CS171" si="85">CT140+CU140+CV140+CW140+CX140+CY140+CZ140+DA140+DB140+DC140</f>
        <v>55000000</v>
      </c>
      <c r="CT140" s="91">
        <v>55000000</v>
      </c>
      <c r="CU140" s="91"/>
      <c r="CV140" s="91"/>
      <c r="CW140" s="91"/>
      <c r="CX140" s="91"/>
      <c r="CY140" s="91"/>
      <c r="CZ140" s="91"/>
      <c r="DA140" s="91"/>
      <c r="DB140" s="91"/>
      <c r="DC140" s="91"/>
      <c r="DD140" s="91">
        <f>DE140+DF140+DG140+DH140+DI140+DJ140+DK140+DL140+DM140+DN140</f>
        <v>55000000</v>
      </c>
      <c r="DE140" s="91">
        <v>55000000</v>
      </c>
      <c r="DF140" s="91"/>
      <c r="DG140" s="91"/>
      <c r="DH140" s="91"/>
      <c r="DI140" s="91"/>
      <c r="DJ140" s="91"/>
      <c r="DK140" s="91"/>
      <c r="DL140" s="91"/>
      <c r="DM140" s="91"/>
      <c r="DN140" s="92"/>
      <c r="DO140" s="93">
        <f>AE140+CH140+CS140+DD140</f>
        <v>180000000</v>
      </c>
    </row>
    <row r="141" spans="1:119" s="225" customFormat="1" ht="126" customHeight="1" x14ac:dyDescent="0.2">
      <c r="A141" s="244">
        <v>1</v>
      </c>
      <c r="B141" s="253" t="s">
        <v>19</v>
      </c>
      <c r="C141" s="59" t="s">
        <v>453</v>
      </c>
      <c r="D141" s="59" t="s">
        <v>67</v>
      </c>
      <c r="E141" s="125">
        <v>4.36E-2</v>
      </c>
      <c r="F141" s="13">
        <v>2019</v>
      </c>
      <c r="G141" s="59" t="s">
        <v>1127</v>
      </c>
      <c r="H141" s="125">
        <v>0.14149999999999999</v>
      </c>
      <c r="I141" s="120">
        <v>41</v>
      </c>
      <c r="J141" s="13" t="s">
        <v>1711</v>
      </c>
      <c r="K141" s="50">
        <v>14</v>
      </c>
      <c r="L141" s="13" t="s">
        <v>1084</v>
      </c>
      <c r="M141" s="244">
        <v>35</v>
      </c>
      <c r="N141" s="244">
        <v>4101</v>
      </c>
      <c r="O141" s="245" t="s">
        <v>66</v>
      </c>
      <c r="P141" s="13" t="s">
        <v>1128</v>
      </c>
      <c r="Q141" s="48">
        <v>4101023</v>
      </c>
      <c r="R141" s="48">
        <v>4101023</v>
      </c>
      <c r="S141" s="59" t="s">
        <v>68</v>
      </c>
      <c r="T141" s="13" t="s">
        <v>1129</v>
      </c>
      <c r="U141" s="48">
        <v>410102300</v>
      </c>
      <c r="V141" s="48">
        <v>410102300</v>
      </c>
      <c r="W141" s="87" t="s">
        <v>1130</v>
      </c>
      <c r="X141" s="88" t="s">
        <v>9</v>
      </c>
      <c r="Y141" s="13">
        <v>2500</v>
      </c>
      <c r="Z141" s="13">
        <v>200</v>
      </c>
      <c r="AA141" s="13">
        <v>200</v>
      </c>
      <c r="AB141" s="13">
        <v>500</v>
      </c>
      <c r="AC141" s="13">
        <v>900</v>
      </c>
      <c r="AD141" s="13">
        <v>900</v>
      </c>
      <c r="AE141" s="89">
        <f>AJ141+AO141+AT141+AY141+BD141+BI141+BN141+BS141+BX141+CC141</f>
        <v>310730761</v>
      </c>
      <c r="AF141" s="89">
        <f>AK141+AP141+AU141+AZ141+BE141+BJ141+BO141+BT141+BY141+CD141</f>
        <v>310730761</v>
      </c>
      <c r="AG141" s="89">
        <f t="shared" si="84"/>
        <v>89251102</v>
      </c>
      <c r="AH141" s="89">
        <f t="shared" si="84"/>
        <v>89251102</v>
      </c>
      <c r="AI141" s="89">
        <f t="shared" si="84"/>
        <v>0</v>
      </c>
      <c r="AJ141" s="91">
        <v>310730761</v>
      </c>
      <c r="AK141" s="91">
        <v>310730761</v>
      </c>
      <c r="AL141" s="91">
        <v>89251102</v>
      </c>
      <c r="AM141" s="91">
        <v>89251102</v>
      </c>
      <c r="AN141" s="91"/>
      <c r="AO141" s="91"/>
      <c r="AP141" s="91"/>
      <c r="AQ141" s="91"/>
      <c r="AR141" s="91"/>
      <c r="AS141" s="91"/>
      <c r="AT141" s="91"/>
      <c r="AU141" s="91"/>
      <c r="AV141" s="91"/>
      <c r="AW141" s="91"/>
      <c r="AX141" s="91"/>
      <c r="AY141" s="91"/>
      <c r="AZ141" s="91"/>
      <c r="BA141" s="91"/>
      <c r="BB141" s="91"/>
      <c r="BC141" s="91"/>
      <c r="BD141" s="91"/>
      <c r="BE141" s="91"/>
      <c r="BF141" s="91"/>
      <c r="BG141" s="91"/>
      <c r="BH141" s="91"/>
      <c r="BI141" s="91"/>
      <c r="BJ141" s="91"/>
      <c r="BK141" s="91"/>
      <c r="BL141" s="91"/>
      <c r="BM141" s="91"/>
      <c r="BN141" s="91"/>
      <c r="BO141" s="91"/>
      <c r="BP141" s="91"/>
      <c r="BQ141" s="91"/>
      <c r="BR141" s="91"/>
      <c r="BS141" s="91"/>
      <c r="BT141" s="91"/>
      <c r="BU141" s="91"/>
      <c r="BV141" s="91"/>
      <c r="BW141" s="91"/>
      <c r="BX141" s="91"/>
      <c r="BY141" s="91"/>
      <c r="BZ141" s="91"/>
      <c r="CA141" s="91"/>
      <c r="CB141" s="91"/>
      <c r="CC141" s="91"/>
      <c r="CD141" s="91"/>
      <c r="CE141" s="91"/>
      <c r="CF141" s="91"/>
      <c r="CG141" s="91"/>
      <c r="CH141" s="91">
        <f>CI141+CJ141+CK141+CL141+CM141+CN141+CO141+CP141+CQ141+CR141</f>
        <v>70000000</v>
      </c>
      <c r="CI141" s="91">
        <v>70000000</v>
      </c>
      <c r="CJ141" s="91"/>
      <c r="CK141" s="91"/>
      <c r="CL141" s="91"/>
      <c r="CM141" s="91"/>
      <c r="CN141" s="91"/>
      <c r="CO141" s="91"/>
      <c r="CP141" s="91"/>
      <c r="CQ141" s="91"/>
      <c r="CR141" s="91"/>
      <c r="CS141" s="91">
        <f t="shared" si="85"/>
        <v>223713869.72999999</v>
      </c>
      <c r="CT141" s="91">
        <v>223713869.72999999</v>
      </c>
      <c r="CU141" s="91"/>
      <c r="CV141" s="91"/>
      <c r="CW141" s="91"/>
      <c r="CX141" s="91"/>
      <c r="CY141" s="91"/>
      <c r="CZ141" s="91"/>
      <c r="DA141" s="91"/>
      <c r="DB141" s="91"/>
      <c r="DC141" s="91"/>
      <c r="DD141" s="91">
        <f>DE141+DF141+DG141+DH141+DI141+DJ141+DK141+DL141+DM141+DN141</f>
        <v>260730760</v>
      </c>
      <c r="DE141" s="91">
        <v>260730760</v>
      </c>
      <c r="DF141" s="91"/>
      <c r="DG141" s="91"/>
      <c r="DH141" s="91"/>
      <c r="DI141" s="91"/>
      <c r="DJ141" s="91"/>
      <c r="DK141" s="91"/>
      <c r="DL141" s="91"/>
      <c r="DM141" s="91"/>
      <c r="DN141" s="92"/>
      <c r="DO141" s="93">
        <f>AE141+CH141+CS141+DD141</f>
        <v>865175390.73000002</v>
      </c>
    </row>
    <row r="142" spans="1:119" s="225" customFormat="1" ht="126" customHeight="1" x14ac:dyDescent="0.2">
      <c r="A142" s="244">
        <v>1</v>
      </c>
      <c r="B142" s="253" t="s">
        <v>19</v>
      </c>
      <c r="C142" s="59" t="s">
        <v>453</v>
      </c>
      <c r="D142" s="59" t="s">
        <v>67</v>
      </c>
      <c r="E142" s="125">
        <v>4.36E-2</v>
      </c>
      <c r="F142" s="13">
        <v>2019</v>
      </c>
      <c r="G142" s="59" t="s">
        <v>1127</v>
      </c>
      <c r="H142" s="125">
        <v>0.14149999999999999</v>
      </c>
      <c r="I142" s="120">
        <v>41</v>
      </c>
      <c r="J142" s="13" t="s">
        <v>1711</v>
      </c>
      <c r="K142" s="50">
        <v>14</v>
      </c>
      <c r="L142" s="13" t="s">
        <v>1084</v>
      </c>
      <c r="M142" s="244">
        <v>35</v>
      </c>
      <c r="N142" s="244">
        <v>4101</v>
      </c>
      <c r="O142" s="245" t="s">
        <v>66</v>
      </c>
      <c r="P142" s="13" t="s">
        <v>1131</v>
      </c>
      <c r="Q142" s="48">
        <v>4101025</v>
      </c>
      <c r="R142" s="48">
        <v>4101025</v>
      </c>
      <c r="S142" s="59" t="s">
        <v>69</v>
      </c>
      <c r="T142" s="13" t="s">
        <v>1132</v>
      </c>
      <c r="U142" s="48">
        <v>410102511</v>
      </c>
      <c r="V142" s="48">
        <v>410102511</v>
      </c>
      <c r="W142" s="87" t="s">
        <v>1133</v>
      </c>
      <c r="X142" s="88" t="s">
        <v>9</v>
      </c>
      <c r="Y142" s="13">
        <v>500</v>
      </c>
      <c r="Z142" s="13">
        <v>250</v>
      </c>
      <c r="AA142" s="13">
        <v>125</v>
      </c>
      <c r="AB142" s="13">
        <v>100</v>
      </c>
      <c r="AC142" s="13">
        <v>100</v>
      </c>
      <c r="AD142" s="13">
        <v>50</v>
      </c>
      <c r="AE142" s="89">
        <f>AJ142+AO142+AT142+AY142+BD142+BI142+BN142+BS142+BX142+CC142</f>
        <v>50000000</v>
      </c>
      <c r="AF142" s="89">
        <f>AK142+AP142+AU142+AZ142+BE142+BJ142+BO142+BT142+BY142+CD142</f>
        <v>50000000</v>
      </c>
      <c r="AG142" s="89">
        <f t="shared" si="84"/>
        <v>36485017</v>
      </c>
      <c r="AH142" s="89">
        <f t="shared" si="84"/>
        <v>36485017</v>
      </c>
      <c r="AI142" s="89">
        <f t="shared" si="84"/>
        <v>0</v>
      </c>
      <c r="AJ142" s="91">
        <v>50000000</v>
      </c>
      <c r="AK142" s="91">
        <v>50000000</v>
      </c>
      <c r="AL142" s="91">
        <v>36485017</v>
      </c>
      <c r="AM142" s="91">
        <v>36485017</v>
      </c>
      <c r="AN142" s="91"/>
      <c r="AO142" s="91"/>
      <c r="AP142" s="91"/>
      <c r="AQ142" s="91"/>
      <c r="AR142" s="91"/>
      <c r="AS142" s="91"/>
      <c r="AT142" s="91"/>
      <c r="AU142" s="91"/>
      <c r="AV142" s="91"/>
      <c r="AW142" s="91"/>
      <c r="AX142" s="91"/>
      <c r="AY142" s="91"/>
      <c r="AZ142" s="91"/>
      <c r="BA142" s="91"/>
      <c r="BB142" s="91"/>
      <c r="BC142" s="91"/>
      <c r="BD142" s="91"/>
      <c r="BE142" s="91"/>
      <c r="BF142" s="91"/>
      <c r="BG142" s="91"/>
      <c r="BH142" s="91"/>
      <c r="BI142" s="91"/>
      <c r="BJ142" s="91"/>
      <c r="BK142" s="91"/>
      <c r="BL142" s="91"/>
      <c r="BM142" s="91"/>
      <c r="BN142" s="91"/>
      <c r="BO142" s="91"/>
      <c r="BP142" s="91"/>
      <c r="BQ142" s="91"/>
      <c r="BR142" s="91"/>
      <c r="BS142" s="91"/>
      <c r="BT142" s="91"/>
      <c r="BU142" s="91"/>
      <c r="BV142" s="91"/>
      <c r="BW142" s="91"/>
      <c r="BX142" s="91"/>
      <c r="BY142" s="91"/>
      <c r="BZ142" s="91"/>
      <c r="CA142" s="91"/>
      <c r="CB142" s="91"/>
      <c r="CC142" s="91"/>
      <c r="CD142" s="91"/>
      <c r="CE142" s="91"/>
      <c r="CF142" s="91"/>
      <c r="CG142" s="91"/>
      <c r="CH142" s="91">
        <f>CI142+CJ142+CK142+CL142+CM142+CN142+CO142+CP142+CQ142+CR142</f>
        <v>40000000</v>
      </c>
      <c r="CI142" s="91">
        <v>40000000</v>
      </c>
      <c r="CJ142" s="91"/>
      <c r="CK142" s="91"/>
      <c r="CL142" s="91"/>
      <c r="CM142" s="91"/>
      <c r="CN142" s="91"/>
      <c r="CO142" s="91"/>
      <c r="CP142" s="91"/>
      <c r="CQ142" s="91"/>
      <c r="CR142" s="91"/>
      <c r="CS142" s="91">
        <f t="shared" si="85"/>
        <v>50000000</v>
      </c>
      <c r="CT142" s="91">
        <v>50000000</v>
      </c>
      <c r="CU142" s="91"/>
      <c r="CV142" s="91"/>
      <c r="CW142" s="91"/>
      <c r="CX142" s="91"/>
      <c r="CY142" s="91"/>
      <c r="CZ142" s="91"/>
      <c r="DA142" s="91"/>
      <c r="DB142" s="91"/>
      <c r="DC142" s="91"/>
      <c r="DD142" s="91">
        <f>DE142+DF142+DG142+DH142+DI142+DJ142+DK142+DL142+DM142+DN142</f>
        <v>85000000</v>
      </c>
      <c r="DE142" s="91">
        <v>85000000</v>
      </c>
      <c r="DF142" s="91"/>
      <c r="DG142" s="91"/>
      <c r="DH142" s="91"/>
      <c r="DI142" s="91"/>
      <c r="DJ142" s="91"/>
      <c r="DK142" s="91"/>
      <c r="DL142" s="91"/>
      <c r="DM142" s="91"/>
      <c r="DN142" s="92"/>
      <c r="DO142" s="93">
        <f>AE142+CH142+CS142+DD142</f>
        <v>225000000</v>
      </c>
    </row>
    <row r="143" spans="1:119" s="225" customFormat="1" ht="126" customHeight="1" x14ac:dyDescent="0.2">
      <c r="A143" s="244">
        <v>1</v>
      </c>
      <c r="B143" s="253" t="s">
        <v>19</v>
      </c>
      <c r="C143" s="59" t="s">
        <v>453</v>
      </c>
      <c r="D143" s="59" t="s">
        <v>67</v>
      </c>
      <c r="E143" s="125">
        <v>4.36E-2</v>
      </c>
      <c r="F143" s="13">
        <v>2019</v>
      </c>
      <c r="G143" s="59" t="s">
        <v>1127</v>
      </c>
      <c r="H143" s="125">
        <v>0.14149999999999999</v>
      </c>
      <c r="I143" s="120">
        <v>41</v>
      </c>
      <c r="J143" s="13" t="s">
        <v>1711</v>
      </c>
      <c r="K143" s="50">
        <v>14</v>
      </c>
      <c r="L143" s="13" t="s">
        <v>1084</v>
      </c>
      <c r="M143" s="244">
        <v>35</v>
      </c>
      <c r="N143" s="244">
        <v>4101</v>
      </c>
      <c r="O143" s="245" t="s">
        <v>66</v>
      </c>
      <c r="P143" s="13" t="s">
        <v>1134</v>
      </c>
      <c r="Q143" s="48" t="s">
        <v>1135</v>
      </c>
      <c r="R143" s="48" t="s">
        <v>1135</v>
      </c>
      <c r="S143" s="59" t="s">
        <v>70</v>
      </c>
      <c r="T143" s="13" t="s">
        <v>1136</v>
      </c>
      <c r="U143" s="48">
        <v>410103800</v>
      </c>
      <c r="V143" s="48">
        <v>410103800</v>
      </c>
      <c r="W143" s="87" t="s">
        <v>1137</v>
      </c>
      <c r="X143" s="88" t="s">
        <v>9</v>
      </c>
      <c r="Y143" s="13">
        <v>48</v>
      </c>
      <c r="Z143" s="13">
        <v>12</v>
      </c>
      <c r="AA143" s="13">
        <v>12</v>
      </c>
      <c r="AB143" s="13">
        <v>12</v>
      </c>
      <c r="AC143" s="13">
        <v>12</v>
      </c>
      <c r="AD143" s="13">
        <v>12</v>
      </c>
      <c r="AE143" s="89">
        <f t="shared" si="84"/>
        <v>42000000</v>
      </c>
      <c r="AF143" s="89">
        <f t="shared" si="84"/>
        <v>42000000</v>
      </c>
      <c r="AG143" s="89">
        <f t="shared" si="84"/>
        <v>32907186</v>
      </c>
      <c r="AH143" s="89">
        <f t="shared" si="84"/>
        <v>32907186</v>
      </c>
      <c r="AI143" s="89">
        <f t="shared" si="84"/>
        <v>0</v>
      </c>
      <c r="AJ143" s="91">
        <v>42000000</v>
      </c>
      <c r="AK143" s="91">
        <v>42000000</v>
      </c>
      <c r="AL143" s="91">
        <v>32907186</v>
      </c>
      <c r="AM143" s="91">
        <v>32907186</v>
      </c>
      <c r="AN143" s="91"/>
      <c r="AO143" s="91"/>
      <c r="AP143" s="91"/>
      <c r="AQ143" s="91"/>
      <c r="AR143" s="91"/>
      <c r="AS143" s="91"/>
      <c r="AT143" s="91"/>
      <c r="AU143" s="91"/>
      <c r="AV143" s="91"/>
      <c r="AW143" s="91"/>
      <c r="AX143" s="91"/>
      <c r="AY143" s="91"/>
      <c r="AZ143" s="91"/>
      <c r="BA143" s="91"/>
      <c r="BB143" s="91"/>
      <c r="BC143" s="91"/>
      <c r="BD143" s="91"/>
      <c r="BE143" s="91"/>
      <c r="BF143" s="91"/>
      <c r="BG143" s="91"/>
      <c r="BH143" s="91"/>
      <c r="BI143" s="91"/>
      <c r="BJ143" s="91"/>
      <c r="BK143" s="91"/>
      <c r="BL143" s="91"/>
      <c r="BM143" s="91"/>
      <c r="BN143" s="91"/>
      <c r="BO143" s="91"/>
      <c r="BP143" s="91"/>
      <c r="BQ143" s="91"/>
      <c r="BR143" s="91"/>
      <c r="BS143" s="91"/>
      <c r="BT143" s="91"/>
      <c r="BU143" s="91"/>
      <c r="BV143" s="91"/>
      <c r="BW143" s="91"/>
      <c r="BX143" s="91"/>
      <c r="BY143" s="91"/>
      <c r="BZ143" s="91"/>
      <c r="CA143" s="91"/>
      <c r="CB143" s="91"/>
      <c r="CC143" s="91"/>
      <c r="CD143" s="91"/>
      <c r="CE143" s="91"/>
      <c r="CF143" s="91"/>
      <c r="CG143" s="91"/>
      <c r="CH143" s="91">
        <f>CI143+CJ143+CK143+CL143+CM143+CN143+CO143+CP143+CQ143+CR143</f>
        <v>40730761</v>
      </c>
      <c r="CI143" s="91">
        <v>40730761</v>
      </c>
      <c r="CJ143" s="91"/>
      <c r="CK143" s="91"/>
      <c r="CL143" s="91"/>
      <c r="CM143" s="91"/>
      <c r="CN143" s="91"/>
      <c r="CO143" s="91"/>
      <c r="CP143" s="91"/>
      <c r="CQ143" s="91"/>
      <c r="CR143" s="91"/>
      <c r="CS143" s="91">
        <f t="shared" si="85"/>
        <v>40386793.849999994</v>
      </c>
      <c r="CT143" s="91">
        <v>40386793.849999994</v>
      </c>
      <c r="CU143" s="91"/>
      <c r="CV143" s="91"/>
      <c r="CW143" s="91"/>
      <c r="CX143" s="91"/>
      <c r="CY143" s="91"/>
      <c r="CZ143" s="91"/>
      <c r="DA143" s="91"/>
      <c r="DB143" s="91"/>
      <c r="DC143" s="91"/>
      <c r="DD143" s="91">
        <f>DE143+DF143+DG143+DH143+DI143+DJ143+DK143+DL143+DM143+DN143</f>
        <v>47886794.359999999</v>
      </c>
      <c r="DE143" s="91">
        <v>47886794.359999999</v>
      </c>
      <c r="DF143" s="91"/>
      <c r="DG143" s="91"/>
      <c r="DH143" s="91"/>
      <c r="DI143" s="91"/>
      <c r="DJ143" s="91"/>
      <c r="DK143" s="91"/>
      <c r="DL143" s="91"/>
      <c r="DM143" s="91"/>
      <c r="DN143" s="92"/>
      <c r="DO143" s="93">
        <f>AE143+CH143+CS143+DD143</f>
        <v>171004349.20999998</v>
      </c>
    </row>
    <row r="144" spans="1:119" s="225" customFormat="1" ht="78.75" customHeight="1" x14ac:dyDescent="0.2">
      <c r="A144" s="244">
        <v>1</v>
      </c>
      <c r="B144" s="253" t="s">
        <v>19</v>
      </c>
      <c r="C144" s="59" t="s">
        <v>453</v>
      </c>
      <c r="D144" s="59" t="s">
        <v>71</v>
      </c>
      <c r="E144" s="125">
        <v>0.3039</v>
      </c>
      <c r="F144" s="13">
        <v>2018</v>
      </c>
      <c r="G144" s="59" t="s">
        <v>1138</v>
      </c>
      <c r="H144" s="125">
        <v>0.30880000000000002</v>
      </c>
      <c r="I144" s="120">
        <v>41</v>
      </c>
      <c r="J144" s="13" t="s">
        <v>1711</v>
      </c>
      <c r="K144" s="50">
        <v>14</v>
      </c>
      <c r="L144" s="13" t="s">
        <v>1084</v>
      </c>
      <c r="M144" s="244">
        <v>35</v>
      </c>
      <c r="N144" s="244">
        <v>4101</v>
      </c>
      <c r="O144" s="245" t="s">
        <v>66</v>
      </c>
      <c r="P144" s="13" t="s">
        <v>1139</v>
      </c>
      <c r="Q144" s="48" t="s">
        <v>1140</v>
      </c>
      <c r="R144" s="48" t="s">
        <v>1140</v>
      </c>
      <c r="S144" s="59" t="s">
        <v>72</v>
      </c>
      <c r="T144" s="13" t="s">
        <v>1141</v>
      </c>
      <c r="U144" s="48">
        <v>410107300</v>
      </c>
      <c r="V144" s="48">
        <v>410107300</v>
      </c>
      <c r="W144" s="87" t="s">
        <v>1142</v>
      </c>
      <c r="X144" s="88" t="s">
        <v>9</v>
      </c>
      <c r="Y144" s="13">
        <v>200</v>
      </c>
      <c r="Z144" s="13">
        <v>20</v>
      </c>
      <c r="AA144" s="13">
        <v>0</v>
      </c>
      <c r="AB144" s="13">
        <v>30</v>
      </c>
      <c r="AC144" s="13">
        <v>75</v>
      </c>
      <c r="AD144" s="13">
        <v>75</v>
      </c>
      <c r="AE144" s="89">
        <f t="shared" si="84"/>
        <v>65000000</v>
      </c>
      <c r="AF144" s="89">
        <f t="shared" si="84"/>
        <v>65000000</v>
      </c>
      <c r="AG144" s="89">
        <f t="shared" si="84"/>
        <v>9400000</v>
      </c>
      <c r="AH144" s="89">
        <f t="shared" si="84"/>
        <v>9400000</v>
      </c>
      <c r="AI144" s="89">
        <f t="shared" si="84"/>
        <v>0</v>
      </c>
      <c r="AJ144" s="91">
        <v>65000000</v>
      </c>
      <c r="AK144" s="91">
        <v>65000000</v>
      </c>
      <c r="AL144" s="91">
        <v>9400000</v>
      </c>
      <c r="AM144" s="91">
        <v>9400000</v>
      </c>
      <c r="AN144" s="91"/>
      <c r="AO144" s="91"/>
      <c r="AP144" s="91"/>
      <c r="AQ144" s="91"/>
      <c r="AR144" s="91"/>
      <c r="AS144" s="91"/>
      <c r="AT144" s="91"/>
      <c r="AU144" s="91"/>
      <c r="AV144" s="91"/>
      <c r="AW144" s="91"/>
      <c r="AX144" s="91"/>
      <c r="AY144" s="91"/>
      <c r="AZ144" s="91"/>
      <c r="BA144" s="91"/>
      <c r="BB144" s="91"/>
      <c r="BC144" s="91"/>
      <c r="BD144" s="91"/>
      <c r="BE144" s="91"/>
      <c r="BF144" s="91"/>
      <c r="BG144" s="91"/>
      <c r="BH144" s="91"/>
      <c r="BI144" s="91"/>
      <c r="BJ144" s="91"/>
      <c r="BK144" s="91"/>
      <c r="BL144" s="91"/>
      <c r="BM144" s="91"/>
      <c r="BN144" s="91"/>
      <c r="BO144" s="91"/>
      <c r="BP144" s="91"/>
      <c r="BQ144" s="91"/>
      <c r="BR144" s="91"/>
      <c r="BS144" s="91"/>
      <c r="BT144" s="91"/>
      <c r="BU144" s="91"/>
      <c r="BV144" s="91"/>
      <c r="BW144" s="91"/>
      <c r="BX144" s="91"/>
      <c r="BY144" s="91"/>
      <c r="BZ144" s="91"/>
      <c r="CA144" s="91"/>
      <c r="CB144" s="91"/>
      <c r="CC144" s="91"/>
      <c r="CD144" s="91"/>
      <c r="CE144" s="91"/>
      <c r="CF144" s="91"/>
      <c r="CG144" s="91"/>
      <c r="CH144" s="91">
        <f>CI144+CJ144+CK144+CL144+CM144+CN144+CO144+CP144+CQ144+CR144</f>
        <v>40000000</v>
      </c>
      <c r="CI144" s="91">
        <v>40000000</v>
      </c>
      <c r="CJ144" s="91"/>
      <c r="CK144" s="91"/>
      <c r="CL144" s="91"/>
      <c r="CM144" s="91"/>
      <c r="CN144" s="91"/>
      <c r="CO144" s="91"/>
      <c r="CP144" s="91"/>
      <c r="CQ144" s="91"/>
      <c r="CR144" s="91"/>
      <c r="CS144" s="91">
        <f t="shared" si="85"/>
        <v>65000000</v>
      </c>
      <c r="CT144" s="91">
        <v>65000000</v>
      </c>
      <c r="CU144" s="91"/>
      <c r="CV144" s="91"/>
      <c r="CW144" s="91"/>
      <c r="CX144" s="91"/>
      <c r="CY144" s="91"/>
      <c r="CZ144" s="91"/>
      <c r="DA144" s="91"/>
      <c r="DB144" s="91"/>
      <c r="DC144" s="91"/>
      <c r="DD144" s="91">
        <f>DE144+DF144+DG144+DH144+DI144+DJ144+DK144+DL144+DM144+DN144</f>
        <v>76886794.349999994</v>
      </c>
      <c r="DE144" s="91">
        <v>76886794.349999994</v>
      </c>
      <c r="DF144" s="91"/>
      <c r="DG144" s="91"/>
      <c r="DH144" s="91"/>
      <c r="DI144" s="91"/>
      <c r="DJ144" s="91"/>
      <c r="DK144" s="91"/>
      <c r="DL144" s="91"/>
      <c r="DM144" s="91"/>
      <c r="DN144" s="92"/>
      <c r="DO144" s="93">
        <f>AE144+CH144+CS144+DD144</f>
        <v>246886794.34999999</v>
      </c>
    </row>
    <row r="145" spans="1:119" ht="27.75" customHeight="1" x14ac:dyDescent="0.2">
      <c r="A145" s="244"/>
      <c r="B145" s="253"/>
      <c r="C145" s="94"/>
      <c r="D145" s="59"/>
      <c r="E145" s="55"/>
      <c r="F145" s="13"/>
      <c r="G145" s="59"/>
      <c r="H145" s="55"/>
      <c r="I145" s="248">
        <v>41</v>
      </c>
      <c r="J145" s="244" t="s">
        <v>1711</v>
      </c>
      <c r="K145" s="50"/>
      <c r="L145" s="13"/>
      <c r="M145" s="96">
        <v>36</v>
      </c>
      <c r="N145" s="96">
        <v>4102</v>
      </c>
      <c r="O145" s="97" t="s">
        <v>1674</v>
      </c>
      <c r="P145" s="96"/>
      <c r="Q145" s="98"/>
      <c r="R145" s="98"/>
      <c r="S145" s="98"/>
      <c r="T145" s="98"/>
      <c r="U145" s="98"/>
      <c r="V145" s="98"/>
      <c r="W145" s="83"/>
      <c r="X145" s="84"/>
      <c r="Y145" s="84"/>
      <c r="Z145" s="84"/>
      <c r="AA145" s="84"/>
      <c r="AB145" s="84"/>
      <c r="AC145" s="84"/>
      <c r="AD145" s="81"/>
      <c r="AE145" s="99">
        <f>SUM(AE146:AE155)</f>
        <v>737000000</v>
      </c>
      <c r="AF145" s="99">
        <f t="shared" ref="AF145:CQ145" si="86">SUM(AF146:AF155)</f>
        <v>687297832</v>
      </c>
      <c r="AG145" s="99">
        <f t="shared" si="86"/>
        <v>576237043</v>
      </c>
      <c r="AH145" s="99">
        <f t="shared" si="86"/>
        <v>576237043</v>
      </c>
      <c r="AI145" s="99">
        <f t="shared" si="86"/>
        <v>0</v>
      </c>
      <c r="AJ145" s="99">
        <f t="shared" si="86"/>
        <v>737000000</v>
      </c>
      <c r="AK145" s="99">
        <f t="shared" si="86"/>
        <v>687297832</v>
      </c>
      <c r="AL145" s="99">
        <f t="shared" si="86"/>
        <v>576237043</v>
      </c>
      <c r="AM145" s="99">
        <f t="shared" si="86"/>
        <v>576237043</v>
      </c>
      <c r="AN145" s="99">
        <f t="shared" si="86"/>
        <v>0</v>
      </c>
      <c r="AO145" s="99">
        <f t="shared" si="86"/>
        <v>0</v>
      </c>
      <c r="AP145" s="99">
        <f t="shared" si="86"/>
        <v>0</v>
      </c>
      <c r="AQ145" s="99">
        <f t="shared" si="86"/>
        <v>0</v>
      </c>
      <c r="AR145" s="99">
        <f t="shared" si="86"/>
        <v>0</v>
      </c>
      <c r="AS145" s="99">
        <f t="shared" si="86"/>
        <v>0</v>
      </c>
      <c r="AT145" s="99">
        <f t="shared" si="86"/>
        <v>0</v>
      </c>
      <c r="AU145" s="99">
        <f t="shared" si="86"/>
        <v>0</v>
      </c>
      <c r="AV145" s="99">
        <f t="shared" si="86"/>
        <v>0</v>
      </c>
      <c r="AW145" s="99">
        <f t="shared" si="86"/>
        <v>0</v>
      </c>
      <c r="AX145" s="99">
        <f t="shared" si="86"/>
        <v>0</v>
      </c>
      <c r="AY145" s="99">
        <f t="shared" si="86"/>
        <v>0</v>
      </c>
      <c r="AZ145" s="99">
        <f t="shared" si="86"/>
        <v>0</v>
      </c>
      <c r="BA145" s="99">
        <f t="shared" si="86"/>
        <v>0</v>
      </c>
      <c r="BB145" s="99">
        <f t="shared" si="86"/>
        <v>0</v>
      </c>
      <c r="BC145" s="99">
        <f t="shared" si="86"/>
        <v>0</v>
      </c>
      <c r="BD145" s="99">
        <f t="shared" si="86"/>
        <v>0</v>
      </c>
      <c r="BE145" s="99">
        <f t="shared" si="86"/>
        <v>0</v>
      </c>
      <c r="BF145" s="99">
        <f t="shared" si="86"/>
        <v>0</v>
      </c>
      <c r="BG145" s="99">
        <f t="shared" si="86"/>
        <v>0</v>
      </c>
      <c r="BH145" s="99">
        <f t="shared" si="86"/>
        <v>0</v>
      </c>
      <c r="BI145" s="99">
        <f t="shared" si="86"/>
        <v>0</v>
      </c>
      <c r="BJ145" s="99">
        <f t="shared" si="86"/>
        <v>0</v>
      </c>
      <c r="BK145" s="99">
        <f t="shared" si="86"/>
        <v>0</v>
      </c>
      <c r="BL145" s="99">
        <f t="shared" si="86"/>
        <v>0</v>
      </c>
      <c r="BM145" s="99">
        <f t="shared" si="86"/>
        <v>0</v>
      </c>
      <c r="BN145" s="99">
        <f t="shared" si="86"/>
        <v>0</v>
      </c>
      <c r="BO145" s="99">
        <f t="shared" si="86"/>
        <v>0</v>
      </c>
      <c r="BP145" s="99">
        <f t="shared" si="86"/>
        <v>0</v>
      </c>
      <c r="BQ145" s="99">
        <f t="shared" si="86"/>
        <v>0</v>
      </c>
      <c r="BR145" s="99">
        <f t="shared" si="86"/>
        <v>0</v>
      </c>
      <c r="BS145" s="99">
        <f t="shared" si="86"/>
        <v>0</v>
      </c>
      <c r="BT145" s="99">
        <f t="shared" si="86"/>
        <v>0</v>
      </c>
      <c r="BU145" s="99">
        <f t="shared" si="86"/>
        <v>0</v>
      </c>
      <c r="BV145" s="99">
        <f t="shared" si="86"/>
        <v>0</v>
      </c>
      <c r="BW145" s="99">
        <f t="shared" si="86"/>
        <v>0</v>
      </c>
      <c r="BX145" s="99">
        <f t="shared" si="86"/>
        <v>0</v>
      </c>
      <c r="BY145" s="99">
        <f t="shared" si="86"/>
        <v>0</v>
      </c>
      <c r="BZ145" s="99">
        <f t="shared" si="86"/>
        <v>0</v>
      </c>
      <c r="CA145" s="99">
        <f t="shared" si="86"/>
        <v>0</v>
      </c>
      <c r="CB145" s="99">
        <f t="shared" si="86"/>
        <v>0</v>
      </c>
      <c r="CC145" s="99">
        <f t="shared" si="86"/>
        <v>0</v>
      </c>
      <c r="CD145" s="99">
        <f t="shared" si="86"/>
        <v>0</v>
      </c>
      <c r="CE145" s="99">
        <f t="shared" si="86"/>
        <v>0</v>
      </c>
      <c r="CF145" s="99">
        <f t="shared" si="86"/>
        <v>0</v>
      </c>
      <c r="CG145" s="99">
        <f t="shared" si="86"/>
        <v>0</v>
      </c>
      <c r="CH145" s="99">
        <f t="shared" si="86"/>
        <v>751700000</v>
      </c>
      <c r="CI145" s="99">
        <f t="shared" si="86"/>
        <v>751700000</v>
      </c>
      <c r="CJ145" s="99">
        <f t="shared" si="86"/>
        <v>0</v>
      </c>
      <c r="CK145" s="99">
        <f t="shared" si="86"/>
        <v>0</v>
      </c>
      <c r="CL145" s="99">
        <f t="shared" si="86"/>
        <v>0</v>
      </c>
      <c r="CM145" s="99">
        <f t="shared" si="86"/>
        <v>0</v>
      </c>
      <c r="CN145" s="99">
        <f t="shared" si="86"/>
        <v>0</v>
      </c>
      <c r="CO145" s="99">
        <f t="shared" si="86"/>
        <v>0</v>
      </c>
      <c r="CP145" s="99">
        <f t="shared" si="86"/>
        <v>0</v>
      </c>
      <c r="CQ145" s="99">
        <f t="shared" si="86"/>
        <v>0</v>
      </c>
      <c r="CR145" s="99">
        <f t="shared" ref="CR145:DO145" si="87">SUM(CR146:CR155)</f>
        <v>0</v>
      </c>
      <c r="CS145" s="99">
        <f t="shared" si="87"/>
        <v>921078600</v>
      </c>
      <c r="CT145" s="99">
        <f t="shared" si="87"/>
        <v>921078600</v>
      </c>
      <c r="CU145" s="99">
        <f t="shared" si="87"/>
        <v>0</v>
      </c>
      <c r="CV145" s="99">
        <f t="shared" si="87"/>
        <v>0</v>
      </c>
      <c r="CW145" s="99">
        <f t="shared" si="87"/>
        <v>0</v>
      </c>
      <c r="CX145" s="99">
        <f t="shared" si="87"/>
        <v>0</v>
      </c>
      <c r="CY145" s="99">
        <f t="shared" si="87"/>
        <v>0</v>
      </c>
      <c r="CZ145" s="99">
        <f t="shared" si="87"/>
        <v>0</v>
      </c>
      <c r="DA145" s="99">
        <f t="shared" si="87"/>
        <v>0</v>
      </c>
      <c r="DB145" s="99">
        <f t="shared" si="87"/>
        <v>0</v>
      </c>
      <c r="DC145" s="99">
        <f t="shared" si="87"/>
        <v>0</v>
      </c>
      <c r="DD145" s="99">
        <f t="shared" si="87"/>
        <v>1154960626.9200001</v>
      </c>
      <c r="DE145" s="99">
        <f t="shared" si="87"/>
        <v>1154960626.9200001</v>
      </c>
      <c r="DF145" s="99">
        <f t="shared" si="87"/>
        <v>0</v>
      </c>
      <c r="DG145" s="99">
        <f t="shared" si="87"/>
        <v>0</v>
      </c>
      <c r="DH145" s="99">
        <f t="shared" si="87"/>
        <v>0</v>
      </c>
      <c r="DI145" s="99">
        <f t="shared" si="87"/>
        <v>0</v>
      </c>
      <c r="DJ145" s="99">
        <f t="shared" si="87"/>
        <v>0</v>
      </c>
      <c r="DK145" s="99">
        <f t="shared" si="87"/>
        <v>0</v>
      </c>
      <c r="DL145" s="99">
        <f t="shared" si="87"/>
        <v>0</v>
      </c>
      <c r="DM145" s="99">
        <f t="shared" si="87"/>
        <v>0</v>
      </c>
      <c r="DN145" s="99">
        <f t="shared" si="87"/>
        <v>0</v>
      </c>
      <c r="DO145" s="99">
        <f t="shared" si="87"/>
        <v>3564739226.9200001</v>
      </c>
    </row>
    <row r="146" spans="1:119" s="225" customFormat="1" ht="207.75" customHeight="1" x14ac:dyDescent="0.2">
      <c r="A146" s="244">
        <v>1</v>
      </c>
      <c r="B146" s="253" t="s">
        <v>19</v>
      </c>
      <c r="C146" s="59" t="s">
        <v>212</v>
      </c>
      <c r="D146" s="59" t="s">
        <v>1589</v>
      </c>
      <c r="E146" s="107" t="s">
        <v>1143</v>
      </c>
      <c r="F146" s="13" t="s">
        <v>1144</v>
      </c>
      <c r="G146" s="59" t="s">
        <v>1145</v>
      </c>
      <c r="H146" s="148" t="s">
        <v>1146</v>
      </c>
      <c r="I146" s="120">
        <v>41</v>
      </c>
      <c r="J146" s="13" t="s">
        <v>1711</v>
      </c>
      <c r="K146" s="50">
        <v>14</v>
      </c>
      <c r="L146" s="13" t="s">
        <v>1084</v>
      </c>
      <c r="M146" s="244">
        <v>36</v>
      </c>
      <c r="N146" s="244">
        <v>4102</v>
      </c>
      <c r="O146" s="250" t="s">
        <v>1674</v>
      </c>
      <c r="P146" s="13" t="s">
        <v>1147</v>
      </c>
      <c r="Q146" s="48">
        <v>4102022</v>
      </c>
      <c r="R146" s="48">
        <v>4102046</v>
      </c>
      <c r="S146" s="94" t="s">
        <v>187</v>
      </c>
      <c r="T146" s="13" t="s">
        <v>1148</v>
      </c>
      <c r="U146" s="48" t="s">
        <v>1149</v>
      </c>
      <c r="V146" s="48">
        <v>410204600</v>
      </c>
      <c r="W146" s="95" t="s">
        <v>1150</v>
      </c>
      <c r="X146" s="149" t="s">
        <v>9</v>
      </c>
      <c r="Y146" s="48">
        <v>64</v>
      </c>
      <c r="Z146" s="48">
        <v>6</v>
      </c>
      <c r="AA146" s="48">
        <v>12</v>
      </c>
      <c r="AB146" s="48">
        <v>16</v>
      </c>
      <c r="AC146" s="48">
        <v>21</v>
      </c>
      <c r="AD146" s="48">
        <v>21</v>
      </c>
      <c r="AE146" s="89">
        <f t="shared" ref="AE146:AI155" si="88">AJ146+AO146+AT146+AY146+BD146+BI146+BN146+BS146+BX146+CC146</f>
        <v>55000000</v>
      </c>
      <c r="AF146" s="89">
        <f t="shared" si="88"/>
        <v>55000000</v>
      </c>
      <c r="AG146" s="89">
        <f t="shared" si="88"/>
        <v>9813333</v>
      </c>
      <c r="AH146" s="89">
        <f t="shared" si="88"/>
        <v>9813333</v>
      </c>
      <c r="AI146" s="89">
        <f t="shared" si="88"/>
        <v>0</v>
      </c>
      <c r="AJ146" s="91">
        <f>20000000+35000000</f>
        <v>55000000</v>
      </c>
      <c r="AK146" s="91">
        <f>20000000+35000000</f>
        <v>55000000</v>
      </c>
      <c r="AL146" s="91">
        <v>9813333</v>
      </c>
      <c r="AM146" s="91">
        <v>9813333</v>
      </c>
      <c r="AN146" s="91"/>
      <c r="AO146" s="91"/>
      <c r="AP146" s="91"/>
      <c r="AQ146" s="91"/>
      <c r="AR146" s="91"/>
      <c r="AS146" s="91"/>
      <c r="AT146" s="91"/>
      <c r="AU146" s="91"/>
      <c r="AV146" s="91"/>
      <c r="AW146" s="91"/>
      <c r="AX146" s="91"/>
      <c r="AY146" s="91"/>
      <c r="AZ146" s="91"/>
      <c r="BA146" s="91"/>
      <c r="BB146" s="91"/>
      <c r="BC146" s="91"/>
      <c r="BD146" s="91"/>
      <c r="BE146" s="91"/>
      <c r="BF146" s="91"/>
      <c r="BG146" s="91"/>
      <c r="BH146" s="91"/>
      <c r="BI146" s="91"/>
      <c r="BJ146" s="91"/>
      <c r="BK146" s="91"/>
      <c r="BL146" s="91"/>
      <c r="BM146" s="91"/>
      <c r="BN146" s="91"/>
      <c r="BO146" s="91"/>
      <c r="BP146" s="91"/>
      <c r="BQ146" s="91"/>
      <c r="BR146" s="91"/>
      <c r="BS146" s="91"/>
      <c r="BT146" s="91"/>
      <c r="BU146" s="91"/>
      <c r="BV146" s="91"/>
      <c r="BW146" s="91"/>
      <c r="BX146" s="91"/>
      <c r="BY146" s="91"/>
      <c r="BZ146" s="91"/>
      <c r="CA146" s="91"/>
      <c r="CB146" s="91"/>
      <c r="CC146" s="91"/>
      <c r="CD146" s="91"/>
      <c r="CE146" s="91"/>
      <c r="CF146" s="91"/>
      <c r="CG146" s="91"/>
      <c r="CH146" s="91">
        <f t="shared" ref="CH146:CH155" si="89">CI146+CJ146+CK146+CL146+CM146+CN146+CO146+CP146+CQ146+CR146</f>
        <v>10000000</v>
      </c>
      <c r="CI146" s="91">
        <v>10000000</v>
      </c>
      <c r="CJ146" s="91"/>
      <c r="CK146" s="91"/>
      <c r="CL146" s="91"/>
      <c r="CM146" s="91"/>
      <c r="CN146" s="91"/>
      <c r="CO146" s="91"/>
      <c r="CP146" s="91"/>
      <c r="CQ146" s="91"/>
      <c r="CR146" s="91"/>
      <c r="CS146" s="91">
        <f t="shared" si="85"/>
        <v>32000000</v>
      </c>
      <c r="CT146" s="91">
        <v>32000000</v>
      </c>
      <c r="CU146" s="91"/>
      <c r="CV146" s="91"/>
      <c r="CW146" s="91"/>
      <c r="CX146" s="91"/>
      <c r="CY146" s="91"/>
      <c r="CZ146" s="91"/>
      <c r="DA146" s="91"/>
      <c r="DB146" s="91"/>
      <c r="DC146" s="91"/>
      <c r="DD146" s="91">
        <f t="shared" ref="DD146:DD186" si="90">DE146+DF146+DG146+DH146+DI146+DJ146+DK146+DL146+DM146+DN146</f>
        <v>70000000</v>
      </c>
      <c r="DE146" s="91">
        <v>70000000</v>
      </c>
      <c r="DF146" s="91"/>
      <c r="DG146" s="91"/>
      <c r="DH146" s="91"/>
      <c r="DI146" s="91"/>
      <c r="DJ146" s="91"/>
      <c r="DK146" s="91"/>
      <c r="DL146" s="91"/>
      <c r="DM146" s="91"/>
      <c r="DN146" s="92"/>
      <c r="DO146" s="93">
        <f t="shared" ref="DO146:DO155" si="91">AE146+CH146+CS146+DD146</f>
        <v>167000000</v>
      </c>
    </row>
    <row r="147" spans="1:119" s="225" customFormat="1" ht="172.5" customHeight="1" x14ac:dyDescent="0.2">
      <c r="A147" s="244">
        <v>1</v>
      </c>
      <c r="B147" s="253" t="s">
        <v>19</v>
      </c>
      <c r="C147" s="59" t="s">
        <v>212</v>
      </c>
      <c r="D147" s="59" t="s">
        <v>182</v>
      </c>
      <c r="E147" s="107" t="s">
        <v>1151</v>
      </c>
      <c r="F147" s="13" t="s">
        <v>455</v>
      </c>
      <c r="G147" s="59" t="s">
        <v>1152</v>
      </c>
      <c r="H147" s="148" t="s">
        <v>1153</v>
      </c>
      <c r="I147" s="120">
        <v>41</v>
      </c>
      <c r="J147" s="13" t="s">
        <v>1711</v>
      </c>
      <c r="K147" s="50">
        <v>18</v>
      </c>
      <c r="L147" s="13" t="s">
        <v>330</v>
      </c>
      <c r="M147" s="244">
        <v>36</v>
      </c>
      <c r="N147" s="244">
        <v>4102</v>
      </c>
      <c r="O147" s="250" t="s">
        <v>1674</v>
      </c>
      <c r="P147" s="13" t="s">
        <v>1154</v>
      </c>
      <c r="Q147" s="48" t="s">
        <v>77</v>
      </c>
      <c r="R147" s="48">
        <v>4102042</v>
      </c>
      <c r="S147" s="59" t="s">
        <v>183</v>
      </c>
      <c r="T147" s="13" t="s">
        <v>1155</v>
      </c>
      <c r="U147" s="48" t="s">
        <v>77</v>
      </c>
      <c r="V147" s="48">
        <v>410204200</v>
      </c>
      <c r="W147" s="95" t="s">
        <v>1156</v>
      </c>
      <c r="X147" s="149" t="s">
        <v>8</v>
      </c>
      <c r="Y147" s="48">
        <v>12</v>
      </c>
      <c r="Z147" s="48">
        <v>12</v>
      </c>
      <c r="AA147" s="48">
        <v>12</v>
      </c>
      <c r="AB147" s="48">
        <v>12</v>
      </c>
      <c r="AC147" s="48">
        <v>12</v>
      </c>
      <c r="AD147" s="48">
        <v>12</v>
      </c>
      <c r="AE147" s="89">
        <f t="shared" si="88"/>
        <v>13000000</v>
      </c>
      <c r="AF147" s="89">
        <f t="shared" si="88"/>
        <v>13000000</v>
      </c>
      <c r="AG147" s="89">
        <f t="shared" si="88"/>
        <v>8400000</v>
      </c>
      <c r="AH147" s="89">
        <f t="shared" si="88"/>
        <v>8400000</v>
      </c>
      <c r="AI147" s="89">
        <f t="shared" si="88"/>
        <v>0</v>
      </c>
      <c r="AJ147" s="91">
        <v>13000000</v>
      </c>
      <c r="AK147" s="91">
        <v>13000000</v>
      </c>
      <c r="AL147" s="91">
        <v>8400000</v>
      </c>
      <c r="AM147" s="91">
        <v>8400000</v>
      </c>
      <c r="AN147" s="91"/>
      <c r="AO147" s="91"/>
      <c r="AP147" s="91"/>
      <c r="AQ147" s="91"/>
      <c r="AR147" s="91"/>
      <c r="AS147" s="91"/>
      <c r="AT147" s="91"/>
      <c r="AU147" s="91"/>
      <c r="AV147" s="91"/>
      <c r="AW147" s="91"/>
      <c r="AX147" s="91"/>
      <c r="AY147" s="91"/>
      <c r="AZ147" s="91"/>
      <c r="BA147" s="91"/>
      <c r="BB147" s="91"/>
      <c r="BC147" s="91"/>
      <c r="BD147" s="91"/>
      <c r="BE147" s="91"/>
      <c r="BF147" s="91"/>
      <c r="BG147" s="91"/>
      <c r="BH147" s="91"/>
      <c r="BI147" s="91"/>
      <c r="BJ147" s="91"/>
      <c r="BK147" s="91"/>
      <c r="BL147" s="91"/>
      <c r="BM147" s="91"/>
      <c r="BN147" s="91"/>
      <c r="BO147" s="91"/>
      <c r="BP147" s="91"/>
      <c r="BQ147" s="91"/>
      <c r="BR147" s="91"/>
      <c r="BS147" s="91"/>
      <c r="BT147" s="91"/>
      <c r="BU147" s="91"/>
      <c r="BV147" s="91"/>
      <c r="BW147" s="91"/>
      <c r="BX147" s="91"/>
      <c r="BY147" s="91"/>
      <c r="BZ147" s="91"/>
      <c r="CA147" s="91"/>
      <c r="CB147" s="91"/>
      <c r="CC147" s="91"/>
      <c r="CD147" s="91"/>
      <c r="CE147" s="91"/>
      <c r="CF147" s="91"/>
      <c r="CG147" s="91"/>
      <c r="CH147" s="91">
        <f t="shared" si="89"/>
        <v>16000000</v>
      </c>
      <c r="CI147" s="91">
        <v>16000000</v>
      </c>
      <c r="CJ147" s="91"/>
      <c r="CK147" s="91"/>
      <c r="CL147" s="91"/>
      <c r="CM147" s="91"/>
      <c r="CN147" s="91"/>
      <c r="CO147" s="91"/>
      <c r="CP147" s="91"/>
      <c r="CQ147" s="91"/>
      <c r="CR147" s="91"/>
      <c r="CS147" s="91">
        <f t="shared" si="85"/>
        <v>21078600</v>
      </c>
      <c r="CT147" s="91">
        <v>21078600</v>
      </c>
      <c r="CU147" s="91"/>
      <c r="CV147" s="91"/>
      <c r="CW147" s="91"/>
      <c r="CX147" s="91"/>
      <c r="CY147" s="91"/>
      <c r="CZ147" s="91"/>
      <c r="DA147" s="91"/>
      <c r="DB147" s="91"/>
      <c r="DC147" s="91"/>
      <c r="DD147" s="91">
        <f t="shared" si="90"/>
        <v>42000000</v>
      </c>
      <c r="DE147" s="91">
        <v>42000000</v>
      </c>
      <c r="DF147" s="91"/>
      <c r="DG147" s="91"/>
      <c r="DH147" s="91"/>
      <c r="DI147" s="91"/>
      <c r="DJ147" s="91"/>
      <c r="DK147" s="91"/>
      <c r="DL147" s="91"/>
      <c r="DM147" s="91"/>
      <c r="DN147" s="92"/>
      <c r="DO147" s="93">
        <f t="shared" si="91"/>
        <v>92078600</v>
      </c>
    </row>
    <row r="148" spans="1:119" s="225" customFormat="1" ht="141.75" customHeight="1" x14ac:dyDescent="0.2">
      <c r="A148" s="244">
        <v>1</v>
      </c>
      <c r="B148" s="253" t="s">
        <v>19</v>
      </c>
      <c r="C148" s="59" t="s">
        <v>212</v>
      </c>
      <c r="D148" s="59" t="s">
        <v>179</v>
      </c>
      <c r="E148" s="119">
        <v>1</v>
      </c>
      <c r="F148" s="120">
        <v>2019</v>
      </c>
      <c r="G148" s="59" t="s">
        <v>1157</v>
      </c>
      <c r="H148" s="123">
        <v>1</v>
      </c>
      <c r="I148" s="120">
        <v>41</v>
      </c>
      <c r="J148" s="13" t="s">
        <v>1711</v>
      </c>
      <c r="K148" s="50">
        <v>14</v>
      </c>
      <c r="L148" s="13" t="s">
        <v>1084</v>
      </c>
      <c r="M148" s="244">
        <v>36</v>
      </c>
      <c r="N148" s="247">
        <v>4102</v>
      </c>
      <c r="O148" s="250" t="s">
        <v>1674</v>
      </c>
      <c r="P148" s="13" t="s">
        <v>1158</v>
      </c>
      <c r="Q148" s="48" t="s">
        <v>77</v>
      </c>
      <c r="R148" s="48">
        <v>4102001</v>
      </c>
      <c r="S148" s="59" t="s">
        <v>1159</v>
      </c>
      <c r="T148" s="13" t="s">
        <v>1160</v>
      </c>
      <c r="U148" s="48" t="s">
        <v>77</v>
      </c>
      <c r="V148" s="48">
        <v>410200100</v>
      </c>
      <c r="W148" s="87" t="s">
        <v>1161</v>
      </c>
      <c r="X148" s="149" t="s">
        <v>8</v>
      </c>
      <c r="Y148" s="48">
        <v>12</v>
      </c>
      <c r="Z148" s="48">
        <v>12</v>
      </c>
      <c r="AA148" s="48">
        <v>12</v>
      </c>
      <c r="AB148" s="48">
        <v>12</v>
      </c>
      <c r="AC148" s="48">
        <v>12</v>
      </c>
      <c r="AD148" s="48">
        <v>12</v>
      </c>
      <c r="AE148" s="89">
        <f t="shared" si="88"/>
        <v>25000000</v>
      </c>
      <c r="AF148" s="89">
        <f t="shared" si="88"/>
        <v>25000000</v>
      </c>
      <c r="AG148" s="89">
        <f t="shared" si="88"/>
        <v>21866666</v>
      </c>
      <c r="AH148" s="89">
        <f t="shared" si="88"/>
        <v>21866666</v>
      </c>
      <c r="AI148" s="89">
        <f t="shared" si="88"/>
        <v>0</v>
      </c>
      <c r="AJ148" s="91">
        <v>25000000</v>
      </c>
      <c r="AK148" s="91">
        <v>25000000</v>
      </c>
      <c r="AL148" s="91">
        <v>21866666</v>
      </c>
      <c r="AM148" s="91">
        <v>21866666</v>
      </c>
      <c r="AN148" s="91"/>
      <c r="AO148" s="91"/>
      <c r="AP148" s="91"/>
      <c r="AQ148" s="91"/>
      <c r="AR148" s="91"/>
      <c r="AS148" s="91"/>
      <c r="AT148" s="91"/>
      <c r="AU148" s="91"/>
      <c r="AV148" s="91"/>
      <c r="AW148" s="91"/>
      <c r="AX148" s="91"/>
      <c r="AY148" s="91"/>
      <c r="AZ148" s="91"/>
      <c r="BA148" s="91"/>
      <c r="BB148" s="91"/>
      <c r="BC148" s="91"/>
      <c r="BD148" s="91"/>
      <c r="BE148" s="91"/>
      <c r="BF148" s="91"/>
      <c r="BG148" s="91"/>
      <c r="BH148" s="91"/>
      <c r="BI148" s="91"/>
      <c r="BJ148" s="91"/>
      <c r="BK148" s="91"/>
      <c r="BL148" s="91"/>
      <c r="BM148" s="91"/>
      <c r="BN148" s="91"/>
      <c r="BO148" s="91"/>
      <c r="BP148" s="91"/>
      <c r="BQ148" s="91"/>
      <c r="BR148" s="91"/>
      <c r="BS148" s="91"/>
      <c r="BT148" s="91"/>
      <c r="BU148" s="91"/>
      <c r="BV148" s="91"/>
      <c r="BW148" s="91"/>
      <c r="BX148" s="91"/>
      <c r="BY148" s="91"/>
      <c r="BZ148" s="91"/>
      <c r="CA148" s="91"/>
      <c r="CB148" s="91"/>
      <c r="CC148" s="91"/>
      <c r="CD148" s="91"/>
      <c r="CE148" s="91"/>
      <c r="CF148" s="91"/>
      <c r="CG148" s="91"/>
      <c r="CH148" s="91">
        <f t="shared" si="89"/>
        <v>50000000</v>
      </c>
      <c r="CI148" s="91">
        <v>50000000</v>
      </c>
      <c r="CJ148" s="91"/>
      <c r="CK148" s="91"/>
      <c r="CL148" s="91"/>
      <c r="CM148" s="91"/>
      <c r="CN148" s="91"/>
      <c r="CO148" s="91"/>
      <c r="CP148" s="91"/>
      <c r="CQ148" s="91"/>
      <c r="CR148" s="91"/>
      <c r="CS148" s="91">
        <f t="shared" si="85"/>
        <v>60000000</v>
      </c>
      <c r="CT148" s="91">
        <v>60000000</v>
      </c>
      <c r="CU148" s="91"/>
      <c r="CV148" s="91"/>
      <c r="CW148" s="91"/>
      <c r="CX148" s="91"/>
      <c r="CY148" s="91"/>
      <c r="CZ148" s="91"/>
      <c r="DA148" s="91"/>
      <c r="DB148" s="91"/>
      <c r="DC148" s="91"/>
      <c r="DD148" s="91">
        <f t="shared" si="90"/>
        <v>70000000</v>
      </c>
      <c r="DE148" s="91">
        <v>70000000</v>
      </c>
      <c r="DF148" s="91"/>
      <c r="DG148" s="91"/>
      <c r="DH148" s="91"/>
      <c r="DI148" s="91"/>
      <c r="DJ148" s="91"/>
      <c r="DK148" s="91"/>
      <c r="DL148" s="91"/>
      <c r="DM148" s="91"/>
      <c r="DN148" s="92"/>
      <c r="DO148" s="93">
        <f t="shared" si="91"/>
        <v>205000000</v>
      </c>
    </row>
    <row r="149" spans="1:119" s="225" customFormat="1" ht="110.25" customHeight="1" x14ac:dyDescent="0.2">
      <c r="A149" s="244">
        <v>1</v>
      </c>
      <c r="B149" s="253" t="s">
        <v>19</v>
      </c>
      <c r="C149" s="59" t="s">
        <v>212</v>
      </c>
      <c r="D149" s="59" t="s">
        <v>1640</v>
      </c>
      <c r="E149" s="119">
        <v>1</v>
      </c>
      <c r="F149" s="120">
        <v>2019</v>
      </c>
      <c r="G149" s="59" t="s">
        <v>1162</v>
      </c>
      <c r="H149" s="123">
        <v>1</v>
      </c>
      <c r="I149" s="120">
        <v>41</v>
      </c>
      <c r="J149" s="13" t="s">
        <v>1711</v>
      </c>
      <c r="K149" s="50">
        <v>14</v>
      </c>
      <c r="L149" s="13" t="s">
        <v>1084</v>
      </c>
      <c r="M149" s="244">
        <v>36</v>
      </c>
      <c r="N149" s="247">
        <v>4102</v>
      </c>
      <c r="O149" s="250" t="s">
        <v>1674</v>
      </c>
      <c r="P149" s="13" t="s">
        <v>1163</v>
      </c>
      <c r="Q149" s="48" t="s">
        <v>77</v>
      </c>
      <c r="R149" s="48">
        <v>4102035</v>
      </c>
      <c r="S149" s="59" t="s">
        <v>1705</v>
      </c>
      <c r="T149" s="13" t="s">
        <v>1164</v>
      </c>
      <c r="U149" s="48" t="s">
        <v>77</v>
      </c>
      <c r="V149" s="48">
        <v>410203500</v>
      </c>
      <c r="W149" s="87" t="s">
        <v>1165</v>
      </c>
      <c r="X149" s="149" t="s">
        <v>8</v>
      </c>
      <c r="Y149" s="48">
        <v>1</v>
      </c>
      <c r="Z149" s="48">
        <v>1</v>
      </c>
      <c r="AA149" s="48">
        <v>0.18</v>
      </c>
      <c r="AB149" s="48">
        <v>1</v>
      </c>
      <c r="AC149" s="48">
        <v>1</v>
      </c>
      <c r="AD149" s="48">
        <v>1</v>
      </c>
      <c r="AE149" s="89">
        <f t="shared" si="88"/>
        <v>30000000</v>
      </c>
      <c r="AF149" s="89">
        <f t="shared" si="88"/>
        <v>30000000</v>
      </c>
      <c r="AG149" s="89">
        <f t="shared" si="88"/>
        <v>5333333</v>
      </c>
      <c r="AH149" s="89">
        <f t="shared" si="88"/>
        <v>5333333</v>
      </c>
      <c r="AI149" s="89">
        <f t="shared" si="88"/>
        <v>0</v>
      </c>
      <c r="AJ149" s="91">
        <v>30000000</v>
      </c>
      <c r="AK149" s="91">
        <v>30000000</v>
      </c>
      <c r="AL149" s="91">
        <v>5333333</v>
      </c>
      <c r="AM149" s="91">
        <v>5333333</v>
      </c>
      <c r="AN149" s="91"/>
      <c r="AO149" s="91"/>
      <c r="AP149" s="91"/>
      <c r="AQ149" s="91"/>
      <c r="AR149" s="91"/>
      <c r="AS149" s="91"/>
      <c r="AT149" s="91"/>
      <c r="AU149" s="91"/>
      <c r="AV149" s="91"/>
      <c r="AW149" s="91"/>
      <c r="AX149" s="91"/>
      <c r="AY149" s="91"/>
      <c r="AZ149" s="91"/>
      <c r="BA149" s="91"/>
      <c r="BB149" s="91"/>
      <c r="BC149" s="91"/>
      <c r="BD149" s="91"/>
      <c r="BE149" s="91"/>
      <c r="BF149" s="91"/>
      <c r="BG149" s="91"/>
      <c r="BH149" s="91"/>
      <c r="BI149" s="91"/>
      <c r="BJ149" s="91"/>
      <c r="BK149" s="91"/>
      <c r="BL149" s="91"/>
      <c r="BM149" s="91"/>
      <c r="BN149" s="91"/>
      <c r="BO149" s="91"/>
      <c r="BP149" s="91"/>
      <c r="BQ149" s="91"/>
      <c r="BR149" s="91"/>
      <c r="BS149" s="91"/>
      <c r="BT149" s="91"/>
      <c r="BU149" s="91"/>
      <c r="BV149" s="91"/>
      <c r="BW149" s="91"/>
      <c r="BX149" s="91"/>
      <c r="BY149" s="91"/>
      <c r="BZ149" s="91"/>
      <c r="CA149" s="91"/>
      <c r="CB149" s="91"/>
      <c r="CC149" s="91"/>
      <c r="CD149" s="91"/>
      <c r="CE149" s="91"/>
      <c r="CF149" s="91"/>
      <c r="CG149" s="91"/>
      <c r="CH149" s="91">
        <f t="shared" si="89"/>
        <v>20000000</v>
      </c>
      <c r="CI149" s="91">
        <v>20000000</v>
      </c>
      <c r="CJ149" s="91"/>
      <c r="CK149" s="91"/>
      <c r="CL149" s="91"/>
      <c r="CM149" s="91"/>
      <c r="CN149" s="91"/>
      <c r="CO149" s="91"/>
      <c r="CP149" s="91"/>
      <c r="CQ149" s="91"/>
      <c r="CR149" s="91"/>
      <c r="CS149" s="91">
        <f t="shared" si="85"/>
        <v>40000000</v>
      </c>
      <c r="CT149" s="91">
        <v>40000000</v>
      </c>
      <c r="CU149" s="91"/>
      <c r="CV149" s="91"/>
      <c r="CW149" s="91"/>
      <c r="CX149" s="91"/>
      <c r="CY149" s="91"/>
      <c r="CZ149" s="91"/>
      <c r="DA149" s="91"/>
      <c r="DB149" s="91"/>
      <c r="DC149" s="91"/>
      <c r="DD149" s="91">
        <f t="shared" si="90"/>
        <v>60000000</v>
      </c>
      <c r="DE149" s="91">
        <v>60000000</v>
      </c>
      <c r="DF149" s="91"/>
      <c r="DG149" s="91"/>
      <c r="DH149" s="91"/>
      <c r="DI149" s="91"/>
      <c r="DJ149" s="91"/>
      <c r="DK149" s="91"/>
      <c r="DL149" s="91"/>
      <c r="DM149" s="91"/>
      <c r="DN149" s="92"/>
      <c r="DO149" s="93">
        <f t="shared" si="91"/>
        <v>150000000</v>
      </c>
    </row>
    <row r="150" spans="1:119" s="225" customFormat="1" ht="157.5" customHeight="1" x14ac:dyDescent="0.2">
      <c r="A150" s="244">
        <v>1</v>
      </c>
      <c r="B150" s="253" t="s">
        <v>19</v>
      </c>
      <c r="C150" s="59" t="s">
        <v>212</v>
      </c>
      <c r="D150" s="59" t="s">
        <v>184</v>
      </c>
      <c r="E150" s="119" t="s">
        <v>951</v>
      </c>
      <c r="F150" s="120" t="s">
        <v>951</v>
      </c>
      <c r="G150" s="59" t="s">
        <v>951</v>
      </c>
      <c r="H150" s="123">
        <v>1</v>
      </c>
      <c r="I150" s="120">
        <v>41</v>
      </c>
      <c r="J150" s="13" t="s">
        <v>1711</v>
      </c>
      <c r="K150" s="50">
        <v>14</v>
      </c>
      <c r="L150" s="13" t="s">
        <v>1084</v>
      </c>
      <c r="M150" s="244">
        <v>36</v>
      </c>
      <c r="N150" s="247">
        <v>4102</v>
      </c>
      <c r="O150" s="250" t="s">
        <v>1674</v>
      </c>
      <c r="P150" s="13" t="s">
        <v>1166</v>
      </c>
      <c r="Q150" s="48" t="s">
        <v>77</v>
      </c>
      <c r="R150" s="48">
        <v>4102001</v>
      </c>
      <c r="S150" s="94" t="s">
        <v>185</v>
      </c>
      <c r="T150" s="13" t="s">
        <v>1167</v>
      </c>
      <c r="U150" s="48" t="s">
        <v>77</v>
      </c>
      <c r="V150" s="48">
        <v>410200100</v>
      </c>
      <c r="W150" s="95" t="s">
        <v>1168</v>
      </c>
      <c r="X150" s="149" t="s">
        <v>8</v>
      </c>
      <c r="Y150" s="48">
        <v>1</v>
      </c>
      <c r="Z150" s="48">
        <v>0</v>
      </c>
      <c r="AA150" s="48"/>
      <c r="AB150" s="48">
        <v>1</v>
      </c>
      <c r="AC150" s="48">
        <v>1</v>
      </c>
      <c r="AD150" s="48">
        <v>1</v>
      </c>
      <c r="AE150" s="89">
        <f t="shared" si="88"/>
        <v>0</v>
      </c>
      <c r="AF150" s="89">
        <f t="shared" si="88"/>
        <v>0</v>
      </c>
      <c r="AG150" s="89">
        <f t="shared" si="88"/>
        <v>0</v>
      </c>
      <c r="AH150" s="89">
        <f t="shared" si="88"/>
        <v>0</v>
      </c>
      <c r="AI150" s="89">
        <f t="shared" si="88"/>
        <v>0</v>
      </c>
      <c r="AJ150" s="91">
        <v>0</v>
      </c>
      <c r="AK150" s="91">
        <v>0</v>
      </c>
      <c r="AL150" s="91"/>
      <c r="AM150" s="91"/>
      <c r="AN150" s="91"/>
      <c r="AO150" s="91"/>
      <c r="AP150" s="91"/>
      <c r="AQ150" s="91"/>
      <c r="AR150" s="91"/>
      <c r="AS150" s="91"/>
      <c r="AT150" s="91"/>
      <c r="AU150" s="91"/>
      <c r="AV150" s="91"/>
      <c r="AW150" s="91"/>
      <c r="AX150" s="91"/>
      <c r="AY150" s="91"/>
      <c r="AZ150" s="91"/>
      <c r="BA150" s="91"/>
      <c r="BB150" s="91"/>
      <c r="BC150" s="91"/>
      <c r="BD150" s="91"/>
      <c r="BE150" s="91"/>
      <c r="BF150" s="91"/>
      <c r="BG150" s="91"/>
      <c r="BH150" s="91"/>
      <c r="BI150" s="91"/>
      <c r="BJ150" s="91"/>
      <c r="BK150" s="91"/>
      <c r="BL150" s="91"/>
      <c r="BM150" s="91"/>
      <c r="BN150" s="91"/>
      <c r="BO150" s="91"/>
      <c r="BP150" s="91"/>
      <c r="BQ150" s="91"/>
      <c r="BR150" s="91"/>
      <c r="BS150" s="91"/>
      <c r="BT150" s="91"/>
      <c r="BU150" s="91"/>
      <c r="BV150" s="91"/>
      <c r="BW150" s="91"/>
      <c r="BX150" s="91"/>
      <c r="BY150" s="91"/>
      <c r="BZ150" s="91"/>
      <c r="CA150" s="91"/>
      <c r="CB150" s="91"/>
      <c r="CC150" s="91"/>
      <c r="CD150" s="91"/>
      <c r="CE150" s="91"/>
      <c r="CF150" s="91"/>
      <c r="CG150" s="91"/>
      <c r="CH150" s="91">
        <f t="shared" si="89"/>
        <v>20000000</v>
      </c>
      <c r="CI150" s="91">
        <v>20000000</v>
      </c>
      <c r="CJ150" s="91"/>
      <c r="CK150" s="91"/>
      <c r="CL150" s="91"/>
      <c r="CM150" s="91"/>
      <c r="CN150" s="91"/>
      <c r="CO150" s="91"/>
      <c r="CP150" s="91"/>
      <c r="CQ150" s="91"/>
      <c r="CR150" s="91"/>
      <c r="CS150" s="91">
        <f t="shared" si="85"/>
        <v>43000000</v>
      </c>
      <c r="CT150" s="91">
        <v>43000000</v>
      </c>
      <c r="CU150" s="91"/>
      <c r="CV150" s="91"/>
      <c r="CW150" s="91"/>
      <c r="CX150" s="91"/>
      <c r="CY150" s="91"/>
      <c r="CZ150" s="91"/>
      <c r="DA150" s="91"/>
      <c r="DB150" s="91"/>
      <c r="DC150" s="91"/>
      <c r="DD150" s="91">
        <f t="shared" si="90"/>
        <v>120960626.92</v>
      </c>
      <c r="DE150" s="91">
        <v>120960626.92</v>
      </c>
      <c r="DF150" s="91"/>
      <c r="DG150" s="91"/>
      <c r="DH150" s="91"/>
      <c r="DI150" s="91"/>
      <c r="DJ150" s="91"/>
      <c r="DK150" s="91"/>
      <c r="DL150" s="91"/>
      <c r="DM150" s="91"/>
      <c r="DN150" s="92"/>
      <c r="DO150" s="93">
        <f t="shared" si="91"/>
        <v>183960626.92000002</v>
      </c>
    </row>
    <row r="151" spans="1:119" s="225" customFormat="1" ht="157.5" customHeight="1" x14ac:dyDescent="0.2">
      <c r="A151" s="244">
        <v>1</v>
      </c>
      <c r="B151" s="253" t="s">
        <v>19</v>
      </c>
      <c r="C151" s="59" t="s">
        <v>212</v>
      </c>
      <c r="D151" s="59" t="s">
        <v>188</v>
      </c>
      <c r="E151" s="55" t="s">
        <v>951</v>
      </c>
      <c r="F151" s="13">
        <v>2018</v>
      </c>
      <c r="G151" s="59" t="s">
        <v>1169</v>
      </c>
      <c r="H151" s="119">
        <v>1</v>
      </c>
      <c r="I151" s="120">
        <v>41</v>
      </c>
      <c r="J151" s="13" t="s">
        <v>1711</v>
      </c>
      <c r="K151" s="50">
        <v>18</v>
      </c>
      <c r="L151" s="13" t="s">
        <v>330</v>
      </c>
      <c r="M151" s="244">
        <v>36</v>
      </c>
      <c r="N151" s="244">
        <v>4102</v>
      </c>
      <c r="O151" s="250" t="s">
        <v>1674</v>
      </c>
      <c r="P151" s="13" t="s">
        <v>1170</v>
      </c>
      <c r="Q151" s="13">
        <v>4102038</v>
      </c>
      <c r="R151" s="13">
        <v>4102038</v>
      </c>
      <c r="S151" s="59" t="s">
        <v>189</v>
      </c>
      <c r="T151" s="13" t="s">
        <v>1171</v>
      </c>
      <c r="U151" s="13">
        <v>410203800</v>
      </c>
      <c r="V151" s="13">
        <v>410203800</v>
      </c>
      <c r="W151" s="87" t="s">
        <v>1172</v>
      </c>
      <c r="X151" s="149" t="s">
        <v>9</v>
      </c>
      <c r="Y151" s="48">
        <v>40</v>
      </c>
      <c r="Z151" s="48">
        <v>10</v>
      </c>
      <c r="AA151" s="48">
        <v>47</v>
      </c>
      <c r="AB151" s="48">
        <v>10</v>
      </c>
      <c r="AC151" s="48">
        <v>10</v>
      </c>
      <c r="AD151" s="48">
        <v>10</v>
      </c>
      <c r="AE151" s="89">
        <f t="shared" si="88"/>
        <v>14000000</v>
      </c>
      <c r="AF151" s="89">
        <f t="shared" si="88"/>
        <v>14000000</v>
      </c>
      <c r="AG151" s="89">
        <f t="shared" si="88"/>
        <v>8680000</v>
      </c>
      <c r="AH151" s="89">
        <f t="shared" si="88"/>
        <v>8680000</v>
      </c>
      <c r="AI151" s="89">
        <f t="shared" si="88"/>
        <v>0</v>
      </c>
      <c r="AJ151" s="91">
        <v>14000000</v>
      </c>
      <c r="AK151" s="91">
        <v>14000000</v>
      </c>
      <c r="AL151" s="91">
        <v>8680000</v>
      </c>
      <c r="AM151" s="91">
        <v>8680000</v>
      </c>
      <c r="AN151" s="91"/>
      <c r="AO151" s="91"/>
      <c r="AP151" s="91"/>
      <c r="AQ151" s="91"/>
      <c r="AR151" s="91"/>
      <c r="AS151" s="91"/>
      <c r="AT151" s="91"/>
      <c r="AU151" s="91"/>
      <c r="AV151" s="91"/>
      <c r="AW151" s="91"/>
      <c r="AX151" s="91"/>
      <c r="AY151" s="91"/>
      <c r="AZ151" s="91"/>
      <c r="BA151" s="91"/>
      <c r="BB151" s="91"/>
      <c r="BC151" s="91"/>
      <c r="BD151" s="91"/>
      <c r="BE151" s="91"/>
      <c r="BF151" s="91"/>
      <c r="BG151" s="91"/>
      <c r="BH151" s="91"/>
      <c r="BI151" s="91"/>
      <c r="BJ151" s="91"/>
      <c r="BK151" s="91"/>
      <c r="BL151" s="91"/>
      <c r="BM151" s="91"/>
      <c r="BN151" s="91"/>
      <c r="BO151" s="91"/>
      <c r="BP151" s="91"/>
      <c r="BQ151" s="91"/>
      <c r="BR151" s="91"/>
      <c r="BS151" s="91"/>
      <c r="BT151" s="91"/>
      <c r="BU151" s="91"/>
      <c r="BV151" s="91"/>
      <c r="BW151" s="91"/>
      <c r="BX151" s="91"/>
      <c r="BY151" s="91"/>
      <c r="BZ151" s="91"/>
      <c r="CA151" s="91"/>
      <c r="CB151" s="91"/>
      <c r="CC151" s="91"/>
      <c r="CD151" s="91"/>
      <c r="CE151" s="91"/>
      <c r="CF151" s="91"/>
      <c r="CG151" s="91"/>
      <c r="CH151" s="91">
        <f t="shared" si="89"/>
        <v>37125000</v>
      </c>
      <c r="CI151" s="91">
        <v>37125000</v>
      </c>
      <c r="CJ151" s="91"/>
      <c r="CK151" s="91"/>
      <c r="CL151" s="91"/>
      <c r="CM151" s="91"/>
      <c r="CN151" s="91"/>
      <c r="CO151" s="91"/>
      <c r="CP151" s="91"/>
      <c r="CQ151" s="91"/>
      <c r="CR151" s="91"/>
      <c r="CS151" s="91">
        <f t="shared" si="85"/>
        <v>50000000</v>
      </c>
      <c r="CT151" s="91">
        <v>50000000</v>
      </c>
      <c r="CU151" s="91"/>
      <c r="CV151" s="91"/>
      <c r="CW151" s="91"/>
      <c r="CX151" s="91"/>
      <c r="CY151" s="91"/>
      <c r="CZ151" s="91"/>
      <c r="DA151" s="91"/>
      <c r="DB151" s="91"/>
      <c r="DC151" s="91"/>
      <c r="DD151" s="91">
        <f t="shared" si="90"/>
        <v>60000000</v>
      </c>
      <c r="DE151" s="91">
        <v>60000000</v>
      </c>
      <c r="DF151" s="91"/>
      <c r="DG151" s="91"/>
      <c r="DH151" s="91"/>
      <c r="DI151" s="91"/>
      <c r="DJ151" s="91"/>
      <c r="DK151" s="91"/>
      <c r="DL151" s="91"/>
      <c r="DM151" s="91"/>
      <c r="DN151" s="92"/>
      <c r="DO151" s="93">
        <f t="shared" si="91"/>
        <v>161125000</v>
      </c>
    </row>
    <row r="152" spans="1:119" s="225" customFormat="1" ht="240.75" customHeight="1" x14ac:dyDescent="0.2">
      <c r="A152" s="244">
        <v>1</v>
      </c>
      <c r="B152" s="253" t="s">
        <v>19</v>
      </c>
      <c r="C152" s="59" t="s">
        <v>212</v>
      </c>
      <c r="D152" s="59" t="s">
        <v>1590</v>
      </c>
      <c r="E152" s="107" t="s">
        <v>1173</v>
      </c>
      <c r="F152" s="13">
        <v>2018</v>
      </c>
      <c r="G152" s="59" t="s">
        <v>1174</v>
      </c>
      <c r="H152" s="118" t="s">
        <v>1175</v>
      </c>
      <c r="I152" s="120">
        <v>41</v>
      </c>
      <c r="J152" s="13" t="s">
        <v>1711</v>
      </c>
      <c r="K152" s="50">
        <v>14</v>
      </c>
      <c r="L152" s="13" t="s">
        <v>1084</v>
      </c>
      <c r="M152" s="244">
        <v>36</v>
      </c>
      <c r="N152" s="247">
        <v>4102</v>
      </c>
      <c r="O152" s="250" t="s">
        <v>1674</v>
      </c>
      <c r="P152" s="120" t="s">
        <v>1176</v>
      </c>
      <c r="Q152" s="13" t="s">
        <v>77</v>
      </c>
      <c r="R152" s="13">
        <v>4102043</v>
      </c>
      <c r="S152" s="59" t="s">
        <v>1685</v>
      </c>
      <c r="T152" s="13" t="s">
        <v>1177</v>
      </c>
      <c r="U152" s="13" t="s">
        <v>77</v>
      </c>
      <c r="V152" s="13">
        <v>410204301</v>
      </c>
      <c r="W152" s="87" t="s">
        <v>1178</v>
      </c>
      <c r="X152" s="149" t="s">
        <v>8</v>
      </c>
      <c r="Y152" s="48">
        <v>1</v>
      </c>
      <c r="Z152" s="48">
        <v>1</v>
      </c>
      <c r="AA152" s="48">
        <v>1</v>
      </c>
      <c r="AB152" s="48">
        <v>1</v>
      </c>
      <c r="AC152" s="48">
        <v>1</v>
      </c>
      <c r="AD152" s="48">
        <v>1</v>
      </c>
      <c r="AE152" s="89">
        <f t="shared" si="88"/>
        <v>240000000</v>
      </c>
      <c r="AF152" s="89">
        <f t="shared" si="88"/>
        <v>430000000</v>
      </c>
      <c r="AG152" s="89">
        <f t="shared" si="88"/>
        <v>408228779</v>
      </c>
      <c r="AH152" s="89">
        <f t="shared" si="88"/>
        <v>408228779</v>
      </c>
      <c r="AI152" s="89">
        <f t="shared" si="88"/>
        <v>0</v>
      </c>
      <c r="AJ152" s="91">
        <v>240000000</v>
      </c>
      <c r="AK152" s="91">
        <v>430000000</v>
      </c>
      <c r="AL152" s="91">
        <v>408228779</v>
      </c>
      <c r="AM152" s="91">
        <v>408228779</v>
      </c>
      <c r="AN152" s="91"/>
      <c r="AO152" s="91"/>
      <c r="AP152" s="91"/>
      <c r="AQ152" s="91"/>
      <c r="AR152" s="91"/>
      <c r="AS152" s="91"/>
      <c r="AT152" s="91"/>
      <c r="AU152" s="91"/>
      <c r="AV152" s="91"/>
      <c r="AW152" s="91"/>
      <c r="AX152" s="91"/>
      <c r="AY152" s="91"/>
      <c r="AZ152" s="91"/>
      <c r="BA152" s="91"/>
      <c r="BB152" s="91"/>
      <c r="BC152" s="91"/>
      <c r="BD152" s="91"/>
      <c r="BE152" s="91"/>
      <c r="BF152" s="91"/>
      <c r="BG152" s="91"/>
      <c r="BH152" s="91"/>
      <c r="BI152" s="91"/>
      <c r="BJ152" s="91"/>
      <c r="BK152" s="91"/>
      <c r="BL152" s="91"/>
      <c r="BM152" s="91"/>
      <c r="BN152" s="91"/>
      <c r="BO152" s="91"/>
      <c r="BP152" s="91"/>
      <c r="BQ152" s="91"/>
      <c r="BR152" s="91"/>
      <c r="BS152" s="91"/>
      <c r="BT152" s="91"/>
      <c r="BU152" s="91"/>
      <c r="BV152" s="91"/>
      <c r="BW152" s="91"/>
      <c r="BX152" s="91"/>
      <c r="BY152" s="91"/>
      <c r="BZ152" s="91"/>
      <c r="CA152" s="91"/>
      <c r="CB152" s="91"/>
      <c r="CC152" s="91"/>
      <c r="CD152" s="91"/>
      <c r="CE152" s="91"/>
      <c r="CF152" s="91"/>
      <c r="CG152" s="91"/>
      <c r="CH152" s="91">
        <f t="shared" si="89"/>
        <v>202575000</v>
      </c>
      <c r="CI152" s="91">
        <f>238575000-36000000</f>
        <v>202575000</v>
      </c>
      <c r="CJ152" s="91"/>
      <c r="CK152" s="91"/>
      <c r="CL152" s="91"/>
      <c r="CM152" s="91"/>
      <c r="CN152" s="91"/>
      <c r="CO152" s="91"/>
      <c r="CP152" s="91"/>
      <c r="CQ152" s="91"/>
      <c r="CR152" s="91"/>
      <c r="CS152" s="91">
        <f t="shared" si="85"/>
        <v>235000000</v>
      </c>
      <c r="CT152" s="91">
        <v>235000000</v>
      </c>
      <c r="CU152" s="91"/>
      <c r="CV152" s="91"/>
      <c r="CW152" s="91"/>
      <c r="CX152" s="91"/>
      <c r="CY152" s="91"/>
      <c r="CZ152" s="91"/>
      <c r="DA152" s="91"/>
      <c r="DB152" s="91"/>
      <c r="DC152" s="91"/>
      <c r="DD152" s="91">
        <f t="shared" si="90"/>
        <v>256000000</v>
      </c>
      <c r="DE152" s="91">
        <v>256000000</v>
      </c>
      <c r="DF152" s="91"/>
      <c r="DG152" s="91"/>
      <c r="DH152" s="91"/>
      <c r="DI152" s="91"/>
      <c r="DJ152" s="91"/>
      <c r="DK152" s="91"/>
      <c r="DL152" s="91"/>
      <c r="DM152" s="91"/>
      <c r="DN152" s="92"/>
      <c r="DO152" s="93">
        <f t="shared" si="91"/>
        <v>933575000</v>
      </c>
    </row>
    <row r="153" spans="1:119" s="225" customFormat="1" ht="301.5" customHeight="1" x14ac:dyDescent="0.2">
      <c r="A153" s="244">
        <v>1</v>
      </c>
      <c r="B153" s="253" t="s">
        <v>19</v>
      </c>
      <c r="C153" s="59" t="s">
        <v>212</v>
      </c>
      <c r="D153" s="59" t="s">
        <v>1590</v>
      </c>
      <c r="E153" s="107" t="s">
        <v>1173</v>
      </c>
      <c r="F153" s="13">
        <v>2018</v>
      </c>
      <c r="G153" s="59" t="s">
        <v>1174</v>
      </c>
      <c r="H153" s="118" t="s">
        <v>1175</v>
      </c>
      <c r="I153" s="120">
        <v>41</v>
      </c>
      <c r="J153" s="13" t="s">
        <v>1711</v>
      </c>
      <c r="K153" s="50">
        <v>14</v>
      </c>
      <c r="L153" s="13" t="s">
        <v>1084</v>
      </c>
      <c r="M153" s="244">
        <v>36</v>
      </c>
      <c r="N153" s="247">
        <v>4102</v>
      </c>
      <c r="O153" s="250" t="s">
        <v>1674</v>
      </c>
      <c r="P153" s="120" t="s">
        <v>1176</v>
      </c>
      <c r="Q153" s="13" t="s">
        <v>77</v>
      </c>
      <c r="R153" s="13">
        <v>4102035</v>
      </c>
      <c r="S153" s="59" t="s">
        <v>1684</v>
      </c>
      <c r="T153" s="13" t="s">
        <v>1177</v>
      </c>
      <c r="U153" s="13" t="s">
        <v>77</v>
      </c>
      <c r="V153" s="13">
        <v>410203501</v>
      </c>
      <c r="W153" s="87" t="s">
        <v>1683</v>
      </c>
      <c r="X153" s="149" t="s">
        <v>9</v>
      </c>
      <c r="Y153" s="48">
        <v>1</v>
      </c>
      <c r="Z153" s="48"/>
      <c r="AA153" s="48"/>
      <c r="AB153" s="48">
        <v>1</v>
      </c>
      <c r="AC153" s="48"/>
      <c r="AD153" s="48"/>
      <c r="AE153" s="89">
        <f>AJ153+AO153+AT153+AY153+BD153+BI153+BN153+BS153+BX153+CC153</f>
        <v>0</v>
      </c>
      <c r="AF153" s="89">
        <f>AK153+AP153+AU153+AZ153+BE153+BJ153+BO153+BT153+BY153+CD153</f>
        <v>0</v>
      </c>
      <c r="AG153" s="89">
        <f>AL153+AQ153+AV153+BA153+BF153+BK153+BP153+BU153+BZ153+CE153</f>
        <v>0</v>
      </c>
      <c r="AH153" s="89">
        <f>AM153+AR153+AW153+BB153+BG153+BL153+BQ153+BV153+CA153+CF153</f>
        <v>0</v>
      </c>
      <c r="AI153" s="89">
        <f>AN153+AS153+AX153+BC153+BH153+BM153+BR153+BW153+CB153+CG153</f>
        <v>0</v>
      </c>
      <c r="AJ153" s="91"/>
      <c r="AK153" s="91"/>
      <c r="AL153" s="91"/>
      <c r="AM153" s="91"/>
      <c r="AN153" s="91"/>
      <c r="AO153" s="91"/>
      <c r="AP153" s="91"/>
      <c r="AQ153" s="91"/>
      <c r="AR153" s="91"/>
      <c r="AS153" s="91"/>
      <c r="AT153" s="91"/>
      <c r="AU153" s="91"/>
      <c r="AV153" s="91"/>
      <c r="AW153" s="91"/>
      <c r="AX153" s="91"/>
      <c r="AY153" s="91"/>
      <c r="AZ153" s="91"/>
      <c r="BA153" s="91"/>
      <c r="BB153" s="91"/>
      <c r="BC153" s="91"/>
      <c r="BD153" s="91"/>
      <c r="BE153" s="91"/>
      <c r="BF153" s="91"/>
      <c r="BG153" s="91"/>
      <c r="BH153" s="91"/>
      <c r="BI153" s="91"/>
      <c r="BJ153" s="91"/>
      <c r="BK153" s="91"/>
      <c r="BL153" s="91"/>
      <c r="BM153" s="91"/>
      <c r="BN153" s="91"/>
      <c r="BO153" s="91"/>
      <c r="BP153" s="91"/>
      <c r="BQ153" s="91"/>
      <c r="BR153" s="91"/>
      <c r="BS153" s="91"/>
      <c r="BT153" s="91"/>
      <c r="BU153" s="91"/>
      <c r="BV153" s="91"/>
      <c r="BW153" s="91"/>
      <c r="BX153" s="91"/>
      <c r="BY153" s="91"/>
      <c r="BZ153" s="91"/>
      <c r="CA153" s="91"/>
      <c r="CB153" s="91"/>
      <c r="CC153" s="91"/>
      <c r="CD153" s="91"/>
      <c r="CE153" s="91"/>
      <c r="CF153" s="91"/>
      <c r="CG153" s="91"/>
      <c r="CH153" s="91">
        <f>CI153+CJ153+CK153+CL153+CM153+CN153+CO153+CP153+CQ153+CR153</f>
        <v>36000000</v>
      </c>
      <c r="CI153" s="91">
        <v>36000000</v>
      </c>
      <c r="CJ153" s="91"/>
      <c r="CK153" s="91"/>
      <c r="CL153" s="91"/>
      <c r="CM153" s="91"/>
      <c r="CN153" s="91"/>
      <c r="CO153" s="91"/>
      <c r="CP153" s="91"/>
      <c r="CQ153" s="91"/>
      <c r="CR153" s="91"/>
      <c r="CS153" s="91">
        <f>CT153+CU153+CV153+CW153+CX153+CY153+CZ153+DA153+DB153+DC153</f>
        <v>0</v>
      </c>
      <c r="CT153" s="91"/>
      <c r="CU153" s="91"/>
      <c r="CV153" s="91"/>
      <c r="CW153" s="91"/>
      <c r="CX153" s="91"/>
      <c r="CY153" s="91"/>
      <c r="CZ153" s="91"/>
      <c r="DA153" s="91"/>
      <c r="DB153" s="91"/>
      <c r="DC153" s="91"/>
      <c r="DD153" s="91">
        <f>DE153+DF153+DG153+DH153+DI153+DJ153+DK153+DL153+DM153+DN153</f>
        <v>0</v>
      </c>
      <c r="DE153" s="91"/>
      <c r="DF153" s="91"/>
      <c r="DG153" s="91"/>
      <c r="DH153" s="91"/>
      <c r="DI153" s="91"/>
      <c r="DJ153" s="91"/>
      <c r="DK153" s="91"/>
      <c r="DL153" s="91"/>
      <c r="DM153" s="91"/>
      <c r="DN153" s="92"/>
      <c r="DO153" s="93">
        <f>AE153+CH153+CS153+DD153</f>
        <v>36000000</v>
      </c>
    </row>
    <row r="154" spans="1:119" s="225" customFormat="1" ht="378" customHeight="1" x14ac:dyDescent="0.2">
      <c r="A154" s="244">
        <v>1</v>
      </c>
      <c r="B154" s="253" t="s">
        <v>19</v>
      </c>
      <c r="C154" s="59" t="s">
        <v>212</v>
      </c>
      <c r="D154" s="59" t="s">
        <v>180</v>
      </c>
      <c r="E154" s="107" t="s">
        <v>1179</v>
      </c>
      <c r="F154" s="13">
        <v>2018</v>
      </c>
      <c r="G154" s="59" t="s">
        <v>1180</v>
      </c>
      <c r="H154" s="107" t="s">
        <v>1181</v>
      </c>
      <c r="I154" s="120">
        <v>41</v>
      </c>
      <c r="J154" s="13" t="s">
        <v>1711</v>
      </c>
      <c r="K154" s="50">
        <v>16</v>
      </c>
      <c r="L154" s="13" t="s">
        <v>398</v>
      </c>
      <c r="M154" s="244">
        <v>36</v>
      </c>
      <c r="N154" s="247">
        <v>4102</v>
      </c>
      <c r="O154" s="250" t="s">
        <v>1674</v>
      </c>
      <c r="P154" s="13" t="s">
        <v>1182</v>
      </c>
      <c r="Q154" s="13" t="s">
        <v>77</v>
      </c>
      <c r="R154" s="13">
        <v>4102043</v>
      </c>
      <c r="S154" s="59" t="s">
        <v>1183</v>
      </c>
      <c r="T154" s="13" t="s">
        <v>1184</v>
      </c>
      <c r="U154" s="13" t="s">
        <v>77</v>
      </c>
      <c r="V154" s="13">
        <v>410204300</v>
      </c>
      <c r="W154" s="87" t="s">
        <v>1185</v>
      </c>
      <c r="X154" s="149" t="s">
        <v>8</v>
      </c>
      <c r="Y154" s="48">
        <v>1</v>
      </c>
      <c r="Z154" s="48">
        <v>1</v>
      </c>
      <c r="AA154" s="48">
        <v>1</v>
      </c>
      <c r="AB154" s="48">
        <v>1</v>
      </c>
      <c r="AC154" s="48">
        <v>1</v>
      </c>
      <c r="AD154" s="48">
        <v>1</v>
      </c>
      <c r="AE154" s="89">
        <f t="shared" si="88"/>
        <v>180000000</v>
      </c>
      <c r="AF154" s="89">
        <f t="shared" si="88"/>
        <v>79896166</v>
      </c>
      <c r="AG154" s="89">
        <f t="shared" si="88"/>
        <v>73513266</v>
      </c>
      <c r="AH154" s="89">
        <f t="shared" si="88"/>
        <v>73513266</v>
      </c>
      <c r="AI154" s="89">
        <f t="shared" si="88"/>
        <v>0</v>
      </c>
      <c r="AJ154" s="91">
        <v>180000000</v>
      </c>
      <c r="AK154" s="91">
        <v>79896166</v>
      </c>
      <c r="AL154" s="91">
        <v>73513266</v>
      </c>
      <c r="AM154" s="91">
        <v>73513266</v>
      </c>
      <c r="AN154" s="91"/>
      <c r="AO154" s="91"/>
      <c r="AP154" s="91"/>
      <c r="AQ154" s="91"/>
      <c r="AR154" s="91"/>
      <c r="AS154" s="91"/>
      <c r="AT154" s="91"/>
      <c r="AU154" s="91"/>
      <c r="AV154" s="91"/>
      <c r="AW154" s="91"/>
      <c r="AX154" s="91"/>
      <c r="AY154" s="91"/>
      <c r="AZ154" s="91"/>
      <c r="BA154" s="91"/>
      <c r="BB154" s="91"/>
      <c r="BC154" s="91"/>
      <c r="BD154" s="91"/>
      <c r="BE154" s="91"/>
      <c r="BF154" s="91"/>
      <c r="BG154" s="91"/>
      <c r="BH154" s="91"/>
      <c r="BI154" s="91"/>
      <c r="BJ154" s="91"/>
      <c r="BK154" s="91"/>
      <c r="BL154" s="91"/>
      <c r="BM154" s="91"/>
      <c r="BN154" s="91"/>
      <c r="BO154" s="91"/>
      <c r="BP154" s="91"/>
      <c r="BQ154" s="91"/>
      <c r="BR154" s="91"/>
      <c r="BS154" s="91"/>
      <c r="BT154" s="91"/>
      <c r="BU154" s="91"/>
      <c r="BV154" s="91"/>
      <c r="BW154" s="91"/>
      <c r="BX154" s="91"/>
      <c r="BY154" s="91"/>
      <c r="BZ154" s="91"/>
      <c r="CA154" s="91"/>
      <c r="CB154" s="91"/>
      <c r="CC154" s="91"/>
      <c r="CD154" s="91"/>
      <c r="CE154" s="91"/>
      <c r="CF154" s="91"/>
      <c r="CG154" s="91"/>
      <c r="CH154" s="91">
        <f t="shared" si="89"/>
        <v>150000000</v>
      </c>
      <c r="CI154" s="91">
        <v>150000000</v>
      </c>
      <c r="CJ154" s="91"/>
      <c r="CK154" s="91"/>
      <c r="CL154" s="91"/>
      <c r="CM154" s="91"/>
      <c r="CN154" s="91"/>
      <c r="CO154" s="91"/>
      <c r="CP154" s="91"/>
      <c r="CQ154" s="91"/>
      <c r="CR154" s="91"/>
      <c r="CS154" s="91">
        <f t="shared" si="85"/>
        <v>235000000</v>
      </c>
      <c r="CT154" s="91">
        <v>235000000</v>
      </c>
      <c r="CU154" s="91"/>
      <c r="CV154" s="91"/>
      <c r="CW154" s="91"/>
      <c r="CX154" s="91"/>
      <c r="CY154" s="91"/>
      <c r="CZ154" s="91"/>
      <c r="DA154" s="91"/>
      <c r="DB154" s="91"/>
      <c r="DC154" s="91"/>
      <c r="DD154" s="91">
        <f t="shared" si="90"/>
        <v>256000000</v>
      </c>
      <c r="DE154" s="91">
        <v>256000000</v>
      </c>
      <c r="DF154" s="91"/>
      <c r="DG154" s="91"/>
      <c r="DH154" s="91"/>
      <c r="DI154" s="91"/>
      <c r="DJ154" s="91"/>
      <c r="DK154" s="91"/>
      <c r="DL154" s="91"/>
      <c r="DM154" s="91"/>
      <c r="DN154" s="92"/>
      <c r="DO154" s="93">
        <f t="shared" si="91"/>
        <v>821000000</v>
      </c>
    </row>
    <row r="155" spans="1:119" s="225" customFormat="1" ht="267" customHeight="1" x14ac:dyDescent="0.2">
      <c r="A155" s="244">
        <v>1</v>
      </c>
      <c r="B155" s="253" t="s">
        <v>19</v>
      </c>
      <c r="C155" s="59" t="s">
        <v>212</v>
      </c>
      <c r="D155" s="59" t="s">
        <v>181</v>
      </c>
      <c r="E155" s="55" t="s">
        <v>1186</v>
      </c>
      <c r="F155" s="13">
        <v>2018</v>
      </c>
      <c r="G155" s="59" t="s">
        <v>1187</v>
      </c>
      <c r="H155" s="55" t="s">
        <v>1188</v>
      </c>
      <c r="I155" s="120">
        <v>41</v>
      </c>
      <c r="J155" s="13" t="s">
        <v>1711</v>
      </c>
      <c r="K155" s="50">
        <v>14</v>
      </c>
      <c r="L155" s="13" t="s">
        <v>1084</v>
      </c>
      <c r="M155" s="244">
        <v>36</v>
      </c>
      <c r="N155" s="248">
        <v>4102</v>
      </c>
      <c r="O155" s="250" t="s">
        <v>1674</v>
      </c>
      <c r="P155" s="13" t="s">
        <v>1189</v>
      </c>
      <c r="Q155" s="13" t="s">
        <v>77</v>
      </c>
      <c r="R155" s="13">
        <v>4102038</v>
      </c>
      <c r="S155" s="59" t="s">
        <v>1190</v>
      </c>
      <c r="T155" s="13" t="s">
        <v>1191</v>
      </c>
      <c r="U155" s="13" t="s">
        <v>77</v>
      </c>
      <c r="V155" s="13">
        <v>410203800</v>
      </c>
      <c r="W155" s="87" t="s">
        <v>1192</v>
      </c>
      <c r="X155" s="149" t="s">
        <v>8</v>
      </c>
      <c r="Y155" s="48">
        <v>1</v>
      </c>
      <c r="Z155" s="48">
        <v>1</v>
      </c>
      <c r="AA155" s="48">
        <v>1</v>
      </c>
      <c r="AB155" s="48">
        <v>1</v>
      </c>
      <c r="AC155" s="48">
        <v>1</v>
      </c>
      <c r="AD155" s="48">
        <v>1</v>
      </c>
      <c r="AE155" s="89">
        <f t="shared" si="88"/>
        <v>180000000</v>
      </c>
      <c r="AF155" s="89">
        <f t="shared" si="88"/>
        <v>40401666</v>
      </c>
      <c r="AG155" s="89">
        <f t="shared" si="88"/>
        <v>40401666</v>
      </c>
      <c r="AH155" s="89">
        <f t="shared" si="88"/>
        <v>40401666</v>
      </c>
      <c r="AI155" s="89">
        <f t="shared" si="88"/>
        <v>0</v>
      </c>
      <c r="AJ155" s="91">
        <v>180000000</v>
      </c>
      <c r="AK155" s="91">
        <v>40401666</v>
      </c>
      <c r="AL155" s="91">
        <v>40401666</v>
      </c>
      <c r="AM155" s="91">
        <v>40401666</v>
      </c>
      <c r="AN155" s="91"/>
      <c r="AO155" s="91"/>
      <c r="AP155" s="91"/>
      <c r="AQ155" s="91"/>
      <c r="AR155" s="91"/>
      <c r="AS155" s="91"/>
      <c r="AT155" s="91"/>
      <c r="AU155" s="91"/>
      <c r="AV155" s="91"/>
      <c r="AW155" s="91"/>
      <c r="AX155" s="91"/>
      <c r="AY155" s="91"/>
      <c r="AZ155" s="91"/>
      <c r="BA155" s="91"/>
      <c r="BB155" s="91"/>
      <c r="BC155" s="91"/>
      <c r="BD155" s="91"/>
      <c r="BE155" s="91"/>
      <c r="BF155" s="91"/>
      <c r="BG155" s="91"/>
      <c r="BH155" s="91"/>
      <c r="BI155" s="91"/>
      <c r="BJ155" s="91"/>
      <c r="BK155" s="91"/>
      <c r="BL155" s="91"/>
      <c r="BM155" s="91"/>
      <c r="BN155" s="91"/>
      <c r="BO155" s="91"/>
      <c r="BP155" s="91"/>
      <c r="BQ155" s="91"/>
      <c r="BR155" s="91"/>
      <c r="BS155" s="91"/>
      <c r="BT155" s="91"/>
      <c r="BU155" s="91"/>
      <c r="BV155" s="91"/>
      <c r="BW155" s="91"/>
      <c r="BX155" s="91"/>
      <c r="BY155" s="91"/>
      <c r="BZ155" s="91"/>
      <c r="CA155" s="91"/>
      <c r="CB155" s="91"/>
      <c r="CC155" s="91"/>
      <c r="CD155" s="91"/>
      <c r="CE155" s="91"/>
      <c r="CF155" s="91"/>
      <c r="CG155" s="91"/>
      <c r="CH155" s="91">
        <f t="shared" si="89"/>
        <v>210000000</v>
      </c>
      <c r="CI155" s="91">
        <v>210000000</v>
      </c>
      <c r="CJ155" s="91"/>
      <c r="CK155" s="91"/>
      <c r="CL155" s="91"/>
      <c r="CM155" s="91"/>
      <c r="CN155" s="91"/>
      <c r="CO155" s="91"/>
      <c r="CP155" s="91"/>
      <c r="CQ155" s="91"/>
      <c r="CR155" s="91"/>
      <c r="CS155" s="91">
        <f t="shared" si="85"/>
        <v>205000000</v>
      </c>
      <c r="CT155" s="91">
        <v>205000000</v>
      </c>
      <c r="CU155" s="91"/>
      <c r="CV155" s="91"/>
      <c r="CW155" s="91"/>
      <c r="CX155" s="91"/>
      <c r="CY155" s="91"/>
      <c r="CZ155" s="91"/>
      <c r="DA155" s="91"/>
      <c r="DB155" s="91"/>
      <c r="DC155" s="91"/>
      <c r="DD155" s="91">
        <f t="shared" si="90"/>
        <v>220000000</v>
      </c>
      <c r="DE155" s="91">
        <v>220000000</v>
      </c>
      <c r="DF155" s="91"/>
      <c r="DG155" s="91"/>
      <c r="DH155" s="91"/>
      <c r="DI155" s="91"/>
      <c r="DJ155" s="91"/>
      <c r="DK155" s="91"/>
      <c r="DL155" s="91"/>
      <c r="DM155" s="91"/>
      <c r="DN155" s="92"/>
      <c r="DO155" s="93">
        <f t="shared" si="91"/>
        <v>815000000</v>
      </c>
    </row>
    <row r="156" spans="1:119" ht="30.75" customHeight="1" x14ac:dyDescent="0.2">
      <c r="A156" s="244"/>
      <c r="B156" s="253"/>
      <c r="C156" s="94"/>
      <c r="D156" s="59"/>
      <c r="E156" s="55"/>
      <c r="F156" s="13"/>
      <c r="G156" s="59"/>
      <c r="H156" s="55"/>
      <c r="I156" s="13"/>
      <c r="J156" s="13"/>
      <c r="K156" s="50"/>
      <c r="L156" s="13"/>
      <c r="M156" s="96">
        <v>37</v>
      </c>
      <c r="N156" s="96">
        <v>4103</v>
      </c>
      <c r="O156" s="97" t="s">
        <v>75</v>
      </c>
      <c r="P156" s="96"/>
      <c r="Q156" s="98"/>
      <c r="R156" s="98"/>
      <c r="S156" s="98"/>
      <c r="T156" s="98"/>
      <c r="U156" s="98"/>
      <c r="V156" s="98"/>
      <c r="W156" s="83"/>
      <c r="X156" s="84"/>
      <c r="Y156" s="84"/>
      <c r="Z156" s="84"/>
      <c r="AA156" s="84"/>
      <c r="AB156" s="84"/>
      <c r="AC156" s="84"/>
      <c r="AD156" s="81"/>
      <c r="AE156" s="99">
        <f>SUBTOTAL(9,AE157:AE164)</f>
        <v>288758667</v>
      </c>
      <c r="AF156" s="99">
        <f>SUBTOTAL(9,AF157:AF164)</f>
        <v>248758667</v>
      </c>
      <c r="AG156" s="99">
        <f t="shared" ref="AG156:DO156" si="92">SUBTOTAL(9,AG157:AG164)</f>
        <v>172830615</v>
      </c>
      <c r="AH156" s="99">
        <f t="shared" si="92"/>
        <v>172830615</v>
      </c>
      <c r="AI156" s="99">
        <f t="shared" si="92"/>
        <v>0</v>
      </c>
      <c r="AJ156" s="99">
        <f t="shared" si="92"/>
        <v>288758667</v>
      </c>
      <c r="AK156" s="99">
        <f>SUBTOTAL(9,AK157:AK164)</f>
        <v>248758667</v>
      </c>
      <c r="AL156" s="99">
        <f t="shared" si="92"/>
        <v>172830615</v>
      </c>
      <c r="AM156" s="99">
        <f t="shared" si="92"/>
        <v>172830615</v>
      </c>
      <c r="AN156" s="99">
        <f t="shared" si="92"/>
        <v>0</v>
      </c>
      <c r="AO156" s="99">
        <f t="shared" si="92"/>
        <v>0</v>
      </c>
      <c r="AP156" s="99">
        <f t="shared" si="92"/>
        <v>0</v>
      </c>
      <c r="AQ156" s="99">
        <f t="shared" si="92"/>
        <v>0</v>
      </c>
      <c r="AR156" s="99">
        <f t="shared" si="92"/>
        <v>0</v>
      </c>
      <c r="AS156" s="99">
        <f t="shared" si="92"/>
        <v>0</v>
      </c>
      <c r="AT156" s="99">
        <f t="shared" si="92"/>
        <v>0</v>
      </c>
      <c r="AU156" s="99">
        <f>SUBTOTAL(9,AU157:AU164)</f>
        <v>0</v>
      </c>
      <c r="AV156" s="99">
        <f t="shared" si="92"/>
        <v>0</v>
      </c>
      <c r="AW156" s="99">
        <f t="shared" si="92"/>
        <v>0</v>
      </c>
      <c r="AX156" s="99">
        <f t="shared" si="92"/>
        <v>0</v>
      </c>
      <c r="AY156" s="99">
        <f t="shared" si="92"/>
        <v>0</v>
      </c>
      <c r="AZ156" s="99">
        <f t="shared" si="92"/>
        <v>0</v>
      </c>
      <c r="BA156" s="99">
        <f t="shared" si="92"/>
        <v>0</v>
      </c>
      <c r="BB156" s="99">
        <f t="shared" si="92"/>
        <v>0</v>
      </c>
      <c r="BC156" s="99">
        <f t="shared" si="92"/>
        <v>0</v>
      </c>
      <c r="BD156" s="99">
        <f t="shared" si="92"/>
        <v>0</v>
      </c>
      <c r="BE156" s="99">
        <f>SUBTOTAL(9,BE157:BE164)</f>
        <v>0</v>
      </c>
      <c r="BF156" s="99">
        <f t="shared" si="92"/>
        <v>0</v>
      </c>
      <c r="BG156" s="99">
        <f t="shared" si="92"/>
        <v>0</v>
      </c>
      <c r="BH156" s="99">
        <f t="shared" si="92"/>
        <v>0</v>
      </c>
      <c r="BI156" s="99">
        <f t="shared" si="92"/>
        <v>0</v>
      </c>
      <c r="BJ156" s="99">
        <f t="shared" si="92"/>
        <v>0</v>
      </c>
      <c r="BK156" s="99">
        <f t="shared" si="92"/>
        <v>0</v>
      </c>
      <c r="BL156" s="99">
        <f t="shared" si="92"/>
        <v>0</v>
      </c>
      <c r="BM156" s="99">
        <f t="shared" si="92"/>
        <v>0</v>
      </c>
      <c r="BN156" s="99">
        <f t="shared" si="92"/>
        <v>0</v>
      </c>
      <c r="BO156" s="99">
        <f>SUBTOTAL(9,BO157:BO164)</f>
        <v>0</v>
      </c>
      <c r="BP156" s="99">
        <f t="shared" si="92"/>
        <v>0</v>
      </c>
      <c r="BQ156" s="99">
        <f t="shared" si="92"/>
        <v>0</v>
      </c>
      <c r="BR156" s="99">
        <f t="shared" si="92"/>
        <v>0</v>
      </c>
      <c r="BS156" s="99">
        <f t="shared" si="92"/>
        <v>0</v>
      </c>
      <c r="BT156" s="99">
        <f t="shared" si="92"/>
        <v>0</v>
      </c>
      <c r="BU156" s="99">
        <f t="shared" si="92"/>
        <v>0</v>
      </c>
      <c r="BV156" s="99">
        <f t="shared" si="92"/>
        <v>0</v>
      </c>
      <c r="BW156" s="99">
        <f t="shared" si="92"/>
        <v>0</v>
      </c>
      <c r="BX156" s="99">
        <f t="shared" si="92"/>
        <v>0</v>
      </c>
      <c r="BY156" s="99">
        <f>SUBTOTAL(9,BY157:BY164)</f>
        <v>0</v>
      </c>
      <c r="BZ156" s="99">
        <f t="shared" si="92"/>
        <v>0</v>
      </c>
      <c r="CA156" s="99">
        <f t="shared" si="92"/>
        <v>0</v>
      </c>
      <c r="CB156" s="99">
        <f t="shared" si="92"/>
        <v>0</v>
      </c>
      <c r="CC156" s="99">
        <f t="shared" si="92"/>
        <v>0</v>
      </c>
      <c r="CD156" s="99">
        <f t="shared" si="92"/>
        <v>0</v>
      </c>
      <c r="CE156" s="99">
        <f t="shared" si="92"/>
        <v>0</v>
      </c>
      <c r="CF156" s="99">
        <f t="shared" si="92"/>
        <v>0</v>
      </c>
      <c r="CG156" s="99">
        <f t="shared" si="92"/>
        <v>0</v>
      </c>
      <c r="CH156" s="99">
        <f t="shared" si="92"/>
        <v>172200000</v>
      </c>
      <c r="CI156" s="99">
        <f t="shared" si="92"/>
        <v>172200000</v>
      </c>
      <c r="CJ156" s="99">
        <f t="shared" si="92"/>
        <v>0</v>
      </c>
      <c r="CK156" s="99">
        <f t="shared" si="92"/>
        <v>0</v>
      </c>
      <c r="CL156" s="99">
        <f t="shared" si="92"/>
        <v>0</v>
      </c>
      <c r="CM156" s="99">
        <f t="shared" si="92"/>
        <v>0</v>
      </c>
      <c r="CN156" s="99">
        <f t="shared" si="92"/>
        <v>0</v>
      </c>
      <c r="CO156" s="99">
        <f t="shared" si="92"/>
        <v>0</v>
      </c>
      <c r="CP156" s="99">
        <f t="shared" si="92"/>
        <v>0</v>
      </c>
      <c r="CQ156" s="99">
        <f t="shared" si="92"/>
        <v>0</v>
      </c>
      <c r="CR156" s="99">
        <f t="shared" si="92"/>
        <v>0</v>
      </c>
      <c r="CS156" s="99">
        <f t="shared" si="92"/>
        <v>359152281.19</v>
      </c>
      <c r="CT156" s="99">
        <f t="shared" si="92"/>
        <v>359152281.19</v>
      </c>
      <c r="CU156" s="99">
        <f t="shared" si="92"/>
        <v>0</v>
      </c>
      <c r="CV156" s="99">
        <f t="shared" si="92"/>
        <v>0</v>
      </c>
      <c r="CW156" s="99">
        <f t="shared" si="92"/>
        <v>0</v>
      </c>
      <c r="CX156" s="99">
        <f t="shared" si="92"/>
        <v>0</v>
      </c>
      <c r="CY156" s="99">
        <f t="shared" si="92"/>
        <v>0</v>
      </c>
      <c r="CZ156" s="99">
        <f t="shared" si="92"/>
        <v>0</v>
      </c>
      <c r="DA156" s="99">
        <f t="shared" si="92"/>
        <v>0</v>
      </c>
      <c r="DB156" s="99">
        <f t="shared" si="92"/>
        <v>0</v>
      </c>
      <c r="DC156" s="99">
        <f t="shared" si="92"/>
        <v>0</v>
      </c>
      <c r="DD156" s="99">
        <f t="shared" si="92"/>
        <v>633364445.84000003</v>
      </c>
      <c r="DE156" s="99">
        <f t="shared" si="92"/>
        <v>633364445.84000003</v>
      </c>
      <c r="DF156" s="99">
        <f t="shared" si="92"/>
        <v>0</v>
      </c>
      <c r="DG156" s="99">
        <f t="shared" si="92"/>
        <v>0</v>
      </c>
      <c r="DH156" s="99">
        <f t="shared" si="92"/>
        <v>0</v>
      </c>
      <c r="DI156" s="99">
        <f t="shared" si="92"/>
        <v>0</v>
      </c>
      <c r="DJ156" s="99">
        <f t="shared" si="92"/>
        <v>0</v>
      </c>
      <c r="DK156" s="99">
        <f t="shared" si="92"/>
        <v>0</v>
      </c>
      <c r="DL156" s="99">
        <f t="shared" si="92"/>
        <v>0</v>
      </c>
      <c r="DM156" s="99">
        <f t="shared" si="92"/>
        <v>0</v>
      </c>
      <c r="DN156" s="100">
        <f t="shared" si="92"/>
        <v>0</v>
      </c>
      <c r="DO156" s="99">
        <f t="shared" si="92"/>
        <v>1453475394.03</v>
      </c>
    </row>
    <row r="157" spans="1:119" s="225" customFormat="1" ht="198.75" customHeight="1" x14ac:dyDescent="0.2">
      <c r="A157" s="244">
        <v>1</v>
      </c>
      <c r="B157" s="253" t="s">
        <v>19</v>
      </c>
      <c r="C157" s="59" t="s">
        <v>212</v>
      </c>
      <c r="D157" s="59" t="s">
        <v>186</v>
      </c>
      <c r="E157" s="107" t="s">
        <v>1143</v>
      </c>
      <c r="F157" s="13" t="s">
        <v>1144</v>
      </c>
      <c r="G157" s="59" t="s">
        <v>1145</v>
      </c>
      <c r="H157" s="148" t="s">
        <v>1146</v>
      </c>
      <c r="I157" s="13">
        <v>41</v>
      </c>
      <c r="J157" s="13" t="s">
        <v>1711</v>
      </c>
      <c r="K157" s="50">
        <v>18</v>
      </c>
      <c r="L157" s="13" t="s">
        <v>330</v>
      </c>
      <c r="M157" s="244">
        <v>37</v>
      </c>
      <c r="N157" s="244">
        <v>4103</v>
      </c>
      <c r="O157" s="245" t="s">
        <v>75</v>
      </c>
      <c r="P157" s="13" t="s">
        <v>1193</v>
      </c>
      <c r="Q157" s="13">
        <v>4103050</v>
      </c>
      <c r="R157" s="13">
        <v>4103050</v>
      </c>
      <c r="S157" s="59" t="s">
        <v>194</v>
      </c>
      <c r="T157" s="13" t="s">
        <v>1194</v>
      </c>
      <c r="U157" s="13">
        <v>410305001</v>
      </c>
      <c r="V157" s="13">
        <v>410305001</v>
      </c>
      <c r="W157" s="87" t="s">
        <v>1195</v>
      </c>
      <c r="X157" s="88" t="s">
        <v>8</v>
      </c>
      <c r="Y157" s="13">
        <v>12</v>
      </c>
      <c r="Z157" s="13">
        <v>12</v>
      </c>
      <c r="AA157" s="13">
        <v>12</v>
      </c>
      <c r="AB157" s="13">
        <v>12</v>
      </c>
      <c r="AC157" s="13">
        <v>12</v>
      </c>
      <c r="AD157" s="13">
        <v>12</v>
      </c>
      <c r="AE157" s="89">
        <f t="shared" ref="AE157:AI163" si="93">AJ157+AO157+AT157+AY157+BD157+BI157+BN157+BS157+BX157+CC157</f>
        <v>25000000</v>
      </c>
      <c r="AF157" s="89">
        <f>AK157+AP157+AU157+AZ157+BE157+BJ157+BO157+BT157+BY157+CD157</f>
        <v>25000000</v>
      </c>
      <c r="AG157" s="89">
        <f>AL157+AQ157+AV157+BA157+BF157+BK157+BP157+BU157+BZ157+CE157</f>
        <v>15674999</v>
      </c>
      <c r="AH157" s="89">
        <f>AM157+AR157+AW157+BB157+BG157+BL157+BQ157+BV157+CA157+CF157</f>
        <v>15674999</v>
      </c>
      <c r="AI157" s="89">
        <f t="shared" si="93"/>
        <v>0</v>
      </c>
      <c r="AJ157" s="91">
        <v>25000000</v>
      </c>
      <c r="AK157" s="91">
        <v>25000000</v>
      </c>
      <c r="AL157" s="91">
        <v>15674999</v>
      </c>
      <c r="AM157" s="91">
        <v>15674999</v>
      </c>
      <c r="AN157" s="91"/>
      <c r="AO157" s="91"/>
      <c r="AP157" s="91"/>
      <c r="AQ157" s="91"/>
      <c r="AR157" s="91"/>
      <c r="AS157" s="91"/>
      <c r="AT157" s="91"/>
      <c r="AU157" s="91"/>
      <c r="AV157" s="91"/>
      <c r="AW157" s="91"/>
      <c r="AX157" s="91"/>
      <c r="AY157" s="91"/>
      <c r="AZ157" s="91"/>
      <c r="BA157" s="91"/>
      <c r="BB157" s="91"/>
      <c r="BC157" s="91"/>
      <c r="BD157" s="91"/>
      <c r="BE157" s="91"/>
      <c r="BF157" s="91"/>
      <c r="BG157" s="91"/>
      <c r="BH157" s="91"/>
      <c r="BI157" s="91"/>
      <c r="BJ157" s="91"/>
      <c r="BK157" s="91"/>
      <c r="BL157" s="91"/>
      <c r="BM157" s="91"/>
      <c r="BN157" s="91"/>
      <c r="BO157" s="91"/>
      <c r="BP157" s="91"/>
      <c r="BQ157" s="91"/>
      <c r="BR157" s="91"/>
      <c r="BS157" s="91"/>
      <c r="BT157" s="91"/>
      <c r="BU157" s="91"/>
      <c r="BV157" s="91"/>
      <c r="BW157" s="91"/>
      <c r="BX157" s="91"/>
      <c r="BY157" s="91"/>
      <c r="BZ157" s="91"/>
      <c r="CA157" s="91"/>
      <c r="CB157" s="91"/>
      <c r="CC157" s="91"/>
      <c r="CD157" s="91"/>
      <c r="CE157" s="91"/>
      <c r="CF157" s="91"/>
      <c r="CG157" s="91"/>
      <c r="CH157" s="91">
        <f t="shared" ref="CH157:CH164" si="94">CI157+CJ157+CK157+CL157+CM157+CN157+CO157+CP157+CQ157+CR157</f>
        <v>25600000.25</v>
      </c>
      <c r="CI157" s="91">
        <v>25600000.25</v>
      </c>
      <c r="CJ157" s="91"/>
      <c r="CK157" s="91"/>
      <c r="CL157" s="91"/>
      <c r="CM157" s="91"/>
      <c r="CN157" s="91"/>
      <c r="CO157" s="91"/>
      <c r="CP157" s="91"/>
      <c r="CQ157" s="91"/>
      <c r="CR157" s="91"/>
      <c r="CS157" s="91">
        <f t="shared" si="85"/>
        <v>35000000</v>
      </c>
      <c r="CT157" s="91">
        <v>35000000</v>
      </c>
      <c r="CU157" s="91"/>
      <c r="CV157" s="91"/>
      <c r="CW157" s="91"/>
      <c r="CX157" s="91"/>
      <c r="CY157" s="91"/>
      <c r="CZ157" s="91"/>
      <c r="DA157" s="91"/>
      <c r="DB157" s="91"/>
      <c r="DC157" s="91"/>
      <c r="DD157" s="91">
        <f t="shared" si="90"/>
        <v>95000000</v>
      </c>
      <c r="DE157" s="91">
        <v>95000000</v>
      </c>
      <c r="DF157" s="91"/>
      <c r="DG157" s="91"/>
      <c r="DH157" s="91"/>
      <c r="DI157" s="91"/>
      <c r="DJ157" s="91"/>
      <c r="DK157" s="91"/>
      <c r="DL157" s="91"/>
      <c r="DM157" s="91"/>
      <c r="DN157" s="92"/>
      <c r="DO157" s="93">
        <f t="shared" ref="DO157:DO164" si="95">AE157+CH157+CS157+DD157</f>
        <v>180600000.25</v>
      </c>
    </row>
    <row r="158" spans="1:119" s="225" customFormat="1" ht="110.25" customHeight="1" x14ac:dyDescent="0.2">
      <c r="A158" s="244">
        <v>1</v>
      </c>
      <c r="B158" s="253" t="s">
        <v>19</v>
      </c>
      <c r="C158" s="59" t="s">
        <v>212</v>
      </c>
      <c r="D158" s="59" t="s">
        <v>192</v>
      </c>
      <c r="E158" s="119">
        <v>1</v>
      </c>
      <c r="F158" s="120">
        <v>2019</v>
      </c>
      <c r="G158" s="59" t="s">
        <v>1203</v>
      </c>
      <c r="H158" s="123">
        <v>1</v>
      </c>
      <c r="I158" s="13">
        <v>41</v>
      </c>
      <c r="J158" s="13" t="s">
        <v>1711</v>
      </c>
      <c r="K158" s="50">
        <v>14</v>
      </c>
      <c r="L158" s="13" t="s">
        <v>1084</v>
      </c>
      <c r="M158" s="244">
        <v>37</v>
      </c>
      <c r="N158" s="247">
        <v>4103</v>
      </c>
      <c r="O158" s="245" t="s">
        <v>75</v>
      </c>
      <c r="P158" s="13" t="s">
        <v>1204</v>
      </c>
      <c r="Q158" s="13">
        <v>4103052</v>
      </c>
      <c r="R158" s="13">
        <v>4103052</v>
      </c>
      <c r="S158" s="59" t="s">
        <v>193</v>
      </c>
      <c r="T158" s="13" t="s">
        <v>1205</v>
      </c>
      <c r="U158" s="13">
        <v>410305202</v>
      </c>
      <c r="V158" s="13">
        <v>410305202</v>
      </c>
      <c r="W158" s="87" t="s">
        <v>1686</v>
      </c>
      <c r="X158" s="88" t="s">
        <v>8</v>
      </c>
      <c r="Y158" s="13">
        <v>1</v>
      </c>
      <c r="Z158" s="13">
        <v>1</v>
      </c>
      <c r="AA158" s="13">
        <v>1</v>
      </c>
      <c r="AB158" s="13">
        <v>1</v>
      </c>
      <c r="AC158" s="13">
        <v>1</v>
      </c>
      <c r="AD158" s="13">
        <v>1</v>
      </c>
      <c r="AE158" s="89">
        <f t="shared" si="93"/>
        <v>44520000</v>
      </c>
      <c r="AF158" s="89">
        <f t="shared" si="93"/>
        <v>44520000</v>
      </c>
      <c r="AG158" s="89">
        <f t="shared" si="93"/>
        <v>44520000</v>
      </c>
      <c r="AH158" s="89">
        <f t="shared" si="93"/>
        <v>44520000</v>
      </c>
      <c r="AI158" s="89">
        <f t="shared" si="93"/>
        <v>0</v>
      </c>
      <c r="AJ158" s="91">
        <v>44520000</v>
      </c>
      <c r="AK158" s="91">
        <v>44520000</v>
      </c>
      <c r="AL158" s="91">
        <v>44520000</v>
      </c>
      <c r="AM158" s="91">
        <v>44520000</v>
      </c>
      <c r="AN158" s="91"/>
      <c r="AO158" s="91"/>
      <c r="AP158" s="91"/>
      <c r="AQ158" s="91"/>
      <c r="AR158" s="91"/>
      <c r="AS158" s="91"/>
      <c r="AT158" s="91"/>
      <c r="AU158" s="91"/>
      <c r="AV158" s="91"/>
      <c r="AW158" s="91"/>
      <c r="AX158" s="91"/>
      <c r="AY158" s="91"/>
      <c r="AZ158" s="91"/>
      <c r="BA158" s="91"/>
      <c r="BB158" s="91"/>
      <c r="BC158" s="91"/>
      <c r="BD158" s="91"/>
      <c r="BE158" s="91"/>
      <c r="BF158" s="91"/>
      <c r="BG158" s="91"/>
      <c r="BH158" s="91"/>
      <c r="BI158" s="91"/>
      <c r="BJ158" s="91"/>
      <c r="BK158" s="91"/>
      <c r="BL158" s="91"/>
      <c r="BM158" s="91"/>
      <c r="BN158" s="91"/>
      <c r="BO158" s="91"/>
      <c r="BP158" s="91"/>
      <c r="BQ158" s="91"/>
      <c r="BR158" s="91"/>
      <c r="BS158" s="91"/>
      <c r="BT158" s="91"/>
      <c r="BU158" s="91"/>
      <c r="BV158" s="91"/>
      <c r="BW158" s="91"/>
      <c r="BX158" s="91"/>
      <c r="BY158" s="91"/>
      <c r="BZ158" s="91"/>
      <c r="CA158" s="91"/>
      <c r="CB158" s="91"/>
      <c r="CC158" s="91"/>
      <c r="CD158" s="91"/>
      <c r="CE158" s="91"/>
      <c r="CF158" s="91"/>
      <c r="CG158" s="91"/>
      <c r="CH158" s="91">
        <f t="shared" si="94"/>
        <v>20000000</v>
      </c>
      <c r="CI158" s="91">
        <v>20000000</v>
      </c>
      <c r="CJ158" s="91"/>
      <c r="CK158" s="91"/>
      <c r="CL158" s="91"/>
      <c r="CM158" s="91"/>
      <c r="CN158" s="91"/>
      <c r="CO158" s="91"/>
      <c r="CP158" s="91"/>
      <c r="CQ158" s="91"/>
      <c r="CR158" s="91"/>
      <c r="CS158" s="91">
        <f t="shared" si="85"/>
        <v>35000000</v>
      </c>
      <c r="CT158" s="91">
        <v>35000000</v>
      </c>
      <c r="CU158" s="91"/>
      <c r="CV158" s="91"/>
      <c r="CW158" s="91"/>
      <c r="CX158" s="91"/>
      <c r="CY158" s="91"/>
      <c r="CZ158" s="91"/>
      <c r="DA158" s="91"/>
      <c r="DB158" s="91"/>
      <c r="DC158" s="91"/>
      <c r="DD158" s="91">
        <f t="shared" si="90"/>
        <v>33312500</v>
      </c>
      <c r="DE158" s="91">
        <v>33312500</v>
      </c>
      <c r="DF158" s="91"/>
      <c r="DG158" s="91"/>
      <c r="DH158" s="91"/>
      <c r="DI158" s="91"/>
      <c r="DJ158" s="91"/>
      <c r="DK158" s="91"/>
      <c r="DL158" s="91"/>
      <c r="DM158" s="91"/>
      <c r="DN158" s="92"/>
      <c r="DO158" s="93">
        <f t="shared" si="95"/>
        <v>132832500</v>
      </c>
    </row>
    <row r="159" spans="1:119" s="225" customFormat="1" ht="78.75" customHeight="1" x14ac:dyDescent="0.2">
      <c r="A159" s="244">
        <v>1</v>
      </c>
      <c r="B159" s="253" t="s">
        <v>19</v>
      </c>
      <c r="C159" s="59" t="s">
        <v>212</v>
      </c>
      <c r="D159" s="59" t="s">
        <v>195</v>
      </c>
      <c r="E159" s="55" t="s">
        <v>951</v>
      </c>
      <c r="F159" s="13">
        <v>0</v>
      </c>
      <c r="G159" s="59" t="s">
        <v>1199</v>
      </c>
      <c r="H159" s="119">
        <v>1</v>
      </c>
      <c r="I159" s="13">
        <v>41</v>
      </c>
      <c r="J159" s="13" t="s">
        <v>1711</v>
      </c>
      <c r="K159" s="50">
        <v>14</v>
      </c>
      <c r="L159" s="13" t="s">
        <v>1084</v>
      </c>
      <c r="M159" s="244">
        <v>37</v>
      </c>
      <c r="N159" s="247">
        <v>4103</v>
      </c>
      <c r="O159" s="245" t="s">
        <v>75</v>
      </c>
      <c r="P159" s="13" t="s">
        <v>1200</v>
      </c>
      <c r="Q159" s="48">
        <v>4103058</v>
      </c>
      <c r="R159" s="48">
        <v>4103058</v>
      </c>
      <c r="S159" s="59" t="s">
        <v>196</v>
      </c>
      <c r="T159" s="13" t="s">
        <v>1201</v>
      </c>
      <c r="U159" s="48">
        <v>410305800</v>
      </c>
      <c r="V159" s="48">
        <v>410305800</v>
      </c>
      <c r="W159" s="87" t="s">
        <v>1202</v>
      </c>
      <c r="X159" s="88" t="s">
        <v>9</v>
      </c>
      <c r="Y159" s="13">
        <v>12</v>
      </c>
      <c r="Z159" s="13">
        <v>1</v>
      </c>
      <c r="AA159" s="13">
        <v>0</v>
      </c>
      <c r="AB159" s="13">
        <v>2</v>
      </c>
      <c r="AC159" s="13">
        <v>4</v>
      </c>
      <c r="AD159" s="13">
        <v>5</v>
      </c>
      <c r="AE159" s="89">
        <f t="shared" si="93"/>
        <v>27000000</v>
      </c>
      <c r="AF159" s="89">
        <f t="shared" si="93"/>
        <v>27000000</v>
      </c>
      <c r="AG159" s="89">
        <f t="shared" si="93"/>
        <v>0</v>
      </c>
      <c r="AH159" s="89">
        <f t="shared" si="93"/>
        <v>0</v>
      </c>
      <c r="AI159" s="89">
        <f>SUM(AN159:CG159)</f>
        <v>0</v>
      </c>
      <c r="AJ159" s="91">
        <v>27000000</v>
      </c>
      <c r="AK159" s="91">
        <v>27000000</v>
      </c>
      <c r="AL159" s="91"/>
      <c r="AM159" s="91"/>
      <c r="AN159" s="91"/>
      <c r="AO159" s="91"/>
      <c r="AP159" s="91"/>
      <c r="AQ159" s="91"/>
      <c r="AR159" s="91"/>
      <c r="AS159" s="91"/>
      <c r="AT159" s="91"/>
      <c r="AU159" s="91"/>
      <c r="AV159" s="91"/>
      <c r="AW159" s="91"/>
      <c r="AX159" s="91"/>
      <c r="AY159" s="91"/>
      <c r="AZ159" s="91"/>
      <c r="BA159" s="91"/>
      <c r="BB159" s="91"/>
      <c r="BC159" s="91"/>
      <c r="BD159" s="91"/>
      <c r="BE159" s="91"/>
      <c r="BF159" s="91"/>
      <c r="BG159" s="91"/>
      <c r="BH159" s="91"/>
      <c r="BI159" s="91"/>
      <c r="BJ159" s="91"/>
      <c r="BK159" s="91"/>
      <c r="BL159" s="91"/>
      <c r="BM159" s="91"/>
      <c r="BN159" s="91"/>
      <c r="BO159" s="91"/>
      <c r="BP159" s="91"/>
      <c r="BQ159" s="91"/>
      <c r="BR159" s="91"/>
      <c r="BS159" s="91"/>
      <c r="BT159" s="91"/>
      <c r="BU159" s="91"/>
      <c r="BV159" s="91"/>
      <c r="BW159" s="91"/>
      <c r="BX159" s="91"/>
      <c r="BY159" s="91"/>
      <c r="BZ159" s="91"/>
      <c r="CA159" s="91"/>
      <c r="CB159" s="91"/>
      <c r="CC159" s="91"/>
      <c r="CD159" s="91"/>
      <c r="CE159" s="91"/>
      <c r="CF159" s="91"/>
      <c r="CG159" s="91"/>
      <c r="CH159" s="91">
        <f t="shared" si="94"/>
        <v>28975000.75</v>
      </c>
      <c r="CI159" s="91">
        <v>28975000.75</v>
      </c>
      <c r="CJ159" s="91"/>
      <c r="CK159" s="91"/>
      <c r="CL159" s="91"/>
      <c r="CM159" s="91"/>
      <c r="CN159" s="91"/>
      <c r="CO159" s="91"/>
      <c r="CP159" s="91"/>
      <c r="CQ159" s="91"/>
      <c r="CR159" s="91"/>
      <c r="CS159" s="91">
        <f t="shared" si="85"/>
        <v>32000000</v>
      </c>
      <c r="CT159" s="91">
        <v>32000000</v>
      </c>
      <c r="CU159" s="91"/>
      <c r="CV159" s="91"/>
      <c r="CW159" s="91"/>
      <c r="CX159" s="91"/>
      <c r="CY159" s="91"/>
      <c r="CZ159" s="91"/>
      <c r="DA159" s="91"/>
      <c r="DB159" s="91"/>
      <c r="DC159" s="91"/>
      <c r="DD159" s="91">
        <f t="shared" si="90"/>
        <v>70000000</v>
      </c>
      <c r="DE159" s="91">
        <v>70000000</v>
      </c>
      <c r="DF159" s="91"/>
      <c r="DG159" s="91"/>
      <c r="DH159" s="91"/>
      <c r="DI159" s="91"/>
      <c r="DJ159" s="91"/>
      <c r="DK159" s="91"/>
      <c r="DL159" s="91"/>
      <c r="DM159" s="91"/>
      <c r="DN159" s="92"/>
      <c r="DO159" s="93">
        <f t="shared" si="95"/>
        <v>157975000.75</v>
      </c>
    </row>
    <row r="160" spans="1:119" s="225" customFormat="1" ht="94.5" customHeight="1" x14ac:dyDescent="0.2">
      <c r="A160" s="244">
        <v>1</v>
      </c>
      <c r="B160" s="253" t="s">
        <v>19</v>
      </c>
      <c r="C160" s="59" t="s">
        <v>212</v>
      </c>
      <c r="D160" s="59" t="s">
        <v>190</v>
      </c>
      <c r="E160" s="55" t="s">
        <v>951</v>
      </c>
      <c r="F160" s="13">
        <v>2018</v>
      </c>
      <c r="G160" s="59" t="s">
        <v>952</v>
      </c>
      <c r="H160" s="119">
        <v>1</v>
      </c>
      <c r="I160" s="13">
        <v>41</v>
      </c>
      <c r="J160" s="13" t="s">
        <v>1711</v>
      </c>
      <c r="K160" s="50">
        <v>14</v>
      </c>
      <c r="L160" s="13" t="s">
        <v>1084</v>
      </c>
      <c r="M160" s="244">
        <v>37</v>
      </c>
      <c r="N160" s="247">
        <v>4103</v>
      </c>
      <c r="O160" s="245" t="s">
        <v>75</v>
      </c>
      <c r="P160" s="13" t="s">
        <v>1196</v>
      </c>
      <c r="Q160" s="48">
        <v>4103059</v>
      </c>
      <c r="R160" s="48">
        <v>4103059</v>
      </c>
      <c r="S160" s="59" t="s">
        <v>191</v>
      </c>
      <c r="T160" s="13" t="s">
        <v>1197</v>
      </c>
      <c r="U160" s="48">
        <v>410305900</v>
      </c>
      <c r="V160" s="48">
        <v>410305900</v>
      </c>
      <c r="W160" s="87" t="s">
        <v>1198</v>
      </c>
      <c r="X160" s="88" t="s">
        <v>9</v>
      </c>
      <c r="Y160" s="13">
        <v>50</v>
      </c>
      <c r="Z160" s="13">
        <v>8</v>
      </c>
      <c r="AA160" s="13">
        <v>11</v>
      </c>
      <c r="AB160" s="13">
        <v>10</v>
      </c>
      <c r="AC160" s="13">
        <v>16</v>
      </c>
      <c r="AD160" s="13">
        <v>16</v>
      </c>
      <c r="AE160" s="89">
        <f t="shared" si="93"/>
        <v>27000000</v>
      </c>
      <c r="AF160" s="89">
        <f t="shared" si="93"/>
        <v>27000000</v>
      </c>
      <c r="AG160" s="89">
        <f t="shared" si="93"/>
        <v>9826667</v>
      </c>
      <c r="AH160" s="89">
        <f t="shared" si="93"/>
        <v>9826667</v>
      </c>
      <c r="AI160" s="89">
        <f>SUM(AN160:CG160)</f>
        <v>0</v>
      </c>
      <c r="AJ160" s="91">
        <v>27000000</v>
      </c>
      <c r="AK160" s="91">
        <v>27000000</v>
      </c>
      <c r="AL160" s="91">
        <v>9826667</v>
      </c>
      <c r="AM160" s="91">
        <v>9826667</v>
      </c>
      <c r="AN160" s="91"/>
      <c r="AO160" s="91"/>
      <c r="AP160" s="91"/>
      <c r="AQ160" s="91"/>
      <c r="AR160" s="91"/>
      <c r="AS160" s="91"/>
      <c r="AT160" s="91"/>
      <c r="AU160" s="91"/>
      <c r="AV160" s="91"/>
      <c r="AW160" s="91"/>
      <c r="AX160" s="91"/>
      <c r="AY160" s="91"/>
      <c r="AZ160" s="91"/>
      <c r="BA160" s="91"/>
      <c r="BB160" s="91"/>
      <c r="BC160" s="91"/>
      <c r="BD160" s="91"/>
      <c r="BE160" s="91"/>
      <c r="BF160" s="91"/>
      <c r="BG160" s="91"/>
      <c r="BH160" s="91"/>
      <c r="BI160" s="91"/>
      <c r="BJ160" s="91"/>
      <c r="BK160" s="91"/>
      <c r="BL160" s="91"/>
      <c r="BM160" s="91"/>
      <c r="BN160" s="91"/>
      <c r="BO160" s="91"/>
      <c r="BP160" s="91"/>
      <c r="BQ160" s="91"/>
      <c r="BR160" s="91"/>
      <c r="BS160" s="91"/>
      <c r="BT160" s="91"/>
      <c r="BU160" s="91"/>
      <c r="BV160" s="91"/>
      <c r="BW160" s="91"/>
      <c r="BX160" s="91"/>
      <c r="BY160" s="91"/>
      <c r="BZ160" s="91"/>
      <c r="CA160" s="91"/>
      <c r="CB160" s="91"/>
      <c r="CC160" s="91"/>
      <c r="CD160" s="91"/>
      <c r="CE160" s="91"/>
      <c r="CF160" s="91"/>
      <c r="CG160" s="91"/>
      <c r="CH160" s="91">
        <f t="shared" si="94"/>
        <v>15000000</v>
      </c>
      <c r="CI160" s="91">
        <v>15000000</v>
      </c>
      <c r="CJ160" s="91"/>
      <c r="CK160" s="91"/>
      <c r="CL160" s="91"/>
      <c r="CM160" s="91"/>
      <c r="CN160" s="91"/>
      <c r="CO160" s="91"/>
      <c r="CP160" s="91"/>
      <c r="CQ160" s="91"/>
      <c r="CR160" s="91"/>
      <c r="CS160" s="91">
        <f t="shared" si="85"/>
        <v>34000000</v>
      </c>
      <c r="CT160" s="91">
        <v>34000000</v>
      </c>
      <c r="CU160" s="91"/>
      <c r="CV160" s="91"/>
      <c r="CW160" s="91"/>
      <c r="CX160" s="91"/>
      <c r="CY160" s="91"/>
      <c r="CZ160" s="91"/>
      <c r="DA160" s="91"/>
      <c r="DB160" s="91"/>
      <c r="DC160" s="91"/>
      <c r="DD160" s="91">
        <f t="shared" si="90"/>
        <v>80000000</v>
      </c>
      <c r="DE160" s="91">
        <v>80000000</v>
      </c>
      <c r="DF160" s="91"/>
      <c r="DG160" s="91"/>
      <c r="DH160" s="91"/>
      <c r="DI160" s="91"/>
      <c r="DJ160" s="91"/>
      <c r="DK160" s="91"/>
      <c r="DL160" s="91"/>
      <c r="DM160" s="91"/>
      <c r="DN160" s="92"/>
      <c r="DO160" s="93">
        <f t="shared" si="95"/>
        <v>156000000</v>
      </c>
    </row>
    <row r="161" spans="1:119" s="225" customFormat="1" ht="110.25" customHeight="1" x14ac:dyDescent="0.2">
      <c r="A161" s="244">
        <v>1</v>
      </c>
      <c r="B161" s="253" t="s">
        <v>19</v>
      </c>
      <c r="C161" s="59" t="s">
        <v>212</v>
      </c>
      <c r="D161" s="94" t="s">
        <v>197</v>
      </c>
      <c r="E161" s="119" t="s">
        <v>951</v>
      </c>
      <c r="F161" s="13">
        <v>2019</v>
      </c>
      <c r="G161" s="59" t="s">
        <v>1206</v>
      </c>
      <c r="H161" s="119">
        <v>1</v>
      </c>
      <c r="I161" s="13">
        <v>41</v>
      </c>
      <c r="J161" s="13" t="s">
        <v>1711</v>
      </c>
      <c r="K161" s="50">
        <v>14</v>
      </c>
      <c r="L161" s="13" t="s">
        <v>1084</v>
      </c>
      <c r="M161" s="244">
        <v>37</v>
      </c>
      <c r="N161" s="247">
        <v>4103</v>
      </c>
      <c r="O161" s="245" t="s">
        <v>75</v>
      </c>
      <c r="P161" s="13" t="s">
        <v>1207</v>
      </c>
      <c r="Q161" s="48" t="s">
        <v>77</v>
      </c>
      <c r="R161" s="48">
        <v>4103060</v>
      </c>
      <c r="S161" s="59" t="s">
        <v>198</v>
      </c>
      <c r="T161" s="13" t="s">
        <v>1208</v>
      </c>
      <c r="U161" s="48" t="s">
        <v>77</v>
      </c>
      <c r="V161" s="48">
        <v>410306000</v>
      </c>
      <c r="W161" s="87" t="s">
        <v>1209</v>
      </c>
      <c r="X161" s="88" t="s">
        <v>9</v>
      </c>
      <c r="Y161" s="13">
        <v>17</v>
      </c>
      <c r="Z161" s="13">
        <v>2</v>
      </c>
      <c r="AA161" s="13">
        <v>2</v>
      </c>
      <c r="AB161" s="13">
        <v>5</v>
      </c>
      <c r="AC161" s="13">
        <v>5</v>
      </c>
      <c r="AD161" s="13">
        <v>5</v>
      </c>
      <c r="AE161" s="89">
        <f t="shared" si="93"/>
        <v>30000000</v>
      </c>
      <c r="AF161" s="89">
        <f t="shared" si="93"/>
        <v>30000000</v>
      </c>
      <c r="AG161" s="89">
        <f t="shared" si="93"/>
        <v>30000000</v>
      </c>
      <c r="AH161" s="89">
        <f t="shared" si="93"/>
        <v>30000000</v>
      </c>
      <c r="AI161" s="89">
        <f>SUM(AN161:CG161)</f>
        <v>0</v>
      </c>
      <c r="AJ161" s="91">
        <v>30000000</v>
      </c>
      <c r="AK161" s="91">
        <v>30000000</v>
      </c>
      <c r="AL161" s="91">
        <v>30000000</v>
      </c>
      <c r="AM161" s="91">
        <v>30000000</v>
      </c>
      <c r="AN161" s="91"/>
      <c r="AO161" s="91"/>
      <c r="AP161" s="91"/>
      <c r="AQ161" s="91"/>
      <c r="AR161" s="91"/>
      <c r="AS161" s="91"/>
      <c r="AT161" s="91"/>
      <c r="AU161" s="91"/>
      <c r="AV161" s="91"/>
      <c r="AW161" s="91"/>
      <c r="AX161" s="91"/>
      <c r="AY161" s="91"/>
      <c r="AZ161" s="91"/>
      <c r="BA161" s="91"/>
      <c r="BB161" s="91"/>
      <c r="BC161" s="91"/>
      <c r="BD161" s="91"/>
      <c r="BE161" s="91"/>
      <c r="BF161" s="91"/>
      <c r="BG161" s="91"/>
      <c r="BH161" s="91"/>
      <c r="BI161" s="91"/>
      <c r="BJ161" s="91"/>
      <c r="BK161" s="91"/>
      <c r="BL161" s="91"/>
      <c r="BM161" s="91"/>
      <c r="BN161" s="91"/>
      <c r="BO161" s="91"/>
      <c r="BP161" s="91"/>
      <c r="BQ161" s="91"/>
      <c r="BR161" s="91"/>
      <c r="BS161" s="91"/>
      <c r="BT161" s="91"/>
      <c r="BU161" s="91"/>
      <c r="BV161" s="91"/>
      <c r="BW161" s="91"/>
      <c r="BX161" s="91"/>
      <c r="BY161" s="91"/>
      <c r="BZ161" s="91"/>
      <c r="CA161" s="91"/>
      <c r="CB161" s="91"/>
      <c r="CC161" s="91"/>
      <c r="CD161" s="91"/>
      <c r="CE161" s="91"/>
      <c r="CF161" s="91"/>
      <c r="CG161" s="91"/>
      <c r="CH161" s="91">
        <f t="shared" si="94"/>
        <v>17000000</v>
      </c>
      <c r="CI161" s="91">
        <v>17000000</v>
      </c>
      <c r="CJ161" s="91"/>
      <c r="CK161" s="91"/>
      <c r="CL161" s="91"/>
      <c r="CM161" s="91"/>
      <c r="CN161" s="91"/>
      <c r="CO161" s="91"/>
      <c r="CP161" s="91"/>
      <c r="CQ161" s="91"/>
      <c r="CR161" s="91"/>
      <c r="CS161" s="91">
        <f t="shared" si="85"/>
        <v>40000000</v>
      </c>
      <c r="CT161" s="91">
        <v>40000000</v>
      </c>
      <c r="CU161" s="91"/>
      <c r="CV161" s="91"/>
      <c r="CW161" s="91"/>
      <c r="CX161" s="91"/>
      <c r="CY161" s="91"/>
      <c r="CZ161" s="91"/>
      <c r="DA161" s="91"/>
      <c r="DB161" s="91"/>
      <c r="DC161" s="91"/>
      <c r="DD161" s="91">
        <f t="shared" si="90"/>
        <v>50000000</v>
      </c>
      <c r="DE161" s="91">
        <v>50000000</v>
      </c>
      <c r="DF161" s="91"/>
      <c r="DG161" s="91"/>
      <c r="DH161" s="91"/>
      <c r="DI161" s="91"/>
      <c r="DJ161" s="91"/>
      <c r="DK161" s="91"/>
      <c r="DL161" s="91"/>
      <c r="DM161" s="91"/>
      <c r="DN161" s="92"/>
      <c r="DO161" s="93">
        <f t="shared" si="95"/>
        <v>137000000</v>
      </c>
    </row>
    <row r="162" spans="1:119" s="225" customFormat="1" ht="110.25" customHeight="1" x14ac:dyDescent="0.2">
      <c r="A162" s="244">
        <v>1</v>
      </c>
      <c r="B162" s="253" t="s">
        <v>19</v>
      </c>
      <c r="C162" s="59" t="s">
        <v>212</v>
      </c>
      <c r="D162" s="94" t="s">
        <v>199</v>
      </c>
      <c r="E162" s="119">
        <v>0.5</v>
      </c>
      <c r="F162" s="13">
        <v>2019</v>
      </c>
      <c r="G162" s="59" t="s">
        <v>1206</v>
      </c>
      <c r="H162" s="119">
        <v>1</v>
      </c>
      <c r="I162" s="13">
        <v>41</v>
      </c>
      <c r="J162" s="13" t="s">
        <v>1711</v>
      </c>
      <c r="K162" s="50">
        <v>14</v>
      </c>
      <c r="L162" s="13" t="s">
        <v>1084</v>
      </c>
      <c r="M162" s="244">
        <v>37</v>
      </c>
      <c r="N162" s="247">
        <v>4103</v>
      </c>
      <c r="O162" s="245" t="s">
        <v>75</v>
      </c>
      <c r="P162" s="13" t="s">
        <v>1210</v>
      </c>
      <c r="Q162" s="48" t="s">
        <v>77</v>
      </c>
      <c r="R162" s="48">
        <v>4103060</v>
      </c>
      <c r="S162" s="59" t="s">
        <v>200</v>
      </c>
      <c r="T162" s="13" t="s">
        <v>1211</v>
      </c>
      <c r="U162" s="48" t="s">
        <v>77</v>
      </c>
      <c r="V162" s="48">
        <v>410306000</v>
      </c>
      <c r="W162" s="87" t="s">
        <v>1212</v>
      </c>
      <c r="X162" s="88" t="s">
        <v>8</v>
      </c>
      <c r="Y162" s="13">
        <v>2</v>
      </c>
      <c r="Z162" s="13">
        <v>2</v>
      </c>
      <c r="AA162" s="13">
        <v>2</v>
      </c>
      <c r="AB162" s="13">
        <v>2</v>
      </c>
      <c r="AC162" s="13">
        <v>2</v>
      </c>
      <c r="AD162" s="13">
        <v>2</v>
      </c>
      <c r="AE162" s="89">
        <f t="shared" si="93"/>
        <v>49500000</v>
      </c>
      <c r="AF162" s="89">
        <f t="shared" si="93"/>
        <v>49500000</v>
      </c>
      <c r="AG162" s="89">
        <f t="shared" si="93"/>
        <v>49500000</v>
      </c>
      <c r="AH162" s="89">
        <f t="shared" si="93"/>
        <v>49500000</v>
      </c>
      <c r="AI162" s="89">
        <f>SUM(AN162:CG162)</f>
        <v>0</v>
      </c>
      <c r="AJ162" s="91">
        <v>49500000</v>
      </c>
      <c r="AK162" s="91">
        <v>49500000</v>
      </c>
      <c r="AL162" s="91">
        <v>49500000</v>
      </c>
      <c r="AM162" s="91">
        <v>49500000</v>
      </c>
      <c r="AN162" s="91"/>
      <c r="AO162" s="91"/>
      <c r="AP162" s="91"/>
      <c r="AQ162" s="91"/>
      <c r="AR162" s="91"/>
      <c r="AS162" s="91"/>
      <c r="AT162" s="91"/>
      <c r="AU162" s="91"/>
      <c r="AV162" s="91"/>
      <c r="AW162" s="91"/>
      <c r="AX162" s="91"/>
      <c r="AY162" s="91"/>
      <c r="AZ162" s="91"/>
      <c r="BA162" s="91"/>
      <c r="BB162" s="91"/>
      <c r="BC162" s="91"/>
      <c r="BD162" s="91"/>
      <c r="BE162" s="91"/>
      <c r="BF162" s="91"/>
      <c r="BG162" s="91"/>
      <c r="BH162" s="91"/>
      <c r="BI162" s="91"/>
      <c r="BJ162" s="91"/>
      <c r="BK162" s="91"/>
      <c r="BL162" s="91"/>
      <c r="BM162" s="91"/>
      <c r="BN162" s="91"/>
      <c r="BO162" s="91"/>
      <c r="BP162" s="91"/>
      <c r="BQ162" s="91"/>
      <c r="BR162" s="91"/>
      <c r="BS162" s="91"/>
      <c r="BT162" s="91"/>
      <c r="BU162" s="91"/>
      <c r="BV162" s="91"/>
      <c r="BW162" s="91"/>
      <c r="BX162" s="91"/>
      <c r="BY162" s="91"/>
      <c r="BZ162" s="91"/>
      <c r="CA162" s="91"/>
      <c r="CB162" s="91"/>
      <c r="CC162" s="91"/>
      <c r="CD162" s="91"/>
      <c r="CE162" s="91"/>
      <c r="CF162" s="91"/>
      <c r="CG162" s="91"/>
      <c r="CH162" s="91">
        <f t="shared" si="94"/>
        <v>14224999</v>
      </c>
      <c r="CI162" s="91">
        <v>14224999</v>
      </c>
      <c r="CJ162" s="91"/>
      <c r="CK162" s="91"/>
      <c r="CL162" s="91"/>
      <c r="CM162" s="91"/>
      <c r="CN162" s="91"/>
      <c r="CO162" s="91"/>
      <c r="CP162" s="91"/>
      <c r="CQ162" s="91"/>
      <c r="CR162" s="91"/>
      <c r="CS162" s="91">
        <f t="shared" si="85"/>
        <v>47575600</v>
      </c>
      <c r="CT162" s="91">
        <v>47575600</v>
      </c>
      <c r="CU162" s="91"/>
      <c r="CV162" s="91"/>
      <c r="CW162" s="91"/>
      <c r="CX162" s="91"/>
      <c r="CY162" s="91"/>
      <c r="CZ162" s="91"/>
      <c r="DA162" s="91"/>
      <c r="DB162" s="91"/>
      <c r="DC162" s="91"/>
      <c r="DD162" s="91">
        <f t="shared" si="90"/>
        <v>70000000</v>
      </c>
      <c r="DE162" s="91">
        <v>70000000</v>
      </c>
      <c r="DF162" s="91"/>
      <c r="DG162" s="91"/>
      <c r="DH162" s="91"/>
      <c r="DI162" s="91"/>
      <c r="DJ162" s="91"/>
      <c r="DK162" s="91"/>
      <c r="DL162" s="91"/>
      <c r="DM162" s="91"/>
      <c r="DN162" s="92"/>
      <c r="DO162" s="93">
        <f t="shared" si="95"/>
        <v>181300599</v>
      </c>
    </row>
    <row r="163" spans="1:119" s="225" customFormat="1" ht="220.5" customHeight="1" x14ac:dyDescent="0.2">
      <c r="A163" s="244">
        <v>1</v>
      </c>
      <c r="B163" s="253" t="s">
        <v>19</v>
      </c>
      <c r="C163" s="59" t="s">
        <v>212</v>
      </c>
      <c r="D163" s="150" t="s">
        <v>201</v>
      </c>
      <c r="E163" s="119" t="s">
        <v>951</v>
      </c>
      <c r="F163" s="13">
        <v>2019</v>
      </c>
      <c r="G163" s="59" t="s">
        <v>1213</v>
      </c>
      <c r="H163" s="119">
        <v>1</v>
      </c>
      <c r="I163" s="13">
        <v>41</v>
      </c>
      <c r="J163" s="13" t="s">
        <v>1711</v>
      </c>
      <c r="K163" s="50">
        <v>14</v>
      </c>
      <c r="L163" s="13" t="s">
        <v>1084</v>
      </c>
      <c r="M163" s="244">
        <v>37</v>
      </c>
      <c r="N163" s="247">
        <v>4103</v>
      </c>
      <c r="O163" s="245" t="s">
        <v>75</v>
      </c>
      <c r="P163" s="13" t="s">
        <v>1214</v>
      </c>
      <c r="Q163" s="48" t="s">
        <v>77</v>
      </c>
      <c r="R163" s="48">
        <v>4103052</v>
      </c>
      <c r="S163" s="59" t="s">
        <v>1573</v>
      </c>
      <c r="T163" s="13" t="s">
        <v>1215</v>
      </c>
      <c r="U163" s="48" t="s">
        <v>77</v>
      </c>
      <c r="V163" s="48">
        <v>410305202</v>
      </c>
      <c r="W163" s="87" t="s">
        <v>1216</v>
      </c>
      <c r="X163" s="88" t="s">
        <v>8</v>
      </c>
      <c r="Y163" s="13">
        <v>1</v>
      </c>
      <c r="Z163" s="13">
        <v>1</v>
      </c>
      <c r="AA163" s="13">
        <v>1</v>
      </c>
      <c r="AB163" s="13">
        <v>1</v>
      </c>
      <c r="AC163" s="13">
        <v>1</v>
      </c>
      <c r="AD163" s="13">
        <v>1</v>
      </c>
      <c r="AE163" s="89">
        <f t="shared" si="93"/>
        <v>70000000</v>
      </c>
      <c r="AF163" s="89">
        <f t="shared" si="93"/>
        <v>30000000</v>
      </c>
      <c r="AG163" s="89">
        <f t="shared" si="93"/>
        <v>18318654</v>
      </c>
      <c r="AH163" s="89">
        <f t="shared" si="93"/>
        <v>18318654</v>
      </c>
      <c r="AI163" s="89">
        <f>SUM(AN163:CG163)</f>
        <v>0</v>
      </c>
      <c r="AJ163" s="91">
        <v>70000000</v>
      </c>
      <c r="AK163" s="91">
        <v>30000000</v>
      </c>
      <c r="AL163" s="91">
        <v>18318654</v>
      </c>
      <c r="AM163" s="91">
        <v>18318654</v>
      </c>
      <c r="AN163" s="91"/>
      <c r="AO163" s="91"/>
      <c r="AP163" s="91"/>
      <c r="AQ163" s="91"/>
      <c r="AR163" s="91"/>
      <c r="AS163" s="91"/>
      <c r="AT163" s="91"/>
      <c r="AU163" s="91"/>
      <c r="AV163" s="91"/>
      <c r="AW163" s="91"/>
      <c r="AX163" s="91"/>
      <c r="AY163" s="91"/>
      <c r="AZ163" s="91"/>
      <c r="BA163" s="91"/>
      <c r="BB163" s="91"/>
      <c r="BC163" s="91"/>
      <c r="BD163" s="91"/>
      <c r="BE163" s="91"/>
      <c r="BF163" s="91"/>
      <c r="BG163" s="91"/>
      <c r="BH163" s="91"/>
      <c r="BI163" s="91"/>
      <c r="BJ163" s="91"/>
      <c r="BK163" s="91"/>
      <c r="BL163" s="91"/>
      <c r="BM163" s="91"/>
      <c r="BN163" s="91"/>
      <c r="BO163" s="91"/>
      <c r="BP163" s="91"/>
      <c r="BQ163" s="91"/>
      <c r="BR163" s="91"/>
      <c r="BS163" s="91"/>
      <c r="BT163" s="91"/>
      <c r="BU163" s="91"/>
      <c r="BV163" s="91"/>
      <c r="BW163" s="91"/>
      <c r="BX163" s="91"/>
      <c r="BY163" s="91"/>
      <c r="BZ163" s="91"/>
      <c r="CA163" s="91"/>
      <c r="CB163" s="91"/>
      <c r="CC163" s="91"/>
      <c r="CD163" s="91"/>
      <c r="CE163" s="91"/>
      <c r="CF163" s="91"/>
      <c r="CG163" s="91"/>
      <c r="CH163" s="91">
        <f t="shared" si="94"/>
        <v>40000000</v>
      </c>
      <c r="CI163" s="91">
        <v>40000000</v>
      </c>
      <c r="CJ163" s="91"/>
      <c r="CK163" s="91"/>
      <c r="CL163" s="91"/>
      <c r="CM163" s="91"/>
      <c r="CN163" s="91"/>
      <c r="CO163" s="91"/>
      <c r="CP163" s="91"/>
      <c r="CQ163" s="91"/>
      <c r="CR163" s="91"/>
      <c r="CS163" s="91">
        <f t="shared" si="85"/>
        <v>120000000</v>
      </c>
      <c r="CT163" s="91">
        <v>120000000</v>
      </c>
      <c r="CU163" s="91"/>
      <c r="CV163" s="91"/>
      <c r="CW163" s="91"/>
      <c r="CX163" s="91"/>
      <c r="CY163" s="91"/>
      <c r="CZ163" s="91"/>
      <c r="DA163" s="91"/>
      <c r="DB163" s="91"/>
      <c r="DC163" s="91"/>
      <c r="DD163" s="91">
        <f t="shared" si="90"/>
        <v>210000000</v>
      </c>
      <c r="DE163" s="91">
        <v>210000000</v>
      </c>
      <c r="DF163" s="91"/>
      <c r="DG163" s="91"/>
      <c r="DH163" s="91"/>
      <c r="DI163" s="91"/>
      <c r="DJ163" s="91"/>
      <c r="DK163" s="91"/>
      <c r="DL163" s="91"/>
      <c r="DM163" s="91"/>
      <c r="DN163" s="92"/>
      <c r="DO163" s="93">
        <f t="shared" si="95"/>
        <v>440000000</v>
      </c>
    </row>
    <row r="164" spans="1:119" s="225" customFormat="1" ht="94.5" customHeight="1" x14ac:dyDescent="0.2">
      <c r="A164" s="244">
        <v>1</v>
      </c>
      <c r="B164" s="253" t="s">
        <v>19</v>
      </c>
      <c r="C164" s="59" t="s">
        <v>453</v>
      </c>
      <c r="D164" s="59" t="s">
        <v>76</v>
      </c>
      <c r="E164" s="119">
        <v>1</v>
      </c>
      <c r="F164" s="13">
        <v>2019</v>
      </c>
      <c r="G164" s="59" t="s">
        <v>1217</v>
      </c>
      <c r="H164" s="119">
        <v>1</v>
      </c>
      <c r="I164" s="120">
        <v>41</v>
      </c>
      <c r="J164" s="13" t="s">
        <v>1711</v>
      </c>
      <c r="K164" s="50">
        <v>18</v>
      </c>
      <c r="L164" s="13" t="s">
        <v>330</v>
      </c>
      <c r="M164" s="244">
        <v>37</v>
      </c>
      <c r="N164" s="244">
        <v>4103</v>
      </c>
      <c r="O164" s="245" t="s">
        <v>75</v>
      </c>
      <c r="P164" s="13" t="s">
        <v>1218</v>
      </c>
      <c r="Q164" s="13" t="s">
        <v>77</v>
      </c>
      <c r="R164" s="13">
        <v>4103052</v>
      </c>
      <c r="S164" s="59" t="s">
        <v>78</v>
      </c>
      <c r="T164" s="13" t="s">
        <v>1219</v>
      </c>
      <c r="U164" s="13" t="s">
        <v>77</v>
      </c>
      <c r="V164" s="13">
        <v>410305201</v>
      </c>
      <c r="W164" s="87" t="s">
        <v>1220</v>
      </c>
      <c r="X164" s="88" t="s">
        <v>9</v>
      </c>
      <c r="Y164" s="13">
        <v>125</v>
      </c>
      <c r="Z164" s="13">
        <v>50</v>
      </c>
      <c r="AA164" s="13">
        <v>50</v>
      </c>
      <c r="AB164" s="13">
        <v>25</v>
      </c>
      <c r="AC164" s="13">
        <v>25</v>
      </c>
      <c r="AD164" s="13">
        <v>25</v>
      </c>
      <c r="AE164" s="89">
        <f>AJ164+AO164+AT164+AY164+BD164+BI164+BN164+BS164+BX164+CC164</f>
        <v>15738667</v>
      </c>
      <c r="AF164" s="89">
        <f>AK164+AP164+AU164+AZ164+BE164+BJ164+BO164+BT164+BY164+CD164</f>
        <v>15738667</v>
      </c>
      <c r="AG164" s="89">
        <f>AL164+AQ164+AV164+BA164+BF164+BK164+BP164+BU164+BZ164+CE164</f>
        <v>4990295</v>
      </c>
      <c r="AH164" s="89">
        <f>AM164+AR164+AW164+BB164+BG164+BL164+BQ164+BV164+CA164+CF164</f>
        <v>4990295</v>
      </c>
      <c r="AI164" s="89">
        <f>AN164+AS164+AX164+BC164+BH164+BM164+BR164+BW164+CB164+CG164</f>
        <v>0</v>
      </c>
      <c r="AJ164" s="89">
        <v>15738667</v>
      </c>
      <c r="AK164" s="91">
        <v>15738667</v>
      </c>
      <c r="AL164" s="91">
        <v>4990295</v>
      </c>
      <c r="AM164" s="91">
        <v>4990295</v>
      </c>
      <c r="AN164" s="91"/>
      <c r="AO164" s="91"/>
      <c r="AP164" s="91"/>
      <c r="AQ164" s="91"/>
      <c r="AR164" s="91"/>
      <c r="AS164" s="91"/>
      <c r="AT164" s="91"/>
      <c r="AU164" s="91"/>
      <c r="AV164" s="91"/>
      <c r="AW164" s="91"/>
      <c r="AX164" s="91"/>
      <c r="AY164" s="91"/>
      <c r="AZ164" s="91"/>
      <c r="BA164" s="91"/>
      <c r="BB164" s="91"/>
      <c r="BC164" s="91"/>
      <c r="BD164" s="91"/>
      <c r="BE164" s="91"/>
      <c r="BF164" s="91"/>
      <c r="BG164" s="91"/>
      <c r="BH164" s="91"/>
      <c r="BI164" s="91"/>
      <c r="BJ164" s="91"/>
      <c r="BK164" s="91"/>
      <c r="BL164" s="91"/>
      <c r="BM164" s="91"/>
      <c r="BN164" s="91"/>
      <c r="BO164" s="91"/>
      <c r="BP164" s="91"/>
      <c r="BQ164" s="91"/>
      <c r="BR164" s="91"/>
      <c r="BS164" s="91"/>
      <c r="BT164" s="91"/>
      <c r="BU164" s="91"/>
      <c r="BV164" s="91"/>
      <c r="BW164" s="91"/>
      <c r="BX164" s="91"/>
      <c r="BY164" s="91"/>
      <c r="BZ164" s="91"/>
      <c r="CA164" s="91"/>
      <c r="CB164" s="91"/>
      <c r="CC164" s="91"/>
      <c r="CD164" s="91"/>
      <c r="CE164" s="91"/>
      <c r="CF164" s="91"/>
      <c r="CG164" s="91"/>
      <c r="CH164" s="91">
        <f t="shared" si="94"/>
        <v>11400000</v>
      </c>
      <c r="CI164" s="91">
        <v>11400000</v>
      </c>
      <c r="CJ164" s="91"/>
      <c r="CK164" s="91"/>
      <c r="CL164" s="91"/>
      <c r="CM164" s="91"/>
      <c r="CN164" s="91"/>
      <c r="CO164" s="91"/>
      <c r="CP164" s="91"/>
      <c r="CQ164" s="91"/>
      <c r="CR164" s="91"/>
      <c r="CS164" s="91">
        <f t="shared" si="85"/>
        <v>15576681.189999999</v>
      </c>
      <c r="CT164" s="91">
        <v>15576681.189999999</v>
      </c>
      <c r="CU164" s="91"/>
      <c r="CV164" s="91"/>
      <c r="CW164" s="91"/>
      <c r="CX164" s="91"/>
      <c r="CY164" s="91"/>
      <c r="CZ164" s="91"/>
      <c r="DA164" s="91"/>
      <c r="DB164" s="91"/>
      <c r="DC164" s="91"/>
      <c r="DD164" s="91">
        <f t="shared" si="90"/>
        <v>25051945.84</v>
      </c>
      <c r="DE164" s="91">
        <v>25051945.84</v>
      </c>
      <c r="DF164" s="91"/>
      <c r="DG164" s="91"/>
      <c r="DH164" s="91"/>
      <c r="DI164" s="91"/>
      <c r="DJ164" s="91"/>
      <c r="DK164" s="91"/>
      <c r="DL164" s="91"/>
      <c r="DM164" s="91"/>
      <c r="DN164" s="92"/>
      <c r="DO164" s="93">
        <f t="shared" si="95"/>
        <v>67767294.030000001</v>
      </c>
    </row>
    <row r="165" spans="1:119" ht="29.25" customHeight="1" x14ac:dyDescent="0.2">
      <c r="A165" s="244"/>
      <c r="B165" s="253"/>
      <c r="C165" s="94"/>
      <c r="D165" s="59"/>
      <c r="E165" s="55"/>
      <c r="F165" s="13"/>
      <c r="G165" s="59"/>
      <c r="H165" s="55"/>
      <c r="I165" s="13"/>
      <c r="J165" s="13" t="s">
        <v>1677</v>
      </c>
      <c r="K165" s="50"/>
      <c r="L165" s="13"/>
      <c r="M165" s="96">
        <v>38</v>
      </c>
      <c r="N165" s="96">
        <v>4104</v>
      </c>
      <c r="O165" s="97" t="s">
        <v>1675</v>
      </c>
      <c r="P165" s="96"/>
      <c r="Q165" s="98"/>
      <c r="R165" s="98"/>
      <c r="S165" s="98"/>
      <c r="T165" s="98"/>
      <c r="U165" s="98"/>
      <c r="V165" s="98"/>
      <c r="W165" s="83"/>
      <c r="X165" s="84"/>
      <c r="Y165" s="84"/>
      <c r="Z165" s="84"/>
      <c r="AA165" s="84"/>
      <c r="AB165" s="84"/>
      <c r="AC165" s="84"/>
      <c r="AD165" s="81"/>
      <c r="AE165" s="99">
        <f>SUM(AE166:AE171)</f>
        <v>4844727592.3899994</v>
      </c>
      <c r="AF165" s="99">
        <f t="shared" ref="AF165:CQ165" si="96">SUM(AF166:AF171)</f>
        <v>4368478160.3899994</v>
      </c>
      <c r="AG165" s="99">
        <f t="shared" si="96"/>
        <v>3711056134</v>
      </c>
      <c r="AH165" s="99">
        <f t="shared" si="96"/>
        <v>3711056134</v>
      </c>
      <c r="AI165" s="99">
        <f t="shared" si="96"/>
        <v>0</v>
      </c>
      <c r="AJ165" s="99">
        <f t="shared" si="96"/>
        <v>82000000</v>
      </c>
      <c r="AK165" s="99">
        <f t="shared" si="96"/>
        <v>4368478160.3899994</v>
      </c>
      <c r="AL165" s="99">
        <f t="shared" si="96"/>
        <v>3711056134</v>
      </c>
      <c r="AM165" s="99">
        <f t="shared" si="96"/>
        <v>3711056134</v>
      </c>
      <c r="AN165" s="99">
        <f t="shared" si="96"/>
        <v>0</v>
      </c>
      <c r="AO165" s="99">
        <f t="shared" si="96"/>
        <v>4262727592.3899999</v>
      </c>
      <c r="AP165" s="99">
        <f t="shared" si="96"/>
        <v>0</v>
      </c>
      <c r="AQ165" s="99">
        <f t="shared" si="96"/>
        <v>0</v>
      </c>
      <c r="AR165" s="99">
        <f t="shared" si="96"/>
        <v>0</v>
      </c>
      <c r="AS165" s="99">
        <f t="shared" si="96"/>
        <v>0</v>
      </c>
      <c r="AT165" s="99">
        <f t="shared" si="96"/>
        <v>0</v>
      </c>
      <c r="AU165" s="99">
        <f t="shared" si="96"/>
        <v>0</v>
      </c>
      <c r="AV165" s="99">
        <f t="shared" si="96"/>
        <v>0</v>
      </c>
      <c r="AW165" s="99">
        <f t="shared" si="96"/>
        <v>0</v>
      </c>
      <c r="AX165" s="99">
        <f t="shared" si="96"/>
        <v>0</v>
      </c>
      <c r="AY165" s="99">
        <f t="shared" si="96"/>
        <v>0</v>
      </c>
      <c r="AZ165" s="99">
        <f t="shared" si="96"/>
        <v>0</v>
      </c>
      <c r="BA165" s="99">
        <f t="shared" si="96"/>
        <v>0</v>
      </c>
      <c r="BB165" s="99">
        <f t="shared" si="96"/>
        <v>0</v>
      </c>
      <c r="BC165" s="99">
        <f t="shared" si="96"/>
        <v>0</v>
      </c>
      <c r="BD165" s="99">
        <f t="shared" si="96"/>
        <v>0</v>
      </c>
      <c r="BE165" s="99">
        <f t="shared" si="96"/>
        <v>0</v>
      </c>
      <c r="BF165" s="99">
        <f t="shared" si="96"/>
        <v>0</v>
      </c>
      <c r="BG165" s="99">
        <f t="shared" si="96"/>
        <v>0</v>
      </c>
      <c r="BH165" s="99">
        <f t="shared" si="96"/>
        <v>0</v>
      </c>
      <c r="BI165" s="99">
        <f t="shared" si="96"/>
        <v>0</v>
      </c>
      <c r="BJ165" s="99">
        <f t="shared" si="96"/>
        <v>0</v>
      </c>
      <c r="BK165" s="99">
        <f t="shared" si="96"/>
        <v>0</v>
      </c>
      <c r="BL165" s="99">
        <f t="shared" si="96"/>
        <v>0</v>
      </c>
      <c r="BM165" s="99">
        <f t="shared" si="96"/>
        <v>0</v>
      </c>
      <c r="BN165" s="99">
        <f t="shared" si="96"/>
        <v>500000000</v>
      </c>
      <c r="BO165" s="99">
        <f t="shared" si="96"/>
        <v>0</v>
      </c>
      <c r="BP165" s="99">
        <f t="shared" si="96"/>
        <v>0</v>
      </c>
      <c r="BQ165" s="99">
        <f t="shared" si="96"/>
        <v>0</v>
      </c>
      <c r="BR165" s="99">
        <f t="shared" si="96"/>
        <v>0</v>
      </c>
      <c r="BS165" s="99">
        <f t="shared" si="96"/>
        <v>0</v>
      </c>
      <c r="BT165" s="99">
        <f t="shared" si="96"/>
        <v>0</v>
      </c>
      <c r="BU165" s="99">
        <f t="shared" si="96"/>
        <v>0</v>
      </c>
      <c r="BV165" s="99">
        <f t="shared" si="96"/>
        <v>0</v>
      </c>
      <c r="BW165" s="99">
        <f t="shared" si="96"/>
        <v>0</v>
      </c>
      <c r="BX165" s="99">
        <f t="shared" si="96"/>
        <v>0</v>
      </c>
      <c r="BY165" s="99">
        <f t="shared" si="96"/>
        <v>0</v>
      </c>
      <c r="BZ165" s="99">
        <f t="shared" si="96"/>
        <v>0</v>
      </c>
      <c r="CA165" s="99">
        <f t="shared" si="96"/>
        <v>0</v>
      </c>
      <c r="CB165" s="99">
        <f t="shared" si="96"/>
        <v>0</v>
      </c>
      <c r="CC165" s="99">
        <f t="shared" si="96"/>
        <v>0</v>
      </c>
      <c r="CD165" s="99">
        <f t="shared" si="96"/>
        <v>0</v>
      </c>
      <c r="CE165" s="99">
        <f t="shared" si="96"/>
        <v>0</v>
      </c>
      <c r="CF165" s="99">
        <f t="shared" si="96"/>
        <v>0</v>
      </c>
      <c r="CG165" s="99">
        <f t="shared" si="96"/>
        <v>0</v>
      </c>
      <c r="CH165" s="99">
        <f t="shared" si="96"/>
        <v>2816323873</v>
      </c>
      <c r="CI165" s="99">
        <f t="shared" si="96"/>
        <v>84000000</v>
      </c>
      <c r="CJ165" s="99">
        <f t="shared" si="96"/>
        <v>2732323873</v>
      </c>
      <c r="CK165" s="99">
        <f t="shared" si="96"/>
        <v>0</v>
      </c>
      <c r="CL165" s="99">
        <f t="shared" si="96"/>
        <v>0</v>
      </c>
      <c r="CM165" s="99">
        <f t="shared" si="96"/>
        <v>0</v>
      </c>
      <c r="CN165" s="99">
        <f t="shared" si="96"/>
        <v>0</v>
      </c>
      <c r="CO165" s="99">
        <f t="shared" si="96"/>
        <v>0</v>
      </c>
      <c r="CP165" s="99">
        <f t="shared" si="96"/>
        <v>0</v>
      </c>
      <c r="CQ165" s="99">
        <f t="shared" si="96"/>
        <v>0</v>
      </c>
      <c r="CR165" s="99">
        <f t="shared" ref="CR165:DO165" si="97">SUM(CR166:CR171)</f>
        <v>0</v>
      </c>
      <c r="CS165" s="99">
        <f t="shared" si="97"/>
        <v>3657117545.21</v>
      </c>
      <c r="CT165" s="99">
        <f t="shared" si="97"/>
        <v>491037257.21000004</v>
      </c>
      <c r="CU165" s="99">
        <f t="shared" si="97"/>
        <v>3166080288</v>
      </c>
      <c r="CV165" s="99">
        <f t="shared" si="97"/>
        <v>0</v>
      </c>
      <c r="CW165" s="99">
        <f t="shared" si="97"/>
        <v>0</v>
      </c>
      <c r="CX165" s="99">
        <f t="shared" si="97"/>
        <v>0</v>
      </c>
      <c r="CY165" s="99">
        <f t="shared" si="97"/>
        <v>0</v>
      </c>
      <c r="CZ165" s="99">
        <f t="shared" si="97"/>
        <v>0</v>
      </c>
      <c r="DA165" s="99">
        <f t="shared" si="97"/>
        <v>0</v>
      </c>
      <c r="DB165" s="99">
        <f t="shared" si="97"/>
        <v>0</v>
      </c>
      <c r="DC165" s="99">
        <f t="shared" si="97"/>
        <v>0</v>
      </c>
      <c r="DD165" s="99">
        <f t="shared" si="97"/>
        <v>4317402997</v>
      </c>
      <c r="DE165" s="99">
        <f t="shared" si="97"/>
        <v>694000000</v>
      </c>
      <c r="DF165" s="99">
        <f t="shared" si="97"/>
        <v>3623402997</v>
      </c>
      <c r="DG165" s="99">
        <f t="shared" si="97"/>
        <v>0</v>
      </c>
      <c r="DH165" s="99">
        <f t="shared" si="97"/>
        <v>0</v>
      </c>
      <c r="DI165" s="99">
        <f t="shared" si="97"/>
        <v>0</v>
      </c>
      <c r="DJ165" s="99">
        <f t="shared" si="97"/>
        <v>0</v>
      </c>
      <c r="DK165" s="99">
        <f t="shared" si="97"/>
        <v>0</v>
      </c>
      <c r="DL165" s="99">
        <f t="shared" si="97"/>
        <v>0</v>
      </c>
      <c r="DM165" s="99">
        <f t="shared" si="97"/>
        <v>0</v>
      </c>
      <c r="DN165" s="99">
        <f t="shared" si="97"/>
        <v>0</v>
      </c>
      <c r="DO165" s="99">
        <f t="shared" si="97"/>
        <v>15635572007.599998</v>
      </c>
    </row>
    <row r="166" spans="1:119" s="225" customFormat="1" ht="78.75" customHeight="1" x14ac:dyDescent="0.2">
      <c r="A166" s="244">
        <v>1</v>
      </c>
      <c r="B166" s="253" t="s">
        <v>19</v>
      </c>
      <c r="C166" s="59" t="s">
        <v>212</v>
      </c>
      <c r="D166" s="59" t="s">
        <v>209</v>
      </c>
      <c r="E166" s="119">
        <v>1</v>
      </c>
      <c r="F166" s="13">
        <v>2018</v>
      </c>
      <c r="G166" s="59" t="s">
        <v>1199</v>
      </c>
      <c r="H166" s="151">
        <v>1</v>
      </c>
      <c r="I166" s="13">
        <v>41</v>
      </c>
      <c r="J166" s="13" t="s">
        <v>1711</v>
      </c>
      <c r="K166" s="50">
        <v>14</v>
      </c>
      <c r="L166" s="13" t="s">
        <v>1084</v>
      </c>
      <c r="M166" s="244">
        <v>38</v>
      </c>
      <c r="N166" s="247">
        <v>4104</v>
      </c>
      <c r="O166" s="245" t="s">
        <v>1675</v>
      </c>
      <c r="P166" s="13" t="s">
        <v>1232</v>
      </c>
      <c r="Q166" s="48">
        <v>4104015</v>
      </c>
      <c r="R166" s="48">
        <v>4104015</v>
      </c>
      <c r="S166" s="59" t="s">
        <v>210</v>
      </c>
      <c r="T166" s="13" t="s">
        <v>1233</v>
      </c>
      <c r="U166" s="48">
        <v>410401500</v>
      </c>
      <c r="V166" s="48">
        <v>410401500</v>
      </c>
      <c r="W166" s="87" t="s">
        <v>1234</v>
      </c>
      <c r="X166" s="88" t="s">
        <v>8</v>
      </c>
      <c r="Y166" s="88">
        <v>7500</v>
      </c>
      <c r="Z166" s="88">
        <v>7500</v>
      </c>
      <c r="AA166" s="88">
        <v>8550</v>
      </c>
      <c r="AB166" s="88">
        <v>7500</v>
      </c>
      <c r="AC166" s="88">
        <v>7500</v>
      </c>
      <c r="AD166" s="88">
        <v>7500</v>
      </c>
      <c r="AE166" s="89">
        <f t="shared" ref="AE166:AI171" si="98">AJ166+AO166+AT166+AY166+BD166+BI166+BN166+BS166+BX166+CC166</f>
        <v>25000000</v>
      </c>
      <c r="AF166" s="89">
        <f t="shared" si="98"/>
        <v>45099902</v>
      </c>
      <c r="AG166" s="89">
        <v>36099900</v>
      </c>
      <c r="AH166" s="89">
        <v>36099900</v>
      </c>
      <c r="AI166" s="89">
        <f t="shared" si="98"/>
        <v>0</v>
      </c>
      <c r="AJ166" s="91">
        <v>25000000</v>
      </c>
      <c r="AK166" s="91">
        <v>45099902</v>
      </c>
      <c r="AL166" s="91">
        <v>36099900</v>
      </c>
      <c r="AM166" s="91">
        <v>36099900</v>
      </c>
      <c r="AN166" s="91"/>
      <c r="AO166" s="91"/>
      <c r="AP166" s="91"/>
      <c r="AQ166" s="91"/>
      <c r="AR166" s="91"/>
      <c r="AS166" s="91"/>
      <c r="AT166" s="91"/>
      <c r="AU166" s="91"/>
      <c r="AV166" s="91"/>
      <c r="AW166" s="91"/>
      <c r="AX166" s="91"/>
      <c r="AY166" s="91"/>
      <c r="AZ166" s="91"/>
      <c r="BA166" s="91"/>
      <c r="BB166" s="91"/>
      <c r="BC166" s="91"/>
      <c r="BD166" s="91"/>
      <c r="BE166" s="91"/>
      <c r="BF166" s="91"/>
      <c r="BG166" s="91"/>
      <c r="BH166" s="91"/>
      <c r="BI166" s="91"/>
      <c r="BJ166" s="91"/>
      <c r="BK166" s="91"/>
      <c r="BL166" s="91"/>
      <c r="BM166" s="91"/>
      <c r="BN166" s="91"/>
      <c r="BO166" s="91"/>
      <c r="BP166" s="91"/>
      <c r="BQ166" s="91"/>
      <c r="BR166" s="91"/>
      <c r="BS166" s="91"/>
      <c r="BT166" s="91"/>
      <c r="BU166" s="91"/>
      <c r="BV166" s="91"/>
      <c r="BW166" s="91"/>
      <c r="BX166" s="91"/>
      <c r="BY166" s="91"/>
      <c r="BZ166" s="91"/>
      <c r="CA166" s="91"/>
      <c r="CB166" s="91"/>
      <c r="CC166" s="91"/>
      <c r="CD166" s="91"/>
      <c r="CE166" s="91"/>
      <c r="CF166" s="91"/>
      <c r="CG166" s="91"/>
      <c r="CH166" s="91">
        <f t="shared" ref="CH166:CH171" si="99">CI166+CJ166+CK166+CL166+CM166+CN166+CO166+CP166+CQ166+CR166</f>
        <v>20000000</v>
      </c>
      <c r="CI166" s="91">
        <v>20000000</v>
      </c>
      <c r="CJ166" s="91"/>
      <c r="CK166" s="91"/>
      <c r="CL166" s="91"/>
      <c r="CM166" s="91"/>
      <c r="CN166" s="91"/>
      <c r="CO166" s="91"/>
      <c r="CP166" s="91"/>
      <c r="CQ166" s="91"/>
      <c r="CR166" s="91"/>
      <c r="CS166" s="91">
        <f t="shared" si="85"/>
        <v>179008000</v>
      </c>
      <c r="CT166" s="91">
        <f>39008000+140000000</f>
        <v>179008000</v>
      </c>
      <c r="CU166" s="91"/>
      <c r="CV166" s="91"/>
      <c r="CW166" s="91"/>
      <c r="CX166" s="91"/>
      <c r="CY166" s="91"/>
      <c r="CZ166" s="91"/>
      <c r="DA166" s="91"/>
      <c r="DB166" s="91"/>
      <c r="DC166" s="91"/>
      <c r="DD166" s="91">
        <f t="shared" si="90"/>
        <v>315000000</v>
      </c>
      <c r="DE166" s="91">
        <f>75000000+240000000</f>
        <v>315000000</v>
      </c>
      <c r="DF166" s="91"/>
      <c r="DG166" s="91"/>
      <c r="DH166" s="91"/>
      <c r="DI166" s="91"/>
      <c r="DJ166" s="91"/>
      <c r="DK166" s="91"/>
      <c r="DL166" s="91"/>
      <c r="DM166" s="91"/>
      <c r="DN166" s="92"/>
      <c r="DO166" s="93">
        <f t="shared" ref="DO166:DO171" si="100">AE166+CH166+CS166+DD166</f>
        <v>539008000</v>
      </c>
    </row>
    <row r="167" spans="1:119" s="225" customFormat="1" ht="78.75" customHeight="1" x14ac:dyDescent="0.2">
      <c r="A167" s="244">
        <v>1</v>
      </c>
      <c r="B167" s="253" t="s">
        <v>19</v>
      </c>
      <c r="C167" s="59" t="s">
        <v>212</v>
      </c>
      <c r="D167" s="59" t="s">
        <v>31</v>
      </c>
      <c r="E167" s="139">
        <v>0.41666666666666669</v>
      </c>
      <c r="F167" s="13">
        <v>2019</v>
      </c>
      <c r="G167" s="59" t="s">
        <v>1213</v>
      </c>
      <c r="H167" s="123">
        <v>1</v>
      </c>
      <c r="I167" s="13">
        <v>41</v>
      </c>
      <c r="J167" s="13" t="s">
        <v>1711</v>
      </c>
      <c r="K167" s="50">
        <v>14</v>
      </c>
      <c r="L167" s="13" t="s">
        <v>1084</v>
      </c>
      <c r="M167" s="244">
        <v>38</v>
      </c>
      <c r="N167" s="247">
        <v>4104</v>
      </c>
      <c r="O167" s="245" t="s">
        <v>1675</v>
      </c>
      <c r="P167" s="48" t="s">
        <v>1260</v>
      </c>
      <c r="Q167" s="48" t="s">
        <v>204</v>
      </c>
      <c r="R167" s="48">
        <v>4104027</v>
      </c>
      <c r="S167" s="59" t="s">
        <v>205</v>
      </c>
      <c r="T167" s="48" t="s">
        <v>1261</v>
      </c>
      <c r="U167" s="48" t="s">
        <v>77</v>
      </c>
      <c r="V167" s="48">
        <v>410402700</v>
      </c>
      <c r="W167" s="87" t="s">
        <v>1262</v>
      </c>
      <c r="X167" s="88" t="s">
        <v>8</v>
      </c>
      <c r="Y167" s="13">
        <v>12</v>
      </c>
      <c r="Z167" s="13">
        <v>12</v>
      </c>
      <c r="AA167" s="13">
        <v>12</v>
      </c>
      <c r="AB167" s="13">
        <v>12</v>
      </c>
      <c r="AC167" s="13">
        <v>12</v>
      </c>
      <c r="AD167" s="13">
        <v>12</v>
      </c>
      <c r="AE167" s="89">
        <f t="shared" si="98"/>
        <v>18000000</v>
      </c>
      <c r="AF167" s="89">
        <f t="shared" si="98"/>
        <v>18000000</v>
      </c>
      <c r="AG167" s="89">
        <f t="shared" si="98"/>
        <v>14666666</v>
      </c>
      <c r="AH167" s="89">
        <f t="shared" si="98"/>
        <v>14666666</v>
      </c>
      <c r="AI167" s="89">
        <f t="shared" si="98"/>
        <v>0</v>
      </c>
      <c r="AJ167" s="91">
        <v>18000000</v>
      </c>
      <c r="AK167" s="91">
        <v>18000000</v>
      </c>
      <c r="AL167" s="91">
        <v>14666666</v>
      </c>
      <c r="AM167" s="91">
        <v>14666666</v>
      </c>
      <c r="AN167" s="91"/>
      <c r="AO167" s="91"/>
      <c r="AP167" s="91"/>
      <c r="AQ167" s="91"/>
      <c r="AR167" s="91"/>
      <c r="AS167" s="91"/>
      <c r="AT167" s="91"/>
      <c r="AU167" s="91"/>
      <c r="AV167" s="91"/>
      <c r="AW167" s="91"/>
      <c r="AX167" s="91"/>
      <c r="AY167" s="91"/>
      <c r="AZ167" s="91"/>
      <c r="BA167" s="91"/>
      <c r="BB167" s="91"/>
      <c r="BC167" s="91"/>
      <c r="BD167" s="91"/>
      <c r="BE167" s="91"/>
      <c r="BF167" s="91"/>
      <c r="BG167" s="91"/>
      <c r="BH167" s="91"/>
      <c r="BI167" s="91"/>
      <c r="BJ167" s="91"/>
      <c r="BK167" s="91"/>
      <c r="BL167" s="91"/>
      <c r="BM167" s="91"/>
      <c r="BN167" s="91"/>
      <c r="BO167" s="91"/>
      <c r="BP167" s="91"/>
      <c r="BQ167" s="91"/>
      <c r="BR167" s="91"/>
      <c r="BS167" s="91"/>
      <c r="BT167" s="91"/>
      <c r="BU167" s="91"/>
      <c r="BV167" s="91"/>
      <c r="BW167" s="91"/>
      <c r="BX167" s="91"/>
      <c r="BY167" s="91"/>
      <c r="BZ167" s="91"/>
      <c r="CA167" s="91"/>
      <c r="CB167" s="91"/>
      <c r="CC167" s="91"/>
      <c r="CD167" s="91"/>
      <c r="CE167" s="91"/>
      <c r="CF167" s="91"/>
      <c r="CG167" s="91"/>
      <c r="CH167" s="91">
        <f t="shared" si="99"/>
        <v>35000000</v>
      </c>
      <c r="CI167" s="91">
        <v>35000000</v>
      </c>
      <c r="CJ167" s="91"/>
      <c r="CK167" s="91"/>
      <c r="CL167" s="91"/>
      <c r="CM167" s="91"/>
      <c r="CN167" s="91"/>
      <c r="CO167" s="91"/>
      <c r="CP167" s="91"/>
      <c r="CQ167" s="91"/>
      <c r="CR167" s="91"/>
      <c r="CS167" s="91">
        <f t="shared" si="85"/>
        <v>50000000</v>
      </c>
      <c r="CT167" s="91">
        <v>50000000</v>
      </c>
      <c r="CU167" s="91"/>
      <c r="CV167" s="91"/>
      <c r="CW167" s="91"/>
      <c r="CX167" s="91"/>
      <c r="CY167" s="91"/>
      <c r="CZ167" s="91"/>
      <c r="DA167" s="91"/>
      <c r="DB167" s="91"/>
      <c r="DC167" s="91"/>
      <c r="DD167" s="91">
        <f t="shared" si="90"/>
        <v>60000000</v>
      </c>
      <c r="DE167" s="91">
        <v>60000000</v>
      </c>
      <c r="DF167" s="91"/>
      <c r="DG167" s="91"/>
      <c r="DH167" s="91"/>
      <c r="DI167" s="91"/>
      <c r="DJ167" s="91"/>
      <c r="DK167" s="91"/>
      <c r="DL167" s="91"/>
      <c r="DM167" s="91"/>
      <c r="DN167" s="92"/>
      <c r="DO167" s="93">
        <f t="shared" si="100"/>
        <v>163000000</v>
      </c>
    </row>
    <row r="168" spans="1:119" s="225" customFormat="1" ht="78.75" customHeight="1" x14ac:dyDescent="0.2">
      <c r="A168" s="244">
        <v>1</v>
      </c>
      <c r="B168" s="253" t="s">
        <v>19</v>
      </c>
      <c r="C168" s="59" t="s">
        <v>212</v>
      </c>
      <c r="D168" s="59" t="s">
        <v>1225</v>
      </c>
      <c r="E168" s="55" t="s">
        <v>951</v>
      </c>
      <c r="F168" s="13">
        <v>2018</v>
      </c>
      <c r="G168" s="59" t="s">
        <v>1199</v>
      </c>
      <c r="H168" s="119">
        <v>1</v>
      </c>
      <c r="I168" s="13">
        <v>41</v>
      </c>
      <c r="J168" s="13" t="s">
        <v>1711</v>
      </c>
      <c r="K168" s="50">
        <v>14</v>
      </c>
      <c r="L168" s="13" t="s">
        <v>1084</v>
      </c>
      <c r="M168" s="244">
        <v>38</v>
      </c>
      <c r="N168" s="247">
        <v>4104</v>
      </c>
      <c r="O168" s="245" t="s">
        <v>1675</v>
      </c>
      <c r="P168" s="13" t="s">
        <v>1222</v>
      </c>
      <c r="Q168" s="48">
        <v>4104035</v>
      </c>
      <c r="R168" s="48">
        <v>4104020</v>
      </c>
      <c r="S168" s="59" t="s">
        <v>203</v>
      </c>
      <c r="T168" s="13" t="s">
        <v>1226</v>
      </c>
      <c r="U168" s="48">
        <v>410403500</v>
      </c>
      <c r="V168" s="48">
        <v>410402000</v>
      </c>
      <c r="W168" s="87" t="s">
        <v>1227</v>
      </c>
      <c r="X168" s="88" t="s">
        <v>9</v>
      </c>
      <c r="Y168" s="13">
        <v>500</v>
      </c>
      <c r="Z168" s="13">
        <v>20</v>
      </c>
      <c r="AA168" s="13">
        <v>0</v>
      </c>
      <c r="AB168" s="13">
        <v>50</v>
      </c>
      <c r="AC168" s="13">
        <v>215</v>
      </c>
      <c r="AD168" s="13">
        <v>215</v>
      </c>
      <c r="AE168" s="89">
        <f t="shared" si="98"/>
        <v>14000000</v>
      </c>
      <c r="AF168" s="89">
        <f t="shared" si="98"/>
        <v>11053392</v>
      </c>
      <c r="AG168" s="89">
        <f t="shared" si="98"/>
        <v>0</v>
      </c>
      <c r="AH168" s="89">
        <f t="shared" si="98"/>
        <v>0</v>
      </c>
      <c r="AI168" s="89">
        <f t="shared" si="98"/>
        <v>0</v>
      </c>
      <c r="AJ168" s="91">
        <v>14000000</v>
      </c>
      <c r="AK168" s="91">
        <v>11053392</v>
      </c>
      <c r="AL168" s="91"/>
      <c r="AM168" s="91"/>
      <c r="AN168" s="91"/>
      <c r="AO168" s="91"/>
      <c r="AP168" s="91"/>
      <c r="AQ168" s="91"/>
      <c r="AR168" s="91"/>
      <c r="AS168" s="91"/>
      <c r="AT168" s="91"/>
      <c r="AU168" s="91"/>
      <c r="AV168" s="91"/>
      <c r="AW168" s="91"/>
      <c r="AX168" s="91"/>
      <c r="AY168" s="91"/>
      <c r="AZ168" s="91"/>
      <c r="BA168" s="91"/>
      <c r="BB168" s="91"/>
      <c r="BC168" s="91"/>
      <c r="BD168" s="91"/>
      <c r="BE168" s="91"/>
      <c r="BF168" s="91"/>
      <c r="BG168" s="91"/>
      <c r="BH168" s="91"/>
      <c r="BI168" s="91"/>
      <c r="BJ168" s="91"/>
      <c r="BK168" s="91"/>
      <c r="BL168" s="91"/>
      <c r="BM168" s="91"/>
      <c r="BN168" s="91"/>
      <c r="BO168" s="91"/>
      <c r="BP168" s="91"/>
      <c r="BQ168" s="91"/>
      <c r="BR168" s="91"/>
      <c r="BS168" s="91"/>
      <c r="BT168" s="91"/>
      <c r="BU168" s="91"/>
      <c r="BV168" s="91"/>
      <c r="BW168" s="91"/>
      <c r="BX168" s="91"/>
      <c r="BY168" s="91"/>
      <c r="BZ168" s="91"/>
      <c r="CA168" s="91"/>
      <c r="CB168" s="91"/>
      <c r="CC168" s="91"/>
      <c r="CD168" s="91"/>
      <c r="CE168" s="91"/>
      <c r="CF168" s="91"/>
      <c r="CG168" s="91"/>
      <c r="CH168" s="91">
        <f t="shared" si="99"/>
        <v>10000000</v>
      </c>
      <c r="CI168" s="91">
        <v>10000000</v>
      </c>
      <c r="CJ168" s="91"/>
      <c r="CK168" s="91"/>
      <c r="CL168" s="91"/>
      <c r="CM168" s="91"/>
      <c r="CN168" s="91"/>
      <c r="CO168" s="91"/>
      <c r="CP168" s="91"/>
      <c r="CQ168" s="91"/>
      <c r="CR168" s="91"/>
      <c r="CS168" s="91">
        <f t="shared" si="85"/>
        <v>231029257.21000001</v>
      </c>
      <c r="CT168" s="91">
        <f>20000000+211029257.21</f>
        <v>231029257.21000001</v>
      </c>
      <c r="CU168" s="91"/>
      <c r="CV168" s="91"/>
      <c r="CW168" s="91"/>
      <c r="CX168" s="91"/>
      <c r="CY168" s="91"/>
      <c r="CZ168" s="91"/>
      <c r="DA168" s="91"/>
      <c r="DB168" s="91"/>
      <c r="DC168" s="91"/>
      <c r="DD168" s="91">
        <f t="shared" si="90"/>
        <v>269000000</v>
      </c>
      <c r="DE168" s="91">
        <f>44000000+225000000</f>
        <v>269000000</v>
      </c>
      <c r="DF168" s="91"/>
      <c r="DG168" s="91"/>
      <c r="DH168" s="91"/>
      <c r="DI168" s="91"/>
      <c r="DJ168" s="91"/>
      <c r="DK168" s="91"/>
      <c r="DL168" s="91"/>
      <c r="DM168" s="91"/>
      <c r="DN168" s="92"/>
      <c r="DO168" s="93">
        <f t="shared" si="100"/>
        <v>524029257.21000004</v>
      </c>
    </row>
    <row r="169" spans="1:119" s="225" customFormat="1" ht="110.25" customHeight="1" x14ac:dyDescent="0.2">
      <c r="A169" s="244">
        <v>1</v>
      </c>
      <c r="B169" s="253" t="s">
        <v>19</v>
      </c>
      <c r="C169" s="59" t="s">
        <v>212</v>
      </c>
      <c r="D169" s="59" t="s">
        <v>1221</v>
      </c>
      <c r="E169" s="119" t="s">
        <v>951</v>
      </c>
      <c r="F169" s="13">
        <v>2018</v>
      </c>
      <c r="G169" s="59" t="s">
        <v>1199</v>
      </c>
      <c r="H169" s="139">
        <v>1</v>
      </c>
      <c r="I169" s="13">
        <v>41</v>
      </c>
      <c r="J169" s="13" t="s">
        <v>1711</v>
      </c>
      <c r="K169" s="50">
        <v>14</v>
      </c>
      <c r="L169" s="13" t="s">
        <v>1084</v>
      </c>
      <c r="M169" s="244">
        <v>38</v>
      </c>
      <c r="N169" s="247">
        <v>4104</v>
      </c>
      <c r="O169" s="245" t="s">
        <v>1675</v>
      </c>
      <c r="P169" s="13" t="s">
        <v>1222</v>
      </c>
      <c r="Q169" s="48" t="s">
        <v>202</v>
      </c>
      <c r="R169" s="48">
        <v>4104020</v>
      </c>
      <c r="S169" s="59" t="s">
        <v>203</v>
      </c>
      <c r="T169" s="13" t="s">
        <v>1223</v>
      </c>
      <c r="U169" s="48" t="s">
        <v>77</v>
      </c>
      <c r="V169" s="48">
        <v>410402000</v>
      </c>
      <c r="W169" s="152" t="s">
        <v>1224</v>
      </c>
      <c r="X169" s="88" t="s">
        <v>8</v>
      </c>
      <c r="Y169" s="13">
        <v>12</v>
      </c>
      <c r="Z169" s="13">
        <v>12</v>
      </c>
      <c r="AA169" s="13">
        <v>12</v>
      </c>
      <c r="AB169" s="13">
        <v>12</v>
      </c>
      <c r="AC169" s="13">
        <v>12</v>
      </c>
      <c r="AD169" s="13">
        <v>12</v>
      </c>
      <c r="AE169" s="89">
        <f t="shared" si="98"/>
        <v>25000000</v>
      </c>
      <c r="AF169" s="89">
        <f t="shared" si="98"/>
        <v>27946608</v>
      </c>
      <c r="AG169" s="89">
        <f t="shared" si="98"/>
        <v>13973304</v>
      </c>
      <c r="AH169" s="89">
        <f t="shared" si="98"/>
        <v>13973304</v>
      </c>
      <c r="AI169" s="89">
        <f t="shared" si="98"/>
        <v>0</v>
      </c>
      <c r="AJ169" s="91">
        <v>25000000</v>
      </c>
      <c r="AK169" s="91">
        <v>27946608</v>
      </c>
      <c r="AL169" s="91">
        <v>13973304</v>
      </c>
      <c r="AM169" s="91">
        <v>13973304</v>
      </c>
      <c r="AN169" s="91"/>
      <c r="AO169" s="91"/>
      <c r="AP169" s="91"/>
      <c r="AQ169" s="91"/>
      <c r="AR169" s="91"/>
      <c r="AS169" s="91"/>
      <c r="AT169" s="91"/>
      <c r="AU169" s="91"/>
      <c r="AV169" s="91"/>
      <c r="AW169" s="91"/>
      <c r="AX169" s="91"/>
      <c r="AY169" s="91"/>
      <c r="AZ169" s="91"/>
      <c r="BA169" s="91"/>
      <c r="BB169" s="91"/>
      <c r="BC169" s="91"/>
      <c r="BD169" s="91"/>
      <c r="BE169" s="91"/>
      <c r="BF169" s="91"/>
      <c r="BG169" s="91"/>
      <c r="BH169" s="91"/>
      <c r="BI169" s="91"/>
      <c r="BJ169" s="91"/>
      <c r="BK169" s="91"/>
      <c r="BL169" s="91"/>
      <c r="BM169" s="91"/>
      <c r="BN169" s="91"/>
      <c r="BO169" s="91"/>
      <c r="BP169" s="91"/>
      <c r="BQ169" s="91"/>
      <c r="BR169" s="91"/>
      <c r="BS169" s="91"/>
      <c r="BT169" s="91"/>
      <c r="BU169" s="91"/>
      <c r="BV169" s="91"/>
      <c r="BW169" s="91"/>
      <c r="BX169" s="91"/>
      <c r="BY169" s="91"/>
      <c r="BZ169" s="91"/>
      <c r="CA169" s="91"/>
      <c r="CB169" s="91"/>
      <c r="CC169" s="91"/>
      <c r="CD169" s="91"/>
      <c r="CE169" s="91"/>
      <c r="CF169" s="91"/>
      <c r="CG169" s="91"/>
      <c r="CH169" s="91">
        <f t="shared" si="99"/>
        <v>19000000</v>
      </c>
      <c r="CI169" s="91">
        <v>19000000</v>
      </c>
      <c r="CJ169" s="91"/>
      <c r="CK169" s="91"/>
      <c r="CL169" s="91"/>
      <c r="CM169" s="91"/>
      <c r="CN169" s="91"/>
      <c r="CO169" s="91"/>
      <c r="CP169" s="91"/>
      <c r="CQ169" s="91"/>
      <c r="CR169" s="91"/>
      <c r="CS169" s="91">
        <f t="shared" si="85"/>
        <v>31000000</v>
      </c>
      <c r="CT169" s="91">
        <v>31000000</v>
      </c>
      <c r="CU169" s="91"/>
      <c r="CV169" s="91"/>
      <c r="CW169" s="91"/>
      <c r="CX169" s="91"/>
      <c r="CY169" s="91"/>
      <c r="CZ169" s="91"/>
      <c r="DA169" s="91"/>
      <c r="DB169" s="91"/>
      <c r="DC169" s="91"/>
      <c r="DD169" s="91">
        <f t="shared" si="90"/>
        <v>50000000</v>
      </c>
      <c r="DE169" s="91">
        <v>50000000</v>
      </c>
      <c r="DF169" s="91"/>
      <c r="DG169" s="91"/>
      <c r="DH169" s="91"/>
      <c r="DI169" s="91"/>
      <c r="DJ169" s="91"/>
      <c r="DK169" s="91"/>
      <c r="DL169" s="91"/>
      <c r="DM169" s="91"/>
      <c r="DN169" s="92"/>
      <c r="DO169" s="93">
        <f t="shared" si="100"/>
        <v>125000000</v>
      </c>
    </row>
    <row r="170" spans="1:119" s="225" customFormat="1" ht="110.25" customHeight="1" x14ac:dyDescent="0.2">
      <c r="A170" s="244">
        <v>1</v>
      </c>
      <c r="B170" s="253" t="s">
        <v>19</v>
      </c>
      <c r="C170" s="59" t="s">
        <v>212</v>
      </c>
      <c r="D170" s="2" t="s">
        <v>1585</v>
      </c>
      <c r="E170" s="139" t="s">
        <v>951</v>
      </c>
      <c r="F170" s="13">
        <v>2019</v>
      </c>
      <c r="G170" s="59" t="s">
        <v>1213</v>
      </c>
      <c r="H170" s="123">
        <v>1</v>
      </c>
      <c r="I170" s="13">
        <v>41</v>
      </c>
      <c r="J170" s="13" t="s">
        <v>1711</v>
      </c>
      <c r="K170" s="50">
        <v>14</v>
      </c>
      <c r="L170" s="13" t="s">
        <v>1084</v>
      </c>
      <c r="M170" s="244">
        <v>38</v>
      </c>
      <c r="N170" s="247">
        <v>4104</v>
      </c>
      <c r="O170" s="245" t="s">
        <v>1675</v>
      </c>
      <c r="P170" s="48" t="s">
        <v>1263</v>
      </c>
      <c r="Q170" s="48">
        <v>4104036</v>
      </c>
      <c r="R170" s="48">
        <v>4104036</v>
      </c>
      <c r="S170" s="59" t="s">
        <v>32</v>
      </c>
      <c r="T170" s="48" t="s">
        <v>1264</v>
      </c>
      <c r="U170" s="13">
        <v>410403600</v>
      </c>
      <c r="V170" s="13">
        <v>410403600</v>
      </c>
      <c r="W170" s="87" t="s">
        <v>1265</v>
      </c>
      <c r="X170" s="88" t="s">
        <v>9</v>
      </c>
      <c r="Y170" s="13">
        <v>1</v>
      </c>
      <c r="Z170" s="13">
        <v>0.15</v>
      </c>
      <c r="AA170" s="13"/>
      <c r="AB170" s="13">
        <v>0.25</v>
      </c>
      <c r="AC170" s="13">
        <v>0.6</v>
      </c>
      <c r="AD170" s="13" t="s">
        <v>1571</v>
      </c>
      <c r="AE170" s="89">
        <f t="shared" si="98"/>
        <v>500000000</v>
      </c>
      <c r="AF170" s="89">
        <f t="shared" si="98"/>
        <v>0</v>
      </c>
      <c r="AG170" s="89">
        <f t="shared" si="98"/>
        <v>0</v>
      </c>
      <c r="AH170" s="89">
        <f t="shared" si="98"/>
        <v>0</v>
      </c>
      <c r="AI170" s="89">
        <f t="shared" si="98"/>
        <v>0</v>
      </c>
      <c r="AJ170" s="91"/>
      <c r="AK170" s="91"/>
      <c r="AL170" s="91"/>
      <c r="AM170" s="91"/>
      <c r="AN170" s="91"/>
      <c r="AO170" s="91"/>
      <c r="AP170" s="91"/>
      <c r="AQ170" s="91"/>
      <c r="AR170" s="91"/>
      <c r="AS170" s="91"/>
      <c r="AT170" s="91"/>
      <c r="AU170" s="91"/>
      <c r="AV170" s="91"/>
      <c r="AW170" s="91"/>
      <c r="AX170" s="91"/>
      <c r="AY170" s="91"/>
      <c r="AZ170" s="91"/>
      <c r="BA170" s="91"/>
      <c r="BB170" s="91"/>
      <c r="BC170" s="91"/>
      <c r="BD170" s="91"/>
      <c r="BE170" s="91"/>
      <c r="BF170" s="91"/>
      <c r="BG170" s="91"/>
      <c r="BH170" s="91"/>
      <c r="BI170" s="91"/>
      <c r="BJ170" s="91"/>
      <c r="BK170" s="91"/>
      <c r="BL170" s="91"/>
      <c r="BM170" s="91"/>
      <c r="BN170" s="91">
        <v>500000000</v>
      </c>
      <c r="BO170" s="91"/>
      <c r="BP170" s="91"/>
      <c r="BQ170" s="91"/>
      <c r="BR170" s="91"/>
      <c r="BS170" s="91"/>
      <c r="BT170" s="91"/>
      <c r="BU170" s="91"/>
      <c r="BV170" s="91"/>
      <c r="BW170" s="91"/>
      <c r="BX170" s="91"/>
      <c r="BY170" s="91"/>
      <c r="BZ170" s="91"/>
      <c r="CA170" s="91"/>
      <c r="CB170" s="91"/>
      <c r="CC170" s="91"/>
      <c r="CD170" s="91"/>
      <c r="CE170" s="91"/>
      <c r="CF170" s="91"/>
      <c r="CG170" s="91"/>
      <c r="CH170" s="91">
        <f t="shared" si="99"/>
        <v>0</v>
      </c>
      <c r="CI170" s="91"/>
      <c r="CJ170" s="91"/>
      <c r="CK170" s="91"/>
      <c r="CL170" s="91"/>
      <c r="CM170" s="91"/>
      <c r="CN170" s="91"/>
      <c r="CO170" s="91"/>
      <c r="CP170" s="91"/>
      <c r="CQ170" s="91"/>
      <c r="CR170" s="91"/>
      <c r="CS170" s="91">
        <f t="shared" si="85"/>
        <v>0</v>
      </c>
      <c r="CT170" s="91"/>
      <c r="CU170" s="91"/>
      <c r="CV170" s="91"/>
      <c r="CW170" s="91"/>
      <c r="CX170" s="91"/>
      <c r="CY170" s="91"/>
      <c r="CZ170" s="91"/>
      <c r="DA170" s="91"/>
      <c r="DB170" s="91"/>
      <c r="DC170" s="91"/>
      <c r="DD170" s="91">
        <f t="shared" si="90"/>
        <v>0</v>
      </c>
      <c r="DE170" s="91"/>
      <c r="DF170" s="91"/>
      <c r="DG170" s="91"/>
      <c r="DH170" s="91"/>
      <c r="DI170" s="91"/>
      <c r="DJ170" s="91"/>
      <c r="DK170" s="91"/>
      <c r="DL170" s="91"/>
      <c r="DM170" s="91"/>
      <c r="DN170" s="92"/>
      <c r="DO170" s="93">
        <f t="shared" si="100"/>
        <v>500000000</v>
      </c>
    </row>
    <row r="171" spans="1:119" s="225" customFormat="1" ht="141.75" customHeight="1" x14ac:dyDescent="0.2">
      <c r="A171" s="244">
        <v>1</v>
      </c>
      <c r="B171" s="253" t="s">
        <v>19</v>
      </c>
      <c r="C171" s="59" t="s">
        <v>212</v>
      </c>
      <c r="D171" s="59" t="s">
        <v>1642</v>
      </c>
      <c r="E171" s="119">
        <v>1</v>
      </c>
      <c r="F171" s="13">
        <v>2018</v>
      </c>
      <c r="G171" s="59" t="s">
        <v>1199</v>
      </c>
      <c r="H171" s="151">
        <v>1</v>
      </c>
      <c r="I171" s="13">
        <v>41</v>
      </c>
      <c r="J171" s="13" t="s">
        <v>1711</v>
      </c>
      <c r="K171" s="50">
        <v>14</v>
      </c>
      <c r="L171" s="13" t="s">
        <v>1084</v>
      </c>
      <c r="M171" s="244">
        <v>38</v>
      </c>
      <c r="N171" s="247">
        <v>4104</v>
      </c>
      <c r="O171" s="245" t="s">
        <v>1675</v>
      </c>
      <c r="P171" s="13" t="s">
        <v>1228</v>
      </c>
      <c r="Q171" s="48" t="s">
        <v>77</v>
      </c>
      <c r="R171" s="48">
        <v>4104008</v>
      </c>
      <c r="S171" s="59" t="s">
        <v>1229</v>
      </c>
      <c r="T171" s="13" t="s">
        <v>1230</v>
      </c>
      <c r="U171" s="48" t="s">
        <v>77</v>
      </c>
      <c r="V171" s="48">
        <v>410400800</v>
      </c>
      <c r="W171" s="152" t="s">
        <v>1231</v>
      </c>
      <c r="X171" s="88" t="s">
        <v>8</v>
      </c>
      <c r="Y171" s="13">
        <v>12</v>
      </c>
      <c r="Z171" s="13">
        <v>12</v>
      </c>
      <c r="AA171" s="13">
        <v>12</v>
      </c>
      <c r="AB171" s="13">
        <v>12</v>
      </c>
      <c r="AC171" s="13">
        <v>12</v>
      </c>
      <c r="AD171" s="13">
        <v>12</v>
      </c>
      <c r="AE171" s="89">
        <f t="shared" si="98"/>
        <v>4262727592.3899999</v>
      </c>
      <c r="AF171" s="89">
        <f t="shared" si="98"/>
        <v>4266378258.3899999</v>
      </c>
      <c r="AG171" s="89">
        <f t="shared" si="98"/>
        <v>3646316264</v>
      </c>
      <c r="AH171" s="89">
        <f t="shared" si="98"/>
        <v>3646316264</v>
      </c>
      <c r="AI171" s="89">
        <f t="shared" si="98"/>
        <v>0</v>
      </c>
      <c r="AJ171" s="91"/>
      <c r="AK171" s="91">
        <v>4266378258.3899999</v>
      </c>
      <c r="AL171" s="91">
        <v>3646316264</v>
      </c>
      <c r="AM171" s="91">
        <v>3646316264</v>
      </c>
      <c r="AN171" s="91"/>
      <c r="AO171" s="91">
        <v>4262727592.3899999</v>
      </c>
      <c r="AP171" s="91"/>
      <c r="AQ171" s="91"/>
      <c r="AR171" s="91"/>
      <c r="AS171" s="91"/>
      <c r="AT171" s="91"/>
      <c r="AU171" s="91"/>
      <c r="AV171" s="91"/>
      <c r="AW171" s="91"/>
      <c r="AX171" s="91"/>
      <c r="AY171" s="91"/>
      <c r="AZ171" s="91"/>
      <c r="BA171" s="91"/>
      <c r="BB171" s="91"/>
      <c r="BC171" s="91"/>
      <c r="BD171" s="91"/>
      <c r="BE171" s="91"/>
      <c r="BF171" s="91"/>
      <c r="BG171" s="91"/>
      <c r="BH171" s="91"/>
      <c r="BI171" s="91"/>
      <c r="BJ171" s="91"/>
      <c r="BK171" s="91"/>
      <c r="BL171" s="91"/>
      <c r="BM171" s="91"/>
      <c r="BN171" s="91"/>
      <c r="BO171" s="91"/>
      <c r="BP171" s="91"/>
      <c r="BQ171" s="91"/>
      <c r="BR171" s="91"/>
      <c r="BS171" s="91"/>
      <c r="BT171" s="91"/>
      <c r="BU171" s="91"/>
      <c r="BV171" s="91"/>
      <c r="BW171" s="91"/>
      <c r="BX171" s="91"/>
      <c r="BY171" s="91"/>
      <c r="BZ171" s="91"/>
      <c r="CA171" s="91"/>
      <c r="CB171" s="91"/>
      <c r="CC171" s="91"/>
      <c r="CD171" s="91"/>
      <c r="CE171" s="91"/>
      <c r="CF171" s="91"/>
      <c r="CG171" s="91"/>
      <c r="CH171" s="91">
        <f t="shared" si="99"/>
        <v>2732323873</v>
      </c>
      <c r="CI171" s="91"/>
      <c r="CJ171" s="91">
        <v>2732323873</v>
      </c>
      <c r="CK171" s="91"/>
      <c r="CL171" s="91"/>
      <c r="CM171" s="91"/>
      <c r="CN171" s="91"/>
      <c r="CO171" s="91"/>
      <c r="CP171" s="91"/>
      <c r="CQ171" s="91"/>
      <c r="CR171" s="91"/>
      <c r="CS171" s="91">
        <f t="shared" si="85"/>
        <v>3166080288</v>
      </c>
      <c r="CT171" s="91"/>
      <c r="CU171" s="91">
        <v>3166080288</v>
      </c>
      <c r="CV171" s="91"/>
      <c r="CW171" s="91"/>
      <c r="CX171" s="91"/>
      <c r="CY171" s="91"/>
      <c r="CZ171" s="91"/>
      <c r="DA171" s="91"/>
      <c r="DB171" s="91"/>
      <c r="DC171" s="91"/>
      <c r="DD171" s="91">
        <f t="shared" si="90"/>
        <v>3623402997</v>
      </c>
      <c r="DE171" s="91"/>
      <c r="DF171" s="91">
        <v>3623402997</v>
      </c>
      <c r="DG171" s="91"/>
      <c r="DH171" s="91"/>
      <c r="DI171" s="91"/>
      <c r="DJ171" s="91"/>
      <c r="DK171" s="91"/>
      <c r="DL171" s="91"/>
      <c r="DM171" s="91"/>
      <c r="DN171" s="92"/>
      <c r="DO171" s="93">
        <f t="shared" si="100"/>
        <v>13784534750.389999</v>
      </c>
    </row>
    <row r="172" spans="1:119" ht="30.75" customHeight="1" x14ac:dyDescent="0.2">
      <c r="A172" s="244"/>
      <c r="B172" s="253"/>
      <c r="C172" s="94"/>
      <c r="D172" s="59"/>
      <c r="E172" s="55"/>
      <c r="F172" s="13"/>
      <c r="G172" s="59"/>
      <c r="H172" s="55"/>
      <c r="I172" s="13"/>
      <c r="J172" s="13"/>
      <c r="K172" s="50"/>
      <c r="L172" s="13"/>
      <c r="M172" s="96">
        <v>39</v>
      </c>
      <c r="N172" s="96">
        <v>4301</v>
      </c>
      <c r="O172" s="97" t="s">
        <v>1665</v>
      </c>
      <c r="P172" s="96"/>
      <c r="Q172" s="98"/>
      <c r="R172" s="98"/>
      <c r="S172" s="98"/>
      <c r="T172" s="98"/>
      <c r="U172" s="98"/>
      <c r="V172" s="98"/>
      <c r="W172" s="83"/>
      <c r="X172" s="84"/>
      <c r="Y172" s="84"/>
      <c r="Z172" s="84"/>
      <c r="AA172" s="84"/>
      <c r="AB172" s="84"/>
      <c r="AC172" s="84"/>
      <c r="AD172" s="81"/>
      <c r="AE172" s="99">
        <f>SUBTOTAL(9,AE173:AE177)</f>
        <v>6066023251.5</v>
      </c>
      <c r="AF172" s="99">
        <f>SUBTOTAL(9,AF173:AF177)</f>
        <v>6108450956.0699997</v>
      </c>
      <c r="AG172" s="99">
        <f t="shared" ref="AG172:DO172" si="101">SUBTOTAL(9,AG173:AG177)</f>
        <v>4301110983.3099995</v>
      </c>
      <c r="AH172" s="99">
        <f t="shared" si="101"/>
        <v>3665106610.3100004</v>
      </c>
      <c r="AI172" s="99">
        <f t="shared" si="101"/>
        <v>51182812</v>
      </c>
      <c r="AJ172" s="99">
        <f t="shared" si="101"/>
        <v>139000000</v>
      </c>
      <c r="AK172" s="99">
        <f>SUBTOTAL(9,AK173:AK177)</f>
        <v>977810591.28999996</v>
      </c>
      <c r="AL172" s="99">
        <f t="shared" si="101"/>
        <v>514072133.89999998</v>
      </c>
      <c r="AM172" s="99">
        <f t="shared" si="101"/>
        <v>483088367.89999998</v>
      </c>
      <c r="AN172" s="99">
        <f t="shared" si="101"/>
        <v>51182812</v>
      </c>
      <c r="AO172" s="99">
        <f t="shared" si="101"/>
        <v>2427783324.5</v>
      </c>
      <c r="AP172" s="99">
        <f t="shared" si="101"/>
        <v>0</v>
      </c>
      <c r="AQ172" s="99">
        <f t="shared" si="101"/>
        <v>0</v>
      </c>
      <c r="AR172" s="99">
        <f t="shared" si="101"/>
        <v>0</v>
      </c>
      <c r="AS172" s="99">
        <f t="shared" si="101"/>
        <v>0</v>
      </c>
      <c r="AT172" s="99">
        <f t="shared" si="101"/>
        <v>0</v>
      </c>
      <c r="AU172" s="99">
        <f>SUBTOTAL(9,AU173:AU177)</f>
        <v>0</v>
      </c>
      <c r="AV172" s="99">
        <f t="shared" si="101"/>
        <v>0</v>
      </c>
      <c r="AW172" s="99">
        <f t="shared" si="101"/>
        <v>0</v>
      </c>
      <c r="AX172" s="99">
        <f t="shared" si="101"/>
        <v>0</v>
      </c>
      <c r="AY172" s="99">
        <f t="shared" si="101"/>
        <v>0</v>
      </c>
      <c r="AZ172" s="99">
        <f t="shared" si="101"/>
        <v>0</v>
      </c>
      <c r="BA172" s="99">
        <f t="shared" si="101"/>
        <v>0</v>
      </c>
      <c r="BB172" s="99">
        <f t="shared" si="101"/>
        <v>0</v>
      </c>
      <c r="BC172" s="99">
        <f t="shared" si="101"/>
        <v>0</v>
      </c>
      <c r="BD172" s="99">
        <f t="shared" si="101"/>
        <v>0</v>
      </c>
      <c r="BE172" s="99">
        <f>SUBTOTAL(9,BE173:BE177)</f>
        <v>0</v>
      </c>
      <c r="BF172" s="99">
        <f t="shared" si="101"/>
        <v>0</v>
      </c>
      <c r="BG172" s="99">
        <f t="shared" si="101"/>
        <v>0</v>
      </c>
      <c r="BH172" s="99">
        <f t="shared" si="101"/>
        <v>0</v>
      </c>
      <c r="BI172" s="99">
        <f t="shared" si="101"/>
        <v>0</v>
      </c>
      <c r="BJ172" s="99">
        <f t="shared" si="101"/>
        <v>0</v>
      </c>
      <c r="BK172" s="99">
        <f t="shared" si="101"/>
        <v>0</v>
      </c>
      <c r="BL172" s="99">
        <f t="shared" si="101"/>
        <v>0</v>
      </c>
      <c r="BM172" s="99">
        <f t="shared" si="101"/>
        <v>0</v>
      </c>
      <c r="BN172" s="99">
        <f t="shared" si="101"/>
        <v>3449239927</v>
      </c>
      <c r="BO172" s="99">
        <f>SUBTOTAL(9,BO173:BO177)</f>
        <v>1681569326</v>
      </c>
      <c r="BP172" s="99">
        <f t="shared" si="101"/>
        <v>1581472237</v>
      </c>
      <c r="BQ172" s="99">
        <f t="shared" si="101"/>
        <v>976451630</v>
      </c>
      <c r="BR172" s="99">
        <f t="shared" si="101"/>
        <v>0</v>
      </c>
      <c r="BS172" s="99">
        <f t="shared" si="101"/>
        <v>0</v>
      </c>
      <c r="BT172" s="99">
        <f t="shared" si="101"/>
        <v>0</v>
      </c>
      <c r="BU172" s="99">
        <f t="shared" si="101"/>
        <v>0</v>
      </c>
      <c r="BV172" s="99">
        <f t="shared" si="101"/>
        <v>0</v>
      </c>
      <c r="BW172" s="99">
        <f t="shared" si="101"/>
        <v>0</v>
      </c>
      <c r="BX172" s="99">
        <f t="shared" si="101"/>
        <v>0</v>
      </c>
      <c r="BY172" s="99">
        <f>SUBTOTAL(9,BY173:BY177)</f>
        <v>0</v>
      </c>
      <c r="BZ172" s="99">
        <f t="shared" si="101"/>
        <v>0</v>
      </c>
      <c r="CA172" s="99">
        <f t="shared" si="101"/>
        <v>0</v>
      </c>
      <c r="CB172" s="99">
        <f t="shared" si="101"/>
        <v>0</v>
      </c>
      <c r="CC172" s="99">
        <f t="shared" si="101"/>
        <v>50000000</v>
      </c>
      <c r="CD172" s="99">
        <f t="shared" si="101"/>
        <v>3449071038.7799997</v>
      </c>
      <c r="CE172" s="99">
        <f t="shared" si="101"/>
        <v>2205566612.4099998</v>
      </c>
      <c r="CF172" s="99">
        <f t="shared" si="101"/>
        <v>2205566612.4099998</v>
      </c>
      <c r="CG172" s="99">
        <f t="shared" si="101"/>
        <v>0</v>
      </c>
      <c r="CH172" s="99">
        <f t="shared" si="101"/>
        <v>16763304251.327965</v>
      </c>
      <c r="CI172" s="99">
        <f t="shared" si="101"/>
        <v>94325228.900000006</v>
      </c>
      <c r="CJ172" s="99">
        <f t="shared" si="101"/>
        <v>2468684236.4279652</v>
      </c>
      <c r="CK172" s="99">
        <f t="shared" si="101"/>
        <v>0</v>
      </c>
      <c r="CL172" s="99">
        <f t="shared" si="101"/>
        <v>0</v>
      </c>
      <c r="CM172" s="99">
        <f t="shared" si="101"/>
        <v>0</v>
      </c>
      <c r="CN172" s="99">
        <f t="shared" si="101"/>
        <v>0</v>
      </c>
      <c r="CO172" s="99">
        <f t="shared" si="101"/>
        <v>14200294786</v>
      </c>
      <c r="CP172" s="99">
        <f t="shared" si="101"/>
        <v>0</v>
      </c>
      <c r="CQ172" s="99">
        <f t="shared" si="101"/>
        <v>0</v>
      </c>
      <c r="CR172" s="99">
        <f t="shared" si="101"/>
        <v>0</v>
      </c>
      <c r="CS172" s="99">
        <f t="shared" si="101"/>
        <v>7435662198.71</v>
      </c>
      <c r="CT172" s="99">
        <f t="shared" si="101"/>
        <v>98238496.859999999</v>
      </c>
      <c r="CU172" s="99">
        <f t="shared" si="101"/>
        <v>2460053660.8499999</v>
      </c>
      <c r="CV172" s="99">
        <f t="shared" si="101"/>
        <v>0</v>
      </c>
      <c r="CW172" s="99">
        <f t="shared" si="101"/>
        <v>0</v>
      </c>
      <c r="CX172" s="99">
        <f t="shared" si="101"/>
        <v>0</v>
      </c>
      <c r="CY172" s="99">
        <f t="shared" si="101"/>
        <v>0</v>
      </c>
      <c r="CZ172" s="99">
        <f t="shared" si="101"/>
        <v>4877370041</v>
      </c>
      <c r="DA172" s="99">
        <f t="shared" si="101"/>
        <v>0</v>
      </c>
      <c r="DB172" s="99">
        <f t="shared" si="101"/>
        <v>0</v>
      </c>
      <c r="DC172" s="99">
        <f t="shared" si="101"/>
        <v>0</v>
      </c>
      <c r="DD172" s="99">
        <f t="shared" si="101"/>
        <v>11482480812.970001</v>
      </c>
      <c r="DE172" s="99">
        <f t="shared" si="101"/>
        <v>83752734</v>
      </c>
      <c r="DF172" s="99">
        <f t="shared" si="101"/>
        <v>4398728078.9700003</v>
      </c>
      <c r="DG172" s="99">
        <f t="shared" si="101"/>
        <v>0</v>
      </c>
      <c r="DH172" s="99">
        <f t="shared" si="101"/>
        <v>0</v>
      </c>
      <c r="DI172" s="99">
        <f t="shared" si="101"/>
        <v>0</v>
      </c>
      <c r="DJ172" s="99">
        <f t="shared" si="101"/>
        <v>0</v>
      </c>
      <c r="DK172" s="99">
        <f t="shared" si="101"/>
        <v>7000000000</v>
      </c>
      <c r="DL172" s="99">
        <f t="shared" si="101"/>
        <v>0</v>
      </c>
      <c r="DM172" s="99">
        <f t="shared" si="101"/>
        <v>0</v>
      </c>
      <c r="DN172" s="100">
        <f t="shared" si="101"/>
        <v>0</v>
      </c>
      <c r="DO172" s="99">
        <f t="shared" si="101"/>
        <v>41747470514.507965</v>
      </c>
    </row>
    <row r="173" spans="1:119" s="225" customFormat="1" ht="78.75" customHeight="1" x14ac:dyDescent="0.2">
      <c r="A173" s="244">
        <v>1</v>
      </c>
      <c r="B173" s="253" t="s">
        <v>19</v>
      </c>
      <c r="C173" s="59" t="s">
        <v>958</v>
      </c>
      <c r="D173" s="59" t="s">
        <v>1591</v>
      </c>
      <c r="E173" s="119" t="s">
        <v>1592</v>
      </c>
      <c r="F173" s="13" t="s">
        <v>455</v>
      </c>
      <c r="G173" s="59" t="s">
        <v>1593</v>
      </c>
      <c r="H173" s="119" t="s">
        <v>1594</v>
      </c>
      <c r="I173" s="13">
        <v>43</v>
      </c>
      <c r="J173" s="13" t="s">
        <v>1267</v>
      </c>
      <c r="K173" s="50">
        <v>14</v>
      </c>
      <c r="L173" s="13" t="s">
        <v>1084</v>
      </c>
      <c r="M173" s="244">
        <v>39</v>
      </c>
      <c r="N173" s="247">
        <v>4301</v>
      </c>
      <c r="O173" s="245" t="s">
        <v>1665</v>
      </c>
      <c r="P173" s="13" t="s">
        <v>1277</v>
      </c>
      <c r="Q173" s="13">
        <v>4301007</v>
      </c>
      <c r="R173" s="13">
        <v>4301007</v>
      </c>
      <c r="S173" s="59" t="s">
        <v>293</v>
      </c>
      <c r="T173" s="13" t="s">
        <v>1278</v>
      </c>
      <c r="U173" s="13">
        <v>430100701</v>
      </c>
      <c r="V173" s="13">
        <v>430100701</v>
      </c>
      <c r="W173" s="87" t="s">
        <v>1279</v>
      </c>
      <c r="X173" s="88" t="s">
        <v>8</v>
      </c>
      <c r="Y173" s="13">
        <v>12</v>
      </c>
      <c r="Z173" s="13">
        <v>12</v>
      </c>
      <c r="AA173" s="13">
        <v>12</v>
      </c>
      <c r="AB173" s="13">
        <v>12</v>
      </c>
      <c r="AC173" s="13">
        <v>12</v>
      </c>
      <c r="AD173" s="13">
        <v>12</v>
      </c>
      <c r="AE173" s="89">
        <f t="shared" ref="AE173:AF177" si="102">AJ173+AO173+AT173+AY173+BD173+BI173+BN173+BS173+BX173+CC173</f>
        <v>55000000</v>
      </c>
      <c r="AF173" s="89">
        <f t="shared" si="102"/>
        <v>1501325028</v>
      </c>
      <c r="AG173" s="89">
        <f>AL173+AQ173+AV173+BA173+BF173+BK173+BP173+BU173+BZ173+CE173</f>
        <v>1384980490</v>
      </c>
      <c r="AH173" s="89">
        <f t="shared" ref="AH173:AI177" si="103">AM173+AR173+AW173+BB173+BG173+BL173+BQ173+BV173+CA173+CF173</f>
        <v>1384980490</v>
      </c>
      <c r="AI173" s="89">
        <f t="shared" si="103"/>
        <v>0</v>
      </c>
      <c r="AJ173" s="91"/>
      <c r="AK173" s="91"/>
      <c r="AL173" s="91"/>
      <c r="AM173" s="91"/>
      <c r="AN173" s="91"/>
      <c r="AO173" s="91">
        <v>55000000</v>
      </c>
      <c r="AP173" s="91"/>
      <c r="AQ173" s="91"/>
      <c r="AR173" s="91"/>
      <c r="AS173" s="91"/>
      <c r="AT173" s="91"/>
      <c r="AU173" s="91"/>
      <c r="AV173" s="91"/>
      <c r="AW173" s="91"/>
      <c r="AX173" s="91"/>
      <c r="AY173" s="91"/>
      <c r="AZ173" s="91"/>
      <c r="BA173" s="91"/>
      <c r="BB173" s="91"/>
      <c r="BC173" s="91"/>
      <c r="BD173" s="91"/>
      <c r="BE173" s="91"/>
      <c r="BF173" s="91"/>
      <c r="BG173" s="91"/>
      <c r="BH173" s="91"/>
      <c r="BI173" s="91"/>
      <c r="BJ173" s="91"/>
      <c r="BK173" s="91"/>
      <c r="BL173" s="91"/>
      <c r="BM173" s="91"/>
      <c r="BN173" s="91"/>
      <c r="BO173" s="91"/>
      <c r="BP173" s="91"/>
      <c r="BQ173" s="91"/>
      <c r="BR173" s="91"/>
      <c r="BS173" s="91"/>
      <c r="BT173" s="91"/>
      <c r="BU173" s="91"/>
      <c r="BV173" s="91"/>
      <c r="BW173" s="91"/>
      <c r="BX173" s="91"/>
      <c r="BY173" s="91"/>
      <c r="BZ173" s="91"/>
      <c r="CA173" s="91"/>
      <c r="CB173" s="91"/>
      <c r="CC173" s="91"/>
      <c r="CD173" s="91">
        <v>1501325028</v>
      </c>
      <c r="CE173" s="91">
        <v>1384980490</v>
      </c>
      <c r="CF173" s="91">
        <v>1384980490</v>
      </c>
      <c r="CG173" s="91"/>
      <c r="CH173" s="91">
        <f>CI173+CJ173+CK173+CL173+CM173+CN173+CO173+CP173+CQ173+CR173</f>
        <v>48625518</v>
      </c>
      <c r="CI173" s="91"/>
      <c r="CJ173" s="91">
        <v>48625518</v>
      </c>
      <c r="CK173" s="91"/>
      <c r="CL173" s="91"/>
      <c r="CM173" s="91"/>
      <c r="CN173" s="91"/>
      <c r="CO173" s="91"/>
      <c r="CP173" s="91"/>
      <c r="CQ173" s="91"/>
      <c r="CR173" s="91"/>
      <c r="CS173" s="91">
        <v>56344813</v>
      </c>
      <c r="CT173" s="91"/>
      <c r="CU173" s="91">
        <v>56344813</v>
      </c>
      <c r="CV173" s="91"/>
      <c r="CW173" s="91"/>
      <c r="CX173" s="91"/>
      <c r="CY173" s="91"/>
      <c r="CZ173" s="91"/>
      <c r="DA173" s="91"/>
      <c r="DB173" s="91"/>
      <c r="DC173" s="91"/>
      <c r="DD173" s="91">
        <f t="shared" si="90"/>
        <v>64483510</v>
      </c>
      <c r="DE173" s="91"/>
      <c r="DF173" s="91">
        <v>64483510</v>
      </c>
      <c r="DG173" s="91"/>
      <c r="DH173" s="91"/>
      <c r="DI173" s="91"/>
      <c r="DJ173" s="91"/>
      <c r="DK173" s="91"/>
      <c r="DL173" s="91"/>
      <c r="DM173" s="91"/>
      <c r="DN173" s="92"/>
      <c r="DO173" s="93">
        <f>AE173+CH173+CS173+DD173</f>
        <v>224453841</v>
      </c>
    </row>
    <row r="174" spans="1:119" s="225" customFormat="1" ht="94.5" customHeight="1" x14ac:dyDescent="0.2">
      <c r="A174" s="244">
        <v>1</v>
      </c>
      <c r="B174" s="253" t="s">
        <v>19</v>
      </c>
      <c r="C174" s="59" t="s">
        <v>958</v>
      </c>
      <c r="D174" s="59" t="s">
        <v>1591</v>
      </c>
      <c r="E174" s="119" t="s">
        <v>1592</v>
      </c>
      <c r="F174" s="13" t="s">
        <v>455</v>
      </c>
      <c r="G174" s="59" t="s">
        <v>1593</v>
      </c>
      <c r="H174" s="119" t="s">
        <v>1594</v>
      </c>
      <c r="I174" s="13">
        <v>43</v>
      </c>
      <c r="J174" s="13" t="s">
        <v>1267</v>
      </c>
      <c r="K174" s="50">
        <v>14</v>
      </c>
      <c r="L174" s="13" t="s">
        <v>1084</v>
      </c>
      <c r="M174" s="244">
        <v>39</v>
      </c>
      <c r="N174" s="247">
        <v>4301</v>
      </c>
      <c r="O174" s="245" t="s">
        <v>1665</v>
      </c>
      <c r="P174" s="13" t="s">
        <v>1268</v>
      </c>
      <c r="Q174" s="13">
        <v>4301037</v>
      </c>
      <c r="R174" s="13">
        <v>4301037</v>
      </c>
      <c r="S174" s="59" t="s">
        <v>294</v>
      </c>
      <c r="T174" s="13" t="s">
        <v>1275</v>
      </c>
      <c r="U174" s="13">
        <v>430103701</v>
      </c>
      <c r="V174" s="13">
        <v>430103701</v>
      </c>
      <c r="W174" s="87" t="s">
        <v>1276</v>
      </c>
      <c r="X174" s="88" t="s">
        <v>8</v>
      </c>
      <c r="Y174" s="13">
        <v>12</v>
      </c>
      <c r="Z174" s="13">
        <v>12</v>
      </c>
      <c r="AA174" s="13">
        <v>11</v>
      </c>
      <c r="AB174" s="13">
        <v>12</v>
      </c>
      <c r="AC174" s="13">
        <v>12</v>
      </c>
      <c r="AD174" s="13">
        <v>12</v>
      </c>
      <c r="AE174" s="89">
        <f t="shared" si="102"/>
        <v>200000000</v>
      </c>
      <c r="AF174" s="89">
        <f t="shared" si="102"/>
        <v>380758086</v>
      </c>
      <c r="AG174" s="89">
        <f>AL174+AQ174+AV174+BA174+BF174+BK174+BP174+BU174+BZ174+CE174</f>
        <v>38320003</v>
      </c>
      <c r="AH174" s="89">
        <f t="shared" si="103"/>
        <v>38320003</v>
      </c>
      <c r="AI174" s="89">
        <f t="shared" si="103"/>
        <v>0</v>
      </c>
      <c r="AJ174" s="91">
        <v>80000000</v>
      </c>
      <c r="AK174" s="91"/>
      <c r="AL174" s="91"/>
      <c r="AM174" s="91"/>
      <c r="AN174" s="91"/>
      <c r="AO174" s="91">
        <v>120000000</v>
      </c>
      <c r="AP174" s="91"/>
      <c r="AQ174" s="91"/>
      <c r="AR174" s="91"/>
      <c r="AS174" s="91"/>
      <c r="AT174" s="91"/>
      <c r="AU174" s="91"/>
      <c r="AV174" s="91"/>
      <c r="AW174" s="91"/>
      <c r="AX174" s="91"/>
      <c r="AY174" s="91"/>
      <c r="AZ174" s="91"/>
      <c r="BA174" s="91"/>
      <c r="BB174" s="91"/>
      <c r="BC174" s="91"/>
      <c r="BD174" s="91"/>
      <c r="BE174" s="91"/>
      <c r="BF174" s="91"/>
      <c r="BG174" s="91"/>
      <c r="BH174" s="91"/>
      <c r="BI174" s="91"/>
      <c r="BJ174" s="91"/>
      <c r="BK174" s="91"/>
      <c r="BL174" s="91"/>
      <c r="BM174" s="91"/>
      <c r="BN174" s="91"/>
      <c r="BO174" s="91"/>
      <c r="BP174" s="91"/>
      <c r="BQ174" s="91"/>
      <c r="BR174" s="91"/>
      <c r="BS174" s="91"/>
      <c r="BT174" s="91"/>
      <c r="BU174" s="91"/>
      <c r="BV174" s="91"/>
      <c r="BW174" s="91"/>
      <c r="BX174" s="91"/>
      <c r="BY174" s="91"/>
      <c r="BZ174" s="91"/>
      <c r="CA174" s="91"/>
      <c r="CB174" s="91"/>
      <c r="CC174" s="91"/>
      <c r="CD174" s="91">
        <v>380758086</v>
      </c>
      <c r="CE174" s="91">
        <v>38320003</v>
      </c>
      <c r="CF174" s="91">
        <v>38320003</v>
      </c>
      <c r="CG174" s="91"/>
      <c r="CH174" s="91">
        <f>CI174+CJ174+CK174+CL174+CM174+CN174+CO174+CP174+CQ174+CR174</f>
        <v>176820060</v>
      </c>
      <c r="CI174" s="91"/>
      <c r="CJ174" s="91">
        <v>176820060</v>
      </c>
      <c r="CK174" s="91"/>
      <c r="CL174" s="91"/>
      <c r="CM174" s="91"/>
      <c r="CN174" s="91"/>
      <c r="CO174" s="91"/>
      <c r="CP174" s="91"/>
      <c r="CQ174" s="91"/>
      <c r="CR174" s="91"/>
      <c r="CS174" s="91">
        <v>204890245</v>
      </c>
      <c r="CT174" s="91"/>
      <c r="CU174" s="91">
        <v>204890245</v>
      </c>
      <c r="CV174" s="91"/>
      <c r="CW174" s="91"/>
      <c r="CX174" s="91"/>
      <c r="CY174" s="91"/>
      <c r="CZ174" s="91"/>
      <c r="DA174" s="91"/>
      <c r="DB174" s="91"/>
      <c r="DC174" s="91"/>
      <c r="DD174" s="91">
        <f t="shared" si="90"/>
        <v>234485502</v>
      </c>
      <c r="DE174" s="91"/>
      <c r="DF174" s="91">
        <v>234485502</v>
      </c>
      <c r="DG174" s="91"/>
      <c r="DH174" s="91"/>
      <c r="DI174" s="91"/>
      <c r="DJ174" s="91"/>
      <c r="DK174" s="91"/>
      <c r="DL174" s="91"/>
      <c r="DM174" s="91"/>
      <c r="DN174" s="92"/>
      <c r="DO174" s="93">
        <f>AE174+CH174+CS174+DD174</f>
        <v>816195807</v>
      </c>
    </row>
    <row r="175" spans="1:119" s="225" customFormat="1" ht="157.5" customHeight="1" x14ac:dyDescent="0.2">
      <c r="A175" s="244">
        <v>1</v>
      </c>
      <c r="B175" s="253" t="s">
        <v>19</v>
      </c>
      <c r="C175" s="59" t="s">
        <v>958</v>
      </c>
      <c r="D175" s="59" t="s">
        <v>1591</v>
      </c>
      <c r="E175" s="119" t="s">
        <v>1592</v>
      </c>
      <c r="F175" s="13" t="s">
        <v>455</v>
      </c>
      <c r="G175" s="59" t="s">
        <v>1593</v>
      </c>
      <c r="H175" s="119" t="s">
        <v>1594</v>
      </c>
      <c r="I175" s="13">
        <v>43</v>
      </c>
      <c r="J175" s="13" t="s">
        <v>1267</v>
      </c>
      <c r="K175" s="50">
        <v>14</v>
      </c>
      <c r="L175" s="13" t="s">
        <v>1084</v>
      </c>
      <c r="M175" s="244">
        <v>39</v>
      </c>
      <c r="N175" s="247">
        <v>4301</v>
      </c>
      <c r="O175" s="245" t="s">
        <v>1665</v>
      </c>
      <c r="P175" s="48" t="s">
        <v>1268</v>
      </c>
      <c r="Q175" s="48" t="s">
        <v>1269</v>
      </c>
      <c r="R175" s="48" t="s">
        <v>1269</v>
      </c>
      <c r="S175" s="59" t="s">
        <v>294</v>
      </c>
      <c r="T175" s="13" t="s">
        <v>1270</v>
      </c>
      <c r="U175" s="13" t="s">
        <v>1271</v>
      </c>
      <c r="V175" s="13" t="s">
        <v>1271</v>
      </c>
      <c r="W175" s="87" t="s">
        <v>1272</v>
      </c>
      <c r="X175" s="88" t="s">
        <v>8</v>
      </c>
      <c r="Y175" s="13">
        <v>12</v>
      </c>
      <c r="Z175" s="13">
        <v>12</v>
      </c>
      <c r="AA175" s="13">
        <v>12</v>
      </c>
      <c r="AB175" s="13">
        <v>12</v>
      </c>
      <c r="AC175" s="13">
        <v>12</v>
      </c>
      <c r="AD175" s="13">
        <v>12</v>
      </c>
      <c r="AE175" s="89">
        <f t="shared" si="102"/>
        <v>245552853</v>
      </c>
      <c r="AF175" s="89">
        <f t="shared" si="102"/>
        <v>1107417594.78</v>
      </c>
      <c r="AG175" s="89">
        <f>AL175+AQ175+AV175+BA175+BF175+BK175+BP175+BU175+BZ175+CE175</f>
        <v>475318635</v>
      </c>
      <c r="AH175" s="89">
        <f t="shared" si="103"/>
        <v>475318635</v>
      </c>
      <c r="AI175" s="89">
        <f t="shared" si="103"/>
        <v>0</v>
      </c>
      <c r="AJ175" s="91">
        <v>59000000</v>
      </c>
      <c r="AK175" s="91"/>
      <c r="AL175" s="91"/>
      <c r="AM175" s="91"/>
      <c r="AN175" s="91"/>
      <c r="AO175" s="91">
        <v>186552853</v>
      </c>
      <c r="AP175" s="91"/>
      <c r="AQ175" s="91"/>
      <c r="AR175" s="91"/>
      <c r="AS175" s="91"/>
      <c r="AT175" s="91"/>
      <c r="AU175" s="91"/>
      <c r="AV175" s="91"/>
      <c r="AW175" s="91"/>
      <c r="AX175" s="91"/>
      <c r="AY175" s="91"/>
      <c r="AZ175" s="91"/>
      <c r="BA175" s="91"/>
      <c r="BB175" s="91"/>
      <c r="BC175" s="91"/>
      <c r="BD175" s="91"/>
      <c r="BE175" s="91"/>
      <c r="BF175" s="91"/>
      <c r="BG175" s="91"/>
      <c r="BH175" s="91"/>
      <c r="BI175" s="91"/>
      <c r="BJ175" s="91"/>
      <c r="BK175" s="91"/>
      <c r="BL175" s="91"/>
      <c r="BM175" s="91"/>
      <c r="BN175" s="91"/>
      <c r="BO175" s="91"/>
      <c r="BP175" s="91"/>
      <c r="BQ175" s="91"/>
      <c r="BR175" s="91"/>
      <c r="BS175" s="91"/>
      <c r="BT175" s="91"/>
      <c r="BU175" s="91"/>
      <c r="BV175" s="91"/>
      <c r="BW175" s="91"/>
      <c r="BX175" s="91"/>
      <c r="BY175" s="91"/>
      <c r="BZ175" s="91"/>
      <c r="CA175" s="91"/>
      <c r="CB175" s="91"/>
      <c r="CC175" s="91"/>
      <c r="CD175" s="91">
        <v>1107417594.78</v>
      </c>
      <c r="CE175" s="91">
        <v>475318635</v>
      </c>
      <c r="CF175" s="91">
        <v>475318635</v>
      </c>
      <c r="CG175" s="91"/>
      <c r="CH175" s="91">
        <f>CI175+CJ175+CK175+CL175+CM175+CN175+CO175+CP175+CQ175+CR175</f>
        <v>275829644.89999998</v>
      </c>
      <c r="CI175" s="91">
        <v>94325228.900000006</v>
      </c>
      <c r="CJ175" s="91">
        <v>181504416</v>
      </c>
      <c r="CK175" s="91"/>
      <c r="CL175" s="91"/>
      <c r="CM175" s="91"/>
      <c r="CN175" s="91"/>
      <c r="CO175" s="91"/>
      <c r="CP175" s="91"/>
      <c r="CQ175" s="91"/>
      <c r="CR175" s="91"/>
      <c r="CS175" s="91">
        <v>308556740.86000001</v>
      </c>
      <c r="CT175" s="91">
        <v>98238496.859999999</v>
      </c>
      <c r="CU175" s="91">
        <v>210318244</v>
      </c>
      <c r="CV175" s="91"/>
      <c r="CW175" s="91"/>
      <c r="CX175" s="91"/>
      <c r="CY175" s="91"/>
      <c r="CZ175" s="91"/>
      <c r="DA175" s="91"/>
      <c r="DB175" s="91"/>
      <c r="DC175" s="91"/>
      <c r="DD175" s="91">
        <f t="shared" si="90"/>
        <v>324450279</v>
      </c>
      <c r="DE175" s="91">
        <v>83752734</v>
      </c>
      <c r="DF175" s="91">
        <v>240697545</v>
      </c>
      <c r="DG175" s="91"/>
      <c r="DH175" s="91"/>
      <c r="DI175" s="91"/>
      <c r="DJ175" s="91"/>
      <c r="DK175" s="91"/>
      <c r="DL175" s="91"/>
      <c r="DM175" s="91"/>
      <c r="DN175" s="92"/>
      <c r="DO175" s="93">
        <f>AE175+CH175+CS175+DD175</f>
        <v>1154389517.76</v>
      </c>
    </row>
    <row r="176" spans="1:119" s="225" customFormat="1" ht="189" customHeight="1" x14ac:dyDescent="0.2">
      <c r="A176" s="244">
        <v>1</v>
      </c>
      <c r="B176" s="253" t="s">
        <v>19</v>
      </c>
      <c r="C176" s="59" t="s">
        <v>958</v>
      </c>
      <c r="D176" s="59" t="s">
        <v>1591</v>
      </c>
      <c r="E176" s="119" t="s">
        <v>1592</v>
      </c>
      <c r="F176" s="13" t="s">
        <v>455</v>
      </c>
      <c r="G176" s="59" t="s">
        <v>1593</v>
      </c>
      <c r="H176" s="119" t="s">
        <v>1594</v>
      </c>
      <c r="I176" s="13">
        <v>43</v>
      </c>
      <c r="J176" s="13" t="s">
        <v>1267</v>
      </c>
      <c r="K176" s="50">
        <v>14</v>
      </c>
      <c r="L176" s="13" t="s">
        <v>1084</v>
      </c>
      <c r="M176" s="244">
        <v>39</v>
      </c>
      <c r="N176" s="247">
        <v>4301</v>
      </c>
      <c r="O176" s="245" t="s">
        <v>1665</v>
      </c>
      <c r="P176" s="13" t="s">
        <v>1273</v>
      </c>
      <c r="Q176" s="13" t="s">
        <v>77</v>
      </c>
      <c r="R176" s="13" t="s">
        <v>1697</v>
      </c>
      <c r="S176" s="59" t="s">
        <v>295</v>
      </c>
      <c r="T176" s="13" t="s">
        <v>1274</v>
      </c>
      <c r="U176" s="13" t="s">
        <v>77</v>
      </c>
      <c r="V176" s="13" t="s">
        <v>1698</v>
      </c>
      <c r="W176" s="87" t="s">
        <v>1654</v>
      </c>
      <c r="X176" s="88" t="s">
        <v>8</v>
      </c>
      <c r="Y176" s="13">
        <v>1</v>
      </c>
      <c r="Z176" s="13">
        <v>1</v>
      </c>
      <c r="AA176" s="13">
        <v>0.3</v>
      </c>
      <c r="AB176" s="13">
        <v>1</v>
      </c>
      <c r="AC176" s="13">
        <v>1</v>
      </c>
      <c r="AD176" s="13">
        <v>1</v>
      </c>
      <c r="AE176" s="89">
        <f t="shared" si="102"/>
        <v>75000000</v>
      </c>
      <c r="AF176" s="89">
        <f t="shared" si="102"/>
        <v>87000000</v>
      </c>
      <c r="AG176" s="89">
        <f>AL176+AQ176+AV176+BA176+BF176+BK176+BP176+BU176+BZ176+CE176</f>
        <v>38361384</v>
      </c>
      <c r="AH176" s="89">
        <f t="shared" si="103"/>
        <v>38361384</v>
      </c>
      <c r="AI176" s="89">
        <f t="shared" si="103"/>
        <v>0</v>
      </c>
      <c r="AJ176" s="91"/>
      <c r="AK176" s="91"/>
      <c r="AL176" s="91"/>
      <c r="AM176" s="91"/>
      <c r="AN176" s="91"/>
      <c r="AO176" s="91">
        <v>25000000</v>
      </c>
      <c r="AP176" s="91"/>
      <c r="AQ176" s="91"/>
      <c r="AR176" s="91"/>
      <c r="AS176" s="91"/>
      <c r="AT176" s="91"/>
      <c r="AU176" s="91"/>
      <c r="AV176" s="91"/>
      <c r="AW176" s="91"/>
      <c r="AX176" s="91"/>
      <c r="AY176" s="91"/>
      <c r="AZ176" s="91"/>
      <c r="BA176" s="91"/>
      <c r="BB176" s="91"/>
      <c r="BC176" s="91"/>
      <c r="BD176" s="91"/>
      <c r="BE176" s="91"/>
      <c r="BF176" s="91"/>
      <c r="BG176" s="91"/>
      <c r="BH176" s="91"/>
      <c r="BI176" s="91"/>
      <c r="BJ176" s="91"/>
      <c r="BK176" s="91"/>
      <c r="BL176" s="91"/>
      <c r="BM176" s="91"/>
      <c r="BN176" s="91"/>
      <c r="BO176" s="91"/>
      <c r="BP176" s="91"/>
      <c r="BQ176" s="91"/>
      <c r="BR176" s="91"/>
      <c r="BS176" s="91"/>
      <c r="BT176" s="91"/>
      <c r="BU176" s="91"/>
      <c r="BV176" s="91"/>
      <c r="BW176" s="91"/>
      <c r="BX176" s="91"/>
      <c r="BY176" s="91"/>
      <c r="BZ176" s="91"/>
      <c r="CA176" s="91"/>
      <c r="CB176" s="91"/>
      <c r="CC176" s="91">
        <v>50000000</v>
      </c>
      <c r="CD176" s="91">
        <v>87000000</v>
      </c>
      <c r="CE176" s="91">
        <v>38361384</v>
      </c>
      <c r="CF176" s="91">
        <v>38361384</v>
      </c>
      <c r="CG176" s="91"/>
      <c r="CH176" s="91">
        <f>CI176+CJ176+CK176+CL176+CM176+CN176+CO176+CP176+CQ176+CR176</f>
        <v>26178127</v>
      </c>
      <c r="CI176" s="91"/>
      <c r="CJ176" s="91">
        <v>26178127</v>
      </c>
      <c r="CK176" s="91"/>
      <c r="CL176" s="91"/>
      <c r="CM176" s="91"/>
      <c r="CN176" s="91"/>
      <c r="CO176" s="91"/>
      <c r="CP176" s="91"/>
      <c r="CQ176" s="91"/>
      <c r="CR176" s="91"/>
      <c r="CS176" s="91">
        <v>30333904</v>
      </c>
      <c r="CT176" s="91"/>
      <c r="CU176" s="91">
        <v>30333904</v>
      </c>
      <c r="CV176" s="91"/>
      <c r="CW176" s="91"/>
      <c r="CX176" s="91"/>
      <c r="CY176" s="91"/>
      <c r="CZ176" s="91"/>
      <c r="DA176" s="91"/>
      <c r="DB176" s="91"/>
      <c r="DC176" s="91"/>
      <c r="DD176" s="91">
        <f t="shared" si="90"/>
        <v>34715468</v>
      </c>
      <c r="DE176" s="91"/>
      <c r="DF176" s="91">
        <v>34715468</v>
      </c>
      <c r="DG176" s="91"/>
      <c r="DH176" s="91"/>
      <c r="DI176" s="91"/>
      <c r="DJ176" s="91"/>
      <c r="DK176" s="91"/>
      <c r="DL176" s="91"/>
      <c r="DM176" s="91"/>
      <c r="DN176" s="92"/>
      <c r="DO176" s="93">
        <f>AE176+CH176+CS176+DD176</f>
        <v>166227499</v>
      </c>
    </row>
    <row r="177" spans="1:123" s="225" customFormat="1" ht="126" customHeight="1" x14ac:dyDescent="0.2">
      <c r="A177" s="244">
        <v>1</v>
      </c>
      <c r="B177" s="253" t="s">
        <v>19</v>
      </c>
      <c r="C177" s="94" t="s">
        <v>334</v>
      </c>
      <c r="D177" s="59" t="s">
        <v>28</v>
      </c>
      <c r="E177" s="119" t="s">
        <v>1280</v>
      </c>
      <c r="F177" s="13" t="s">
        <v>475</v>
      </c>
      <c r="G177" s="59" t="s">
        <v>1266</v>
      </c>
      <c r="H177" s="119" t="s">
        <v>1281</v>
      </c>
      <c r="I177" s="13">
        <v>43</v>
      </c>
      <c r="J177" s="13" t="s">
        <v>1267</v>
      </c>
      <c r="K177" s="50">
        <v>4</v>
      </c>
      <c r="L177" s="13" t="s">
        <v>1267</v>
      </c>
      <c r="M177" s="244">
        <v>39</v>
      </c>
      <c r="N177" s="247">
        <v>4301</v>
      </c>
      <c r="O177" s="245" t="s">
        <v>1665</v>
      </c>
      <c r="P177" s="13" t="s">
        <v>1282</v>
      </c>
      <c r="Q177" s="48" t="s">
        <v>77</v>
      </c>
      <c r="R177" s="48">
        <v>4301004</v>
      </c>
      <c r="S177" s="94" t="s">
        <v>1666</v>
      </c>
      <c r="T177" s="13" t="s">
        <v>1283</v>
      </c>
      <c r="U177" s="48" t="s">
        <v>77</v>
      </c>
      <c r="V177" s="48">
        <v>430100401</v>
      </c>
      <c r="W177" s="95" t="s">
        <v>1667</v>
      </c>
      <c r="X177" s="88" t="s">
        <v>9</v>
      </c>
      <c r="Y177" s="13">
        <v>12</v>
      </c>
      <c r="Z177" s="13">
        <v>3</v>
      </c>
      <c r="AA177" s="13">
        <f>3+5</f>
        <v>8</v>
      </c>
      <c r="AB177" s="13">
        <v>3</v>
      </c>
      <c r="AC177" s="13">
        <v>3</v>
      </c>
      <c r="AD177" s="13">
        <v>3</v>
      </c>
      <c r="AE177" s="89">
        <f t="shared" si="102"/>
        <v>5490470398.5</v>
      </c>
      <c r="AF177" s="89">
        <f t="shared" si="102"/>
        <v>3031950247.29</v>
      </c>
      <c r="AG177" s="89">
        <f>AL177+AQ177+AV177+BA177+BF177+BK177+BP177+BU177+BZ177+CE177</f>
        <v>2364130471.3099999</v>
      </c>
      <c r="AH177" s="89">
        <f t="shared" si="103"/>
        <v>1728126098.3100002</v>
      </c>
      <c r="AI177" s="89">
        <f t="shared" si="103"/>
        <v>51182812</v>
      </c>
      <c r="AJ177" s="91"/>
      <c r="AK177" s="91">
        <v>977810591.28999996</v>
      </c>
      <c r="AL177" s="91">
        <v>514072133.89999998</v>
      </c>
      <c r="AM177" s="91">
        <v>483088367.89999998</v>
      </c>
      <c r="AN177" s="91">
        <v>51182812</v>
      </c>
      <c r="AO177" s="91">
        <f>1668660141.5+372570330</f>
        <v>2041230471.5</v>
      </c>
      <c r="AP177" s="91"/>
      <c r="AQ177" s="91"/>
      <c r="AR177" s="91"/>
      <c r="AS177" s="91"/>
      <c r="AT177" s="91"/>
      <c r="AU177" s="91"/>
      <c r="AV177" s="91"/>
      <c r="AW177" s="91"/>
      <c r="AX177" s="91"/>
      <c r="AY177" s="91"/>
      <c r="AZ177" s="91"/>
      <c r="BA177" s="91"/>
      <c r="BB177" s="91"/>
      <c r="BC177" s="91"/>
      <c r="BD177" s="91"/>
      <c r="BE177" s="91"/>
      <c r="BF177" s="91"/>
      <c r="BG177" s="91"/>
      <c r="BH177" s="91"/>
      <c r="BI177" s="91"/>
      <c r="BJ177" s="91"/>
      <c r="BK177" s="91"/>
      <c r="BL177" s="91"/>
      <c r="BM177" s="91"/>
      <c r="BN177" s="91">
        <v>3449239927</v>
      </c>
      <c r="BO177" s="91">
        <v>1681569326</v>
      </c>
      <c r="BP177" s="91">
        <v>1581472237</v>
      </c>
      <c r="BQ177" s="91">
        <v>976451630</v>
      </c>
      <c r="BR177" s="91"/>
      <c r="BS177" s="91"/>
      <c r="BT177" s="91"/>
      <c r="BU177" s="91"/>
      <c r="BV177" s="91"/>
      <c r="BW177" s="91"/>
      <c r="BX177" s="91"/>
      <c r="BY177" s="91"/>
      <c r="BZ177" s="91"/>
      <c r="CA177" s="91"/>
      <c r="CB177" s="91"/>
      <c r="CC177" s="91"/>
      <c r="CD177" s="91">
        <v>372570330</v>
      </c>
      <c r="CE177" s="91">
        <v>268586100.41000003</v>
      </c>
      <c r="CF177" s="91">
        <v>268586100.41000003</v>
      </c>
      <c r="CG177" s="91"/>
      <c r="CH177" s="91">
        <f>CI177+CJ177+CK177+CL177+CM177+CN177+CO177+CP177+CQ177+CR177</f>
        <v>16235850901.427965</v>
      </c>
      <c r="CI177" s="91"/>
      <c r="CJ177" s="91">
        <f>1640158959+395397156.427965</f>
        <v>2035556115.4279649</v>
      </c>
      <c r="CK177" s="91"/>
      <c r="CL177" s="91"/>
      <c r="CM177" s="91"/>
      <c r="CN177" s="91"/>
      <c r="CO177" s="91">
        <v>14200294786</v>
      </c>
      <c r="CP177" s="91"/>
      <c r="CQ177" s="91"/>
      <c r="CR177" s="91"/>
      <c r="CS177" s="91">
        <f>6377370041+458166454.85</f>
        <v>6835536495.8500004</v>
      </c>
      <c r="CT177" s="91"/>
      <c r="CU177" s="91">
        <f>1500000000+458166454.85</f>
        <v>1958166454.8499999</v>
      </c>
      <c r="CV177" s="91"/>
      <c r="CW177" s="91"/>
      <c r="CX177" s="91"/>
      <c r="CY177" s="91"/>
      <c r="CZ177" s="91">
        <v>4877370041</v>
      </c>
      <c r="DA177" s="91"/>
      <c r="DB177" s="91"/>
      <c r="DC177" s="91"/>
      <c r="DD177" s="91">
        <f t="shared" si="90"/>
        <v>10824346053.970001</v>
      </c>
      <c r="DE177" s="91"/>
      <c r="DF177" s="91">
        <f>3300000000+524346053.97</f>
        <v>3824346053.9700003</v>
      </c>
      <c r="DG177" s="91"/>
      <c r="DH177" s="91"/>
      <c r="DI177" s="91"/>
      <c r="DJ177" s="91"/>
      <c r="DK177" s="91">
        <v>7000000000</v>
      </c>
      <c r="DL177" s="91"/>
      <c r="DM177" s="91"/>
      <c r="DN177" s="92"/>
      <c r="DO177" s="93">
        <f>AE177+CH177+CS177+DD177</f>
        <v>39386203849.747963</v>
      </c>
    </row>
    <row r="178" spans="1:123" ht="15.75" customHeight="1" x14ac:dyDescent="0.2">
      <c r="A178" s="244"/>
      <c r="B178" s="253"/>
      <c r="C178" s="94"/>
      <c r="D178" s="59"/>
      <c r="E178" s="55"/>
      <c r="F178" s="13"/>
      <c r="G178" s="59"/>
      <c r="H178" s="55"/>
      <c r="I178" s="13"/>
      <c r="J178" s="13"/>
      <c r="K178" s="50"/>
      <c r="L178" s="13"/>
      <c r="M178" s="96">
        <v>40</v>
      </c>
      <c r="N178" s="96">
        <v>4302</v>
      </c>
      <c r="O178" s="97" t="s">
        <v>29</v>
      </c>
      <c r="P178" s="96"/>
      <c r="Q178" s="98"/>
      <c r="R178" s="98"/>
      <c r="S178" s="98"/>
      <c r="T178" s="98"/>
      <c r="U178" s="98"/>
      <c r="V178" s="98"/>
      <c r="W178" s="83"/>
      <c r="X178" s="83"/>
      <c r="Y178" s="83"/>
      <c r="Z178" s="83"/>
      <c r="AA178" s="83"/>
      <c r="AB178" s="83"/>
      <c r="AC178" s="83"/>
      <c r="AD178" s="83"/>
      <c r="AE178" s="99">
        <f>SUBTOTAL(9,AE179:AE181)</f>
        <v>2491885403.6500001</v>
      </c>
      <c r="AF178" s="99">
        <f>SUBTOTAL(9,AF179:AF181)</f>
        <v>1329713916.5799999</v>
      </c>
      <c r="AG178" s="99">
        <f t="shared" ref="AG178:DO178" si="104">SUBTOTAL(9,AG179:AG181)</f>
        <v>791137707</v>
      </c>
      <c r="AH178" s="99">
        <f t="shared" si="104"/>
        <v>791137707</v>
      </c>
      <c r="AI178" s="99">
        <f t="shared" si="104"/>
        <v>0</v>
      </c>
      <c r="AJ178" s="99">
        <f t="shared" si="104"/>
        <v>573825727</v>
      </c>
      <c r="AK178" s="99">
        <f>SUBTOTAL(9,AK179:AK181)</f>
        <v>64725314.580000043</v>
      </c>
      <c r="AL178" s="99">
        <f t="shared" si="104"/>
        <v>0</v>
      </c>
      <c r="AM178" s="99">
        <f t="shared" si="104"/>
        <v>0</v>
      </c>
      <c r="AN178" s="99">
        <f t="shared" si="104"/>
        <v>0</v>
      </c>
      <c r="AO178" s="99">
        <f t="shared" si="104"/>
        <v>1918059676.6500001</v>
      </c>
      <c r="AP178" s="99">
        <f t="shared" si="104"/>
        <v>0</v>
      </c>
      <c r="AQ178" s="99">
        <f t="shared" si="104"/>
        <v>0</v>
      </c>
      <c r="AR178" s="99">
        <f t="shared" si="104"/>
        <v>0</v>
      </c>
      <c r="AS178" s="99">
        <f t="shared" si="104"/>
        <v>0</v>
      </c>
      <c r="AT178" s="99">
        <f t="shared" si="104"/>
        <v>0</v>
      </c>
      <c r="AU178" s="99">
        <f>SUBTOTAL(9,AU179:AU181)</f>
        <v>0</v>
      </c>
      <c r="AV178" s="99">
        <f t="shared" si="104"/>
        <v>0</v>
      </c>
      <c r="AW178" s="99">
        <f t="shared" si="104"/>
        <v>0</v>
      </c>
      <c r="AX178" s="99">
        <f t="shared" si="104"/>
        <v>0</v>
      </c>
      <c r="AY178" s="99">
        <f t="shared" si="104"/>
        <v>0</v>
      </c>
      <c r="AZ178" s="99">
        <f t="shared" si="104"/>
        <v>0</v>
      </c>
      <c r="BA178" s="99">
        <f t="shared" si="104"/>
        <v>0</v>
      </c>
      <c r="BB178" s="99">
        <f t="shared" si="104"/>
        <v>0</v>
      </c>
      <c r="BC178" s="99">
        <f t="shared" si="104"/>
        <v>0</v>
      </c>
      <c r="BD178" s="99">
        <f t="shared" si="104"/>
        <v>0</v>
      </c>
      <c r="BE178" s="99">
        <f>SUBTOTAL(9,BE179:BE181)</f>
        <v>0</v>
      </c>
      <c r="BF178" s="99">
        <f t="shared" si="104"/>
        <v>0</v>
      </c>
      <c r="BG178" s="99">
        <f t="shared" si="104"/>
        <v>0</v>
      </c>
      <c r="BH178" s="99">
        <f t="shared" si="104"/>
        <v>0</v>
      </c>
      <c r="BI178" s="99">
        <f t="shared" si="104"/>
        <v>0</v>
      </c>
      <c r="BJ178" s="99">
        <f t="shared" si="104"/>
        <v>0</v>
      </c>
      <c r="BK178" s="99">
        <f t="shared" si="104"/>
        <v>0</v>
      </c>
      <c r="BL178" s="99">
        <f t="shared" si="104"/>
        <v>0</v>
      </c>
      <c r="BM178" s="99">
        <f t="shared" si="104"/>
        <v>0</v>
      </c>
      <c r="BN178" s="99">
        <f t="shared" si="104"/>
        <v>0</v>
      </c>
      <c r="BO178" s="99">
        <f>SUBTOTAL(9,BO179:BO181)</f>
        <v>0</v>
      </c>
      <c r="BP178" s="99">
        <f t="shared" si="104"/>
        <v>0</v>
      </c>
      <c r="BQ178" s="99">
        <f t="shared" si="104"/>
        <v>0</v>
      </c>
      <c r="BR178" s="99">
        <f t="shared" si="104"/>
        <v>0</v>
      </c>
      <c r="BS178" s="99">
        <f t="shared" si="104"/>
        <v>0</v>
      </c>
      <c r="BT178" s="99">
        <f t="shared" si="104"/>
        <v>0</v>
      </c>
      <c r="BU178" s="99">
        <f t="shared" si="104"/>
        <v>0</v>
      </c>
      <c r="BV178" s="99">
        <f t="shared" si="104"/>
        <v>0</v>
      </c>
      <c r="BW178" s="99">
        <f t="shared" si="104"/>
        <v>0</v>
      </c>
      <c r="BX178" s="99">
        <f t="shared" si="104"/>
        <v>0</v>
      </c>
      <c r="BY178" s="99">
        <f>SUBTOTAL(9,BY179:BY181)</f>
        <v>0</v>
      </c>
      <c r="BZ178" s="99">
        <f t="shared" si="104"/>
        <v>0</v>
      </c>
      <c r="CA178" s="99">
        <f t="shared" si="104"/>
        <v>0</v>
      </c>
      <c r="CB178" s="99">
        <f t="shared" si="104"/>
        <v>0</v>
      </c>
      <c r="CC178" s="99">
        <f t="shared" si="104"/>
        <v>0</v>
      </c>
      <c r="CD178" s="99">
        <f t="shared" si="104"/>
        <v>1264988602</v>
      </c>
      <c r="CE178" s="99">
        <f t="shared" si="104"/>
        <v>791137707</v>
      </c>
      <c r="CF178" s="99">
        <f t="shared" si="104"/>
        <v>791137707</v>
      </c>
      <c r="CG178" s="99">
        <f t="shared" si="104"/>
        <v>0</v>
      </c>
      <c r="CH178" s="99">
        <f t="shared" si="104"/>
        <v>5328980277.25</v>
      </c>
      <c r="CI178" s="99">
        <f t="shared" si="104"/>
        <v>586526727.25</v>
      </c>
      <c r="CJ178" s="99">
        <f t="shared" si="104"/>
        <v>742453550</v>
      </c>
      <c r="CK178" s="99">
        <f t="shared" si="104"/>
        <v>0</v>
      </c>
      <c r="CL178" s="99">
        <f t="shared" si="104"/>
        <v>0</v>
      </c>
      <c r="CM178" s="99">
        <f t="shared" si="104"/>
        <v>0</v>
      </c>
      <c r="CN178" s="99">
        <f t="shared" si="104"/>
        <v>0</v>
      </c>
      <c r="CO178" s="99">
        <f t="shared" si="104"/>
        <v>4000000000</v>
      </c>
      <c r="CP178" s="99">
        <f t="shared" si="104"/>
        <v>0</v>
      </c>
      <c r="CQ178" s="99">
        <f t="shared" si="104"/>
        <v>0</v>
      </c>
      <c r="CR178" s="99">
        <f t="shared" si="104"/>
        <v>0</v>
      </c>
      <c r="CS178" s="99">
        <f t="shared" si="104"/>
        <v>1425732841.1399999</v>
      </c>
      <c r="CT178" s="99">
        <f t="shared" si="104"/>
        <v>688630592.13999999</v>
      </c>
      <c r="CU178" s="99">
        <f t="shared" si="104"/>
        <v>737102249</v>
      </c>
      <c r="CV178" s="99">
        <f t="shared" si="104"/>
        <v>0</v>
      </c>
      <c r="CW178" s="99">
        <f t="shared" si="104"/>
        <v>0</v>
      </c>
      <c r="CX178" s="99">
        <f t="shared" si="104"/>
        <v>0</v>
      </c>
      <c r="CY178" s="99">
        <f t="shared" si="104"/>
        <v>0</v>
      </c>
      <c r="CZ178" s="99">
        <f t="shared" si="104"/>
        <v>0</v>
      </c>
      <c r="DA178" s="99">
        <f t="shared" si="104"/>
        <v>0</v>
      </c>
      <c r="DB178" s="99">
        <f t="shared" si="104"/>
        <v>0</v>
      </c>
      <c r="DC178" s="99">
        <f t="shared" si="104"/>
        <v>0</v>
      </c>
      <c r="DD178" s="99">
        <f t="shared" si="104"/>
        <v>1352898767</v>
      </c>
      <c r="DE178" s="99">
        <f t="shared" si="104"/>
        <v>814881749</v>
      </c>
      <c r="DF178" s="99">
        <f t="shared" si="104"/>
        <v>538017018</v>
      </c>
      <c r="DG178" s="99">
        <f t="shared" si="104"/>
        <v>0</v>
      </c>
      <c r="DH178" s="99">
        <f t="shared" si="104"/>
        <v>0</v>
      </c>
      <c r="DI178" s="99">
        <f t="shared" si="104"/>
        <v>0</v>
      </c>
      <c r="DJ178" s="99">
        <f t="shared" si="104"/>
        <v>0</v>
      </c>
      <c r="DK178" s="99">
        <f t="shared" si="104"/>
        <v>0</v>
      </c>
      <c r="DL178" s="99">
        <f t="shared" si="104"/>
        <v>0</v>
      </c>
      <c r="DM178" s="99">
        <f t="shared" si="104"/>
        <v>0</v>
      </c>
      <c r="DN178" s="100">
        <f t="shared" si="104"/>
        <v>0</v>
      </c>
      <c r="DO178" s="99">
        <f t="shared" si="104"/>
        <v>10599497289.039999</v>
      </c>
    </row>
    <row r="179" spans="1:123" s="225" customFormat="1" ht="102.75" customHeight="1" x14ac:dyDescent="0.2">
      <c r="A179" s="244">
        <v>1</v>
      </c>
      <c r="B179" s="253" t="s">
        <v>19</v>
      </c>
      <c r="C179" s="94" t="s">
        <v>334</v>
      </c>
      <c r="D179" s="59" t="s">
        <v>28</v>
      </c>
      <c r="E179" s="119" t="s">
        <v>1280</v>
      </c>
      <c r="F179" s="13" t="s">
        <v>475</v>
      </c>
      <c r="G179" s="59" t="s">
        <v>1266</v>
      </c>
      <c r="H179" s="119" t="s">
        <v>1281</v>
      </c>
      <c r="I179" s="13">
        <v>43</v>
      </c>
      <c r="J179" s="13" t="s">
        <v>1267</v>
      </c>
      <c r="K179" s="50">
        <v>4</v>
      </c>
      <c r="L179" s="13" t="s">
        <v>1267</v>
      </c>
      <c r="M179" s="244">
        <v>40</v>
      </c>
      <c r="N179" s="247">
        <v>4302</v>
      </c>
      <c r="O179" s="245" t="s">
        <v>29</v>
      </c>
      <c r="P179" s="48" t="s">
        <v>1290</v>
      </c>
      <c r="Q179" s="48">
        <v>4302020</v>
      </c>
      <c r="R179" s="48">
        <v>4302020</v>
      </c>
      <c r="S179" s="94" t="s">
        <v>30</v>
      </c>
      <c r="T179" s="48" t="s">
        <v>1291</v>
      </c>
      <c r="U179" s="48">
        <v>430202000</v>
      </c>
      <c r="V179" s="48">
        <v>430202000</v>
      </c>
      <c r="W179" s="95" t="s">
        <v>30</v>
      </c>
      <c r="X179" s="88" t="s">
        <v>9</v>
      </c>
      <c r="Y179" s="13">
        <v>1</v>
      </c>
      <c r="Z179" s="13">
        <v>0.25</v>
      </c>
      <c r="AA179" s="13">
        <v>0</v>
      </c>
      <c r="AB179" s="13">
        <v>0.25</v>
      </c>
      <c r="AC179" s="13">
        <v>0.25</v>
      </c>
      <c r="AD179" s="13">
        <v>0.25</v>
      </c>
      <c r="AE179" s="89">
        <f t="shared" ref="AE179:AF181" si="105">AJ179+AO179+AT179+AY179+BD179+BI179+BN179+BS179+BX179+CC179</f>
        <v>1668660141.6500001</v>
      </c>
      <c r="AF179" s="89">
        <f t="shared" si="105"/>
        <v>64725314.580000043</v>
      </c>
      <c r="AG179" s="89">
        <f>AL179+AQ179+AV179+BA179+BF179+BK179+BP179+BU179+BZ179+CE179</f>
        <v>0</v>
      </c>
      <c r="AH179" s="89">
        <f t="shared" ref="AH179:AI181" si="106">AM179+AR179+AW179+BB179+BG179+BL179+BQ179+BV179+CA179+CF179</f>
        <v>0</v>
      </c>
      <c r="AI179" s="89">
        <f t="shared" si="106"/>
        <v>0</v>
      </c>
      <c r="AJ179" s="91"/>
      <c r="AK179" s="91">
        <v>64725314.580000043</v>
      </c>
      <c r="AL179" s="91"/>
      <c r="AM179" s="91"/>
      <c r="AN179" s="91"/>
      <c r="AO179" s="91">
        <v>1668660141.6500001</v>
      </c>
      <c r="AP179" s="91"/>
      <c r="AQ179" s="91"/>
      <c r="AR179" s="91"/>
      <c r="AS179" s="91"/>
      <c r="AT179" s="91"/>
      <c r="AU179" s="91"/>
      <c r="AV179" s="91"/>
      <c r="AW179" s="91"/>
      <c r="AX179" s="91"/>
      <c r="AY179" s="91"/>
      <c r="AZ179" s="91"/>
      <c r="BA179" s="91"/>
      <c r="BB179" s="91"/>
      <c r="BC179" s="91"/>
      <c r="BD179" s="91"/>
      <c r="BE179" s="91"/>
      <c r="BF179" s="91"/>
      <c r="BG179" s="91"/>
      <c r="BH179" s="91"/>
      <c r="BI179" s="91"/>
      <c r="BJ179" s="91"/>
      <c r="BK179" s="91"/>
      <c r="BL179" s="91"/>
      <c r="BM179" s="91"/>
      <c r="BN179" s="91"/>
      <c r="BO179" s="91"/>
      <c r="BP179" s="91"/>
      <c r="BQ179" s="91"/>
      <c r="BR179" s="91"/>
      <c r="BS179" s="91"/>
      <c r="BT179" s="91"/>
      <c r="BU179" s="91"/>
      <c r="BV179" s="91"/>
      <c r="BW179" s="91"/>
      <c r="BX179" s="91"/>
      <c r="BY179" s="91"/>
      <c r="BZ179" s="91"/>
      <c r="CA179" s="91"/>
      <c r="CB179" s="91"/>
      <c r="CC179" s="91"/>
      <c r="CD179" s="91"/>
      <c r="CE179" s="91"/>
      <c r="CF179" s="91"/>
      <c r="CG179" s="91"/>
      <c r="CH179" s="91">
        <f>CI179+CJ179+CK179+CL179+CM179+CN179+CO179+CP179+CQ179+CR179</f>
        <v>4512484175</v>
      </c>
      <c r="CI179" s="91"/>
      <c r="CJ179" s="91">
        <v>512484175</v>
      </c>
      <c r="CK179" s="91"/>
      <c r="CL179" s="91"/>
      <c r="CM179" s="91"/>
      <c r="CN179" s="91"/>
      <c r="CO179" s="91">
        <v>4000000000</v>
      </c>
      <c r="CP179" s="91"/>
      <c r="CQ179" s="91"/>
      <c r="CR179" s="91"/>
      <c r="CS179" s="91">
        <f>CT179+CU179+CV179+CW179+CX179+CY179+CZ179+DA179+DB179+DC179</f>
        <v>470625231</v>
      </c>
      <c r="CT179" s="91"/>
      <c r="CU179" s="91">
        <v>470625231</v>
      </c>
      <c r="CV179" s="91"/>
      <c r="CW179" s="91"/>
      <c r="CX179" s="91"/>
      <c r="CY179" s="91"/>
      <c r="CZ179" s="91"/>
      <c r="DA179" s="91"/>
      <c r="DB179" s="91"/>
      <c r="DC179" s="91"/>
      <c r="DD179" s="91">
        <f t="shared" si="90"/>
        <v>233048876</v>
      </c>
      <c r="DE179" s="91"/>
      <c r="DF179" s="91">
        <v>233048876</v>
      </c>
      <c r="DG179" s="91"/>
      <c r="DH179" s="91"/>
      <c r="DI179" s="91"/>
      <c r="DJ179" s="91"/>
      <c r="DK179" s="91"/>
      <c r="DL179" s="91"/>
      <c r="DM179" s="91"/>
      <c r="DN179" s="92"/>
      <c r="DO179" s="93">
        <f>AE179+CH179+CS179+DD179</f>
        <v>6884818423.6499996</v>
      </c>
    </row>
    <row r="180" spans="1:123" s="225" customFormat="1" ht="60.75" customHeight="1" x14ac:dyDescent="0.2">
      <c r="A180" s="244">
        <v>1</v>
      </c>
      <c r="B180" s="253" t="s">
        <v>19</v>
      </c>
      <c r="C180" s="59" t="s">
        <v>958</v>
      </c>
      <c r="D180" s="105" t="s">
        <v>1651</v>
      </c>
      <c r="E180" s="119" t="s">
        <v>1652</v>
      </c>
      <c r="F180" s="13" t="s">
        <v>1010</v>
      </c>
      <c r="G180" s="59" t="s">
        <v>1284</v>
      </c>
      <c r="H180" s="119" t="s">
        <v>1653</v>
      </c>
      <c r="I180" s="13">
        <v>43</v>
      </c>
      <c r="J180" s="13" t="s">
        <v>1267</v>
      </c>
      <c r="K180" s="50">
        <v>14</v>
      </c>
      <c r="L180" s="13" t="s">
        <v>1084</v>
      </c>
      <c r="M180" s="244">
        <v>40</v>
      </c>
      <c r="N180" s="247">
        <v>4302</v>
      </c>
      <c r="O180" s="245" t="s">
        <v>29</v>
      </c>
      <c r="P180" s="48" t="s">
        <v>1285</v>
      </c>
      <c r="Q180" s="13">
        <v>4302075</v>
      </c>
      <c r="R180" s="13">
        <v>4302075</v>
      </c>
      <c r="S180" s="59" t="s">
        <v>296</v>
      </c>
      <c r="T180" s="48" t="s">
        <v>1286</v>
      </c>
      <c r="U180" s="13">
        <v>430207500</v>
      </c>
      <c r="V180" s="13">
        <v>430207500</v>
      </c>
      <c r="W180" s="87" t="s">
        <v>1287</v>
      </c>
      <c r="X180" s="88" t="s">
        <v>8</v>
      </c>
      <c r="Y180" s="13">
        <v>25</v>
      </c>
      <c r="Z180" s="13">
        <v>25</v>
      </c>
      <c r="AA180" s="13">
        <v>26</v>
      </c>
      <c r="AB180" s="13">
        <v>25</v>
      </c>
      <c r="AC180" s="13">
        <v>25</v>
      </c>
      <c r="AD180" s="13">
        <v>25</v>
      </c>
      <c r="AE180" s="89">
        <f t="shared" si="105"/>
        <v>793225262</v>
      </c>
      <c r="AF180" s="89">
        <f t="shared" si="105"/>
        <v>1234988602</v>
      </c>
      <c r="AG180" s="89">
        <f>AL180+AQ180+AV180+BA180+BF180+BK180+BP180+BU180+BZ180+CE180</f>
        <v>778887707</v>
      </c>
      <c r="AH180" s="89">
        <f t="shared" si="106"/>
        <v>778887707</v>
      </c>
      <c r="AI180" s="89">
        <f t="shared" si="106"/>
        <v>0</v>
      </c>
      <c r="AJ180" s="91">
        <v>543825727</v>
      </c>
      <c r="AK180" s="91"/>
      <c r="AL180" s="91"/>
      <c r="AM180" s="91"/>
      <c r="AN180" s="91"/>
      <c r="AO180" s="91">
        <v>249399535</v>
      </c>
      <c r="AP180" s="91"/>
      <c r="AQ180" s="91"/>
      <c r="AR180" s="91"/>
      <c r="AS180" s="91"/>
      <c r="AT180" s="91"/>
      <c r="AU180" s="91"/>
      <c r="AV180" s="91"/>
      <c r="AW180" s="91"/>
      <c r="AX180" s="91"/>
      <c r="AY180" s="91"/>
      <c r="AZ180" s="91"/>
      <c r="BA180" s="91"/>
      <c r="BB180" s="91"/>
      <c r="BC180" s="91"/>
      <c r="BD180" s="91"/>
      <c r="BE180" s="91"/>
      <c r="BF180" s="91"/>
      <c r="BG180" s="91"/>
      <c r="BH180" s="91"/>
      <c r="BI180" s="91"/>
      <c r="BJ180" s="91"/>
      <c r="BK180" s="91"/>
      <c r="BL180" s="91"/>
      <c r="BM180" s="91"/>
      <c r="BN180" s="91"/>
      <c r="BO180" s="91"/>
      <c r="BP180" s="91"/>
      <c r="BQ180" s="91"/>
      <c r="BR180" s="91"/>
      <c r="BS180" s="91"/>
      <c r="BT180" s="91"/>
      <c r="BU180" s="91"/>
      <c r="BV180" s="91"/>
      <c r="BW180" s="91"/>
      <c r="BX180" s="91"/>
      <c r="BY180" s="91"/>
      <c r="BZ180" s="91"/>
      <c r="CA180" s="91"/>
      <c r="CB180" s="91"/>
      <c r="CC180" s="91"/>
      <c r="CD180" s="91">
        <v>1234988602</v>
      </c>
      <c r="CE180" s="91">
        <v>778887707</v>
      </c>
      <c r="CF180" s="91">
        <v>778887707</v>
      </c>
      <c r="CG180" s="91"/>
      <c r="CH180" s="91">
        <f>CI180+CJ180+CK180+CL180+CM180+CN180+CO180+CP180+CQ180+CR180</f>
        <v>791223719.25</v>
      </c>
      <c r="CI180" s="91">
        <v>561254344.25</v>
      </c>
      <c r="CJ180" s="91">
        <v>229969375</v>
      </c>
      <c r="CK180" s="91"/>
      <c r="CL180" s="91"/>
      <c r="CM180" s="91"/>
      <c r="CN180" s="91"/>
      <c r="CO180" s="91"/>
      <c r="CP180" s="91"/>
      <c r="CQ180" s="91"/>
      <c r="CR180" s="91"/>
      <c r="CS180" s="91">
        <f>CT180+CU180+CV180+CW180+CX180+CY180+CZ180+DA180+DB180+DC180</f>
        <v>924810015.13999999</v>
      </c>
      <c r="CT180" s="91">
        <v>658332997.13999999</v>
      </c>
      <c r="CU180" s="91">
        <v>266477018</v>
      </c>
      <c r="CV180" s="91"/>
      <c r="CW180" s="91"/>
      <c r="CX180" s="91"/>
      <c r="CY180" s="91"/>
      <c r="CZ180" s="91"/>
      <c r="DA180" s="91"/>
      <c r="DB180" s="91"/>
      <c r="DC180" s="91"/>
      <c r="DD180" s="91">
        <f t="shared" si="90"/>
        <v>1077254617</v>
      </c>
      <c r="DE180" s="91">
        <v>772286475</v>
      </c>
      <c r="DF180" s="91">
        <v>304968142</v>
      </c>
      <c r="DG180" s="91"/>
      <c r="DH180" s="91"/>
      <c r="DI180" s="91"/>
      <c r="DJ180" s="91"/>
      <c r="DK180" s="91"/>
      <c r="DL180" s="91"/>
      <c r="DM180" s="91"/>
      <c r="DN180" s="92"/>
      <c r="DO180" s="93">
        <f>AE180+CH180+CS180+DD180</f>
        <v>3586513613.3899999</v>
      </c>
    </row>
    <row r="181" spans="1:123" s="225" customFormat="1" ht="60" customHeight="1" x14ac:dyDescent="0.2">
      <c r="A181" s="244">
        <v>1</v>
      </c>
      <c r="B181" s="253" t="s">
        <v>19</v>
      </c>
      <c r="C181" s="59" t="s">
        <v>958</v>
      </c>
      <c r="D181" s="105" t="s">
        <v>1651</v>
      </c>
      <c r="E181" s="119" t="s">
        <v>1652</v>
      </c>
      <c r="F181" s="13" t="s">
        <v>1010</v>
      </c>
      <c r="G181" s="59" t="s">
        <v>1284</v>
      </c>
      <c r="H181" s="119" t="s">
        <v>1653</v>
      </c>
      <c r="I181" s="13">
        <v>43</v>
      </c>
      <c r="J181" s="13" t="s">
        <v>1267</v>
      </c>
      <c r="K181" s="50">
        <v>14</v>
      </c>
      <c r="L181" s="13" t="s">
        <v>1084</v>
      </c>
      <c r="M181" s="244">
        <v>40</v>
      </c>
      <c r="N181" s="247">
        <v>4302</v>
      </c>
      <c r="O181" s="245" t="s">
        <v>29</v>
      </c>
      <c r="P181" s="48" t="s">
        <v>1285</v>
      </c>
      <c r="Q181" s="13">
        <v>4302075</v>
      </c>
      <c r="R181" s="13" t="s">
        <v>1699</v>
      </c>
      <c r="S181" s="59" t="s">
        <v>296</v>
      </c>
      <c r="T181" s="48" t="s">
        <v>1288</v>
      </c>
      <c r="U181" s="13" t="s">
        <v>77</v>
      </c>
      <c r="V181" s="13" t="s">
        <v>1700</v>
      </c>
      <c r="W181" s="87" t="s">
        <v>1289</v>
      </c>
      <c r="X181" s="88" t="s">
        <v>8</v>
      </c>
      <c r="Y181" s="13">
        <v>1</v>
      </c>
      <c r="Z181" s="13">
        <v>1</v>
      </c>
      <c r="AA181" s="13">
        <v>1</v>
      </c>
      <c r="AB181" s="13">
        <v>1</v>
      </c>
      <c r="AC181" s="13">
        <v>1</v>
      </c>
      <c r="AD181" s="13">
        <v>1</v>
      </c>
      <c r="AE181" s="89">
        <f t="shared" si="105"/>
        <v>30000000</v>
      </c>
      <c r="AF181" s="89">
        <f t="shared" si="105"/>
        <v>30000000</v>
      </c>
      <c r="AG181" s="89">
        <f>AL181+AQ181+AV181+BA181+BF181+BK181+BP181+BU181+BZ181+CE181</f>
        <v>12250000</v>
      </c>
      <c r="AH181" s="89">
        <f t="shared" si="106"/>
        <v>12250000</v>
      </c>
      <c r="AI181" s="89">
        <f t="shared" si="106"/>
        <v>0</v>
      </c>
      <c r="AJ181" s="91">
        <v>30000000</v>
      </c>
      <c r="AK181" s="91"/>
      <c r="AL181" s="91"/>
      <c r="AM181" s="91"/>
      <c r="AN181" s="91"/>
      <c r="AO181" s="91"/>
      <c r="AP181" s="91"/>
      <c r="AQ181" s="91"/>
      <c r="AR181" s="91"/>
      <c r="AS181" s="91"/>
      <c r="AT181" s="91"/>
      <c r="AU181" s="91"/>
      <c r="AV181" s="91"/>
      <c r="AW181" s="91"/>
      <c r="AX181" s="91"/>
      <c r="AY181" s="91"/>
      <c r="AZ181" s="91"/>
      <c r="BA181" s="91"/>
      <c r="BB181" s="91"/>
      <c r="BC181" s="91"/>
      <c r="BD181" s="91"/>
      <c r="BE181" s="91"/>
      <c r="BF181" s="91"/>
      <c r="BG181" s="91"/>
      <c r="BH181" s="91"/>
      <c r="BI181" s="91"/>
      <c r="BJ181" s="91"/>
      <c r="BK181" s="91"/>
      <c r="BL181" s="91"/>
      <c r="BM181" s="91"/>
      <c r="BN181" s="91"/>
      <c r="BO181" s="91"/>
      <c r="BP181" s="91"/>
      <c r="BQ181" s="91"/>
      <c r="BR181" s="91"/>
      <c r="BS181" s="91"/>
      <c r="BT181" s="91"/>
      <c r="BU181" s="91"/>
      <c r="BV181" s="91"/>
      <c r="BW181" s="91"/>
      <c r="BX181" s="91"/>
      <c r="BY181" s="91"/>
      <c r="BZ181" s="91"/>
      <c r="CA181" s="91"/>
      <c r="CB181" s="91"/>
      <c r="CC181" s="91"/>
      <c r="CD181" s="91">
        <v>30000000</v>
      </c>
      <c r="CE181" s="91">
        <v>12250000</v>
      </c>
      <c r="CF181" s="91">
        <v>12250000</v>
      </c>
      <c r="CG181" s="91"/>
      <c r="CH181" s="91">
        <f>CI181+CJ181+CK181+CL181+CM181+CN181+CO181+CP181+CQ181+CR181</f>
        <v>25272383</v>
      </c>
      <c r="CI181" s="91">
        <v>25272383</v>
      </c>
      <c r="CJ181" s="91"/>
      <c r="CK181" s="91"/>
      <c r="CL181" s="91"/>
      <c r="CM181" s="91"/>
      <c r="CN181" s="91"/>
      <c r="CO181" s="91"/>
      <c r="CP181" s="91"/>
      <c r="CQ181" s="91"/>
      <c r="CR181" s="91"/>
      <c r="CS181" s="91">
        <f>CT181+CU181+CV181+CW181+CX181+CY181+CZ181+DA181+DB181+DC181</f>
        <v>30297595</v>
      </c>
      <c r="CT181" s="91">
        <v>30297595</v>
      </c>
      <c r="CU181" s="91"/>
      <c r="CV181" s="91"/>
      <c r="CW181" s="91"/>
      <c r="CX181" s="91"/>
      <c r="CY181" s="91"/>
      <c r="CZ181" s="91"/>
      <c r="DA181" s="91"/>
      <c r="DB181" s="91"/>
      <c r="DC181" s="91"/>
      <c r="DD181" s="91">
        <f t="shared" si="90"/>
        <v>42595274</v>
      </c>
      <c r="DE181" s="91">
        <v>42595274</v>
      </c>
      <c r="DF181" s="91"/>
      <c r="DG181" s="91"/>
      <c r="DH181" s="91"/>
      <c r="DI181" s="91"/>
      <c r="DJ181" s="91"/>
      <c r="DK181" s="91"/>
      <c r="DL181" s="91"/>
      <c r="DM181" s="91"/>
      <c r="DN181" s="92"/>
      <c r="DO181" s="93">
        <f>AE181+CH181+CS181+DD181</f>
        <v>128165252</v>
      </c>
    </row>
    <row r="182" spans="1:123" ht="27" customHeight="1" x14ac:dyDescent="0.2">
      <c r="A182" s="244"/>
      <c r="B182" s="253"/>
      <c r="C182" s="94"/>
      <c r="D182" s="41"/>
      <c r="E182" s="55"/>
      <c r="F182" s="13"/>
      <c r="G182" s="59"/>
      <c r="H182" s="55"/>
      <c r="I182" s="13"/>
      <c r="J182" s="13"/>
      <c r="K182" s="50"/>
      <c r="L182" s="13"/>
      <c r="M182" s="96">
        <v>41</v>
      </c>
      <c r="N182" s="96">
        <v>4501</v>
      </c>
      <c r="O182" s="97" t="s">
        <v>79</v>
      </c>
      <c r="P182" s="96"/>
      <c r="Q182" s="98"/>
      <c r="R182" s="98"/>
      <c r="S182" s="98"/>
      <c r="T182" s="98"/>
      <c r="U182" s="98"/>
      <c r="V182" s="98"/>
      <c r="W182" s="83"/>
      <c r="X182" s="84"/>
      <c r="Y182" s="84"/>
      <c r="Z182" s="84"/>
      <c r="AA182" s="84"/>
      <c r="AB182" s="84"/>
      <c r="AC182" s="84"/>
      <c r="AD182" s="81"/>
      <c r="AE182" s="99">
        <f>SUBTOTAL(9,AE183:AE184)</f>
        <v>5525536946.8599997</v>
      </c>
      <c r="AF182" s="99">
        <f t="shared" ref="AF182:BJ182" si="107">SUBTOTAL(9,AF183:AF184)</f>
        <v>2267073558.0099998</v>
      </c>
      <c r="AG182" s="99">
        <f t="shared" si="107"/>
        <v>256745722</v>
      </c>
      <c r="AH182" s="99">
        <f t="shared" si="107"/>
        <v>256745722</v>
      </c>
      <c r="AI182" s="99">
        <f t="shared" si="107"/>
        <v>468686528</v>
      </c>
      <c r="AJ182" s="99">
        <f t="shared" si="107"/>
        <v>96923000</v>
      </c>
      <c r="AK182" s="99">
        <f t="shared" si="107"/>
        <v>2267073558.0099998</v>
      </c>
      <c r="AL182" s="99">
        <f t="shared" si="107"/>
        <v>256745722</v>
      </c>
      <c r="AM182" s="99">
        <f t="shared" si="107"/>
        <v>256745722</v>
      </c>
      <c r="AN182" s="99">
        <f t="shared" si="107"/>
        <v>468686528</v>
      </c>
      <c r="AO182" s="99">
        <f t="shared" si="107"/>
        <v>5428613946.8599997</v>
      </c>
      <c r="AP182" s="99">
        <f t="shared" si="107"/>
        <v>0</v>
      </c>
      <c r="AQ182" s="99">
        <f t="shared" si="107"/>
        <v>0</v>
      </c>
      <c r="AR182" s="99">
        <f t="shared" si="107"/>
        <v>0</v>
      </c>
      <c r="AS182" s="99">
        <f t="shared" si="107"/>
        <v>0</v>
      </c>
      <c r="AT182" s="99">
        <f t="shared" si="107"/>
        <v>0</v>
      </c>
      <c r="AU182" s="99">
        <f t="shared" si="107"/>
        <v>0</v>
      </c>
      <c r="AV182" s="99">
        <f t="shared" si="107"/>
        <v>0</v>
      </c>
      <c r="AW182" s="99">
        <f t="shared" si="107"/>
        <v>0</v>
      </c>
      <c r="AX182" s="99">
        <f t="shared" si="107"/>
        <v>0</v>
      </c>
      <c r="AY182" s="99">
        <f t="shared" si="107"/>
        <v>0</v>
      </c>
      <c r="AZ182" s="99">
        <f t="shared" si="107"/>
        <v>0</v>
      </c>
      <c r="BA182" s="99">
        <f t="shared" si="107"/>
        <v>0</v>
      </c>
      <c r="BB182" s="99">
        <f t="shared" si="107"/>
        <v>0</v>
      </c>
      <c r="BC182" s="99">
        <f t="shared" si="107"/>
        <v>0</v>
      </c>
      <c r="BD182" s="99">
        <f t="shared" si="107"/>
        <v>0</v>
      </c>
      <c r="BE182" s="99">
        <f t="shared" si="107"/>
        <v>0</v>
      </c>
      <c r="BF182" s="99">
        <f t="shared" si="107"/>
        <v>0</v>
      </c>
      <c r="BG182" s="99">
        <f t="shared" si="107"/>
        <v>0</v>
      </c>
      <c r="BH182" s="99">
        <f t="shared" si="107"/>
        <v>0</v>
      </c>
      <c r="BI182" s="99">
        <f t="shared" si="107"/>
        <v>0</v>
      </c>
      <c r="BJ182" s="99">
        <f t="shared" si="107"/>
        <v>0</v>
      </c>
      <c r="BK182" s="99">
        <f t="shared" ref="BK182:CP182" si="108">SUBTOTAL(9,BK183:BK184)</f>
        <v>0</v>
      </c>
      <c r="BL182" s="99">
        <f t="shared" si="108"/>
        <v>0</v>
      </c>
      <c r="BM182" s="99">
        <f t="shared" si="108"/>
        <v>0</v>
      </c>
      <c r="BN182" s="99">
        <f t="shared" si="108"/>
        <v>0</v>
      </c>
      <c r="BO182" s="99">
        <f t="shared" si="108"/>
        <v>0</v>
      </c>
      <c r="BP182" s="99">
        <f t="shared" si="108"/>
        <v>0</v>
      </c>
      <c r="BQ182" s="99">
        <f t="shared" si="108"/>
        <v>0</v>
      </c>
      <c r="BR182" s="99">
        <f t="shared" si="108"/>
        <v>0</v>
      </c>
      <c r="BS182" s="99">
        <f t="shared" si="108"/>
        <v>0</v>
      </c>
      <c r="BT182" s="99">
        <f t="shared" si="108"/>
        <v>0</v>
      </c>
      <c r="BU182" s="99">
        <f t="shared" si="108"/>
        <v>0</v>
      </c>
      <c r="BV182" s="99">
        <f t="shared" si="108"/>
        <v>0</v>
      </c>
      <c r="BW182" s="99">
        <f t="shared" si="108"/>
        <v>0</v>
      </c>
      <c r="BX182" s="99">
        <f t="shared" si="108"/>
        <v>0</v>
      </c>
      <c r="BY182" s="99">
        <f t="shared" si="108"/>
        <v>0</v>
      </c>
      <c r="BZ182" s="99">
        <f t="shared" si="108"/>
        <v>0</v>
      </c>
      <c r="CA182" s="99">
        <f t="shared" si="108"/>
        <v>0</v>
      </c>
      <c r="CB182" s="99">
        <f t="shared" si="108"/>
        <v>0</v>
      </c>
      <c r="CC182" s="99">
        <f t="shared" si="108"/>
        <v>0</v>
      </c>
      <c r="CD182" s="99">
        <f t="shared" si="108"/>
        <v>0</v>
      </c>
      <c r="CE182" s="99">
        <f t="shared" si="108"/>
        <v>0</v>
      </c>
      <c r="CF182" s="99">
        <f t="shared" si="108"/>
        <v>0</v>
      </c>
      <c r="CG182" s="99">
        <f t="shared" si="108"/>
        <v>0</v>
      </c>
      <c r="CH182" s="99">
        <f t="shared" si="108"/>
        <v>1277127499.95</v>
      </c>
      <c r="CI182" s="99">
        <f t="shared" si="108"/>
        <v>5164901.95</v>
      </c>
      <c r="CJ182" s="99">
        <f t="shared" si="108"/>
        <v>1271962598</v>
      </c>
      <c r="CK182" s="99">
        <f t="shared" si="108"/>
        <v>0</v>
      </c>
      <c r="CL182" s="99">
        <f t="shared" si="108"/>
        <v>0</v>
      </c>
      <c r="CM182" s="99">
        <f t="shared" si="108"/>
        <v>0</v>
      </c>
      <c r="CN182" s="99">
        <f t="shared" si="108"/>
        <v>0</v>
      </c>
      <c r="CO182" s="99">
        <f t="shared" si="108"/>
        <v>0</v>
      </c>
      <c r="CP182" s="99">
        <f t="shared" si="108"/>
        <v>0</v>
      </c>
      <c r="CQ182" s="99">
        <f t="shared" ref="CQ182:DO182" si="109">SUBTOTAL(9,CQ183:CQ184)</f>
        <v>0</v>
      </c>
      <c r="CR182" s="99">
        <f t="shared" si="109"/>
        <v>0</v>
      </c>
      <c r="CS182" s="99">
        <f t="shared" si="109"/>
        <v>1564611778.8399999</v>
      </c>
      <c r="CT182" s="99">
        <f t="shared" si="109"/>
        <v>90725118.840000004</v>
      </c>
      <c r="CU182" s="99">
        <f t="shared" si="109"/>
        <v>1473886660</v>
      </c>
      <c r="CV182" s="99">
        <f t="shared" si="109"/>
        <v>0</v>
      </c>
      <c r="CW182" s="99">
        <f t="shared" si="109"/>
        <v>0</v>
      </c>
      <c r="CX182" s="99">
        <f t="shared" si="109"/>
        <v>0</v>
      </c>
      <c r="CY182" s="99">
        <f t="shared" si="109"/>
        <v>0</v>
      </c>
      <c r="CZ182" s="99">
        <f t="shared" si="109"/>
        <v>0</v>
      </c>
      <c r="DA182" s="99">
        <f t="shared" si="109"/>
        <v>0</v>
      </c>
      <c r="DB182" s="99">
        <f t="shared" si="109"/>
        <v>0</v>
      </c>
      <c r="DC182" s="99">
        <f t="shared" si="109"/>
        <v>0</v>
      </c>
      <c r="DD182" s="99">
        <f t="shared" si="109"/>
        <v>1968963456.8699999</v>
      </c>
      <c r="DE182" s="99">
        <f t="shared" si="109"/>
        <v>282182056.87</v>
      </c>
      <c r="DF182" s="99">
        <f t="shared" si="109"/>
        <v>1686781400</v>
      </c>
      <c r="DG182" s="99">
        <f t="shared" si="109"/>
        <v>0</v>
      </c>
      <c r="DH182" s="99">
        <f t="shared" si="109"/>
        <v>0</v>
      </c>
      <c r="DI182" s="99">
        <f t="shared" si="109"/>
        <v>0</v>
      </c>
      <c r="DJ182" s="99">
        <f t="shared" si="109"/>
        <v>0</v>
      </c>
      <c r="DK182" s="99">
        <f t="shared" si="109"/>
        <v>0</v>
      </c>
      <c r="DL182" s="99">
        <f t="shared" si="109"/>
        <v>0</v>
      </c>
      <c r="DM182" s="99">
        <f t="shared" si="109"/>
        <v>0</v>
      </c>
      <c r="DN182" s="100">
        <f t="shared" si="109"/>
        <v>0</v>
      </c>
      <c r="DO182" s="99">
        <f t="shared" si="109"/>
        <v>10336239682.52</v>
      </c>
    </row>
    <row r="183" spans="1:123" s="225" customFormat="1" ht="189" customHeight="1" x14ac:dyDescent="0.2">
      <c r="A183" s="244">
        <v>1</v>
      </c>
      <c r="B183" s="253" t="s">
        <v>19</v>
      </c>
      <c r="C183" s="59" t="s">
        <v>324</v>
      </c>
      <c r="D183" s="59" t="s">
        <v>21</v>
      </c>
      <c r="E183" s="55" t="s">
        <v>325</v>
      </c>
      <c r="F183" s="13" t="s">
        <v>326</v>
      </c>
      <c r="G183" s="59" t="s">
        <v>327</v>
      </c>
      <c r="H183" s="55" t="s">
        <v>328</v>
      </c>
      <c r="I183" s="13">
        <v>45</v>
      </c>
      <c r="J183" s="13" t="s">
        <v>1294</v>
      </c>
      <c r="K183" s="50">
        <v>16</v>
      </c>
      <c r="L183" s="13" t="s">
        <v>398</v>
      </c>
      <c r="M183" s="244">
        <v>45</v>
      </c>
      <c r="N183" s="244">
        <v>4501</v>
      </c>
      <c r="O183" s="245" t="s">
        <v>79</v>
      </c>
      <c r="P183" s="101" t="s">
        <v>1305</v>
      </c>
      <c r="Q183" s="13">
        <v>4501001</v>
      </c>
      <c r="R183" s="13">
        <v>4501001</v>
      </c>
      <c r="S183" s="59" t="s">
        <v>83</v>
      </c>
      <c r="T183" s="112" t="s">
        <v>1306</v>
      </c>
      <c r="U183" s="13">
        <v>450100100</v>
      </c>
      <c r="V183" s="13">
        <v>450100100</v>
      </c>
      <c r="W183" s="87" t="s">
        <v>1713</v>
      </c>
      <c r="X183" s="88" t="s">
        <v>8</v>
      </c>
      <c r="Y183" s="13">
        <v>12</v>
      </c>
      <c r="Z183" s="13">
        <v>12</v>
      </c>
      <c r="AA183" s="13">
        <v>12</v>
      </c>
      <c r="AB183" s="13">
        <v>12</v>
      </c>
      <c r="AC183" s="13">
        <v>12</v>
      </c>
      <c r="AD183" s="13">
        <v>12</v>
      </c>
      <c r="AE183" s="89">
        <f t="shared" ref="AE183:AI184" si="110">AJ183+AO183+AT183+AY183+BD183+BI183+BN183+BS183+BX183+CC183</f>
        <v>96923000</v>
      </c>
      <c r="AF183" s="89">
        <f t="shared" si="110"/>
        <v>75000000</v>
      </c>
      <c r="AG183" s="89">
        <f t="shared" si="110"/>
        <v>40220000</v>
      </c>
      <c r="AH183" s="89">
        <f t="shared" si="110"/>
        <v>40220000</v>
      </c>
      <c r="AI183" s="89">
        <f t="shared" si="110"/>
        <v>0</v>
      </c>
      <c r="AJ183" s="91">
        <v>96923000</v>
      </c>
      <c r="AK183" s="91">
        <v>75000000</v>
      </c>
      <c r="AL183" s="91">
        <v>40220000</v>
      </c>
      <c r="AM183" s="91">
        <v>40220000</v>
      </c>
      <c r="AN183" s="91"/>
      <c r="AO183" s="91"/>
      <c r="AP183" s="91"/>
      <c r="AQ183" s="91"/>
      <c r="AR183" s="91"/>
      <c r="AS183" s="91"/>
      <c r="AT183" s="91"/>
      <c r="AU183" s="91"/>
      <c r="AV183" s="91"/>
      <c r="AW183" s="91"/>
      <c r="AX183" s="91"/>
      <c r="AY183" s="91"/>
      <c r="AZ183" s="91"/>
      <c r="BA183" s="91"/>
      <c r="BB183" s="91"/>
      <c r="BC183" s="91"/>
      <c r="BD183" s="91"/>
      <c r="BE183" s="91"/>
      <c r="BF183" s="91"/>
      <c r="BG183" s="91"/>
      <c r="BH183" s="91"/>
      <c r="BI183" s="91"/>
      <c r="BJ183" s="91"/>
      <c r="BK183" s="91"/>
      <c r="BL183" s="91"/>
      <c r="BM183" s="91"/>
      <c r="BN183" s="91"/>
      <c r="BO183" s="91"/>
      <c r="BP183" s="91"/>
      <c r="BQ183" s="91"/>
      <c r="BR183" s="91"/>
      <c r="BS183" s="91"/>
      <c r="BT183" s="91"/>
      <c r="BU183" s="91"/>
      <c r="BV183" s="91"/>
      <c r="BW183" s="91"/>
      <c r="BX183" s="91"/>
      <c r="BY183" s="91"/>
      <c r="BZ183" s="91"/>
      <c r="CA183" s="91"/>
      <c r="CB183" s="91"/>
      <c r="CC183" s="91"/>
      <c r="CD183" s="91"/>
      <c r="CE183" s="91"/>
      <c r="CF183" s="91"/>
      <c r="CG183" s="91"/>
      <c r="CH183" s="91">
        <f>CI183+CJ183+CK183+CL183+CM183+CN183+CO183+CP183+CQ183+CR183</f>
        <v>5164901.95</v>
      </c>
      <c r="CI183" s="91">
        <v>5164901.95</v>
      </c>
      <c r="CJ183" s="91"/>
      <c r="CK183" s="91"/>
      <c r="CL183" s="91"/>
      <c r="CM183" s="91"/>
      <c r="CN183" s="91"/>
      <c r="CO183" s="91"/>
      <c r="CP183" s="91"/>
      <c r="CQ183" s="91"/>
      <c r="CR183" s="91"/>
      <c r="CS183" s="91">
        <f>CT183+CU183+CV183+CW183+CX183+CY183+CZ183+DA183+DB183+DC183</f>
        <v>90725118.840000004</v>
      </c>
      <c r="CT183" s="91">
        <v>90725118.840000004</v>
      </c>
      <c r="CU183" s="91"/>
      <c r="CV183" s="91"/>
      <c r="CW183" s="91"/>
      <c r="CX183" s="91"/>
      <c r="CY183" s="91"/>
      <c r="CZ183" s="91"/>
      <c r="DA183" s="91"/>
      <c r="DB183" s="91"/>
      <c r="DC183" s="91"/>
      <c r="DD183" s="91">
        <f t="shared" si="90"/>
        <v>282182056.87</v>
      </c>
      <c r="DE183" s="91">
        <v>282182056.87</v>
      </c>
      <c r="DF183" s="91"/>
      <c r="DG183" s="91"/>
      <c r="DH183" s="91"/>
      <c r="DI183" s="91"/>
      <c r="DJ183" s="91"/>
      <c r="DK183" s="91"/>
      <c r="DL183" s="91"/>
      <c r="DM183" s="91"/>
      <c r="DN183" s="92"/>
      <c r="DO183" s="93">
        <f>AE183+CH183+CS183+DD183</f>
        <v>474995077.66000003</v>
      </c>
    </row>
    <row r="184" spans="1:123" s="225" customFormat="1" ht="189" customHeight="1" x14ac:dyDescent="0.2">
      <c r="A184" s="244">
        <v>1</v>
      </c>
      <c r="B184" s="253" t="s">
        <v>19</v>
      </c>
      <c r="C184" s="59" t="s">
        <v>324</v>
      </c>
      <c r="D184" s="59" t="s">
        <v>21</v>
      </c>
      <c r="E184" s="55" t="s">
        <v>325</v>
      </c>
      <c r="F184" s="13" t="s">
        <v>326</v>
      </c>
      <c r="G184" s="59" t="s">
        <v>327</v>
      </c>
      <c r="H184" s="55" t="s">
        <v>328</v>
      </c>
      <c r="I184" s="13">
        <v>45</v>
      </c>
      <c r="J184" s="13" t="s">
        <v>1294</v>
      </c>
      <c r="K184" s="50">
        <v>18</v>
      </c>
      <c r="L184" s="13" t="s">
        <v>330</v>
      </c>
      <c r="M184" s="244">
        <v>41</v>
      </c>
      <c r="N184" s="244">
        <v>4501</v>
      </c>
      <c r="O184" s="245" t="s">
        <v>79</v>
      </c>
      <c r="P184" s="112" t="s">
        <v>1307</v>
      </c>
      <c r="Q184" s="13" t="s">
        <v>77</v>
      </c>
      <c r="R184" s="13">
        <v>4501029</v>
      </c>
      <c r="S184" s="59" t="s">
        <v>80</v>
      </c>
      <c r="T184" s="112" t="s">
        <v>1308</v>
      </c>
      <c r="U184" s="13" t="s">
        <v>77</v>
      </c>
      <c r="V184" s="13">
        <v>450102900</v>
      </c>
      <c r="W184" s="87" t="s">
        <v>1309</v>
      </c>
      <c r="X184" s="88" t="s">
        <v>8</v>
      </c>
      <c r="Y184" s="13">
        <v>5</v>
      </c>
      <c r="Z184" s="13">
        <v>5</v>
      </c>
      <c r="AA184" s="13">
        <v>5</v>
      </c>
      <c r="AB184" s="13">
        <v>5</v>
      </c>
      <c r="AC184" s="13">
        <v>5</v>
      </c>
      <c r="AD184" s="13">
        <v>5</v>
      </c>
      <c r="AE184" s="89">
        <f t="shared" si="110"/>
        <v>5428613946.8599997</v>
      </c>
      <c r="AF184" s="89">
        <f t="shared" si="110"/>
        <v>2192073558.0099998</v>
      </c>
      <c r="AG184" s="89">
        <f t="shared" si="110"/>
        <v>216525722</v>
      </c>
      <c r="AH184" s="89">
        <f t="shared" si="110"/>
        <v>216525722</v>
      </c>
      <c r="AI184" s="89">
        <f t="shared" si="110"/>
        <v>468686528</v>
      </c>
      <c r="AJ184" s="91"/>
      <c r="AK184" s="91">
        <v>2192073558.0099998</v>
      </c>
      <c r="AL184" s="91">
        <v>216525722</v>
      </c>
      <c r="AM184" s="91">
        <v>216525722</v>
      </c>
      <c r="AN184" s="91">
        <v>468686528</v>
      </c>
      <c r="AO184" s="91">
        <v>5428613946.8599997</v>
      </c>
      <c r="AP184" s="91"/>
      <c r="AQ184" s="91"/>
      <c r="AR184" s="91"/>
      <c r="AS184" s="91"/>
      <c r="AT184" s="91"/>
      <c r="AU184" s="91"/>
      <c r="AV184" s="91"/>
      <c r="AW184" s="91"/>
      <c r="AX184" s="91"/>
      <c r="AY184" s="91"/>
      <c r="AZ184" s="91"/>
      <c r="BA184" s="91"/>
      <c r="BB184" s="91"/>
      <c r="BC184" s="91"/>
      <c r="BD184" s="91"/>
      <c r="BE184" s="91"/>
      <c r="BF184" s="91"/>
      <c r="BG184" s="91"/>
      <c r="BH184" s="91"/>
      <c r="BI184" s="91"/>
      <c r="BJ184" s="91"/>
      <c r="BK184" s="91"/>
      <c r="BL184" s="91"/>
      <c r="BM184" s="91"/>
      <c r="BN184" s="91"/>
      <c r="BO184" s="91"/>
      <c r="BP184" s="91"/>
      <c r="BQ184" s="91"/>
      <c r="BR184" s="91"/>
      <c r="BS184" s="91"/>
      <c r="BT184" s="91"/>
      <c r="BU184" s="91"/>
      <c r="BV184" s="91"/>
      <c r="BW184" s="91"/>
      <c r="BX184" s="91"/>
      <c r="BY184" s="91"/>
      <c r="BZ184" s="91"/>
      <c r="CA184" s="91"/>
      <c r="CB184" s="91"/>
      <c r="CC184" s="91"/>
      <c r="CD184" s="91"/>
      <c r="CE184" s="91"/>
      <c r="CF184" s="91"/>
      <c r="CG184" s="91"/>
      <c r="CH184" s="91">
        <f>CI184+CJ184+CK184+CL184+CM184+CN184+CO184+CP184+CQ184+CR184</f>
        <v>1271962598</v>
      </c>
      <c r="CI184" s="91"/>
      <c r="CJ184" s="91">
        <v>1271962598</v>
      </c>
      <c r="CK184" s="91"/>
      <c r="CL184" s="91"/>
      <c r="CM184" s="91"/>
      <c r="CN184" s="91"/>
      <c r="CO184" s="91"/>
      <c r="CP184" s="91"/>
      <c r="CQ184" s="91"/>
      <c r="CR184" s="91"/>
      <c r="CS184" s="91">
        <f>CT184+CU184+CV184+CW184+CX184+CY184+CZ184+DA184+DB184+DC184</f>
        <v>1473886660</v>
      </c>
      <c r="CT184" s="91"/>
      <c r="CU184" s="91">
        <v>1473886660</v>
      </c>
      <c r="CV184" s="91"/>
      <c r="CW184" s="91"/>
      <c r="CX184" s="91"/>
      <c r="CY184" s="91"/>
      <c r="CZ184" s="91"/>
      <c r="DA184" s="91"/>
      <c r="DB184" s="91"/>
      <c r="DC184" s="91"/>
      <c r="DD184" s="91">
        <f t="shared" si="90"/>
        <v>1686781400</v>
      </c>
      <c r="DE184" s="91"/>
      <c r="DF184" s="91">
        <v>1686781400</v>
      </c>
      <c r="DG184" s="91"/>
      <c r="DH184" s="91"/>
      <c r="DI184" s="91"/>
      <c r="DJ184" s="91"/>
      <c r="DK184" s="91"/>
      <c r="DL184" s="91"/>
      <c r="DM184" s="91"/>
      <c r="DN184" s="92"/>
      <c r="DO184" s="93">
        <f>AE184+CH184+CS184+DD184</f>
        <v>9861244604.8600006</v>
      </c>
    </row>
    <row r="185" spans="1:123" ht="36" customHeight="1" x14ac:dyDescent="0.2">
      <c r="A185" s="244"/>
      <c r="B185" s="253"/>
      <c r="C185" s="94"/>
      <c r="D185" s="59"/>
      <c r="E185" s="55"/>
      <c r="F185" s="13"/>
      <c r="G185" s="59"/>
      <c r="H185" s="55"/>
      <c r="I185" s="13"/>
      <c r="J185" s="13"/>
      <c r="K185" s="50"/>
      <c r="L185" s="13"/>
      <c r="M185" s="96">
        <v>44</v>
      </c>
      <c r="N185" s="96">
        <v>2202</v>
      </c>
      <c r="O185" s="97" t="s">
        <v>170</v>
      </c>
      <c r="P185" s="96"/>
      <c r="Q185" s="98"/>
      <c r="R185" s="98"/>
      <c r="S185" s="98"/>
      <c r="T185" s="98"/>
      <c r="U185" s="98"/>
      <c r="V185" s="98"/>
      <c r="W185" s="83"/>
      <c r="X185" s="84"/>
      <c r="Y185" s="84"/>
      <c r="Z185" s="84"/>
      <c r="AA185" s="84"/>
      <c r="AB185" s="84"/>
      <c r="AC185" s="84"/>
      <c r="AD185" s="81"/>
      <c r="AE185" s="85">
        <f>AE186</f>
        <v>243838500</v>
      </c>
      <c r="AF185" s="85">
        <f t="shared" ref="AF185:DO185" si="111">AF186</f>
        <v>243838500</v>
      </c>
      <c r="AG185" s="85">
        <f t="shared" si="111"/>
        <v>214688145</v>
      </c>
      <c r="AH185" s="85">
        <f t="shared" si="111"/>
        <v>214688145</v>
      </c>
      <c r="AI185" s="85">
        <f t="shared" si="111"/>
        <v>0</v>
      </c>
      <c r="AJ185" s="85">
        <f t="shared" si="111"/>
        <v>153838500</v>
      </c>
      <c r="AK185" s="85">
        <f t="shared" si="111"/>
        <v>153838500</v>
      </c>
      <c r="AL185" s="85">
        <f t="shared" si="111"/>
        <v>153838500</v>
      </c>
      <c r="AM185" s="85">
        <f t="shared" si="111"/>
        <v>153838500</v>
      </c>
      <c r="AN185" s="85">
        <f t="shared" si="111"/>
        <v>0</v>
      </c>
      <c r="AO185" s="85">
        <f t="shared" si="111"/>
        <v>90000000</v>
      </c>
      <c r="AP185" s="85">
        <f t="shared" si="111"/>
        <v>0</v>
      </c>
      <c r="AQ185" s="85">
        <f t="shared" si="111"/>
        <v>0</v>
      </c>
      <c r="AR185" s="85">
        <f t="shared" si="111"/>
        <v>0</v>
      </c>
      <c r="AS185" s="85">
        <f t="shared" si="111"/>
        <v>0</v>
      </c>
      <c r="AT185" s="85">
        <f t="shared" si="111"/>
        <v>0</v>
      </c>
      <c r="AU185" s="85">
        <f t="shared" si="111"/>
        <v>0</v>
      </c>
      <c r="AV185" s="85">
        <f t="shared" si="111"/>
        <v>0</v>
      </c>
      <c r="AW185" s="85">
        <f t="shared" si="111"/>
        <v>0</v>
      </c>
      <c r="AX185" s="85">
        <f t="shared" si="111"/>
        <v>0</v>
      </c>
      <c r="AY185" s="85">
        <f t="shared" si="111"/>
        <v>0</v>
      </c>
      <c r="AZ185" s="85">
        <f t="shared" si="111"/>
        <v>0</v>
      </c>
      <c r="BA185" s="85">
        <f t="shared" si="111"/>
        <v>0</v>
      </c>
      <c r="BB185" s="85">
        <f t="shared" si="111"/>
        <v>0</v>
      </c>
      <c r="BC185" s="85">
        <f t="shared" si="111"/>
        <v>0</v>
      </c>
      <c r="BD185" s="85">
        <f t="shared" si="111"/>
        <v>0</v>
      </c>
      <c r="BE185" s="85">
        <f t="shared" si="111"/>
        <v>0</v>
      </c>
      <c r="BF185" s="85">
        <f t="shared" si="111"/>
        <v>0</v>
      </c>
      <c r="BG185" s="85">
        <f t="shared" si="111"/>
        <v>0</v>
      </c>
      <c r="BH185" s="85">
        <f t="shared" si="111"/>
        <v>0</v>
      </c>
      <c r="BI185" s="85">
        <f t="shared" si="111"/>
        <v>0</v>
      </c>
      <c r="BJ185" s="85">
        <f t="shared" si="111"/>
        <v>0</v>
      </c>
      <c r="BK185" s="85">
        <f t="shared" si="111"/>
        <v>0</v>
      </c>
      <c r="BL185" s="85">
        <f t="shared" si="111"/>
        <v>0</v>
      </c>
      <c r="BM185" s="85">
        <f t="shared" si="111"/>
        <v>0</v>
      </c>
      <c r="BN185" s="85">
        <f t="shared" si="111"/>
        <v>0</v>
      </c>
      <c r="BO185" s="85">
        <f t="shared" si="111"/>
        <v>0</v>
      </c>
      <c r="BP185" s="85">
        <f t="shared" si="111"/>
        <v>0</v>
      </c>
      <c r="BQ185" s="85">
        <f t="shared" si="111"/>
        <v>0</v>
      </c>
      <c r="BR185" s="85">
        <f t="shared" si="111"/>
        <v>0</v>
      </c>
      <c r="BS185" s="85">
        <f t="shared" si="111"/>
        <v>0</v>
      </c>
      <c r="BT185" s="85">
        <f t="shared" si="111"/>
        <v>90000000</v>
      </c>
      <c r="BU185" s="85">
        <f t="shared" si="111"/>
        <v>60849645</v>
      </c>
      <c r="BV185" s="85">
        <f t="shared" si="111"/>
        <v>60849645</v>
      </c>
      <c r="BW185" s="85">
        <f t="shared" si="111"/>
        <v>0</v>
      </c>
      <c r="BX185" s="85">
        <f t="shared" si="111"/>
        <v>0</v>
      </c>
      <c r="BY185" s="85">
        <f t="shared" si="111"/>
        <v>0</v>
      </c>
      <c r="BZ185" s="85">
        <f t="shared" si="111"/>
        <v>0</v>
      </c>
      <c r="CA185" s="85">
        <f t="shared" si="111"/>
        <v>0</v>
      </c>
      <c r="CB185" s="85">
        <f t="shared" si="111"/>
        <v>0</v>
      </c>
      <c r="CC185" s="85">
        <f t="shared" si="111"/>
        <v>0</v>
      </c>
      <c r="CD185" s="85">
        <f t="shared" si="111"/>
        <v>0</v>
      </c>
      <c r="CE185" s="85">
        <f t="shared" si="111"/>
        <v>0</v>
      </c>
      <c r="CF185" s="85">
        <f t="shared" si="111"/>
        <v>0</v>
      </c>
      <c r="CG185" s="85">
        <f t="shared" si="111"/>
        <v>0</v>
      </c>
      <c r="CH185" s="85">
        <f t="shared" si="111"/>
        <v>95000000</v>
      </c>
      <c r="CI185" s="85">
        <f t="shared" si="111"/>
        <v>95000000</v>
      </c>
      <c r="CJ185" s="85">
        <f t="shared" si="111"/>
        <v>0</v>
      </c>
      <c r="CK185" s="85">
        <f t="shared" si="111"/>
        <v>0</v>
      </c>
      <c r="CL185" s="85">
        <f t="shared" si="111"/>
        <v>0</v>
      </c>
      <c r="CM185" s="85">
        <f t="shared" si="111"/>
        <v>0</v>
      </c>
      <c r="CN185" s="85">
        <f t="shared" si="111"/>
        <v>0</v>
      </c>
      <c r="CO185" s="85">
        <f t="shared" si="111"/>
        <v>0</v>
      </c>
      <c r="CP185" s="85">
        <f t="shared" si="111"/>
        <v>0</v>
      </c>
      <c r="CQ185" s="85">
        <f t="shared" si="111"/>
        <v>0</v>
      </c>
      <c r="CR185" s="85">
        <f t="shared" si="111"/>
        <v>0</v>
      </c>
      <c r="CS185" s="85">
        <f t="shared" si="111"/>
        <v>175474354</v>
      </c>
      <c r="CT185" s="85">
        <f t="shared" si="111"/>
        <v>125463000</v>
      </c>
      <c r="CU185" s="85">
        <f t="shared" si="111"/>
        <v>50011354</v>
      </c>
      <c r="CV185" s="85">
        <f t="shared" si="111"/>
        <v>0</v>
      </c>
      <c r="CW185" s="85">
        <f t="shared" si="111"/>
        <v>0</v>
      </c>
      <c r="CX185" s="85">
        <f t="shared" si="111"/>
        <v>0</v>
      </c>
      <c r="CY185" s="85">
        <f t="shared" si="111"/>
        <v>0</v>
      </c>
      <c r="CZ185" s="85">
        <f t="shared" si="111"/>
        <v>0</v>
      </c>
      <c r="DA185" s="85">
        <f t="shared" si="111"/>
        <v>0</v>
      </c>
      <c r="DB185" s="85">
        <f t="shared" si="111"/>
        <v>0</v>
      </c>
      <c r="DC185" s="85">
        <f t="shared" si="111"/>
        <v>0</v>
      </c>
      <c r="DD185" s="85">
        <f t="shared" si="111"/>
        <v>176540354</v>
      </c>
      <c r="DE185" s="85">
        <f t="shared" si="111"/>
        <v>126529000</v>
      </c>
      <c r="DF185" s="85">
        <f t="shared" si="111"/>
        <v>50011354</v>
      </c>
      <c r="DG185" s="85">
        <f t="shared" si="111"/>
        <v>0</v>
      </c>
      <c r="DH185" s="85">
        <f t="shared" si="111"/>
        <v>0</v>
      </c>
      <c r="DI185" s="85">
        <f t="shared" si="111"/>
        <v>0</v>
      </c>
      <c r="DJ185" s="85">
        <f t="shared" si="111"/>
        <v>0</v>
      </c>
      <c r="DK185" s="85">
        <f t="shared" si="111"/>
        <v>0</v>
      </c>
      <c r="DL185" s="85">
        <f t="shared" si="111"/>
        <v>0</v>
      </c>
      <c r="DM185" s="85">
        <f t="shared" si="111"/>
        <v>0</v>
      </c>
      <c r="DN185" s="86">
        <f t="shared" si="111"/>
        <v>0</v>
      </c>
      <c r="DO185" s="85">
        <f t="shared" si="111"/>
        <v>690853208</v>
      </c>
    </row>
    <row r="186" spans="1:123" s="225" customFormat="1" ht="173.25" customHeight="1" x14ac:dyDescent="0.2">
      <c r="A186" s="244">
        <v>1</v>
      </c>
      <c r="B186" s="253" t="s">
        <v>19</v>
      </c>
      <c r="C186" s="59" t="s">
        <v>667</v>
      </c>
      <c r="D186" s="59" t="s">
        <v>171</v>
      </c>
      <c r="E186" s="127">
        <v>0.623</v>
      </c>
      <c r="F186" s="13">
        <v>2018</v>
      </c>
      <c r="G186" s="59" t="s">
        <v>794</v>
      </c>
      <c r="H186" s="119">
        <v>0.65</v>
      </c>
      <c r="I186" s="13">
        <v>22</v>
      </c>
      <c r="J186" s="13" t="s">
        <v>672</v>
      </c>
      <c r="K186" s="50">
        <v>1</v>
      </c>
      <c r="L186" s="13" t="s">
        <v>672</v>
      </c>
      <c r="M186" s="244">
        <v>44</v>
      </c>
      <c r="N186" s="244">
        <v>2202</v>
      </c>
      <c r="O186" s="245" t="s">
        <v>1681</v>
      </c>
      <c r="P186" s="13" t="s">
        <v>1484</v>
      </c>
      <c r="Q186" s="13" t="s">
        <v>77</v>
      </c>
      <c r="R186" s="13">
        <v>2202006</v>
      </c>
      <c r="S186" s="59" t="s">
        <v>172</v>
      </c>
      <c r="T186" s="13" t="s">
        <v>1485</v>
      </c>
      <c r="U186" s="13" t="s">
        <v>77</v>
      </c>
      <c r="V186" s="13">
        <v>220200604</v>
      </c>
      <c r="W186" s="87" t="s">
        <v>1486</v>
      </c>
      <c r="X186" s="88" t="s">
        <v>8</v>
      </c>
      <c r="Y186" s="13">
        <v>2</v>
      </c>
      <c r="Z186" s="13">
        <v>2</v>
      </c>
      <c r="AA186" s="13">
        <v>2</v>
      </c>
      <c r="AB186" s="13">
        <v>2</v>
      </c>
      <c r="AC186" s="13">
        <v>2</v>
      </c>
      <c r="AD186" s="13">
        <v>2</v>
      </c>
      <c r="AE186" s="89">
        <f>AJ186+AO186+AT186+AY186+BD186+BI186+BN186+BS186+BX186+CC186</f>
        <v>243838500</v>
      </c>
      <c r="AF186" s="89">
        <f>AK186+AP186+AU186+AZ186+BE186+BJ186+BO186+BT186+BY186+CD186</f>
        <v>243838500</v>
      </c>
      <c r="AG186" s="89">
        <f>AL186+AQ186+AV186+BA186+BF186+BK186+BP186+BU186+BZ186+CE186</f>
        <v>214688145</v>
      </c>
      <c r="AH186" s="89">
        <f>AM186+AR186+AW186+BB186+BG186+BL186+BQ186+BV186+CA186+CF186</f>
        <v>214688145</v>
      </c>
      <c r="AI186" s="89">
        <f>AN186+AS186+AX186+BC186+BH186+BM186+BR186+BW186+CB186+CG186</f>
        <v>0</v>
      </c>
      <c r="AJ186" s="91">
        <v>153838500</v>
      </c>
      <c r="AK186" s="91">
        <v>153838500</v>
      </c>
      <c r="AL186" s="91">
        <v>153838500</v>
      </c>
      <c r="AM186" s="91">
        <v>153838500</v>
      </c>
      <c r="AN186" s="91"/>
      <c r="AO186" s="91">
        <v>90000000</v>
      </c>
      <c r="AP186" s="91"/>
      <c r="AQ186" s="91"/>
      <c r="AR186" s="91"/>
      <c r="AS186" s="91"/>
      <c r="AT186" s="91"/>
      <c r="AU186" s="91"/>
      <c r="AV186" s="91"/>
      <c r="AW186" s="91"/>
      <c r="AX186" s="91"/>
      <c r="AY186" s="91"/>
      <c r="AZ186" s="91"/>
      <c r="BA186" s="91"/>
      <c r="BB186" s="91"/>
      <c r="BC186" s="91"/>
      <c r="BD186" s="91"/>
      <c r="BE186" s="91"/>
      <c r="BF186" s="91"/>
      <c r="BG186" s="91"/>
      <c r="BH186" s="91"/>
      <c r="BI186" s="91"/>
      <c r="BJ186" s="91"/>
      <c r="BK186" s="91"/>
      <c r="BL186" s="91"/>
      <c r="BM186" s="91"/>
      <c r="BN186" s="91"/>
      <c r="BO186" s="91"/>
      <c r="BP186" s="91"/>
      <c r="BQ186" s="91"/>
      <c r="BR186" s="91"/>
      <c r="BS186" s="91"/>
      <c r="BT186" s="91">
        <v>90000000</v>
      </c>
      <c r="BU186" s="91">
        <v>60849645</v>
      </c>
      <c r="BV186" s="91">
        <v>60849645</v>
      </c>
      <c r="BW186" s="91"/>
      <c r="BX186" s="91"/>
      <c r="BY186" s="91"/>
      <c r="BZ186" s="91"/>
      <c r="CA186" s="91"/>
      <c r="CB186" s="91"/>
      <c r="CC186" s="91"/>
      <c r="CD186" s="91"/>
      <c r="CE186" s="91"/>
      <c r="CF186" s="91"/>
      <c r="CG186" s="91"/>
      <c r="CH186" s="91">
        <f>CI186+CJ186+CK186+CL186+CM186+CN186+CO186+CP186+CQ186+CR186</f>
        <v>95000000</v>
      </c>
      <c r="CI186" s="91">
        <v>95000000</v>
      </c>
      <c r="CJ186" s="91"/>
      <c r="CK186" s="91"/>
      <c r="CL186" s="91"/>
      <c r="CM186" s="91"/>
      <c r="CN186" s="91"/>
      <c r="CO186" s="91"/>
      <c r="CP186" s="91"/>
      <c r="CQ186" s="91"/>
      <c r="CR186" s="91"/>
      <c r="CS186" s="91">
        <f>CT186+CU186+CV186+CW186+CX186+CY186+CZ186+DA186+DB186+DC186</f>
        <v>175474354</v>
      </c>
      <c r="CT186" s="91">
        <v>125463000</v>
      </c>
      <c r="CU186" s="91">
        <v>50011354</v>
      </c>
      <c r="CV186" s="91"/>
      <c r="CW186" s="91"/>
      <c r="CX186" s="91"/>
      <c r="CY186" s="91"/>
      <c r="CZ186" s="91"/>
      <c r="DA186" s="91"/>
      <c r="DB186" s="91"/>
      <c r="DC186" s="91"/>
      <c r="DD186" s="91">
        <f t="shared" si="90"/>
        <v>176540354</v>
      </c>
      <c r="DE186" s="91">
        <v>126529000</v>
      </c>
      <c r="DF186" s="91">
        <v>50011354</v>
      </c>
      <c r="DG186" s="91"/>
      <c r="DH186" s="91"/>
      <c r="DI186" s="91"/>
      <c r="DJ186" s="91"/>
      <c r="DK186" s="91"/>
      <c r="DL186" s="91"/>
      <c r="DM186" s="91"/>
      <c r="DN186" s="92"/>
      <c r="DO186" s="93">
        <f>AE186+CH186+CS186+DD186</f>
        <v>690853208</v>
      </c>
    </row>
    <row r="187" spans="1:123" s="217" customFormat="1" ht="15.75" customHeight="1" x14ac:dyDescent="0.2">
      <c r="A187" s="65">
        <v>2</v>
      </c>
      <c r="B187" s="153" t="s">
        <v>33</v>
      </c>
      <c r="C187" s="65"/>
      <c r="D187" s="65"/>
      <c r="E187" s="154"/>
      <c r="F187" s="65"/>
      <c r="G187" s="65"/>
      <c r="H187" s="154"/>
      <c r="I187" s="65"/>
      <c r="J187" s="65"/>
      <c r="K187" s="65"/>
      <c r="L187" s="65"/>
      <c r="M187" s="65"/>
      <c r="N187" s="65"/>
      <c r="O187" s="65"/>
      <c r="P187" s="65"/>
      <c r="Q187" s="155"/>
      <c r="R187" s="155"/>
      <c r="S187" s="155"/>
      <c r="T187" s="155"/>
      <c r="U187" s="155"/>
      <c r="V187" s="155"/>
      <c r="W187" s="71"/>
      <c r="X187" s="71"/>
      <c r="Y187" s="68"/>
      <c r="Z187" s="68"/>
      <c r="AA187" s="68"/>
      <c r="AB187" s="68"/>
      <c r="AC187" s="68"/>
      <c r="AD187" s="72"/>
      <c r="AE187" s="73">
        <f t="shared" ref="AE187:CP187" si="112">AE188+AE201+AE203+AE206+AE208+AE210+AE213+AE219+AE231+AE236+AE238+AE241+AE245+AE221</f>
        <v>25041532563.849998</v>
      </c>
      <c r="AF187" s="73">
        <f t="shared" si="112"/>
        <v>18735671102.82</v>
      </c>
      <c r="AG187" s="73">
        <f t="shared" si="112"/>
        <v>17224626369</v>
      </c>
      <c r="AH187" s="73">
        <f t="shared" si="112"/>
        <v>9837873963</v>
      </c>
      <c r="AI187" s="73">
        <f t="shared" si="112"/>
        <v>145658306.69999999</v>
      </c>
      <c r="AJ187" s="73">
        <f t="shared" si="112"/>
        <v>2486209206</v>
      </c>
      <c r="AK187" s="73">
        <f t="shared" si="112"/>
        <v>3862235864.8200002</v>
      </c>
      <c r="AL187" s="73">
        <f t="shared" si="112"/>
        <v>2539730970</v>
      </c>
      <c r="AM187" s="73">
        <f t="shared" si="112"/>
        <v>2539730970</v>
      </c>
      <c r="AN187" s="73">
        <f t="shared" si="112"/>
        <v>11751600</v>
      </c>
      <c r="AO187" s="73">
        <f t="shared" si="112"/>
        <v>545981904.85000002</v>
      </c>
      <c r="AP187" s="73">
        <f t="shared" si="112"/>
        <v>0</v>
      </c>
      <c r="AQ187" s="73">
        <f t="shared" si="112"/>
        <v>0</v>
      </c>
      <c r="AR187" s="73">
        <f t="shared" si="112"/>
        <v>0</v>
      </c>
      <c r="AS187" s="73">
        <f t="shared" si="112"/>
        <v>0</v>
      </c>
      <c r="AT187" s="73">
        <f t="shared" si="112"/>
        <v>0</v>
      </c>
      <c r="AU187" s="73">
        <f t="shared" si="112"/>
        <v>0</v>
      </c>
      <c r="AV187" s="73">
        <f t="shared" si="112"/>
        <v>0</v>
      </c>
      <c r="AW187" s="73">
        <f t="shared" si="112"/>
        <v>0</v>
      </c>
      <c r="AX187" s="73">
        <f t="shared" si="112"/>
        <v>0</v>
      </c>
      <c r="AY187" s="73">
        <f t="shared" si="112"/>
        <v>0</v>
      </c>
      <c r="AZ187" s="73">
        <f t="shared" si="112"/>
        <v>0</v>
      </c>
      <c r="BA187" s="73">
        <f t="shared" si="112"/>
        <v>0</v>
      </c>
      <c r="BB187" s="73">
        <f t="shared" si="112"/>
        <v>0</v>
      </c>
      <c r="BC187" s="73">
        <f t="shared" si="112"/>
        <v>0</v>
      </c>
      <c r="BD187" s="73">
        <f t="shared" si="112"/>
        <v>0</v>
      </c>
      <c r="BE187" s="73">
        <f t="shared" si="112"/>
        <v>0</v>
      </c>
      <c r="BF187" s="73">
        <f t="shared" si="112"/>
        <v>0</v>
      </c>
      <c r="BG187" s="73">
        <f t="shared" si="112"/>
        <v>0</v>
      </c>
      <c r="BH187" s="73">
        <f t="shared" si="112"/>
        <v>0</v>
      </c>
      <c r="BI187" s="73">
        <f t="shared" si="112"/>
        <v>0</v>
      </c>
      <c r="BJ187" s="73">
        <f t="shared" si="112"/>
        <v>0</v>
      </c>
      <c r="BK187" s="73">
        <f t="shared" si="112"/>
        <v>0</v>
      </c>
      <c r="BL187" s="73">
        <f t="shared" si="112"/>
        <v>0</v>
      </c>
      <c r="BM187" s="73">
        <f t="shared" si="112"/>
        <v>0</v>
      </c>
      <c r="BN187" s="73">
        <f t="shared" si="112"/>
        <v>22009341453</v>
      </c>
      <c r="BO187" s="73">
        <f t="shared" si="112"/>
        <v>14888435238</v>
      </c>
      <c r="BP187" s="73">
        <f t="shared" si="112"/>
        <v>14684895399</v>
      </c>
      <c r="BQ187" s="73">
        <f t="shared" si="112"/>
        <v>7298142993</v>
      </c>
      <c r="BR187" s="73">
        <f t="shared" si="112"/>
        <v>0</v>
      </c>
      <c r="BS187" s="73">
        <f t="shared" si="112"/>
        <v>0</v>
      </c>
      <c r="BT187" s="73">
        <f t="shared" si="112"/>
        <v>0</v>
      </c>
      <c r="BU187" s="73">
        <f t="shared" si="112"/>
        <v>0</v>
      </c>
      <c r="BV187" s="73">
        <f t="shared" si="112"/>
        <v>0</v>
      </c>
      <c r="BW187" s="73">
        <f t="shared" si="112"/>
        <v>0</v>
      </c>
      <c r="BX187" s="73">
        <f t="shared" si="112"/>
        <v>0</v>
      </c>
      <c r="BY187" s="73">
        <f t="shared" si="112"/>
        <v>0</v>
      </c>
      <c r="BZ187" s="73">
        <f t="shared" si="112"/>
        <v>0</v>
      </c>
      <c r="CA187" s="73">
        <f t="shared" si="112"/>
        <v>0</v>
      </c>
      <c r="CB187" s="73">
        <f t="shared" si="112"/>
        <v>133906706.7</v>
      </c>
      <c r="CC187" s="73">
        <f t="shared" si="112"/>
        <v>0</v>
      </c>
      <c r="CD187" s="73">
        <f t="shared" si="112"/>
        <v>0</v>
      </c>
      <c r="CE187" s="73">
        <f t="shared" si="112"/>
        <v>0</v>
      </c>
      <c r="CF187" s="73">
        <f t="shared" si="112"/>
        <v>0</v>
      </c>
      <c r="CG187" s="73">
        <f t="shared" si="112"/>
        <v>0</v>
      </c>
      <c r="CH187" s="73">
        <f t="shared" si="112"/>
        <v>3530526184.6100001</v>
      </c>
      <c r="CI187" s="73">
        <f t="shared" si="112"/>
        <v>1977775817.6100001</v>
      </c>
      <c r="CJ187" s="73">
        <f t="shared" si="112"/>
        <v>561250367</v>
      </c>
      <c r="CK187" s="73">
        <f t="shared" si="112"/>
        <v>0</v>
      </c>
      <c r="CL187" s="73">
        <f t="shared" si="112"/>
        <v>0</v>
      </c>
      <c r="CM187" s="73">
        <f t="shared" si="112"/>
        <v>0</v>
      </c>
      <c r="CN187" s="73">
        <f t="shared" si="112"/>
        <v>0</v>
      </c>
      <c r="CO187" s="73">
        <f t="shared" si="112"/>
        <v>991500000</v>
      </c>
      <c r="CP187" s="73">
        <f t="shared" si="112"/>
        <v>0</v>
      </c>
      <c r="CQ187" s="73">
        <f t="shared" ref="CQ187:DO187" si="113">CQ188+CQ201+CQ203+CQ206+CQ208+CQ210+CQ213+CQ219+CQ231+CQ236+CQ238+CQ241+CQ245+CQ221</f>
        <v>0</v>
      </c>
      <c r="CR187" s="73">
        <f t="shared" si="113"/>
        <v>0</v>
      </c>
      <c r="CS187" s="73">
        <f t="shared" si="113"/>
        <v>7788143880.5599995</v>
      </c>
      <c r="CT187" s="73">
        <f t="shared" si="113"/>
        <v>3633438767.5599999</v>
      </c>
      <c r="CU187" s="73">
        <f t="shared" si="113"/>
        <v>663205113</v>
      </c>
      <c r="CV187" s="73">
        <f t="shared" si="113"/>
        <v>0</v>
      </c>
      <c r="CW187" s="73">
        <f t="shared" si="113"/>
        <v>0</v>
      </c>
      <c r="CX187" s="73">
        <f t="shared" si="113"/>
        <v>0</v>
      </c>
      <c r="CY187" s="73">
        <f t="shared" si="113"/>
        <v>0</v>
      </c>
      <c r="CZ187" s="73">
        <f t="shared" si="113"/>
        <v>3491500000</v>
      </c>
      <c r="DA187" s="73">
        <f t="shared" si="113"/>
        <v>0</v>
      </c>
      <c r="DB187" s="73">
        <f t="shared" si="113"/>
        <v>0</v>
      </c>
      <c r="DC187" s="73">
        <f t="shared" si="113"/>
        <v>0</v>
      </c>
      <c r="DD187" s="73">
        <f t="shared" si="113"/>
        <v>10272137925.16</v>
      </c>
      <c r="DE187" s="73">
        <f t="shared" si="113"/>
        <v>5370025407.1599998</v>
      </c>
      <c r="DF187" s="73">
        <f t="shared" si="113"/>
        <v>749612518</v>
      </c>
      <c r="DG187" s="73">
        <f t="shared" si="113"/>
        <v>0</v>
      </c>
      <c r="DH187" s="73">
        <f t="shared" si="113"/>
        <v>0</v>
      </c>
      <c r="DI187" s="73">
        <f t="shared" si="113"/>
        <v>0</v>
      </c>
      <c r="DJ187" s="73">
        <f t="shared" si="113"/>
        <v>0</v>
      </c>
      <c r="DK187" s="73">
        <f t="shared" si="113"/>
        <v>4152500000</v>
      </c>
      <c r="DL187" s="73">
        <f t="shared" si="113"/>
        <v>0</v>
      </c>
      <c r="DM187" s="73">
        <f t="shared" si="113"/>
        <v>0</v>
      </c>
      <c r="DN187" s="73">
        <f t="shared" si="113"/>
        <v>0</v>
      </c>
      <c r="DO187" s="73">
        <f t="shared" si="113"/>
        <v>46632340554.18</v>
      </c>
      <c r="DS187" s="208"/>
    </row>
    <row r="188" spans="1:123" ht="23.25" customHeight="1" x14ac:dyDescent="0.2">
      <c r="A188" s="74"/>
      <c r="B188" s="156"/>
      <c r="C188" s="74"/>
      <c r="D188" s="74"/>
      <c r="E188" s="77"/>
      <c r="F188" s="74"/>
      <c r="G188" s="74"/>
      <c r="H188" s="77"/>
      <c r="I188" s="74"/>
      <c r="J188" s="74"/>
      <c r="K188" s="74"/>
      <c r="L188" s="74"/>
      <c r="M188" s="96">
        <v>4</v>
      </c>
      <c r="N188" s="96">
        <v>1702</v>
      </c>
      <c r="O188" s="97" t="s">
        <v>111</v>
      </c>
      <c r="P188" s="96"/>
      <c r="Q188" s="98"/>
      <c r="R188" s="98"/>
      <c r="S188" s="98"/>
      <c r="T188" s="98"/>
      <c r="U188" s="98"/>
      <c r="V188" s="98"/>
      <c r="W188" s="83"/>
      <c r="X188" s="83"/>
      <c r="Y188" s="84"/>
      <c r="Z188" s="84"/>
      <c r="AA188" s="84"/>
      <c r="AB188" s="84"/>
      <c r="AC188" s="84"/>
      <c r="AD188" s="81"/>
      <c r="AE188" s="85">
        <f>SUM(AE189:AE200)</f>
        <v>8674533501</v>
      </c>
      <c r="AF188" s="85">
        <f>SUM(AF189:AF200)</f>
        <v>10549775601.970001</v>
      </c>
      <c r="AG188" s="85">
        <f t="shared" ref="AG188:DN188" si="114">SUM(AG189:AG200)</f>
        <v>10160348120</v>
      </c>
      <c r="AH188" s="85">
        <f t="shared" si="114"/>
        <v>5330043292</v>
      </c>
      <c r="AI188" s="85">
        <f t="shared" si="114"/>
        <v>133906706.7</v>
      </c>
      <c r="AJ188" s="85">
        <f t="shared" si="114"/>
        <v>872354420</v>
      </c>
      <c r="AK188" s="85">
        <f>SUM(AK189:AK200)</f>
        <v>680027523.97000003</v>
      </c>
      <c r="AL188" s="85">
        <f t="shared" si="114"/>
        <v>355571644</v>
      </c>
      <c r="AM188" s="85">
        <f t="shared" si="114"/>
        <v>355571644</v>
      </c>
      <c r="AN188" s="85">
        <f t="shared" si="114"/>
        <v>0</v>
      </c>
      <c r="AO188" s="85">
        <f t="shared" si="114"/>
        <v>0</v>
      </c>
      <c r="AP188" s="85">
        <f t="shared" si="114"/>
        <v>0</v>
      </c>
      <c r="AQ188" s="85">
        <f t="shared" si="114"/>
        <v>0</v>
      </c>
      <c r="AR188" s="85">
        <f t="shared" si="114"/>
        <v>0</v>
      </c>
      <c r="AS188" s="85">
        <f t="shared" si="114"/>
        <v>0</v>
      </c>
      <c r="AT188" s="85">
        <f t="shared" si="114"/>
        <v>0</v>
      </c>
      <c r="AU188" s="85">
        <f>SUM(AU189:AU200)</f>
        <v>0</v>
      </c>
      <c r="AV188" s="85">
        <f t="shared" si="114"/>
        <v>0</v>
      </c>
      <c r="AW188" s="85">
        <f t="shared" si="114"/>
        <v>0</v>
      </c>
      <c r="AX188" s="85">
        <f t="shared" si="114"/>
        <v>0</v>
      </c>
      <c r="AY188" s="85">
        <f t="shared" si="114"/>
        <v>0</v>
      </c>
      <c r="AZ188" s="85">
        <f t="shared" si="114"/>
        <v>0</v>
      </c>
      <c r="BA188" s="85">
        <f t="shared" si="114"/>
        <v>0</v>
      </c>
      <c r="BB188" s="85">
        <f t="shared" si="114"/>
        <v>0</v>
      </c>
      <c r="BC188" s="85">
        <f t="shared" si="114"/>
        <v>0</v>
      </c>
      <c r="BD188" s="85">
        <f t="shared" si="114"/>
        <v>0</v>
      </c>
      <c r="BE188" s="85">
        <f>SUM(BE189:BE200)</f>
        <v>0</v>
      </c>
      <c r="BF188" s="85">
        <f t="shared" si="114"/>
        <v>0</v>
      </c>
      <c r="BG188" s="85">
        <f t="shared" si="114"/>
        <v>0</v>
      </c>
      <c r="BH188" s="85">
        <f t="shared" si="114"/>
        <v>0</v>
      </c>
      <c r="BI188" s="85">
        <f t="shared" si="114"/>
        <v>0</v>
      </c>
      <c r="BJ188" s="85">
        <f t="shared" si="114"/>
        <v>0</v>
      </c>
      <c r="BK188" s="85">
        <f t="shared" si="114"/>
        <v>0</v>
      </c>
      <c r="BL188" s="85">
        <f t="shared" si="114"/>
        <v>0</v>
      </c>
      <c r="BM188" s="85">
        <f t="shared" si="114"/>
        <v>0</v>
      </c>
      <c r="BN188" s="85">
        <f t="shared" si="114"/>
        <v>7802179081</v>
      </c>
      <c r="BO188" s="85">
        <f>SUM(BO189:BO200)</f>
        <v>9869748078</v>
      </c>
      <c r="BP188" s="85">
        <f t="shared" si="114"/>
        <v>9804776476</v>
      </c>
      <c r="BQ188" s="85">
        <f t="shared" si="114"/>
        <v>4974471648</v>
      </c>
      <c r="BR188" s="85">
        <f t="shared" si="114"/>
        <v>0</v>
      </c>
      <c r="BS188" s="85">
        <f t="shared" si="114"/>
        <v>0</v>
      </c>
      <c r="BT188" s="85">
        <f t="shared" si="114"/>
        <v>0</v>
      </c>
      <c r="BU188" s="85">
        <f t="shared" si="114"/>
        <v>0</v>
      </c>
      <c r="BV188" s="85">
        <f t="shared" si="114"/>
        <v>0</v>
      </c>
      <c r="BW188" s="85">
        <f t="shared" si="114"/>
        <v>0</v>
      </c>
      <c r="BX188" s="85">
        <f t="shared" si="114"/>
        <v>0</v>
      </c>
      <c r="BY188" s="85">
        <f>SUM(BY189:BY200)</f>
        <v>0</v>
      </c>
      <c r="BZ188" s="85">
        <f t="shared" si="114"/>
        <v>0</v>
      </c>
      <c r="CA188" s="85">
        <f t="shared" si="114"/>
        <v>0</v>
      </c>
      <c r="CB188" s="85">
        <f t="shared" si="114"/>
        <v>133906706.7</v>
      </c>
      <c r="CC188" s="85">
        <f t="shared" si="114"/>
        <v>0</v>
      </c>
      <c r="CD188" s="85">
        <f t="shared" si="114"/>
        <v>0</v>
      </c>
      <c r="CE188" s="85">
        <f t="shared" si="114"/>
        <v>0</v>
      </c>
      <c r="CF188" s="85">
        <f t="shared" si="114"/>
        <v>0</v>
      </c>
      <c r="CG188" s="85">
        <f t="shared" si="114"/>
        <v>0</v>
      </c>
      <c r="CH188" s="85">
        <f t="shared" si="114"/>
        <v>869373777.21000004</v>
      </c>
      <c r="CI188" s="85">
        <f t="shared" si="114"/>
        <v>869373777.21000004</v>
      </c>
      <c r="CJ188" s="85">
        <f t="shared" si="114"/>
        <v>0</v>
      </c>
      <c r="CK188" s="85">
        <f t="shared" si="114"/>
        <v>0</v>
      </c>
      <c r="CL188" s="85">
        <f t="shared" si="114"/>
        <v>0</v>
      </c>
      <c r="CM188" s="85">
        <f t="shared" si="114"/>
        <v>0</v>
      </c>
      <c r="CN188" s="85">
        <f t="shared" si="114"/>
        <v>0</v>
      </c>
      <c r="CO188" s="85">
        <f t="shared" si="114"/>
        <v>0</v>
      </c>
      <c r="CP188" s="85">
        <f t="shared" si="114"/>
        <v>0</v>
      </c>
      <c r="CQ188" s="85">
        <f t="shared" si="114"/>
        <v>0</v>
      </c>
      <c r="CR188" s="85">
        <f t="shared" si="114"/>
        <v>0</v>
      </c>
      <c r="CS188" s="85">
        <f t="shared" si="114"/>
        <v>1351345470.76</v>
      </c>
      <c r="CT188" s="85">
        <f t="shared" si="114"/>
        <v>1351345470.76</v>
      </c>
      <c r="CU188" s="85">
        <f t="shared" si="114"/>
        <v>0</v>
      </c>
      <c r="CV188" s="85">
        <f t="shared" si="114"/>
        <v>0</v>
      </c>
      <c r="CW188" s="85">
        <f t="shared" si="114"/>
        <v>0</v>
      </c>
      <c r="CX188" s="85">
        <f t="shared" si="114"/>
        <v>0</v>
      </c>
      <c r="CY188" s="85">
        <f t="shared" si="114"/>
        <v>0</v>
      </c>
      <c r="CZ188" s="85">
        <f t="shared" si="114"/>
        <v>0</v>
      </c>
      <c r="DA188" s="85">
        <f t="shared" si="114"/>
        <v>0</v>
      </c>
      <c r="DB188" s="85">
        <f t="shared" si="114"/>
        <v>0</v>
      </c>
      <c r="DC188" s="85">
        <f t="shared" si="114"/>
        <v>0</v>
      </c>
      <c r="DD188" s="85">
        <f t="shared" si="114"/>
        <v>1928906323.1600001</v>
      </c>
      <c r="DE188" s="85">
        <f t="shared" si="114"/>
        <v>1928906323.1600001</v>
      </c>
      <c r="DF188" s="85">
        <f t="shared" si="114"/>
        <v>0</v>
      </c>
      <c r="DG188" s="85">
        <f t="shared" si="114"/>
        <v>0</v>
      </c>
      <c r="DH188" s="85">
        <f t="shared" si="114"/>
        <v>0</v>
      </c>
      <c r="DI188" s="85">
        <f t="shared" si="114"/>
        <v>0</v>
      </c>
      <c r="DJ188" s="85">
        <f t="shared" si="114"/>
        <v>0</v>
      </c>
      <c r="DK188" s="85">
        <f t="shared" si="114"/>
        <v>0</v>
      </c>
      <c r="DL188" s="85">
        <f t="shared" si="114"/>
        <v>0</v>
      </c>
      <c r="DM188" s="85">
        <f t="shared" si="114"/>
        <v>0</v>
      </c>
      <c r="DN188" s="86">
        <f t="shared" si="114"/>
        <v>0</v>
      </c>
      <c r="DO188" s="85">
        <f>SUM(DO189:DO200)</f>
        <v>12824159072.130001</v>
      </c>
    </row>
    <row r="189" spans="1:123" s="225" customFormat="1" ht="101.25" customHeight="1" x14ac:dyDescent="0.2">
      <c r="A189" s="244">
        <v>2</v>
      </c>
      <c r="B189" s="254" t="s">
        <v>33</v>
      </c>
      <c r="C189" s="59" t="s">
        <v>343</v>
      </c>
      <c r="D189" s="59" t="s">
        <v>35</v>
      </c>
      <c r="E189" s="157">
        <v>0.16500000000000001</v>
      </c>
      <c r="F189" s="13">
        <v>2018</v>
      </c>
      <c r="G189" s="59" t="s">
        <v>344</v>
      </c>
      <c r="H189" s="127">
        <v>0.18099999999999999</v>
      </c>
      <c r="I189" s="158">
        <v>17</v>
      </c>
      <c r="J189" s="159" t="s">
        <v>345</v>
      </c>
      <c r="K189" s="48">
        <v>13</v>
      </c>
      <c r="L189" s="160" t="s">
        <v>346</v>
      </c>
      <c r="M189" s="246">
        <v>4</v>
      </c>
      <c r="N189" s="247">
        <v>1702</v>
      </c>
      <c r="O189" s="245" t="s">
        <v>111</v>
      </c>
      <c r="P189" s="13" t="s">
        <v>347</v>
      </c>
      <c r="Q189" s="48">
        <v>1702007</v>
      </c>
      <c r="R189" s="48">
        <v>1702007</v>
      </c>
      <c r="S189" s="59" t="s">
        <v>113</v>
      </c>
      <c r="T189" s="13" t="s">
        <v>348</v>
      </c>
      <c r="U189" s="48" t="s">
        <v>349</v>
      </c>
      <c r="V189" s="48" t="s">
        <v>349</v>
      </c>
      <c r="W189" s="161" t="s">
        <v>350</v>
      </c>
      <c r="X189" s="18" t="s">
        <v>9</v>
      </c>
      <c r="Y189" s="18">
        <v>16</v>
      </c>
      <c r="Z189" s="18">
        <v>5</v>
      </c>
      <c r="AA189" s="18">
        <v>0</v>
      </c>
      <c r="AB189" s="18">
        <v>4</v>
      </c>
      <c r="AC189" s="18">
        <v>4</v>
      </c>
      <c r="AD189" s="18">
        <v>3</v>
      </c>
      <c r="AE189" s="89">
        <f t="shared" ref="AE189:AI200" si="115">AJ189+AO189+AT189+AY189+BD189+BI189+BN189+BS189+BX189+CC189</f>
        <v>219300265</v>
      </c>
      <c r="AF189" s="89">
        <f t="shared" si="115"/>
        <v>129577524.97</v>
      </c>
      <c r="AG189" s="89">
        <f t="shared" si="115"/>
        <v>0</v>
      </c>
      <c r="AH189" s="89">
        <f t="shared" si="115"/>
        <v>0</v>
      </c>
      <c r="AI189" s="89">
        <f t="shared" si="115"/>
        <v>0</v>
      </c>
      <c r="AJ189" s="162">
        <f>130000000+89300265</f>
        <v>219300265</v>
      </c>
      <c r="AK189" s="162">
        <v>129577524.97</v>
      </c>
      <c r="AL189" s="162"/>
      <c r="AM189" s="162"/>
      <c r="AN189" s="162"/>
      <c r="AO189" s="162"/>
      <c r="AP189" s="162"/>
      <c r="AQ189" s="162"/>
      <c r="AR189" s="162"/>
      <c r="AS189" s="162"/>
      <c r="AT189" s="162"/>
      <c r="AU189" s="162"/>
      <c r="AV189" s="162"/>
      <c r="AW189" s="162"/>
      <c r="AX189" s="162"/>
      <c r="AY189" s="162"/>
      <c r="AZ189" s="162"/>
      <c r="BA189" s="162"/>
      <c r="BB189" s="162"/>
      <c r="BC189" s="162"/>
      <c r="BD189" s="162"/>
      <c r="BE189" s="162"/>
      <c r="BF189" s="162"/>
      <c r="BG189" s="162"/>
      <c r="BH189" s="162"/>
      <c r="BI189" s="162"/>
      <c r="BJ189" s="162"/>
      <c r="BK189" s="162"/>
      <c r="BL189" s="162"/>
      <c r="BM189" s="162"/>
      <c r="BN189" s="163"/>
      <c r="BO189" s="162"/>
      <c r="BP189" s="163"/>
      <c r="BQ189" s="163"/>
      <c r="BR189" s="163"/>
      <c r="BS189" s="163"/>
      <c r="BT189" s="162"/>
      <c r="BU189" s="163"/>
      <c r="BV189" s="163"/>
      <c r="BW189" s="163"/>
      <c r="BX189" s="163"/>
      <c r="BY189" s="162"/>
      <c r="BZ189" s="163"/>
      <c r="CA189" s="163"/>
      <c r="CB189" s="163"/>
      <c r="CC189" s="163"/>
      <c r="CD189" s="162"/>
      <c r="CE189" s="163"/>
      <c r="CF189" s="163"/>
      <c r="CG189" s="163"/>
      <c r="CH189" s="91">
        <f t="shared" ref="CH189:CH200" si="116">CI189+CJ189+CK189+CL189+CM189+CN189+CO189+CP189+CQ189+CR189</f>
        <v>122753485</v>
      </c>
      <c r="CI189" s="163">
        <v>122753485</v>
      </c>
      <c r="CJ189" s="163"/>
      <c r="CK189" s="163"/>
      <c r="CL189" s="163"/>
      <c r="CM189" s="163"/>
      <c r="CN189" s="163"/>
      <c r="CO189" s="163"/>
      <c r="CP189" s="163"/>
      <c r="CQ189" s="163"/>
      <c r="CR189" s="163"/>
      <c r="CS189" s="91">
        <f t="shared" ref="CS189:CS200" si="117">CT189+CU189+CV189+CW189+CX189+CY189+CZ189+DA189+DB189+DC189</f>
        <v>190000000</v>
      </c>
      <c r="CT189" s="163">
        <v>190000000</v>
      </c>
      <c r="CU189" s="163"/>
      <c r="CV189" s="163"/>
      <c r="CW189" s="163"/>
      <c r="CX189" s="163"/>
      <c r="CY189" s="163"/>
      <c r="CZ189" s="163"/>
      <c r="DA189" s="163"/>
      <c r="DB189" s="163"/>
      <c r="DC189" s="163"/>
      <c r="DD189" s="91">
        <f t="shared" ref="DD189:DD200" si="118">DE189+DF189+DG189+DH189+DI189+DJ189+DK189+DL189+DM189+DN189</f>
        <v>278700000</v>
      </c>
      <c r="DE189" s="163">
        <v>278700000</v>
      </c>
      <c r="DF189" s="163"/>
      <c r="DG189" s="163"/>
      <c r="DH189" s="163"/>
      <c r="DI189" s="163"/>
      <c r="DJ189" s="163"/>
      <c r="DK189" s="163"/>
      <c r="DL189" s="163"/>
      <c r="DM189" s="163"/>
      <c r="DN189" s="164"/>
      <c r="DO189" s="93">
        <f t="shared" ref="DO189:DO200" si="119">AE189+CH189+CS189+DD189</f>
        <v>810753750</v>
      </c>
    </row>
    <row r="190" spans="1:123" s="225" customFormat="1" ht="101.25" customHeight="1" x14ac:dyDescent="0.2">
      <c r="A190" s="244">
        <v>2</v>
      </c>
      <c r="B190" s="254" t="s">
        <v>33</v>
      </c>
      <c r="C190" s="59" t="s">
        <v>343</v>
      </c>
      <c r="D190" s="59" t="s">
        <v>35</v>
      </c>
      <c r="E190" s="157">
        <v>0.16500000000000001</v>
      </c>
      <c r="F190" s="13">
        <v>2018</v>
      </c>
      <c r="G190" s="59" t="s">
        <v>344</v>
      </c>
      <c r="H190" s="127">
        <v>0.18099999999999999</v>
      </c>
      <c r="I190" s="158">
        <v>17</v>
      </c>
      <c r="J190" s="159" t="s">
        <v>345</v>
      </c>
      <c r="K190" s="48">
        <v>13</v>
      </c>
      <c r="L190" s="160" t="s">
        <v>346</v>
      </c>
      <c r="M190" s="246">
        <v>4</v>
      </c>
      <c r="N190" s="247">
        <v>1702</v>
      </c>
      <c r="O190" s="245" t="s">
        <v>111</v>
      </c>
      <c r="P190" s="13" t="s">
        <v>351</v>
      </c>
      <c r="Q190" s="48" t="s">
        <v>352</v>
      </c>
      <c r="R190" s="48" t="s">
        <v>352</v>
      </c>
      <c r="S190" s="59" t="s">
        <v>114</v>
      </c>
      <c r="T190" s="13" t="s">
        <v>353</v>
      </c>
      <c r="U190" s="48" t="s">
        <v>354</v>
      </c>
      <c r="V190" s="48" t="s">
        <v>354</v>
      </c>
      <c r="W190" s="87" t="s">
        <v>355</v>
      </c>
      <c r="X190" s="13" t="s">
        <v>9</v>
      </c>
      <c r="Y190" s="13">
        <v>500</v>
      </c>
      <c r="Z190" s="13">
        <v>0</v>
      </c>
      <c r="AA190" s="13"/>
      <c r="AB190" s="13">
        <v>168</v>
      </c>
      <c r="AC190" s="13">
        <v>166</v>
      </c>
      <c r="AD190" s="13">
        <v>166</v>
      </c>
      <c r="AE190" s="89">
        <f t="shared" si="115"/>
        <v>0</v>
      </c>
      <c r="AF190" s="89">
        <f t="shared" si="115"/>
        <v>0</v>
      </c>
      <c r="AG190" s="89">
        <f t="shared" si="115"/>
        <v>0</v>
      </c>
      <c r="AH190" s="89">
        <f t="shared" si="115"/>
        <v>0</v>
      </c>
      <c r="AI190" s="89">
        <f t="shared" si="115"/>
        <v>0</v>
      </c>
      <c r="AJ190" s="90"/>
      <c r="AK190" s="90"/>
      <c r="AL190" s="90"/>
      <c r="AM190" s="90"/>
      <c r="AN190" s="90"/>
      <c r="AO190" s="90"/>
      <c r="AP190" s="90"/>
      <c r="AQ190" s="90"/>
      <c r="AR190" s="90"/>
      <c r="AS190" s="90"/>
      <c r="AT190" s="90"/>
      <c r="AU190" s="90"/>
      <c r="AV190" s="90"/>
      <c r="AW190" s="90"/>
      <c r="AX190" s="90"/>
      <c r="AY190" s="90"/>
      <c r="AZ190" s="90"/>
      <c r="BA190" s="90"/>
      <c r="BB190" s="90"/>
      <c r="BC190" s="90"/>
      <c r="BD190" s="90"/>
      <c r="BE190" s="90"/>
      <c r="BF190" s="90"/>
      <c r="BG190" s="90"/>
      <c r="BH190" s="90"/>
      <c r="BI190" s="90"/>
      <c r="BJ190" s="90"/>
      <c r="BK190" s="90"/>
      <c r="BL190" s="90"/>
      <c r="BM190" s="90"/>
      <c r="BN190" s="91"/>
      <c r="BO190" s="90"/>
      <c r="BP190" s="91"/>
      <c r="BQ190" s="91"/>
      <c r="BR190" s="91"/>
      <c r="BS190" s="91"/>
      <c r="BT190" s="90"/>
      <c r="BU190" s="91"/>
      <c r="BV190" s="91"/>
      <c r="BW190" s="91"/>
      <c r="BX190" s="91"/>
      <c r="BY190" s="90"/>
      <c r="BZ190" s="91"/>
      <c r="CA190" s="91"/>
      <c r="CB190" s="91"/>
      <c r="CC190" s="91"/>
      <c r="CD190" s="90"/>
      <c r="CE190" s="91"/>
      <c r="CF190" s="91"/>
      <c r="CG190" s="91"/>
      <c r="CH190" s="91">
        <f t="shared" si="116"/>
        <v>90960210</v>
      </c>
      <c r="CI190" s="91">
        <v>90960210</v>
      </c>
      <c r="CJ190" s="91"/>
      <c r="CK190" s="91"/>
      <c r="CL190" s="91"/>
      <c r="CM190" s="91"/>
      <c r="CN190" s="91"/>
      <c r="CO190" s="91"/>
      <c r="CP190" s="91"/>
      <c r="CQ190" s="91"/>
      <c r="CR190" s="91"/>
      <c r="CS190" s="91">
        <f t="shared" si="117"/>
        <v>182388969</v>
      </c>
      <c r="CT190" s="91">
        <v>182388969</v>
      </c>
      <c r="CU190" s="91"/>
      <c r="CV190" s="91"/>
      <c r="CW190" s="91"/>
      <c r="CX190" s="91"/>
      <c r="CY190" s="91"/>
      <c r="CZ190" s="91"/>
      <c r="DA190" s="91"/>
      <c r="DB190" s="91"/>
      <c r="DC190" s="91"/>
      <c r="DD190" s="91">
        <f t="shared" si="118"/>
        <v>184220700</v>
      </c>
      <c r="DE190" s="91">
        <v>184220700</v>
      </c>
      <c r="DF190" s="91"/>
      <c r="DG190" s="91"/>
      <c r="DH190" s="91"/>
      <c r="DI190" s="91"/>
      <c r="DJ190" s="91"/>
      <c r="DK190" s="91"/>
      <c r="DL190" s="91"/>
      <c r="DM190" s="91"/>
      <c r="DN190" s="92"/>
      <c r="DO190" s="93">
        <f t="shared" si="119"/>
        <v>457569879</v>
      </c>
    </row>
    <row r="191" spans="1:123" s="225" customFormat="1" ht="101.25" customHeight="1" x14ac:dyDescent="0.2">
      <c r="A191" s="244">
        <v>2</v>
      </c>
      <c r="B191" s="254" t="s">
        <v>33</v>
      </c>
      <c r="C191" s="59" t="s">
        <v>343</v>
      </c>
      <c r="D191" s="59" t="s">
        <v>35</v>
      </c>
      <c r="E191" s="157">
        <v>0.16500000000000001</v>
      </c>
      <c r="F191" s="13">
        <v>2018</v>
      </c>
      <c r="G191" s="59" t="s">
        <v>344</v>
      </c>
      <c r="H191" s="127">
        <v>0.18099999999999999</v>
      </c>
      <c r="I191" s="158">
        <v>17</v>
      </c>
      <c r="J191" s="159" t="s">
        <v>345</v>
      </c>
      <c r="K191" s="48">
        <v>13</v>
      </c>
      <c r="L191" s="160" t="s">
        <v>346</v>
      </c>
      <c r="M191" s="246">
        <v>4</v>
      </c>
      <c r="N191" s="247">
        <v>1702</v>
      </c>
      <c r="O191" s="245" t="s">
        <v>111</v>
      </c>
      <c r="P191" s="13" t="s">
        <v>356</v>
      </c>
      <c r="Q191" s="48">
        <v>1702011</v>
      </c>
      <c r="R191" s="48">
        <v>1702011</v>
      </c>
      <c r="S191" s="59" t="s">
        <v>112</v>
      </c>
      <c r="T191" s="13" t="s">
        <v>357</v>
      </c>
      <c r="U191" s="48" t="s">
        <v>358</v>
      </c>
      <c r="V191" s="48" t="s">
        <v>358</v>
      </c>
      <c r="W191" s="87" t="s">
        <v>359</v>
      </c>
      <c r="X191" s="13" t="s">
        <v>8</v>
      </c>
      <c r="Y191" s="13">
        <v>30</v>
      </c>
      <c r="Z191" s="13">
        <v>30</v>
      </c>
      <c r="AA191" s="13">
        <v>25</v>
      </c>
      <c r="AB191" s="13">
        <v>30</v>
      </c>
      <c r="AC191" s="13">
        <v>30</v>
      </c>
      <c r="AD191" s="13">
        <v>30</v>
      </c>
      <c r="AE191" s="89">
        <f t="shared" si="115"/>
        <v>222850000</v>
      </c>
      <c r="AF191" s="89">
        <f t="shared" si="115"/>
        <v>260049999</v>
      </c>
      <c r="AG191" s="89">
        <f t="shared" si="115"/>
        <v>160049999</v>
      </c>
      <c r="AH191" s="89">
        <f t="shared" si="115"/>
        <v>160049999</v>
      </c>
      <c r="AI191" s="89">
        <f t="shared" si="115"/>
        <v>0</v>
      </c>
      <c r="AJ191" s="90">
        <f>195850000+27000000</f>
        <v>222850000</v>
      </c>
      <c r="AK191" s="90">
        <v>260049999</v>
      </c>
      <c r="AL191" s="90">
        <v>160049999</v>
      </c>
      <c r="AM191" s="90">
        <v>160049999</v>
      </c>
      <c r="AN191" s="90"/>
      <c r="AO191" s="90"/>
      <c r="AP191" s="90"/>
      <c r="AQ191" s="90"/>
      <c r="AR191" s="90"/>
      <c r="AS191" s="90"/>
      <c r="AT191" s="90"/>
      <c r="AU191" s="90"/>
      <c r="AV191" s="90"/>
      <c r="AW191" s="90"/>
      <c r="AX191" s="90"/>
      <c r="AY191" s="90"/>
      <c r="AZ191" s="90"/>
      <c r="BA191" s="90"/>
      <c r="BB191" s="90"/>
      <c r="BC191" s="90"/>
      <c r="BD191" s="90"/>
      <c r="BE191" s="90"/>
      <c r="BF191" s="90"/>
      <c r="BG191" s="90"/>
      <c r="BH191" s="90"/>
      <c r="BI191" s="90"/>
      <c r="BJ191" s="90"/>
      <c r="BK191" s="90"/>
      <c r="BL191" s="90"/>
      <c r="BM191" s="90"/>
      <c r="BN191" s="91"/>
      <c r="BO191" s="90"/>
      <c r="BP191" s="91"/>
      <c r="BQ191" s="91"/>
      <c r="BR191" s="91"/>
      <c r="BS191" s="91"/>
      <c r="BT191" s="90"/>
      <c r="BU191" s="91"/>
      <c r="BV191" s="91"/>
      <c r="BW191" s="91"/>
      <c r="BX191" s="91"/>
      <c r="BY191" s="90"/>
      <c r="BZ191" s="91"/>
      <c r="CA191" s="91"/>
      <c r="CB191" s="91"/>
      <c r="CC191" s="91"/>
      <c r="CD191" s="162"/>
      <c r="CE191" s="91"/>
      <c r="CF191" s="91"/>
      <c r="CG191" s="91"/>
      <c r="CH191" s="91">
        <f t="shared" si="116"/>
        <v>225542790</v>
      </c>
      <c r="CI191" s="91">
        <v>225542790</v>
      </c>
      <c r="CJ191" s="91"/>
      <c r="CK191" s="91"/>
      <c r="CL191" s="91"/>
      <c r="CM191" s="91"/>
      <c r="CN191" s="91"/>
      <c r="CO191" s="91"/>
      <c r="CP191" s="91"/>
      <c r="CQ191" s="91"/>
      <c r="CR191" s="91"/>
      <c r="CS191" s="91">
        <f t="shared" si="117"/>
        <v>254663620</v>
      </c>
      <c r="CT191" s="91">
        <v>254663620</v>
      </c>
      <c r="CU191" s="91"/>
      <c r="CV191" s="91"/>
      <c r="CW191" s="91"/>
      <c r="CX191" s="91"/>
      <c r="CY191" s="91"/>
      <c r="CZ191" s="91"/>
      <c r="DA191" s="91"/>
      <c r="DB191" s="91"/>
      <c r="DC191" s="91"/>
      <c r="DD191" s="91">
        <f t="shared" si="118"/>
        <v>407382303</v>
      </c>
      <c r="DE191" s="91">
        <v>407382303</v>
      </c>
      <c r="DF191" s="91"/>
      <c r="DG191" s="91"/>
      <c r="DH191" s="91"/>
      <c r="DI191" s="91"/>
      <c r="DJ191" s="91"/>
      <c r="DK191" s="91"/>
      <c r="DL191" s="91"/>
      <c r="DM191" s="91"/>
      <c r="DN191" s="92"/>
      <c r="DO191" s="93">
        <f t="shared" si="119"/>
        <v>1110438713</v>
      </c>
    </row>
    <row r="192" spans="1:123" s="225" customFormat="1" ht="101.25" customHeight="1" x14ac:dyDescent="0.2">
      <c r="A192" s="244">
        <v>2</v>
      </c>
      <c r="B192" s="254" t="s">
        <v>33</v>
      </c>
      <c r="C192" s="59" t="s">
        <v>396</v>
      </c>
      <c r="D192" s="59" t="s">
        <v>213</v>
      </c>
      <c r="E192" s="125">
        <v>0.39389999999999997</v>
      </c>
      <c r="F192" s="13">
        <v>2018</v>
      </c>
      <c r="G192" s="59" t="s">
        <v>397</v>
      </c>
      <c r="H192" s="119">
        <v>0.5</v>
      </c>
      <c r="I192" s="158">
        <v>17</v>
      </c>
      <c r="J192" s="159" t="s">
        <v>345</v>
      </c>
      <c r="K192" s="48">
        <v>16</v>
      </c>
      <c r="L192" s="160" t="s">
        <v>398</v>
      </c>
      <c r="M192" s="246">
        <v>4</v>
      </c>
      <c r="N192" s="247">
        <v>1702</v>
      </c>
      <c r="O192" s="245" t="s">
        <v>111</v>
      </c>
      <c r="P192" s="116" t="s">
        <v>356</v>
      </c>
      <c r="Q192" s="48" t="s">
        <v>214</v>
      </c>
      <c r="R192" s="48" t="s">
        <v>214</v>
      </c>
      <c r="S192" s="59" t="s">
        <v>215</v>
      </c>
      <c r="T192" s="116" t="s">
        <v>399</v>
      </c>
      <c r="U192" s="48">
        <v>170201102</v>
      </c>
      <c r="V192" s="48">
        <v>170201102</v>
      </c>
      <c r="W192" s="87" t="s">
        <v>400</v>
      </c>
      <c r="X192" s="13" t="s">
        <v>9</v>
      </c>
      <c r="Y192" s="13">
        <v>24</v>
      </c>
      <c r="Z192" s="13">
        <v>0</v>
      </c>
      <c r="AA192" s="13">
        <v>0</v>
      </c>
      <c r="AB192" s="13">
        <v>4</v>
      </c>
      <c r="AC192" s="13">
        <v>10</v>
      </c>
      <c r="AD192" s="13">
        <v>10</v>
      </c>
      <c r="AE192" s="89">
        <f t="shared" si="115"/>
        <v>0</v>
      </c>
      <c r="AF192" s="89">
        <f t="shared" si="115"/>
        <v>0</v>
      </c>
      <c r="AG192" s="89">
        <f t="shared" si="115"/>
        <v>0</v>
      </c>
      <c r="AH192" s="89">
        <f t="shared" si="115"/>
        <v>0</v>
      </c>
      <c r="AI192" s="89">
        <f t="shared" si="115"/>
        <v>0</v>
      </c>
      <c r="AJ192" s="90"/>
      <c r="AK192" s="90"/>
      <c r="AL192" s="90"/>
      <c r="AM192" s="90"/>
      <c r="AN192" s="90"/>
      <c r="AO192" s="90"/>
      <c r="AP192" s="90"/>
      <c r="AQ192" s="90"/>
      <c r="AR192" s="90"/>
      <c r="AS192" s="90"/>
      <c r="AT192" s="90"/>
      <c r="AU192" s="90"/>
      <c r="AV192" s="90"/>
      <c r="AW192" s="90"/>
      <c r="AX192" s="90"/>
      <c r="AY192" s="90"/>
      <c r="AZ192" s="90"/>
      <c r="BA192" s="90"/>
      <c r="BB192" s="90"/>
      <c r="BC192" s="90"/>
      <c r="BD192" s="90"/>
      <c r="BE192" s="90"/>
      <c r="BF192" s="90"/>
      <c r="BG192" s="90"/>
      <c r="BH192" s="90"/>
      <c r="BI192" s="90"/>
      <c r="BJ192" s="90"/>
      <c r="BK192" s="90"/>
      <c r="BL192" s="90"/>
      <c r="BM192" s="90"/>
      <c r="BN192" s="91"/>
      <c r="BO192" s="90"/>
      <c r="BP192" s="91"/>
      <c r="BQ192" s="91"/>
      <c r="BR192" s="91"/>
      <c r="BS192" s="91"/>
      <c r="BT192" s="90"/>
      <c r="BU192" s="91"/>
      <c r="BV192" s="91"/>
      <c r="BW192" s="91"/>
      <c r="BX192" s="91"/>
      <c r="BY192" s="90"/>
      <c r="BZ192" s="91"/>
      <c r="CA192" s="91"/>
      <c r="CB192" s="91"/>
      <c r="CC192" s="91"/>
      <c r="CD192" s="90"/>
      <c r="CE192" s="91"/>
      <c r="CF192" s="91"/>
      <c r="CG192" s="91"/>
      <c r="CH192" s="91">
        <f t="shared" si="116"/>
        <v>17100000</v>
      </c>
      <c r="CI192" s="91">
        <v>17100000</v>
      </c>
      <c r="CJ192" s="91"/>
      <c r="CK192" s="91"/>
      <c r="CL192" s="91"/>
      <c r="CM192" s="91"/>
      <c r="CN192" s="91"/>
      <c r="CO192" s="91"/>
      <c r="CP192" s="91"/>
      <c r="CQ192" s="91"/>
      <c r="CR192" s="91"/>
      <c r="CS192" s="91">
        <f t="shared" si="117"/>
        <v>34743600</v>
      </c>
      <c r="CT192" s="91">
        <v>34743600</v>
      </c>
      <c r="CU192" s="91"/>
      <c r="CV192" s="91"/>
      <c r="CW192" s="91"/>
      <c r="CX192" s="91"/>
      <c r="CY192" s="91"/>
      <c r="CZ192" s="91"/>
      <c r="DA192" s="91"/>
      <c r="DB192" s="91"/>
      <c r="DC192" s="91"/>
      <c r="DD192" s="91">
        <f t="shared" si="118"/>
        <v>77864000</v>
      </c>
      <c r="DE192" s="91">
        <v>77864000</v>
      </c>
      <c r="DF192" s="91"/>
      <c r="DG192" s="91"/>
      <c r="DH192" s="91"/>
      <c r="DI192" s="91"/>
      <c r="DJ192" s="91"/>
      <c r="DK192" s="91"/>
      <c r="DL192" s="91"/>
      <c r="DM192" s="91"/>
      <c r="DN192" s="92"/>
      <c r="DO192" s="93">
        <f t="shared" si="119"/>
        <v>129707600</v>
      </c>
    </row>
    <row r="193" spans="1:119" s="225" customFormat="1" ht="101.25" customHeight="1" x14ac:dyDescent="0.2">
      <c r="A193" s="244">
        <v>2</v>
      </c>
      <c r="B193" s="254" t="s">
        <v>33</v>
      </c>
      <c r="C193" s="59" t="s">
        <v>343</v>
      </c>
      <c r="D193" s="59" t="s">
        <v>35</v>
      </c>
      <c r="E193" s="157">
        <v>0.16500000000000001</v>
      </c>
      <c r="F193" s="13">
        <v>2018</v>
      </c>
      <c r="G193" s="59" t="s">
        <v>344</v>
      </c>
      <c r="H193" s="127">
        <v>0.18099999999999999</v>
      </c>
      <c r="I193" s="158">
        <v>17</v>
      </c>
      <c r="J193" s="159" t="s">
        <v>345</v>
      </c>
      <c r="K193" s="48">
        <v>8</v>
      </c>
      <c r="L193" s="160" t="s">
        <v>360</v>
      </c>
      <c r="M193" s="246">
        <v>4</v>
      </c>
      <c r="N193" s="247">
        <v>1702</v>
      </c>
      <c r="O193" s="245" t="s">
        <v>111</v>
      </c>
      <c r="P193" s="13" t="s">
        <v>361</v>
      </c>
      <c r="Q193" s="48">
        <v>1702014</v>
      </c>
      <c r="R193" s="48">
        <v>1702014</v>
      </c>
      <c r="S193" s="59" t="s">
        <v>116</v>
      </c>
      <c r="T193" s="13" t="s">
        <v>362</v>
      </c>
      <c r="U193" s="48" t="s">
        <v>363</v>
      </c>
      <c r="V193" s="48" t="s">
        <v>363</v>
      </c>
      <c r="W193" s="87" t="s">
        <v>364</v>
      </c>
      <c r="X193" s="13" t="s">
        <v>9</v>
      </c>
      <c r="Y193" s="13">
        <v>100</v>
      </c>
      <c r="Z193" s="13">
        <v>25</v>
      </c>
      <c r="AA193" s="13">
        <v>0</v>
      </c>
      <c r="AB193" s="13">
        <v>25</v>
      </c>
      <c r="AC193" s="13">
        <v>25</v>
      </c>
      <c r="AD193" s="13">
        <v>25</v>
      </c>
      <c r="AE193" s="89">
        <f t="shared" si="115"/>
        <v>50000000</v>
      </c>
      <c r="AF193" s="89">
        <f t="shared" si="115"/>
        <v>10000000</v>
      </c>
      <c r="AG193" s="89">
        <f t="shared" si="115"/>
        <v>0</v>
      </c>
      <c r="AH193" s="89">
        <f t="shared" si="115"/>
        <v>0</v>
      </c>
      <c r="AI193" s="89">
        <f t="shared" si="115"/>
        <v>0</v>
      </c>
      <c r="AJ193" s="90">
        <v>50000000</v>
      </c>
      <c r="AK193" s="90">
        <v>10000000</v>
      </c>
      <c r="AL193" s="90"/>
      <c r="AM193" s="90"/>
      <c r="AN193" s="90"/>
      <c r="AO193" s="90"/>
      <c r="AP193" s="90"/>
      <c r="AQ193" s="90"/>
      <c r="AR193" s="90"/>
      <c r="AS193" s="90"/>
      <c r="AT193" s="90"/>
      <c r="AU193" s="90"/>
      <c r="AV193" s="90"/>
      <c r="AW193" s="90"/>
      <c r="AX193" s="90"/>
      <c r="AY193" s="90"/>
      <c r="AZ193" s="90"/>
      <c r="BA193" s="90"/>
      <c r="BB193" s="90"/>
      <c r="BC193" s="90"/>
      <c r="BD193" s="90"/>
      <c r="BE193" s="90"/>
      <c r="BF193" s="90"/>
      <c r="BG193" s="90"/>
      <c r="BH193" s="90"/>
      <c r="BI193" s="90"/>
      <c r="BJ193" s="90"/>
      <c r="BK193" s="90"/>
      <c r="BL193" s="90"/>
      <c r="BM193" s="90"/>
      <c r="BN193" s="91"/>
      <c r="BO193" s="90"/>
      <c r="BP193" s="91"/>
      <c r="BQ193" s="91"/>
      <c r="BR193" s="91"/>
      <c r="BS193" s="91"/>
      <c r="BT193" s="90"/>
      <c r="BU193" s="91"/>
      <c r="BV193" s="91"/>
      <c r="BW193" s="91"/>
      <c r="BX193" s="91"/>
      <c r="BY193" s="90"/>
      <c r="BZ193" s="91"/>
      <c r="CA193" s="91"/>
      <c r="CB193" s="91"/>
      <c r="CC193" s="91"/>
      <c r="CD193" s="90"/>
      <c r="CE193" s="91"/>
      <c r="CF193" s="91"/>
      <c r="CG193" s="91"/>
      <c r="CH193" s="91">
        <f t="shared" si="116"/>
        <v>45870000</v>
      </c>
      <c r="CI193" s="91">
        <v>45870000</v>
      </c>
      <c r="CJ193" s="91"/>
      <c r="CK193" s="91"/>
      <c r="CL193" s="91"/>
      <c r="CM193" s="91"/>
      <c r="CN193" s="91"/>
      <c r="CO193" s="91"/>
      <c r="CP193" s="91"/>
      <c r="CQ193" s="91"/>
      <c r="CR193" s="91"/>
      <c r="CS193" s="91">
        <f t="shared" si="117"/>
        <v>100000000</v>
      </c>
      <c r="CT193" s="91">
        <v>100000000</v>
      </c>
      <c r="CU193" s="91"/>
      <c r="CV193" s="91"/>
      <c r="CW193" s="91"/>
      <c r="CX193" s="91"/>
      <c r="CY193" s="91"/>
      <c r="CZ193" s="91"/>
      <c r="DA193" s="91"/>
      <c r="DB193" s="91"/>
      <c r="DC193" s="91"/>
      <c r="DD193" s="91">
        <f t="shared" si="118"/>
        <v>92900000</v>
      </c>
      <c r="DE193" s="91">
        <v>92900000</v>
      </c>
      <c r="DF193" s="91"/>
      <c r="DG193" s="91"/>
      <c r="DH193" s="91"/>
      <c r="DI193" s="91"/>
      <c r="DJ193" s="91"/>
      <c r="DK193" s="91"/>
      <c r="DL193" s="91"/>
      <c r="DM193" s="91"/>
      <c r="DN193" s="92"/>
      <c r="DO193" s="93">
        <f t="shared" si="119"/>
        <v>288770000</v>
      </c>
    </row>
    <row r="194" spans="1:119" s="225" customFormat="1" ht="101.25" customHeight="1" x14ac:dyDescent="0.2">
      <c r="A194" s="244">
        <v>2</v>
      </c>
      <c r="B194" s="254" t="s">
        <v>33</v>
      </c>
      <c r="C194" s="59" t="s">
        <v>343</v>
      </c>
      <c r="D194" s="59" t="s">
        <v>35</v>
      </c>
      <c r="E194" s="157">
        <v>0.16500000000000001</v>
      </c>
      <c r="F194" s="13">
        <v>2018</v>
      </c>
      <c r="G194" s="59" t="s">
        <v>344</v>
      </c>
      <c r="H194" s="127">
        <v>0.18099999999999999</v>
      </c>
      <c r="I194" s="158">
        <v>17</v>
      </c>
      <c r="J194" s="159" t="s">
        <v>345</v>
      </c>
      <c r="K194" s="48">
        <v>8</v>
      </c>
      <c r="L194" s="160" t="s">
        <v>360</v>
      </c>
      <c r="M194" s="246">
        <v>4</v>
      </c>
      <c r="N194" s="247">
        <v>1702</v>
      </c>
      <c r="O194" s="245" t="s">
        <v>111</v>
      </c>
      <c r="P194" s="13" t="s">
        <v>365</v>
      </c>
      <c r="Q194" s="48" t="s">
        <v>366</v>
      </c>
      <c r="R194" s="48" t="s">
        <v>366</v>
      </c>
      <c r="S194" s="59" t="s">
        <v>117</v>
      </c>
      <c r="T194" s="13" t="s">
        <v>367</v>
      </c>
      <c r="U194" s="48" t="s">
        <v>368</v>
      </c>
      <c r="V194" s="48" t="s">
        <v>368</v>
      </c>
      <c r="W194" s="87" t="s">
        <v>369</v>
      </c>
      <c r="X194" s="13" t="s">
        <v>9</v>
      </c>
      <c r="Y194" s="13">
        <v>2500</v>
      </c>
      <c r="Z194" s="13">
        <v>250</v>
      </c>
      <c r="AA194" s="13">
        <v>240</v>
      </c>
      <c r="AB194" s="13">
        <v>750</v>
      </c>
      <c r="AC194" s="13">
        <v>750</v>
      </c>
      <c r="AD194" s="13">
        <v>750</v>
      </c>
      <c r="AE194" s="89">
        <f t="shared" si="115"/>
        <v>5215418380</v>
      </c>
      <c r="AF194" s="89">
        <f t="shared" si="115"/>
        <v>7543484611</v>
      </c>
      <c r="AG194" s="89">
        <f t="shared" si="115"/>
        <v>7408146341</v>
      </c>
      <c r="AH194" s="89">
        <f t="shared" si="115"/>
        <v>3979317887</v>
      </c>
      <c r="AI194" s="89">
        <f t="shared" si="115"/>
        <v>0</v>
      </c>
      <c r="AJ194" s="90">
        <v>129000000</v>
      </c>
      <c r="AK194" s="90">
        <f>110000000+19000000</f>
        <v>129000000</v>
      </c>
      <c r="AL194" s="90">
        <v>58633332</v>
      </c>
      <c r="AM194" s="90">
        <v>58633332</v>
      </c>
      <c r="AN194" s="90"/>
      <c r="AO194" s="90"/>
      <c r="AP194" s="90"/>
      <c r="AQ194" s="90"/>
      <c r="AR194" s="90"/>
      <c r="AS194" s="90"/>
      <c r="AT194" s="90"/>
      <c r="AU194" s="90"/>
      <c r="AV194" s="90"/>
      <c r="AW194" s="90"/>
      <c r="AX194" s="90"/>
      <c r="AY194" s="90"/>
      <c r="AZ194" s="90"/>
      <c r="BA194" s="90"/>
      <c r="BB194" s="90"/>
      <c r="BC194" s="90"/>
      <c r="BD194" s="90"/>
      <c r="BE194" s="90"/>
      <c r="BF194" s="90"/>
      <c r="BG194" s="90"/>
      <c r="BH194" s="90"/>
      <c r="BI194" s="90"/>
      <c r="BJ194" s="90"/>
      <c r="BK194" s="90"/>
      <c r="BL194" s="90"/>
      <c r="BM194" s="90"/>
      <c r="BN194" s="91">
        <v>5086418380</v>
      </c>
      <c r="BO194" s="90">
        <v>7414484611</v>
      </c>
      <c r="BP194" s="91">
        <v>7349513009</v>
      </c>
      <c r="BQ194" s="91">
        <v>3920684555</v>
      </c>
      <c r="BR194" s="91"/>
      <c r="BS194" s="91"/>
      <c r="BT194" s="90"/>
      <c r="BU194" s="91"/>
      <c r="BV194" s="91"/>
      <c r="BW194" s="91"/>
      <c r="BX194" s="91"/>
      <c r="BY194" s="90"/>
      <c r="BZ194" s="91"/>
      <c r="CA194" s="91"/>
      <c r="CB194" s="91"/>
      <c r="CC194" s="91"/>
      <c r="CD194" s="90"/>
      <c r="CE194" s="91"/>
      <c r="CF194" s="91"/>
      <c r="CG194" s="91"/>
      <c r="CH194" s="91">
        <f t="shared" si="116"/>
        <v>155040600</v>
      </c>
      <c r="CI194" s="91">
        <v>155040600</v>
      </c>
      <c r="CJ194" s="91"/>
      <c r="CK194" s="91"/>
      <c r="CL194" s="91"/>
      <c r="CM194" s="91"/>
      <c r="CN194" s="91"/>
      <c r="CO194" s="91"/>
      <c r="CP194" s="91"/>
      <c r="CQ194" s="91"/>
      <c r="CR194" s="91"/>
      <c r="CS194" s="91">
        <f t="shared" si="117"/>
        <v>250000000</v>
      </c>
      <c r="CT194" s="91">
        <v>250000000</v>
      </c>
      <c r="CU194" s="91"/>
      <c r="CV194" s="91"/>
      <c r="CW194" s="91"/>
      <c r="CX194" s="91"/>
      <c r="CY194" s="91"/>
      <c r="CZ194" s="91"/>
      <c r="DA194" s="91"/>
      <c r="DB194" s="91"/>
      <c r="DC194" s="91"/>
      <c r="DD194" s="91">
        <f t="shared" si="118"/>
        <v>314002000</v>
      </c>
      <c r="DE194" s="91">
        <v>314002000</v>
      </c>
      <c r="DF194" s="91"/>
      <c r="DG194" s="91"/>
      <c r="DH194" s="91"/>
      <c r="DI194" s="91"/>
      <c r="DJ194" s="91"/>
      <c r="DK194" s="91"/>
      <c r="DL194" s="91"/>
      <c r="DM194" s="91"/>
      <c r="DN194" s="92"/>
      <c r="DO194" s="93">
        <f t="shared" si="119"/>
        <v>5934460980</v>
      </c>
    </row>
    <row r="195" spans="1:119" s="225" customFormat="1" ht="101.25" customHeight="1" x14ac:dyDescent="0.2">
      <c r="A195" s="244">
        <v>2</v>
      </c>
      <c r="B195" s="254" t="s">
        <v>33</v>
      </c>
      <c r="C195" s="59" t="s">
        <v>343</v>
      </c>
      <c r="D195" s="59" t="s">
        <v>35</v>
      </c>
      <c r="E195" s="157">
        <v>0.16500000000000001</v>
      </c>
      <c r="F195" s="13">
        <v>2018</v>
      </c>
      <c r="G195" s="59" t="s">
        <v>344</v>
      </c>
      <c r="H195" s="127">
        <v>0.18099999999999999</v>
      </c>
      <c r="I195" s="158">
        <v>17</v>
      </c>
      <c r="J195" s="159" t="s">
        <v>345</v>
      </c>
      <c r="K195" s="48">
        <v>8</v>
      </c>
      <c r="L195" s="160" t="s">
        <v>360</v>
      </c>
      <c r="M195" s="246">
        <v>4</v>
      </c>
      <c r="N195" s="247">
        <v>1702</v>
      </c>
      <c r="O195" s="245" t="s">
        <v>111</v>
      </c>
      <c r="P195" s="13" t="s">
        <v>370</v>
      </c>
      <c r="Q195" s="48">
        <v>1702021</v>
      </c>
      <c r="R195" s="48">
        <v>1702021</v>
      </c>
      <c r="S195" s="59" t="s">
        <v>118</v>
      </c>
      <c r="T195" s="13" t="s">
        <v>371</v>
      </c>
      <c r="U195" s="48" t="s">
        <v>372</v>
      </c>
      <c r="V195" s="48" t="s">
        <v>372</v>
      </c>
      <c r="W195" s="87" t="s">
        <v>373</v>
      </c>
      <c r="X195" s="13" t="s">
        <v>9</v>
      </c>
      <c r="Y195" s="13">
        <v>500</v>
      </c>
      <c r="Z195" s="13">
        <v>50</v>
      </c>
      <c r="AA195" s="13">
        <v>0</v>
      </c>
      <c r="AB195" s="13">
        <v>150</v>
      </c>
      <c r="AC195" s="13">
        <v>150</v>
      </c>
      <c r="AD195" s="13">
        <v>150</v>
      </c>
      <c r="AE195" s="89">
        <f t="shared" si="115"/>
        <v>2725760701</v>
      </c>
      <c r="AF195" s="89">
        <f t="shared" si="115"/>
        <v>2465263467</v>
      </c>
      <c r="AG195" s="89">
        <f t="shared" si="115"/>
        <v>2455263467</v>
      </c>
      <c r="AH195" s="89">
        <f t="shared" si="115"/>
        <v>1053787093</v>
      </c>
      <c r="AI195" s="89">
        <f t="shared" si="115"/>
        <v>133906706.7</v>
      </c>
      <c r="AJ195" s="90">
        <v>10000000</v>
      </c>
      <c r="AK195" s="90">
        <v>10000000</v>
      </c>
      <c r="AL195" s="90"/>
      <c r="AM195" s="90"/>
      <c r="AN195" s="90"/>
      <c r="AO195" s="90"/>
      <c r="AP195" s="90"/>
      <c r="AQ195" s="90"/>
      <c r="AR195" s="90"/>
      <c r="AS195" s="90"/>
      <c r="AT195" s="90"/>
      <c r="AU195" s="90"/>
      <c r="AV195" s="90"/>
      <c r="AW195" s="90"/>
      <c r="AX195" s="90"/>
      <c r="AY195" s="90"/>
      <c r="AZ195" s="90"/>
      <c r="BA195" s="90"/>
      <c r="BB195" s="90"/>
      <c r="BC195" s="90"/>
      <c r="BD195" s="90"/>
      <c r="BE195" s="90"/>
      <c r="BF195" s="90"/>
      <c r="BG195" s="90"/>
      <c r="BH195" s="90"/>
      <c r="BI195" s="90"/>
      <c r="BJ195" s="90"/>
      <c r="BK195" s="90"/>
      <c r="BL195" s="90"/>
      <c r="BM195" s="90"/>
      <c r="BN195" s="91">
        <v>2715760701</v>
      </c>
      <c r="BO195" s="90">
        <v>2455263467</v>
      </c>
      <c r="BP195" s="90">
        <v>2455263467</v>
      </c>
      <c r="BQ195" s="91">
        <v>1053787093</v>
      </c>
      <c r="BR195" s="91"/>
      <c r="BS195" s="91"/>
      <c r="BT195" s="90"/>
      <c r="BU195" s="91"/>
      <c r="BV195" s="91"/>
      <c r="BW195" s="91"/>
      <c r="BX195" s="91"/>
      <c r="BY195" s="90"/>
      <c r="BZ195" s="91"/>
      <c r="CA195" s="91"/>
      <c r="CB195" s="91">
        <f>98289474.7+35617232</f>
        <v>133906706.7</v>
      </c>
      <c r="CC195" s="91"/>
      <c r="CD195" s="90"/>
      <c r="CE195" s="91"/>
      <c r="CF195" s="91"/>
      <c r="CG195" s="91"/>
      <c r="CH195" s="91">
        <f t="shared" si="116"/>
        <v>9174000</v>
      </c>
      <c r="CI195" s="91">
        <v>9174000</v>
      </c>
      <c r="CJ195" s="91"/>
      <c r="CK195" s="91"/>
      <c r="CL195" s="91"/>
      <c r="CM195" s="91"/>
      <c r="CN195" s="91"/>
      <c r="CO195" s="91"/>
      <c r="CP195" s="91"/>
      <c r="CQ195" s="91"/>
      <c r="CR195" s="91"/>
      <c r="CS195" s="91">
        <f t="shared" si="117"/>
        <v>20000000</v>
      </c>
      <c r="CT195" s="91">
        <v>20000000</v>
      </c>
      <c r="CU195" s="91"/>
      <c r="CV195" s="91"/>
      <c r="CW195" s="91"/>
      <c r="CX195" s="91"/>
      <c r="CY195" s="91"/>
      <c r="CZ195" s="91"/>
      <c r="DA195" s="91"/>
      <c r="DB195" s="91"/>
      <c r="DC195" s="91"/>
      <c r="DD195" s="91">
        <f t="shared" si="118"/>
        <v>100000000</v>
      </c>
      <c r="DE195" s="91">
        <v>100000000</v>
      </c>
      <c r="DF195" s="91"/>
      <c r="DG195" s="91"/>
      <c r="DH195" s="91"/>
      <c r="DI195" s="91"/>
      <c r="DJ195" s="91"/>
      <c r="DK195" s="91"/>
      <c r="DL195" s="91"/>
      <c r="DM195" s="91"/>
      <c r="DN195" s="92"/>
      <c r="DO195" s="93">
        <f t="shared" si="119"/>
        <v>2854934701</v>
      </c>
    </row>
    <row r="196" spans="1:119" s="225" customFormat="1" ht="101.25" customHeight="1" x14ac:dyDescent="0.2">
      <c r="A196" s="244">
        <v>2</v>
      </c>
      <c r="B196" s="254" t="s">
        <v>33</v>
      </c>
      <c r="C196" s="59" t="s">
        <v>343</v>
      </c>
      <c r="D196" s="59" t="s">
        <v>35</v>
      </c>
      <c r="E196" s="157">
        <v>0.16500000000000001</v>
      </c>
      <c r="F196" s="13">
        <v>2018</v>
      </c>
      <c r="G196" s="59" t="s">
        <v>344</v>
      </c>
      <c r="H196" s="127">
        <v>0.18099999999999999</v>
      </c>
      <c r="I196" s="158">
        <v>17</v>
      </c>
      <c r="J196" s="159" t="s">
        <v>345</v>
      </c>
      <c r="K196" s="48">
        <v>8</v>
      </c>
      <c r="L196" s="160" t="s">
        <v>360</v>
      </c>
      <c r="M196" s="246">
        <v>4</v>
      </c>
      <c r="N196" s="247">
        <v>1702</v>
      </c>
      <c r="O196" s="245" t="s">
        <v>111</v>
      </c>
      <c r="P196" s="13" t="s">
        <v>374</v>
      </c>
      <c r="Q196" s="48" t="s">
        <v>375</v>
      </c>
      <c r="R196" s="48" t="s">
        <v>375</v>
      </c>
      <c r="S196" s="59" t="s">
        <v>105</v>
      </c>
      <c r="T196" s="13" t="s">
        <v>376</v>
      </c>
      <c r="U196" s="48" t="s">
        <v>377</v>
      </c>
      <c r="V196" s="48" t="s">
        <v>377</v>
      </c>
      <c r="W196" s="87" t="s">
        <v>378</v>
      </c>
      <c r="X196" s="13" t="s">
        <v>8</v>
      </c>
      <c r="Y196" s="13">
        <v>1</v>
      </c>
      <c r="Z196" s="13">
        <v>1</v>
      </c>
      <c r="AA196" s="13">
        <v>1</v>
      </c>
      <c r="AB196" s="13">
        <v>1</v>
      </c>
      <c r="AC196" s="13">
        <v>1</v>
      </c>
      <c r="AD196" s="13">
        <v>1</v>
      </c>
      <c r="AE196" s="89">
        <f t="shared" si="115"/>
        <v>50000000</v>
      </c>
      <c r="AF196" s="89">
        <f t="shared" si="115"/>
        <v>15000000</v>
      </c>
      <c r="AG196" s="89">
        <f t="shared" si="115"/>
        <v>14933315</v>
      </c>
      <c r="AH196" s="89">
        <f t="shared" si="115"/>
        <v>14933315</v>
      </c>
      <c r="AI196" s="89">
        <f t="shared" si="115"/>
        <v>0</v>
      </c>
      <c r="AJ196" s="90">
        <v>50000000</v>
      </c>
      <c r="AK196" s="90">
        <v>15000000</v>
      </c>
      <c r="AL196" s="90">
        <v>14933315</v>
      </c>
      <c r="AM196" s="90">
        <v>14933315</v>
      </c>
      <c r="AN196" s="90"/>
      <c r="AO196" s="90"/>
      <c r="AP196" s="90"/>
      <c r="AQ196" s="90"/>
      <c r="AR196" s="90"/>
      <c r="AS196" s="90"/>
      <c r="AT196" s="90"/>
      <c r="AU196" s="90"/>
      <c r="AV196" s="90"/>
      <c r="AW196" s="90"/>
      <c r="AX196" s="90"/>
      <c r="AY196" s="90"/>
      <c r="AZ196" s="90"/>
      <c r="BA196" s="90"/>
      <c r="BB196" s="90"/>
      <c r="BC196" s="90"/>
      <c r="BD196" s="90"/>
      <c r="BE196" s="90"/>
      <c r="BF196" s="90"/>
      <c r="BG196" s="90"/>
      <c r="BH196" s="90"/>
      <c r="BI196" s="90"/>
      <c r="BJ196" s="90"/>
      <c r="BK196" s="90"/>
      <c r="BL196" s="90"/>
      <c r="BM196" s="90"/>
      <c r="BN196" s="91"/>
      <c r="BO196" s="90"/>
      <c r="BP196" s="91"/>
      <c r="BQ196" s="91"/>
      <c r="BR196" s="91"/>
      <c r="BS196" s="91"/>
      <c r="BT196" s="90"/>
      <c r="BU196" s="91"/>
      <c r="BV196" s="91"/>
      <c r="BW196" s="91"/>
      <c r="BX196" s="91"/>
      <c r="BY196" s="90"/>
      <c r="BZ196" s="91"/>
      <c r="CA196" s="91"/>
      <c r="CB196" s="91"/>
      <c r="CC196" s="91"/>
      <c r="CD196" s="90"/>
      <c r="CE196" s="91"/>
      <c r="CF196" s="91"/>
      <c r="CG196" s="91"/>
      <c r="CH196" s="91">
        <f t="shared" si="116"/>
        <v>45870000</v>
      </c>
      <c r="CI196" s="91">
        <v>45870000</v>
      </c>
      <c r="CJ196" s="91"/>
      <c r="CK196" s="91"/>
      <c r="CL196" s="91"/>
      <c r="CM196" s="91"/>
      <c r="CN196" s="91"/>
      <c r="CO196" s="91"/>
      <c r="CP196" s="91"/>
      <c r="CQ196" s="91"/>
      <c r="CR196" s="91"/>
      <c r="CS196" s="91">
        <f t="shared" si="117"/>
        <v>70000000</v>
      </c>
      <c r="CT196" s="91">
        <v>70000000</v>
      </c>
      <c r="CU196" s="91"/>
      <c r="CV196" s="91"/>
      <c r="CW196" s="91"/>
      <c r="CX196" s="91"/>
      <c r="CY196" s="91"/>
      <c r="CZ196" s="91"/>
      <c r="DA196" s="91"/>
      <c r="DB196" s="91"/>
      <c r="DC196" s="91"/>
      <c r="DD196" s="91">
        <f t="shared" si="118"/>
        <v>92900000</v>
      </c>
      <c r="DE196" s="91">
        <v>92900000</v>
      </c>
      <c r="DF196" s="91"/>
      <c r="DG196" s="91"/>
      <c r="DH196" s="91"/>
      <c r="DI196" s="91"/>
      <c r="DJ196" s="91"/>
      <c r="DK196" s="91"/>
      <c r="DL196" s="91"/>
      <c r="DM196" s="91"/>
      <c r="DN196" s="92"/>
      <c r="DO196" s="93">
        <f t="shared" si="119"/>
        <v>258770000</v>
      </c>
    </row>
    <row r="197" spans="1:119" s="225" customFormat="1" ht="101.25" customHeight="1" x14ac:dyDescent="0.2">
      <c r="A197" s="244">
        <v>2</v>
      </c>
      <c r="B197" s="254" t="s">
        <v>33</v>
      </c>
      <c r="C197" s="59" t="s">
        <v>343</v>
      </c>
      <c r="D197" s="59" t="s">
        <v>35</v>
      </c>
      <c r="E197" s="157">
        <v>0.16500000000000001</v>
      </c>
      <c r="F197" s="13">
        <v>2018</v>
      </c>
      <c r="G197" s="59" t="s">
        <v>344</v>
      </c>
      <c r="H197" s="127">
        <v>0.18099999999999999</v>
      </c>
      <c r="I197" s="158">
        <v>17</v>
      </c>
      <c r="J197" s="159" t="s">
        <v>345</v>
      </c>
      <c r="K197" s="48">
        <v>8</v>
      </c>
      <c r="L197" s="160" t="s">
        <v>360</v>
      </c>
      <c r="M197" s="246">
        <v>4</v>
      </c>
      <c r="N197" s="247">
        <v>1702</v>
      </c>
      <c r="O197" s="245" t="s">
        <v>111</v>
      </c>
      <c r="P197" s="13" t="s">
        <v>379</v>
      </c>
      <c r="Q197" s="48">
        <v>1702024</v>
      </c>
      <c r="R197" s="48">
        <v>1702024</v>
      </c>
      <c r="S197" s="59" t="s">
        <v>380</v>
      </c>
      <c r="T197" s="13" t="s">
        <v>381</v>
      </c>
      <c r="U197" s="48" t="s">
        <v>382</v>
      </c>
      <c r="V197" s="48" t="s">
        <v>382</v>
      </c>
      <c r="W197" s="87" t="s">
        <v>383</v>
      </c>
      <c r="X197" s="13" t="s">
        <v>8</v>
      </c>
      <c r="Y197" s="13">
        <v>12</v>
      </c>
      <c r="Z197" s="13">
        <v>12</v>
      </c>
      <c r="AA197" s="13">
        <v>12</v>
      </c>
      <c r="AB197" s="13">
        <v>12</v>
      </c>
      <c r="AC197" s="13">
        <v>12</v>
      </c>
      <c r="AD197" s="13">
        <v>12</v>
      </c>
      <c r="AE197" s="89">
        <f t="shared" si="115"/>
        <v>50000000</v>
      </c>
      <c r="AF197" s="89">
        <f t="shared" si="115"/>
        <v>35000000</v>
      </c>
      <c r="AG197" s="89">
        <f t="shared" ref="AG197" si="120">AL197+AQ197+AV197+BA197+BF197+BK197+BP197+BU197+BZ197+CE197</f>
        <v>35000000</v>
      </c>
      <c r="AH197" s="89">
        <f t="shared" ref="AH197" si="121">AM197+AR197+AW197+BB197+BG197+BL197+BQ197+BV197+CA197+CF197</f>
        <v>35000000</v>
      </c>
      <c r="AI197" s="89">
        <f t="shared" si="115"/>
        <v>0</v>
      </c>
      <c r="AJ197" s="90">
        <v>50000000</v>
      </c>
      <c r="AK197" s="90">
        <v>35000000</v>
      </c>
      <c r="AL197" s="90">
        <v>35000000</v>
      </c>
      <c r="AM197" s="90">
        <v>35000000</v>
      </c>
      <c r="AN197" s="90"/>
      <c r="AO197" s="90"/>
      <c r="AP197" s="90"/>
      <c r="AQ197" s="90"/>
      <c r="AR197" s="90"/>
      <c r="AS197" s="90"/>
      <c r="AT197" s="90"/>
      <c r="AU197" s="90"/>
      <c r="AV197" s="90"/>
      <c r="AW197" s="90"/>
      <c r="AX197" s="90"/>
      <c r="AY197" s="90"/>
      <c r="AZ197" s="90"/>
      <c r="BA197" s="90"/>
      <c r="BB197" s="90"/>
      <c r="BC197" s="90"/>
      <c r="BD197" s="90"/>
      <c r="BE197" s="90"/>
      <c r="BF197" s="90"/>
      <c r="BG197" s="90"/>
      <c r="BH197" s="90"/>
      <c r="BI197" s="90"/>
      <c r="BJ197" s="90"/>
      <c r="BK197" s="90"/>
      <c r="BL197" s="90"/>
      <c r="BM197" s="90"/>
      <c r="BN197" s="91"/>
      <c r="BO197" s="90"/>
      <c r="BP197" s="91"/>
      <c r="BQ197" s="91"/>
      <c r="BR197" s="91"/>
      <c r="BS197" s="91"/>
      <c r="BT197" s="90"/>
      <c r="BU197" s="91"/>
      <c r="BV197" s="91"/>
      <c r="BW197" s="91"/>
      <c r="BX197" s="91"/>
      <c r="BY197" s="90"/>
      <c r="BZ197" s="91"/>
      <c r="CA197" s="91"/>
      <c r="CB197" s="91"/>
      <c r="CC197" s="91"/>
      <c r="CD197" s="90"/>
      <c r="CE197" s="90"/>
      <c r="CF197" s="91"/>
      <c r="CG197" s="91"/>
      <c r="CH197" s="91">
        <f t="shared" si="116"/>
        <v>45870000</v>
      </c>
      <c r="CI197" s="91">
        <v>45870000</v>
      </c>
      <c r="CJ197" s="91"/>
      <c r="CK197" s="91"/>
      <c r="CL197" s="91"/>
      <c r="CM197" s="91"/>
      <c r="CN197" s="91"/>
      <c r="CO197" s="91"/>
      <c r="CP197" s="91"/>
      <c r="CQ197" s="91"/>
      <c r="CR197" s="91"/>
      <c r="CS197" s="91">
        <f t="shared" si="117"/>
        <v>70000000</v>
      </c>
      <c r="CT197" s="91">
        <v>70000000</v>
      </c>
      <c r="CU197" s="91"/>
      <c r="CV197" s="91"/>
      <c r="CW197" s="91"/>
      <c r="CX197" s="91"/>
      <c r="CY197" s="91"/>
      <c r="CZ197" s="91"/>
      <c r="DA197" s="91"/>
      <c r="DB197" s="91"/>
      <c r="DC197" s="91"/>
      <c r="DD197" s="91">
        <f t="shared" si="118"/>
        <v>92900000</v>
      </c>
      <c r="DE197" s="91">
        <v>92900000</v>
      </c>
      <c r="DF197" s="91"/>
      <c r="DG197" s="91"/>
      <c r="DH197" s="91"/>
      <c r="DI197" s="91"/>
      <c r="DJ197" s="91"/>
      <c r="DK197" s="91"/>
      <c r="DL197" s="91"/>
      <c r="DM197" s="91"/>
      <c r="DN197" s="92"/>
      <c r="DO197" s="93">
        <f t="shared" si="119"/>
        <v>258770000</v>
      </c>
    </row>
    <row r="198" spans="1:119" s="225" customFormat="1" ht="101.25" customHeight="1" x14ac:dyDescent="0.2">
      <c r="A198" s="244">
        <v>2</v>
      </c>
      <c r="B198" s="254" t="s">
        <v>33</v>
      </c>
      <c r="C198" s="59" t="s">
        <v>343</v>
      </c>
      <c r="D198" s="59" t="s">
        <v>35</v>
      </c>
      <c r="E198" s="157">
        <v>0.16500000000000001</v>
      </c>
      <c r="F198" s="13">
        <v>2018</v>
      </c>
      <c r="G198" s="59" t="s">
        <v>344</v>
      </c>
      <c r="H198" s="127">
        <v>0.18099999999999999</v>
      </c>
      <c r="I198" s="158">
        <v>17</v>
      </c>
      <c r="J198" s="159" t="s">
        <v>345</v>
      </c>
      <c r="K198" s="48">
        <v>13</v>
      </c>
      <c r="L198" s="160" t="s">
        <v>384</v>
      </c>
      <c r="M198" s="246">
        <v>4</v>
      </c>
      <c r="N198" s="247">
        <v>1702</v>
      </c>
      <c r="O198" s="245" t="s">
        <v>111</v>
      </c>
      <c r="P198" s="13" t="s">
        <v>385</v>
      </c>
      <c r="Q198" s="48">
        <v>1702025</v>
      </c>
      <c r="R198" s="48">
        <v>1702025</v>
      </c>
      <c r="S198" s="59" t="s">
        <v>119</v>
      </c>
      <c r="T198" s="13" t="s">
        <v>386</v>
      </c>
      <c r="U198" s="48" t="s">
        <v>387</v>
      </c>
      <c r="V198" s="48" t="s">
        <v>387</v>
      </c>
      <c r="W198" s="87" t="s">
        <v>388</v>
      </c>
      <c r="X198" s="13" t="s">
        <v>9</v>
      </c>
      <c r="Y198" s="13">
        <v>100</v>
      </c>
      <c r="Z198" s="13">
        <v>25</v>
      </c>
      <c r="AA198" s="13">
        <v>25</v>
      </c>
      <c r="AB198" s="13">
        <v>25</v>
      </c>
      <c r="AC198" s="13">
        <v>25</v>
      </c>
      <c r="AD198" s="13">
        <v>25</v>
      </c>
      <c r="AE198" s="89">
        <f>AJ198+AO198+AT198+AY198+BD198+BI198+BN198+BS198+BX198+CC198</f>
        <v>30000000</v>
      </c>
      <c r="AF198" s="89">
        <f t="shared" si="115"/>
        <v>30000000</v>
      </c>
      <c r="AG198" s="89">
        <f t="shared" si="115"/>
        <v>27341665</v>
      </c>
      <c r="AH198" s="89">
        <f t="shared" si="115"/>
        <v>27341665</v>
      </c>
      <c r="AI198" s="89">
        <f t="shared" si="115"/>
        <v>0</v>
      </c>
      <c r="AJ198" s="90">
        <v>30000000</v>
      </c>
      <c r="AK198" s="90">
        <v>30000000</v>
      </c>
      <c r="AL198" s="90">
        <v>27341665</v>
      </c>
      <c r="AM198" s="90">
        <v>27341665</v>
      </c>
      <c r="AN198" s="90"/>
      <c r="AO198" s="90"/>
      <c r="AP198" s="90"/>
      <c r="AQ198" s="90"/>
      <c r="AR198" s="90"/>
      <c r="AS198" s="90"/>
      <c r="AT198" s="90"/>
      <c r="AU198" s="90"/>
      <c r="AV198" s="90"/>
      <c r="AW198" s="90"/>
      <c r="AX198" s="90"/>
      <c r="AY198" s="90"/>
      <c r="AZ198" s="90"/>
      <c r="BA198" s="90"/>
      <c r="BB198" s="90"/>
      <c r="BC198" s="90"/>
      <c r="BD198" s="90"/>
      <c r="BE198" s="90"/>
      <c r="BF198" s="90"/>
      <c r="BG198" s="90"/>
      <c r="BH198" s="90"/>
      <c r="BI198" s="90"/>
      <c r="BJ198" s="90"/>
      <c r="BK198" s="90"/>
      <c r="BL198" s="90"/>
      <c r="BM198" s="90"/>
      <c r="BN198" s="91"/>
      <c r="BO198" s="90"/>
      <c r="BP198" s="91"/>
      <c r="BQ198" s="91"/>
      <c r="BR198" s="91"/>
      <c r="BS198" s="91"/>
      <c r="BT198" s="90"/>
      <c r="BU198" s="91"/>
      <c r="BV198" s="91"/>
      <c r="BW198" s="91"/>
      <c r="BX198" s="91"/>
      <c r="BY198" s="90"/>
      <c r="BZ198" s="91"/>
      <c r="CA198" s="91"/>
      <c r="CB198" s="91"/>
      <c r="CC198" s="91"/>
      <c r="CD198" s="90"/>
      <c r="CE198" s="91"/>
      <c r="CF198" s="91"/>
      <c r="CG198" s="91"/>
      <c r="CH198" s="91">
        <f t="shared" si="116"/>
        <v>27522000</v>
      </c>
      <c r="CI198" s="91">
        <v>27522000</v>
      </c>
      <c r="CJ198" s="91"/>
      <c r="CK198" s="91"/>
      <c r="CL198" s="91"/>
      <c r="CM198" s="91"/>
      <c r="CN198" s="91"/>
      <c r="CO198" s="91"/>
      <c r="CP198" s="91"/>
      <c r="CQ198" s="91"/>
      <c r="CR198" s="91"/>
      <c r="CS198" s="91">
        <f t="shared" si="117"/>
        <v>50000000</v>
      </c>
      <c r="CT198" s="91">
        <v>50000000</v>
      </c>
      <c r="CU198" s="91"/>
      <c r="CV198" s="91"/>
      <c r="CW198" s="91"/>
      <c r="CX198" s="91"/>
      <c r="CY198" s="91"/>
      <c r="CZ198" s="91"/>
      <c r="DA198" s="91"/>
      <c r="DB198" s="91"/>
      <c r="DC198" s="91"/>
      <c r="DD198" s="91">
        <f t="shared" si="118"/>
        <v>55740000</v>
      </c>
      <c r="DE198" s="91">
        <v>55740000</v>
      </c>
      <c r="DF198" s="91"/>
      <c r="DG198" s="91"/>
      <c r="DH198" s="91"/>
      <c r="DI198" s="91"/>
      <c r="DJ198" s="91"/>
      <c r="DK198" s="91"/>
      <c r="DL198" s="91"/>
      <c r="DM198" s="91"/>
      <c r="DN198" s="92"/>
      <c r="DO198" s="93">
        <f t="shared" si="119"/>
        <v>163262000</v>
      </c>
    </row>
    <row r="199" spans="1:119" s="225" customFormat="1" ht="101.25" customHeight="1" x14ac:dyDescent="0.2">
      <c r="A199" s="244">
        <v>2</v>
      </c>
      <c r="B199" s="254" t="s">
        <v>33</v>
      </c>
      <c r="C199" s="59" t="s">
        <v>343</v>
      </c>
      <c r="D199" s="59" t="s">
        <v>35</v>
      </c>
      <c r="E199" s="157">
        <v>0.16500000000000001</v>
      </c>
      <c r="F199" s="13">
        <v>2018</v>
      </c>
      <c r="G199" s="59" t="s">
        <v>344</v>
      </c>
      <c r="H199" s="127">
        <v>0.18099999999999999</v>
      </c>
      <c r="I199" s="158">
        <v>17</v>
      </c>
      <c r="J199" s="159" t="s">
        <v>345</v>
      </c>
      <c r="K199" s="48">
        <v>13</v>
      </c>
      <c r="L199" s="160" t="s">
        <v>384</v>
      </c>
      <c r="M199" s="246">
        <v>4</v>
      </c>
      <c r="N199" s="247">
        <v>1702</v>
      </c>
      <c r="O199" s="245" t="s">
        <v>111</v>
      </c>
      <c r="P199" s="13" t="s">
        <v>389</v>
      </c>
      <c r="Q199" s="48">
        <v>1702038</v>
      </c>
      <c r="R199" s="48">
        <v>1702038</v>
      </c>
      <c r="S199" s="59" t="s">
        <v>115</v>
      </c>
      <c r="T199" s="13" t="s">
        <v>390</v>
      </c>
      <c r="U199" s="48" t="s">
        <v>391</v>
      </c>
      <c r="V199" s="48" t="s">
        <v>391</v>
      </c>
      <c r="W199" s="87" t="s">
        <v>392</v>
      </c>
      <c r="X199" s="13" t="s">
        <v>8</v>
      </c>
      <c r="Y199" s="13">
        <v>30</v>
      </c>
      <c r="Z199" s="13">
        <v>30</v>
      </c>
      <c r="AA199" s="13">
        <v>21</v>
      </c>
      <c r="AB199" s="13">
        <v>30</v>
      </c>
      <c r="AC199" s="13">
        <v>30</v>
      </c>
      <c r="AD199" s="13">
        <v>30</v>
      </c>
      <c r="AE199" s="89">
        <f t="shared" si="115"/>
        <v>71204155</v>
      </c>
      <c r="AF199" s="89">
        <f t="shared" si="115"/>
        <v>21400000</v>
      </c>
      <c r="AG199" s="89">
        <f t="shared" si="115"/>
        <v>20400000</v>
      </c>
      <c r="AH199" s="89">
        <f t="shared" si="115"/>
        <v>20400000</v>
      </c>
      <c r="AI199" s="89">
        <f t="shared" si="115"/>
        <v>0</v>
      </c>
      <c r="AJ199" s="90">
        <v>71204155</v>
      </c>
      <c r="AK199" s="90">
        <v>21400000</v>
      </c>
      <c r="AL199" s="90">
        <v>20400000</v>
      </c>
      <c r="AM199" s="90">
        <v>20400000</v>
      </c>
      <c r="AN199" s="90"/>
      <c r="AO199" s="90"/>
      <c r="AP199" s="90"/>
      <c r="AQ199" s="90"/>
      <c r="AR199" s="90"/>
      <c r="AS199" s="90"/>
      <c r="AT199" s="90"/>
      <c r="AU199" s="90"/>
      <c r="AV199" s="90"/>
      <c r="AW199" s="90"/>
      <c r="AX199" s="90"/>
      <c r="AY199" s="90"/>
      <c r="AZ199" s="90"/>
      <c r="BA199" s="90"/>
      <c r="BB199" s="90"/>
      <c r="BC199" s="90"/>
      <c r="BD199" s="90"/>
      <c r="BE199" s="90"/>
      <c r="BF199" s="90"/>
      <c r="BG199" s="90"/>
      <c r="BH199" s="90"/>
      <c r="BI199" s="90"/>
      <c r="BJ199" s="90"/>
      <c r="BK199" s="90"/>
      <c r="BL199" s="90"/>
      <c r="BM199" s="90"/>
      <c r="BN199" s="91"/>
      <c r="BO199" s="90"/>
      <c r="BP199" s="91"/>
      <c r="BQ199" s="91"/>
      <c r="BR199" s="91"/>
      <c r="BS199" s="91"/>
      <c r="BT199" s="90"/>
      <c r="BU199" s="91"/>
      <c r="BV199" s="91"/>
      <c r="BW199" s="91"/>
      <c r="BX199" s="91"/>
      <c r="BY199" s="90"/>
      <c r="BZ199" s="91"/>
      <c r="CA199" s="91"/>
      <c r="CB199" s="91"/>
      <c r="CC199" s="91"/>
      <c r="CD199" s="90"/>
      <c r="CE199" s="91"/>
      <c r="CF199" s="91"/>
      <c r="CG199" s="91"/>
      <c r="CH199" s="91">
        <f t="shared" si="116"/>
        <v>65322692.210000001</v>
      </c>
      <c r="CI199" s="91">
        <v>65322692.210000001</v>
      </c>
      <c r="CJ199" s="91"/>
      <c r="CK199" s="91"/>
      <c r="CL199" s="91"/>
      <c r="CM199" s="91"/>
      <c r="CN199" s="91"/>
      <c r="CO199" s="91"/>
      <c r="CP199" s="91"/>
      <c r="CQ199" s="91"/>
      <c r="CR199" s="91"/>
      <c r="CS199" s="91">
        <f t="shared" si="117"/>
        <v>50000000</v>
      </c>
      <c r="CT199" s="91">
        <v>50000000</v>
      </c>
      <c r="CU199" s="91"/>
      <c r="CV199" s="91"/>
      <c r="CW199" s="91"/>
      <c r="CX199" s="91"/>
      <c r="CY199" s="91"/>
      <c r="CZ199" s="91"/>
      <c r="DA199" s="91"/>
      <c r="DB199" s="91"/>
      <c r="DC199" s="91"/>
      <c r="DD199" s="91">
        <f t="shared" si="118"/>
        <v>132297320.16</v>
      </c>
      <c r="DE199" s="91">
        <v>132297320.16</v>
      </c>
      <c r="DF199" s="91"/>
      <c r="DG199" s="91"/>
      <c r="DH199" s="91"/>
      <c r="DI199" s="91"/>
      <c r="DJ199" s="91"/>
      <c r="DK199" s="91"/>
      <c r="DL199" s="91"/>
      <c r="DM199" s="91"/>
      <c r="DN199" s="92"/>
      <c r="DO199" s="93">
        <f t="shared" si="119"/>
        <v>318824167.37</v>
      </c>
    </row>
    <row r="200" spans="1:119" s="225" customFormat="1" ht="94.5" customHeight="1" x14ac:dyDescent="0.2">
      <c r="A200" s="244">
        <v>2</v>
      </c>
      <c r="B200" s="254" t="s">
        <v>33</v>
      </c>
      <c r="C200" s="59" t="s">
        <v>343</v>
      </c>
      <c r="D200" s="59" t="s">
        <v>35</v>
      </c>
      <c r="E200" s="157">
        <v>0.16500000000000001</v>
      </c>
      <c r="F200" s="13">
        <v>2018</v>
      </c>
      <c r="G200" s="59" t="s">
        <v>344</v>
      </c>
      <c r="H200" s="127">
        <v>0.18099999999999999</v>
      </c>
      <c r="I200" s="158">
        <v>17</v>
      </c>
      <c r="J200" s="159" t="s">
        <v>345</v>
      </c>
      <c r="K200" s="48">
        <v>13</v>
      </c>
      <c r="L200" s="160" t="s">
        <v>384</v>
      </c>
      <c r="M200" s="246">
        <v>4</v>
      </c>
      <c r="N200" s="247">
        <v>1702</v>
      </c>
      <c r="O200" s="245" t="s">
        <v>111</v>
      </c>
      <c r="P200" s="13" t="s">
        <v>389</v>
      </c>
      <c r="Q200" s="48">
        <v>1702038</v>
      </c>
      <c r="R200" s="48">
        <v>1702038</v>
      </c>
      <c r="S200" s="59" t="s">
        <v>115</v>
      </c>
      <c r="T200" s="116" t="s">
        <v>393</v>
      </c>
      <c r="U200" s="48" t="s">
        <v>394</v>
      </c>
      <c r="V200" s="48" t="s">
        <v>394</v>
      </c>
      <c r="W200" s="87" t="s">
        <v>395</v>
      </c>
      <c r="X200" s="13" t="s">
        <v>9</v>
      </c>
      <c r="Y200" s="13">
        <v>300</v>
      </c>
      <c r="Z200" s="13">
        <v>60</v>
      </c>
      <c r="AA200" s="13">
        <v>50</v>
      </c>
      <c r="AB200" s="13">
        <v>80</v>
      </c>
      <c r="AC200" s="13">
        <v>80</v>
      </c>
      <c r="AD200" s="13">
        <v>80</v>
      </c>
      <c r="AE200" s="89">
        <f t="shared" si="115"/>
        <v>40000000</v>
      </c>
      <c r="AF200" s="89">
        <f t="shared" si="115"/>
        <v>40000000</v>
      </c>
      <c r="AG200" s="89">
        <f t="shared" si="115"/>
        <v>39213333</v>
      </c>
      <c r="AH200" s="89">
        <f t="shared" si="115"/>
        <v>39213333</v>
      </c>
      <c r="AI200" s="89">
        <f t="shared" si="115"/>
        <v>0</v>
      </c>
      <c r="AJ200" s="90">
        <v>40000000</v>
      </c>
      <c r="AK200" s="90">
        <v>40000000</v>
      </c>
      <c r="AL200" s="90">
        <v>39213333</v>
      </c>
      <c r="AM200" s="90">
        <v>39213333</v>
      </c>
      <c r="AN200" s="90"/>
      <c r="AO200" s="90"/>
      <c r="AP200" s="90"/>
      <c r="AQ200" s="90"/>
      <c r="AR200" s="90"/>
      <c r="AS200" s="90"/>
      <c r="AT200" s="90"/>
      <c r="AU200" s="90"/>
      <c r="AV200" s="90"/>
      <c r="AW200" s="90"/>
      <c r="AX200" s="90"/>
      <c r="AY200" s="90"/>
      <c r="AZ200" s="90"/>
      <c r="BA200" s="90"/>
      <c r="BB200" s="90"/>
      <c r="BC200" s="90"/>
      <c r="BD200" s="90"/>
      <c r="BE200" s="90"/>
      <c r="BF200" s="90"/>
      <c r="BG200" s="90"/>
      <c r="BH200" s="90"/>
      <c r="BI200" s="90"/>
      <c r="BJ200" s="90"/>
      <c r="BK200" s="90"/>
      <c r="BL200" s="90"/>
      <c r="BM200" s="90"/>
      <c r="BN200" s="91"/>
      <c r="BO200" s="90"/>
      <c r="BP200" s="91"/>
      <c r="BQ200" s="91"/>
      <c r="BR200" s="91"/>
      <c r="BS200" s="91"/>
      <c r="BT200" s="90"/>
      <c r="BU200" s="91"/>
      <c r="BV200" s="91"/>
      <c r="BW200" s="91"/>
      <c r="BX200" s="91"/>
      <c r="BY200" s="90"/>
      <c r="BZ200" s="91"/>
      <c r="CA200" s="91"/>
      <c r="CB200" s="91"/>
      <c r="CC200" s="91"/>
      <c r="CD200" s="90"/>
      <c r="CE200" s="91"/>
      <c r="CF200" s="91"/>
      <c r="CG200" s="91"/>
      <c r="CH200" s="91">
        <f t="shared" si="116"/>
        <v>18348000</v>
      </c>
      <c r="CI200" s="91">
        <v>18348000</v>
      </c>
      <c r="CJ200" s="91"/>
      <c r="CK200" s="91"/>
      <c r="CL200" s="91"/>
      <c r="CM200" s="91"/>
      <c r="CN200" s="91"/>
      <c r="CO200" s="91"/>
      <c r="CP200" s="91"/>
      <c r="CQ200" s="91"/>
      <c r="CR200" s="91"/>
      <c r="CS200" s="91">
        <f t="shared" si="117"/>
        <v>79549281.760000005</v>
      </c>
      <c r="CT200" s="91">
        <v>79549281.760000005</v>
      </c>
      <c r="CU200" s="91"/>
      <c r="CV200" s="91"/>
      <c r="CW200" s="91"/>
      <c r="CX200" s="91"/>
      <c r="CY200" s="91"/>
      <c r="CZ200" s="91"/>
      <c r="DA200" s="91"/>
      <c r="DB200" s="91"/>
      <c r="DC200" s="91"/>
      <c r="DD200" s="91">
        <f t="shared" si="118"/>
        <v>100000000</v>
      </c>
      <c r="DE200" s="91">
        <v>100000000</v>
      </c>
      <c r="DF200" s="91"/>
      <c r="DG200" s="91"/>
      <c r="DH200" s="91"/>
      <c r="DI200" s="91"/>
      <c r="DJ200" s="91"/>
      <c r="DK200" s="91"/>
      <c r="DL200" s="91"/>
      <c r="DM200" s="91"/>
      <c r="DN200" s="92"/>
      <c r="DO200" s="93">
        <f t="shared" si="119"/>
        <v>237897281.75999999</v>
      </c>
    </row>
    <row r="201" spans="1:119" ht="29.25" customHeight="1" x14ac:dyDescent="0.2">
      <c r="A201" s="64"/>
      <c r="B201" s="255"/>
      <c r="C201" s="74"/>
      <c r="D201" s="74"/>
      <c r="E201" s="77"/>
      <c r="F201" s="74"/>
      <c r="G201" s="74"/>
      <c r="H201" s="77"/>
      <c r="I201" s="74"/>
      <c r="J201" s="74"/>
      <c r="K201" s="74"/>
      <c r="L201" s="74"/>
      <c r="M201" s="96">
        <v>5</v>
      </c>
      <c r="N201" s="96">
        <v>1703</v>
      </c>
      <c r="O201" s="97" t="s">
        <v>120</v>
      </c>
      <c r="P201" s="96"/>
      <c r="Q201" s="98"/>
      <c r="R201" s="98"/>
      <c r="S201" s="98"/>
      <c r="T201" s="98"/>
      <c r="U201" s="98"/>
      <c r="V201" s="98"/>
      <c r="W201" s="83"/>
      <c r="X201" s="83"/>
      <c r="Y201" s="84"/>
      <c r="Z201" s="84"/>
      <c r="AA201" s="84"/>
      <c r="AB201" s="84"/>
      <c r="AC201" s="84"/>
      <c r="AD201" s="81"/>
      <c r="AE201" s="85">
        <f t="shared" ref="AE201:DO201" si="122">AE202</f>
        <v>2805760701</v>
      </c>
      <c r="AF201" s="85">
        <f t="shared" si="122"/>
        <v>3058849383</v>
      </c>
      <c r="AG201" s="85">
        <f t="shared" si="122"/>
        <v>3034274382</v>
      </c>
      <c r="AH201" s="85">
        <f t="shared" si="122"/>
        <v>1209032944</v>
      </c>
      <c r="AI201" s="85">
        <f t="shared" si="122"/>
        <v>0</v>
      </c>
      <c r="AJ201" s="85">
        <f t="shared" si="122"/>
        <v>90000000</v>
      </c>
      <c r="AK201" s="85">
        <f t="shared" si="122"/>
        <v>40000000</v>
      </c>
      <c r="AL201" s="85">
        <f t="shared" si="122"/>
        <v>15424999</v>
      </c>
      <c r="AM201" s="85">
        <f t="shared" si="122"/>
        <v>15424999</v>
      </c>
      <c r="AN201" s="85">
        <f t="shared" si="122"/>
        <v>0</v>
      </c>
      <c r="AO201" s="85">
        <f t="shared" si="122"/>
        <v>0</v>
      </c>
      <c r="AP201" s="85">
        <f t="shared" si="122"/>
        <v>0</v>
      </c>
      <c r="AQ201" s="85">
        <f t="shared" si="122"/>
        <v>0</v>
      </c>
      <c r="AR201" s="85">
        <f t="shared" si="122"/>
        <v>0</v>
      </c>
      <c r="AS201" s="85">
        <f t="shared" si="122"/>
        <v>0</v>
      </c>
      <c r="AT201" s="85">
        <f t="shared" si="122"/>
        <v>0</v>
      </c>
      <c r="AU201" s="85">
        <f t="shared" si="122"/>
        <v>0</v>
      </c>
      <c r="AV201" s="85">
        <f t="shared" si="122"/>
        <v>0</v>
      </c>
      <c r="AW201" s="85">
        <f t="shared" si="122"/>
        <v>0</v>
      </c>
      <c r="AX201" s="85">
        <f t="shared" si="122"/>
        <v>0</v>
      </c>
      <c r="AY201" s="85">
        <f t="shared" si="122"/>
        <v>0</v>
      </c>
      <c r="AZ201" s="85">
        <f t="shared" si="122"/>
        <v>0</v>
      </c>
      <c r="BA201" s="85">
        <f t="shared" si="122"/>
        <v>0</v>
      </c>
      <c r="BB201" s="85">
        <f t="shared" si="122"/>
        <v>0</v>
      </c>
      <c r="BC201" s="85">
        <f t="shared" si="122"/>
        <v>0</v>
      </c>
      <c r="BD201" s="85">
        <f t="shared" si="122"/>
        <v>0</v>
      </c>
      <c r="BE201" s="85">
        <f t="shared" si="122"/>
        <v>0</v>
      </c>
      <c r="BF201" s="85">
        <f t="shared" si="122"/>
        <v>0</v>
      </c>
      <c r="BG201" s="85">
        <f t="shared" si="122"/>
        <v>0</v>
      </c>
      <c r="BH201" s="85">
        <f t="shared" si="122"/>
        <v>0</v>
      </c>
      <c r="BI201" s="85">
        <f t="shared" si="122"/>
        <v>0</v>
      </c>
      <c r="BJ201" s="85">
        <f t="shared" si="122"/>
        <v>0</v>
      </c>
      <c r="BK201" s="85">
        <f t="shared" si="122"/>
        <v>0</v>
      </c>
      <c r="BL201" s="85">
        <f t="shared" si="122"/>
        <v>0</v>
      </c>
      <c r="BM201" s="85">
        <f t="shared" si="122"/>
        <v>0</v>
      </c>
      <c r="BN201" s="85">
        <f t="shared" si="122"/>
        <v>2715760701</v>
      </c>
      <c r="BO201" s="85">
        <f t="shared" si="122"/>
        <v>3018849383</v>
      </c>
      <c r="BP201" s="85">
        <f t="shared" si="122"/>
        <v>3018849383</v>
      </c>
      <c r="BQ201" s="85">
        <f t="shared" si="122"/>
        <v>1193607945</v>
      </c>
      <c r="BR201" s="85">
        <f t="shared" si="122"/>
        <v>0</v>
      </c>
      <c r="BS201" s="85">
        <f t="shared" si="122"/>
        <v>0</v>
      </c>
      <c r="BT201" s="85">
        <f t="shared" si="122"/>
        <v>0</v>
      </c>
      <c r="BU201" s="85">
        <f t="shared" si="122"/>
        <v>0</v>
      </c>
      <c r="BV201" s="85">
        <f t="shared" si="122"/>
        <v>0</v>
      </c>
      <c r="BW201" s="85">
        <f t="shared" si="122"/>
        <v>0</v>
      </c>
      <c r="BX201" s="85">
        <f t="shared" si="122"/>
        <v>0</v>
      </c>
      <c r="BY201" s="85">
        <f t="shared" si="122"/>
        <v>0</v>
      </c>
      <c r="BZ201" s="85">
        <f t="shared" si="122"/>
        <v>0</v>
      </c>
      <c r="CA201" s="85">
        <f t="shared" si="122"/>
        <v>0</v>
      </c>
      <c r="CB201" s="85">
        <f t="shared" si="122"/>
        <v>0</v>
      </c>
      <c r="CC201" s="85">
        <f t="shared" si="122"/>
        <v>0</v>
      </c>
      <c r="CD201" s="85">
        <f t="shared" si="122"/>
        <v>0</v>
      </c>
      <c r="CE201" s="85">
        <f t="shared" si="122"/>
        <v>0</v>
      </c>
      <c r="CF201" s="85">
        <f t="shared" si="122"/>
        <v>0</v>
      </c>
      <c r="CG201" s="85">
        <f t="shared" si="122"/>
        <v>0</v>
      </c>
      <c r="CH201" s="85">
        <f t="shared" si="122"/>
        <v>78437700</v>
      </c>
      <c r="CI201" s="85">
        <f t="shared" si="122"/>
        <v>78437700</v>
      </c>
      <c r="CJ201" s="85">
        <f t="shared" si="122"/>
        <v>0</v>
      </c>
      <c r="CK201" s="85">
        <f t="shared" si="122"/>
        <v>0</v>
      </c>
      <c r="CL201" s="85">
        <f t="shared" si="122"/>
        <v>0</v>
      </c>
      <c r="CM201" s="85">
        <f t="shared" si="122"/>
        <v>0</v>
      </c>
      <c r="CN201" s="85">
        <f t="shared" si="122"/>
        <v>0</v>
      </c>
      <c r="CO201" s="85">
        <f t="shared" si="122"/>
        <v>0</v>
      </c>
      <c r="CP201" s="85">
        <f t="shared" si="122"/>
        <v>0</v>
      </c>
      <c r="CQ201" s="85">
        <f t="shared" si="122"/>
        <v>0</v>
      </c>
      <c r="CR201" s="85">
        <f t="shared" si="122"/>
        <v>0</v>
      </c>
      <c r="CS201" s="85">
        <f t="shared" si="122"/>
        <v>97038874.799999997</v>
      </c>
      <c r="CT201" s="85">
        <f t="shared" si="122"/>
        <v>97038874.799999997</v>
      </c>
      <c r="CU201" s="85">
        <f t="shared" si="122"/>
        <v>0</v>
      </c>
      <c r="CV201" s="85">
        <f t="shared" si="122"/>
        <v>0</v>
      </c>
      <c r="CW201" s="85">
        <f t="shared" si="122"/>
        <v>0</v>
      </c>
      <c r="CX201" s="85">
        <f t="shared" si="122"/>
        <v>0</v>
      </c>
      <c r="CY201" s="85">
        <f t="shared" si="122"/>
        <v>0</v>
      </c>
      <c r="CZ201" s="85">
        <f t="shared" si="122"/>
        <v>0</v>
      </c>
      <c r="DA201" s="85">
        <f t="shared" si="122"/>
        <v>0</v>
      </c>
      <c r="DB201" s="85">
        <f t="shared" si="122"/>
        <v>0</v>
      </c>
      <c r="DC201" s="85">
        <f t="shared" si="122"/>
        <v>0</v>
      </c>
      <c r="DD201" s="85">
        <f t="shared" si="122"/>
        <v>162755226</v>
      </c>
      <c r="DE201" s="85">
        <f t="shared" si="122"/>
        <v>162755226</v>
      </c>
      <c r="DF201" s="85">
        <f t="shared" si="122"/>
        <v>0</v>
      </c>
      <c r="DG201" s="85">
        <f t="shared" si="122"/>
        <v>0</v>
      </c>
      <c r="DH201" s="85">
        <f t="shared" si="122"/>
        <v>0</v>
      </c>
      <c r="DI201" s="85">
        <f t="shared" si="122"/>
        <v>0</v>
      </c>
      <c r="DJ201" s="85">
        <f t="shared" si="122"/>
        <v>0</v>
      </c>
      <c r="DK201" s="85">
        <f t="shared" si="122"/>
        <v>0</v>
      </c>
      <c r="DL201" s="85">
        <f t="shared" si="122"/>
        <v>0</v>
      </c>
      <c r="DM201" s="85">
        <f t="shared" si="122"/>
        <v>0</v>
      </c>
      <c r="DN201" s="86">
        <f t="shared" si="122"/>
        <v>0</v>
      </c>
      <c r="DO201" s="85">
        <f t="shared" si="122"/>
        <v>3143992501.8000002</v>
      </c>
    </row>
    <row r="202" spans="1:119" s="225" customFormat="1" ht="110.25" customHeight="1" x14ac:dyDescent="0.2">
      <c r="A202" s="244">
        <v>2</v>
      </c>
      <c r="B202" s="254" t="s">
        <v>33</v>
      </c>
      <c r="C202" s="59" t="s">
        <v>343</v>
      </c>
      <c r="D202" s="59" t="s">
        <v>35</v>
      </c>
      <c r="E202" s="157">
        <v>0.16500000000000001</v>
      </c>
      <c r="F202" s="13">
        <v>2018</v>
      </c>
      <c r="G202" s="59" t="s">
        <v>344</v>
      </c>
      <c r="H202" s="127">
        <v>0.18099999999999999</v>
      </c>
      <c r="I202" s="158">
        <v>17</v>
      </c>
      <c r="J202" s="159" t="s">
        <v>345</v>
      </c>
      <c r="K202" s="48">
        <v>8</v>
      </c>
      <c r="L202" s="160" t="s">
        <v>360</v>
      </c>
      <c r="M202" s="247">
        <v>5</v>
      </c>
      <c r="N202" s="247">
        <v>1703</v>
      </c>
      <c r="O202" s="245" t="s">
        <v>120</v>
      </c>
      <c r="P202" s="13" t="s">
        <v>401</v>
      </c>
      <c r="Q202" s="48">
        <v>1703013</v>
      </c>
      <c r="R202" s="48">
        <v>1703013</v>
      </c>
      <c r="S202" s="59" t="s">
        <v>121</v>
      </c>
      <c r="T202" s="13" t="s">
        <v>402</v>
      </c>
      <c r="U202" s="48" t="s">
        <v>403</v>
      </c>
      <c r="V202" s="48" t="s">
        <v>403</v>
      </c>
      <c r="W202" s="87" t="s">
        <v>404</v>
      </c>
      <c r="X202" s="13" t="s">
        <v>9</v>
      </c>
      <c r="Y202" s="13">
        <v>300</v>
      </c>
      <c r="Z202" s="13">
        <v>75</v>
      </c>
      <c r="AA202" s="13">
        <v>75</v>
      </c>
      <c r="AB202" s="13">
        <v>100</v>
      </c>
      <c r="AC202" s="13">
        <v>70</v>
      </c>
      <c r="AD202" s="13">
        <v>55</v>
      </c>
      <c r="AE202" s="89">
        <f>AJ202+AO202+AT202+AY202+BD202+BI202+BN202+BS202+BX202+CC202</f>
        <v>2805760701</v>
      </c>
      <c r="AF202" s="89">
        <f>AK202+AP202+AU202+AZ202+BE202+BJ202+BO202+BT202+BY202+CD202</f>
        <v>3058849383</v>
      </c>
      <c r="AG202" s="89">
        <f>AL202+AQ202+AV202+BA202+BF202+BK202+BP202+BU202+BZ202+CE202</f>
        <v>3034274382</v>
      </c>
      <c r="AH202" s="89">
        <f>AM202+AR202+AW202+BB202+BG202+BL202+BQ202+BV202+CA202+CF202</f>
        <v>1209032944</v>
      </c>
      <c r="AI202" s="89">
        <f>AN202+AS202+AX202+BC202+BH202+BM202+BR202+BW202+CB202+CG202</f>
        <v>0</v>
      </c>
      <c r="AJ202" s="90">
        <v>90000000</v>
      </c>
      <c r="AK202" s="90">
        <v>40000000</v>
      </c>
      <c r="AL202" s="90">
        <v>15424999</v>
      </c>
      <c r="AM202" s="90">
        <v>15424999</v>
      </c>
      <c r="AN202" s="90"/>
      <c r="AO202" s="90"/>
      <c r="AP202" s="90"/>
      <c r="AQ202" s="90"/>
      <c r="AR202" s="90"/>
      <c r="AS202" s="90"/>
      <c r="AT202" s="90"/>
      <c r="AU202" s="90"/>
      <c r="AV202" s="90"/>
      <c r="AW202" s="90"/>
      <c r="AX202" s="90"/>
      <c r="AY202" s="90"/>
      <c r="AZ202" s="90"/>
      <c r="BA202" s="90"/>
      <c r="BB202" s="90"/>
      <c r="BC202" s="90"/>
      <c r="BD202" s="90"/>
      <c r="BE202" s="90"/>
      <c r="BF202" s="90"/>
      <c r="BG202" s="90"/>
      <c r="BH202" s="90"/>
      <c r="BI202" s="90"/>
      <c r="BJ202" s="90"/>
      <c r="BK202" s="90"/>
      <c r="BL202" s="90"/>
      <c r="BM202" s="90"/>
      <c r="BN202" s="91">
        <v>2715760701</v>
      </c>
      <c r="BO202" s="90">
        <v>3018849383</v>
      </c>
      <c r="BP202" s="90">
        <v>3018849383</v>
      </c>
      <c r="BQ202" s="91">
        <v>1193607945</v>
      </c>
      <c r="BR202" s="91"/>
      <c r="BS202" s="91"/>
      <c r="BT202" s="90"/>
      <c r="BU202" s="91"/>
      <c r="BV202" s="91"/>
      <c r="BW202" s="91"/>
      <c r="BX202" s="91"/>
      <c r="BY202" s="90"/>
      <c r="BZ202" s="91"/>
      <c r="CA202" s="91"/>
      <c r="CB202" s="91"/>
      <c r="CC202" s="91"/>
      <c r="CD202" s="90"/>
      <c r="CE202" s="91"/>
      <c r="CF202" s="91"/>
      <c r="CG202" s="91"/>
      <c r="CH202" s="91">
        <f>CI202+CJ202+CK202+CL202+CM202+CN202+CO202+CP202+CQ202+CR202</f>
        <v>78437700</v>
      </c>
      <c r="CI202" s="91">
        <v>78437700</v>
      </c>
      <c r="CJ202" s="91"/>
      <c r="CK202" s="91"/>
      <c r="CL202" s="91"/>
      <c r="CM202" s="91"/>
      <c r="CN202" s="91"/>
      <c r="CO202" s="91"/>
      <c r="CP202" s="91"/>
      <c r="CQ202" s="91"/>
      <c r="CR202" s="91"/>
      <c r="CS202" s="91">
        <f>CT202+CU202+CV202+CW202+CX202+CY202+CZ202+DA202+DB202+DC202</f>
        <v>97038874.799999997</v>
      </c>
      <c r="CT202" s="91">
        <v>97038874.799999997</v>
      </c>
      <c r="CU202" s="91"/>
      <c r="CV202" s="91"/>
      <c r="CW202" s="91"/>
      <c r="CX202" s="91"/>
      <c r="CY202" s="91"/>
      <c r="CZ202" s="91"/>
      <c r="DA202" s="91"/>
      <c r="DB202" s="91"/>
      <c r="DC202" s="91"/>
      <c r="DD202" s="91">
        <f>DE202+DF202+DG202+DH202+DI202+DJ202+DK202+DL202+DM202+DN202</f>
        <v>162755226</v>
      </c>
      <c r="DE202" s="91">
        <v>162755226</v>
      </c>
      <c r="DF202" s="91"/>
      <c r="DG202" s="91"/>
      <c r="DH202" s="91"/>
      <c r="DI202" s="91"/>
      <c r="DJ202" s="91"/>
      <c r="DK202" s="91"/>
      <c r="DL202" s="91"/>
      <c r="DM202" s="91"/>
      <c r="DN202" s="92"/>
      <c r="DO202" s="93">
        <f>AE202+CH202+CS202+DD202</f>
        <v>3143992501.8000002</v>
      </c>
    </row>
    <row r="203" spans="1:119" ht="33" customHeight="1" x14ac:dyDescent="0.2">
      <c r="A203" s="64"/>
      <c r="B203" s="255"/>
      <c r="C203" s="74"/>
      <c r="D203" s="74"/>
      <c r="E203" s="77"/>
      <c r="F203" s="74"/>
      <c r="G203" s="74"/>
      <c r="H203" s="77"/>
      <c r="I203" s="74"/>
      <c r="J203" s="74"/>
      <c r="K203" s="74"/>
      <c r="L203" s="74"/>
      <c r="M203" s="147">
        <v>6</v>
      </c>
      <c r="N203" s="96">
        <v>1704</v>
      </c>
      <c r="O203" s="97" t="s">
        <v>122</v>
      </c>
      <c r="P203" s="96"/>
      <c r="Q203" s="98"/>
      <c r="R203" s="98"/>
      <c r="S203" s="98"/>
      <c r="T203" s="98"/>
      <c r="U203" s="98"/>
      <c r="V203" s="98"/>
      <c r="W203" s="83"/>
      <c r="X203" s="83"/>
      <c r="Y203" s="84"/>
      <c r="Z203" s="84"/>
      <c r="AA203" s="84"/>
      <c r="AB203" s="84"/>
      <c r="AC203" s="84"/>
      <c r="AD203" s="81"/>
      <c r="AE203" s="85">
        <f>SUM(AE204:AE205)</f>
        <v>2451022529</v>
      </c>
      <c r="AF203" s="85">
        <f>SUM(AF204:AF205)</f>
        <v>40000000</v>
      </c>
      <c r="AG203" s="85">
        <f t="shared" ref="AG203:DO203" si="123">SUM(AG204:AG205)</f>
        <v>39606648</v>
      </c>
      <c r="AH203" s="85">
        <f t="shared" si="123"/>
        <v>39606648</v>
      </c>
      <c r="AI203" s="85">
        <f t="shared" si="123"/>
        <v>0</v>
      </c>
      <c r="AJ203" s="85">
        <f t="shared" si="123"/>
        <v>80364849</v>
      </c>
      <c r="AK203" s="85">
        <f>SUM(AK204:AK205)</f>
        <v>40000000</v>
      </c>
      <c r="AL203" s="85">
        <f t="shared" si="123"/>
        <v>39606648</v>
      </c>
      <c r="AM203" s="85">
        <f t="shared" si="123"/>
        <v>39606648</v>
      </c>
      <c r="AN203" s="85">
        <f t="shared" si="123"/>
        <v>0</v>
      </c>
      <c r="AO203" s="85">
        <f t="shared" si="123"/>
        <v>0</v>
      </c>
      <c r="AP203" s="85">
        <f t="shared" si="123"/>
        <v>0</v>
      </c>
      <c r="AQ203" s="85">
        <f t="shared" si="123"/>
        <v>0</v>
      </c>
      <c r="AR203" s="85">
        <f t="shared" si="123"/>
        <v>0</v>
      </c>
      <c r="AS203" s="85">
        <f t="shared" si="123"/>
        <v>0</v>
      </c>
      <c r="AT203" s="85">
        <f t="shared" si="123"/>
        <v>0</v>
      </c>
      <c r="AU203" s="85">
        <f>SUM(AU204:AU205)</f>
        <v>0</v>
      </c>
      <c r="AV203" s="85">
        <f t="shared" si="123"/>
        <v>0</v>
      </c>
      <c r="AW203" s="85">
        <f t="shared" si="123"/>
        <v>0</v>
      </c>
      <c r="AX203" s="85">
        <f t="shared" si="123"/>
        <v>0</v>
      </c>
      <c r="AY203" s="85">
        <f t="shared" si="123"/>
        <v>0</v>
      </c>
      <c r="AZ203" s="85">
        <f t="shared" si="123"/>
        <v>0</v>
      </c>
      <c r="BA203" s="85">
        <f t="shared" si="123"/>
        <v>0</v>
      </c>
      <c r="BB203" s="85">
        <f t="shared" si="123"/>
        <v>0</v>
      </c>
      <c r="BC203" s="85">
        <f t="shared" si="123"/>
        <v>0</v>
      </c>
      <c r="BD203" s="85">
        <f t="shared" si="123"/>
        <v>0</v>
      </c>
      <c r="BE203" s="85">
        <f>SUM(BE204:BE205)</f>
        <v>0</v>
      </c>
      <c r="BF203" s="85">
        <f t="shared" si="123"/>
        <v>0</v>
      </c>
      <c r="BG203" s="85">
        <f t="shared" si="123"/>
        <v>0</v>
      </c>
      <c r="BH203" s="85">
        <f t="shared" si="123"/>
        <v>0</v>
      </c>
      <c r="BI203" s="85">
        <f t="shared" si="123"/>
        <v>0</v>
      </c>
      <c r="BJ203" s="85">
        <f t="shared" si="123"/>
        <v>0</v>
      </c>
      <c r="BK203" s="85">
        <f t="shared" si="123"/>
        <v>0</v>
      </c>
      <c r="BL203" s="85">
        <f t="shared" si="123"/>
        <v>0</v>
      </c>
      <c r="BM203" s="85">
        <f t="shared" si="123"/>
        <v>0</v>
      </c>
      <c r="BN203" s="85">
        <f t="shared" si="123"/>
        <v>2370657680</v>
      </c>
      <c r="BO203" s="85">
        <f>SUM(BO204:BO205)</f>
        <v>0</v>
      </c>
      <c r="BP203" s="85">
        <f t="shared" si="123"/>
        <v>0</v>
      </c>
      <c r="BQ203" s="85">
        <f t="shared" si="123"/>
        <v>0</v>
      </c>
      <c r="BR203" s="85">
        <f t="shared" si="123"/>
        <v>0</v>
      </c>
      <c r="BS203" s="85">
        <f t="shared" si="123"/>
        <v>0</v>
      </c>
      <c r="BT203" s="85">
        <f t="shared" si="123"/>
        <v>0</v>
      </c>
      <c r="BU203" s="85">
        <f t="shared" si="123"/>
        <v>0</v>
      </c>
      <c r="BV203" s="85">
        <f t="shared" si="123"/>
        <v>0</v>
      </c>
      <c r="BW203" s="85">
        <f t="shared" si="123"/>
        <v>0</v>
      </c>
      <c r="BX203" s="85">
        <f t="shared" si="123"/>
        <v>0</v>
      </c>
      <c r="BY203" s="85">
        <f>SUM(BY204:BY205)</f>
        <v>0</v>
      </c>
      <c r="BZ203" s="85">
        <f t="shared" si="123"/>
        <v>0</v>
      </c>
      <c r="CA203" s="85">
        <f t="shared" si="123"/>
        <v>0</v>
      </c>
      <c r="CB203" s="85">
        <f t="shared" si="123"/>
        <v>0</v>
      </c>
      <c r="CC203" s="85">
        <f t="shared" si="123"/>
        <v>0</v>
      </c>
      <c r="CD203" s="85">
        <f t="shared" si="123"/>
        <v>0</v>
      </c>
      <c r="CE203" s="85">
        <f t="shared" si="123"/>
        <v>0</v>
      </c>
      <c r="CF203" s="85">
        <f t="shared" si="123"/>
        <v>0</v>
      </c>
      <c r="CG203" s="85">
        <f t="shared" si="123"/>
        <v>0</v>
      </c>
      <c r="CH203" s="85">
        <f t="shared" si="123"/>
        <v>69722400</v>
      </c>
      <c r="CI203" s="85">
        <f t="shared" si="123"/>
        <v>69722400</v>
      </c>
      <c r="CJ203" s="85">
        <f t="shared" si="123"/>
        <v>0</v>
      </c>
      <c r="CK203" s="85">
        <f t="shared" si="123"/>
        <v>0</v>
      </c>
      <c r="CL203" s="85">
        <f t="shared" si="123"/>
        <v>0</v>
      </c>
      <c r="CM203" s="85">
        <f t="shared" si="123"/>
        <v>0</v>
      </c>
      <c r="CN203" s="85">
        <f t="shared" si="123"/>
        <v>0</v>
      </c>
      <c r="CO203" s="85">
        <f t="shared" si="123"/>
        <v>0</v>
      </c>
      <c r="CP203" s="85">
        <f t="shared" si="123"/>
        <v>0</v>
      </c>
      <c r="CQ203" s="85">
        <f t="shared" si="123"/>
        <v>0</v>
      </c>
      <c r="CR203" s="85">
        <f t="shared" si="123"/>
        <v>0</v>
      </c>
      <c r="CS203" s="85">
        <f t="shared" si="123"/>
        <v>144765000</v>
      </c>
      <c r="CT203" s="85">
        <f t="shared" si="123"/>
        <v>144765000</v>
      </c>
      <c r="CU203" s="85">
        <f t="shared" si="123"/>
        <v>0</v>
      </c>
      <c r="CV203" s="85">
        <f t="shared" si="123"/>
        <v>0</v>
      </c>
      <c r="CW203" s="85">
        <f t="shared" si="123"/>
        <v>0</v>
      </c>
      <c r="CX203" s="85">
        <f t="shared" si="123"/>
        <v>0</v>
      </c>
      <c r="CY203" s="85">
        <f t="shared" si="123"/>
        <v>0</v>
      </c>
      <c r="CZ203" s="85">
        <f t="shared" si="123"/>
        <v>0</v>
      </c>
      <c r="DA203" s="85">
        <f t="shared" si="123"/>
        <v>0</v>
      </c>
      <c r="DB203" s="85">
        <f t="shared" si="123"/>
        <v>0</v>
      </c>
      <c r="DC203" s="85">
        <f t="shared" si="123"/>
        <v>0</v>
      </c>
      <c r="DD203" s="85">
        <f t="shared" si="123"/>
        <v>243325000</v>
      </c>
      <c r="DE203" s="85">
        <f t="shared" si="123"/>
        <v>243325000</v>
      </c>
      <c r="DF203" s="85">
        <f t="shared" si="123"/>
        <v>0</v>
      </c>
      <c r="DG203" s="85">
        <f t="shared" si="123"/>
        <v>0</v>
      </c>
      <c r="DH203" s="85">
        <f t="shared" si="123"/>
        <v>0</v>
      </c>
      <c r="DI203" s="85">
        <f t="shared" si="123"/>
        <v>0</v>
      </c>
      <c r="DJ203" s="85">
        <f t="shared" si="123"/>
        <v>0</v>
      </c>
      <c r="DK203" s="85">
        <f t="shared" si="123"/>
        <v>0</v>
      </c>
      <c r="DL203" s="85">
        <f t="shared" si="123"/>
        <v>0</v>
      </c>
      <c r="DM203" s="85">
        <f t="shared" si="123"/>
        <v>0</v>
      </c>
      <c r="DN203" s="86">
        <f t="shared" si="123"/>
        <v>0</v>
      </c>
      <c r="DO203" s="85">
        <f t="shared" si="123"/>
        <v>2908834929</v>
      </c>
    </row>
    <row r="204" spans="1:119" s="225" customFormat="1" ht="126" customHeight="1" x14ac:dyDescent="0.2">
      <c r="A204" s="244">
        <v>2</v>
      </c>
      <c r="B204" s="254" t="s">
        <v>33</v>
      </c>
      <c r="C204" s="59" t="s">
        <v>343</v>
      </c>
      <c r="D204" s="59" t="s">
        <v>35</v>
      </c>
      <c r="E204" s="157">
        <v>0.16500000000000001</v>
      </c>
      <c r="F204" s="13">
        <v>2018</v>
      </c>
      <c r="G204" s="59" t="s">
        <v>344</v>
      </c>
      <c r="H204" s="127">
        <v>0.18099999999999999</v>
      </c>
      <c r="I204" s="158">
        <v>17</v>
      </c>
      <c r="J204" s="159" t="s">
        <v>345</v>
      </c>
      <c r="K204" s="48">
        <v>13</v>
      </c>
      <c r="L204" s="160" t="s">
        <v>346</v>
      </c>
      <c r="M204" s="246">
        <v>6</v>
      </c>
      <c r="N204" s="247">
        <v>1704</v>
      </c>
      <c r="O204" s="245" t="s">
        <v>122</v>
      </c>
      <c r="P204" s="13" t="s">
        <v>405</v>
      </c>
      <c r="Q204" s="48" t="s">
        <v>406</v>
      </c>
      <c r="R204" s="48" t="s">
        <v>406</v>
      </c>
      <c r="S204" s="59" t="s">
        <v>123</v>
      </c>
      <c r="T204" s="13" t="s">
        <v>407</v>
      </c>
      <c r="U204" s="48" t="s">
        <v>408</v>
      </c>
      <c r="V204" s="48" t="s">
        <v>408</v>
      </c>
      <c r="W204" s="87" t="s">
        <v>409</v>
      </c>
      <c r="X204" s="13" t="s">
        <v>8</v>
      </c>
      <c r="Y204" s="13">
        <v>1</v>
      </c>
      <c r="Z204" s="13">
        <v>1</v>
      </c>
      <c r="AA204" s="13">
        <v>1</v>
      </c>
      <c r="AB204" s="13">
        <v>1</v>
      </c>
      <c r="AC204" s="13">
        <v>1</v>
      </c>
      <c r="AD204" s="13">
        <v>1</v>
      </c>
      <c r="AE204" s="89">
        <f t="shared" ref="AE204:AI205" si="124">AJ204+AO204+AT204+AY204+BD204+BI204+BN204+BS204+BX204+CC204</f>
        <v>2420657680</v>
      </c>
      <c r="AF204" s="89">
        <f t="shared" si="124"/>
        <v>9635151</v>
      </c>
      <c r="AG204" s="89">
        <f t="shared" si="124"/>
        <v>9333333</v>
      </c>
      <c r="AH204" s="89">
        <f t="shared" si="124"/>
        <v>9333333</v>
      </c>
      <c r="AI204" s="89">
        <f t="shared" si="124"/>
        <v>0</v>
      </c>
      <c r="AJ204" s="90">
        <v>50000000</v>
      </c>
      <c r="AK204" s="90">
        <v>9635151</v>
      </c>
      <c r="AL204" s="90">
        <v>9333333</v>
      </c>
      <c r="AM204" s="90">
        <v>9333333</v>
      </c>
      <c r="AN204" s="90"/>
      <c r="AO204" s="90"/>
      <c r="AP204" s="90"/>
      <c r="AQ204" s="90"/>
      <c r="AR204" s="90"/>
      <c r="AS204" s="90"/>
      <c r="AT204" s="90"/>
      <c r="AU204" s="90"/>
      <c r="AV204" s="90"/>
      <c r="AW204" s="90"/>
      <c r="AX204" s="90"/>
      <c r="AY204" s="90"/>
      <c r="AZ204" s="90"/>
      <c r="BA204" s="90"/>
      <c r="BB204" s="90"/>
      <c r="BC204" s="90"/>
      <c r="BD204" s="90"/>
      <c r="BE204" s="90"/>
      <c r="BF204" s="90"/>
      <c r="BG204" s="90"/>
      <c r="BH204" s="90"/>
      <c r="BI204" s="90"/>
      <c r="BJ204" s="90"/>
      <c r="BK204" s="90"/>
      <c r="BL204" s="90"/>
      <c r="BM204" s="90"/>
      <c r="BN204" s="91">
        <v>2370657680</v>
      </c>
      <c r="BO204" s="90"/>
      <c r="BP204" s="91"/>
      <c r="BQ204" s="91"/>
      <c r="BR204" s="91"/>
      <c r="BS204" s="91"/>
      <c r="BT204" s="90"/>
      <c r="BU204" s="91"/>
      <c r="BV204" s="91"/>
      <c r="BW204" s="91"/>
      <c r="BX204" s="91"/>
      <c r="BY204" s="90"/>
      <c r="BZ204" s="91"/>
      <c r="CA204" s="91"/>
      <c r="CB204" s="91"/>
      <c r="CC204" s="91"/>
      <c r="CD204" s="90"/>
      <c r="CE204" s="91"/>
      <c r="CF204" s="91"/>
      <c r="CG204" s="91"/>
      <c r="CH204" s="91">
        <f>CI204+CJ204+CK204+CL204+CM204+CN204+CO204+CP204+CQ204+CR204</f>
        <v>42200400</v>
      </c>
      <c r="CI204" s="91">
        <v>42200400</v>
      </c>
      <c r="CJ204" s="91"/>
      <c r="CK204" s="91"/>
      <c r="CL204" s="91"/>
      <c r="CM204" s="91"/>
      <c r="CN204" s="91"/>
      <c r="CO204" s="91"/>
      <c r="CP204" s="91"/>
      <c r="CQ204" s="91"/>
      <c r="CR204" s="91"/>
      <c r="CS204" s="91">
        <f>CT204+CU204+CV204+CW204+CX204+CY204+CZ204+DA204+DB204+DC204</f>
        <v>100000000</v>
      </c>
      <c r="CT204" s="91">
        <v>100000000</v>
      </c>
      <c r="CU204" s="91"/>
      <c r="CV204" s="91"/>
      <c r="CW204" s="91"/>
      <c r="CX204" s="91"/>
      <c r="CY204" s="91"/>
      <c r="CZ204" s="91"/>
      <c r="DA204" s="91"/>
      <c r="DB204" s="91"/>
      <c r="DC204" s="91"/>
      <c r="DD204" s="91">
        <f>DE204+DF204+DG204+DH204+DI204+DJ204+DK204+DL204+DM204+DN204</f>
        <v>100000000</v>
      </c>
      <c r="DE204" s="91">
        <v>100000000</v>
      </c>
      <c r="DF204" s="91"/>
      <c r="DG204" s="91"/>
      <c r="DH204" s="91"/>
      <c r="DI204" s="91"/>
      <c r="DJ204" s="91"/>
      <c r="DK204" s="91"/>
      <c r="DL204" s="91"/>
      <c r="DM204" s="91"/>
      <c r="DN204" s="92"/>
      <c r="DO204" s="93">
        <f>AE204+CH204+CS204+DD204</f>
        <v>2662858080</v>
      </c>
    </row>
    <row r="205" spans="1:119" s="225" customFormat="1" ht="97.5" customHeight="1" x14ac:dyDescent="0.2">
      <c r="A205" s="244">
        <v>2</v>
      </c>
      <c r="B205" s="254" t="s">
        <v>33</v>
      </c>
      <c r="C205" s="59" t="s">
        <v>343</v>
      </c>
      <c r="D205" s="59" t="s">
        <v>35</v>
      </c>
      <c r="E205" s="157">
        <v>0.16500000000000001</v>
      </c>
      <c r="F205" s="13">
        <v>2018</v>
      </c>
      <c r="G205" s="59" t="s">
        <v>344</v>
      </c>
      <c r="H205" s="127">
        <v>0.18099999999999999</v>
      </c>
      <c r="I205" s="158">
        <v>17</v>
      </c>
      <c r="J205" s="159" t="s">
        <v>345</v>
      </c>
      <c r="K205" s="48">
        <v>13</v>
      </c>
      <c r="L205" s="160" t="s">
        <v>346</v>
      </c>
      <c r="M205" s="246">
        <v>6</v>
      </c>
      <c r="N205" s="247">
        <v>1704</v>
      </c>
      <c r="O205" s="245" t="s">
        <v>122</v>
      </c>
      <c r="P205" s="13" t="s">
        <v>410</v>
      </c>
      <c r="Q205" s="48" t="s">
        <v>411</v>
      </c>
      <c r="R205" s="48" t="s">
        <v>411</v>
      </c>
      <c r="S205" s="59" t="s">
        <v>124</v>
      </c>
      <c r="T205" s="13" t="s">
        <v>412</v>
      </c>
      <c r="U205" s="48" t="s">
        <v>413</v>
      </c>
      <c r="V205" s="48" t="s">
        <v>413</v>
      </c>
      <c r="W205" s="87" t="s">
        <v>414</v>
      </c>
      <c r="X205" s="13" t="s">
        <v>9</v>
      </c>
      <c r="Y205" s="13">
        <v>500</v>
      </c>
      <c r="Z205" s="13">
        <v>50</v>
      </c>
      <c r="AA205" s="13">
        <v>50</v>
      </c>
      <c r="AB205" s="13">
        <v>150</v>
      </c>
      <c r="AC205" s="13">
        <v>150</v>
      </c>
      <c r="AD205" s="13">
        <v>150</v>
      </c>
      <c r="AE205" s="89">
        <f t="shared" si="124"/>
        <v>30364849</v>
      </c>
      <c r="AF205" s="89">
        <f t="shared" si="124"/>
        <v>30364849</v>
      </c>
      <c r="AG205" s="89">
        <f t="shared" si="124"/>
        <v>30273315</v>
      </c>
      <c r="AH205" s="89">
        <f t="shared" si="124"/>
        <v>30273315</v>
      </c>
      <c r="AI205" s="89">
        <f t="shared" si="124"/>
        <v>0</v>
      </c>
      <c r="AJ205" s="90">
        <v>30364849</v>
      </c>
      <c r="AK205" s="90">
        <v>30364849</v>
      </c>
      <c r="AL205" s="90">
        <v>30273315</v>
      </c>
      <c r="AM205" s="90">
        <v>30273315</v>
      </c>
      <c r="AN205" s="90"/>
      <c r="AO205" s="90"/>
      <c r="AP205" s="90"/>
      <c r="AQ205" s="90"/>
      <c r="AR205" s="90"/>
      <c r="AS205" s="90"/>
      <c r="AT205" s="90"/>
      <c r="AU205" s="90"/>
      <c r="AV205" s="90"/>
      <c r="AW205" s="90"/>
      <c r="AX205" s="90"/>
      <c r="AY205" s="90"/>
      <c r="AZ205" s="90"/>
      <c r="BA205" s="90"/>
      <c r="BB205" s="90"/>
      <c r="BC205" s="90"/>
      <c r="BD205" s="90"/>
      <c r="BE205" s="90"/>
      <c r="BF205" s="90"/>
      <c r="BG205" s="90"/>
      <c r="BH205" s="90"/>
      <c r="BI205" s="90"/>
      <c r="BJ205" s="90"/>
      <c r="BK205" s="90"/>
      <c r="BL205" s="90"/>
      <c r="BM205" s="90"/>
      <c r="BN205" s="91"/>
      <c r="BO205" s="90"/>
      <c r="BP205" s="91"/>
      <c r="BQ205" s="91"/>
      <c r="BR205" s="91"/>
      <c r="BS205" s="91"/>
      <c r="BT205" s="90"/>
      <c r="BU205" s="91"/>
      <c r="BV205" s="91"/>
      <c r="BW205" s="91"/>
      <c r="BX205" s="91"/>
      <c r="BY205" s="90"/>
      <c r="BZ205" s="91"/>
      <c r="CA205" s="91"/>
      <c r="CB205" s="91"/>
      <c r="CC205" s="91"/>
      <c r="CD205" s="90"/>
      <c r="CE205" s="91"/>
      <c r="CF205" s="91"/>
      <c r="CG205" s="91"/>
      <c r="CH205" s="91">
        <f>CI205+CJ205+CK205+CL205+CM205+CN205+CO205+CP205+CQ205+CR205</f>
        <v>27522000</v>
      </c>
      <c r="CI205" s="91">
        <v>27522000</v>
      </c>
      <c r="CJ205" s="91"/>
      <c r="CK205" s="91"/>
      <c r="CL205" s="91"/>
      <c r="CM205" s="91"/>
      <c r="CN205" s="91"/>
      <c r="CO205" s="91"/>
      <c r="CP205" s="91"/>
      <c r="CQ205" s="91"/>
      <c r="CR205" s="91"/>
      <c r="CS205" s="91">
        <f>CT205+CU205+CV205+CW205+CX205+CY205+CZ205+DA205+DB205+DC205</f>
        <v>44765000</v>
      </c>
      <c r="CT205" s="91">
        <v>44765000</v>
      </c>
      <c r="CU205" s="91"/>
      <c r="CV205" s="91"/>
      <c r="CW205" s="91"/>
      <c r="CX205" s="91"/>
      <c r="CY205" s="91"/>
      <c r="CZ205" s="91"/>
      <c r="DA205" s="91"/>
      <c r="DB205" s="91"/>
      <c r="DC205" s="91"/>
      <c r="DD205" s="91">
        <f>DE205+DF205+DG205+DH205+DI205+DJ205+DK205+DL205+DM205+DN205</f>
        <v>143325000</v>
      </c>
      <c r="DE205" s="91">
        <v>143325000</v>
      </c>
      <c r="DF205" s="91"/>
      <c r="DG205" s="91"/>
      <c r="DH205" s="91"/>
      <c r="DI205" s="91"/>
      <c r="DJ205" s="91"/>
      <c r="DK205" s="91"/>
      <c r="DL205" s="91"/>
      <c r="DM205" s="91"/>
      <c r="DN205" s="92"/>
      <c r="DO205" s="93">
        <f>AE205+CH205+CS205+DD205</f>
        <v>245976849</v>
      </c>
    </row>
    <row r="206" spans="1:119" ht="25.5" customHeight="1" x14ac:dyDescent="0.2">
      <c r="A206" s="64"/>
      <c r="B206" s="255"/>
      <c r="C206" s="74"/>
      <c r="D206" s="74"/>
      <c r="E206" s="77"/>
      <c r="F206" s="74"/>
      <c r="G206" s="74"/>
      <c r="H206" s="77"/>
      <c r="I206" s="74"/>
      <c r="J206" s="74"/>
      <c r="K206" s="74"/>
      <c r="L206" s="74"/>
      <c r="M206" s="147">
        <v>7</v>
      </c>
      <c r="N206" s="96">
        <v>1706</v>
      </c>
      <c r="O206" s="97" t="s">
        <v>125</v>
      </c>
      <c r="P206" s="96"/>
      <c r="Q206" s="98"/>
      <c r="R206" s="98"/>
      <c r="S206" s="98"/>
      <c r="T206" s="98"/>
      <c r="U206" s="98"/>
      <c r="V206" s="98"/>
      <c r="W206" s="83"/>
      <c r="X206" s="83"/>
      <c r="Y206" s="84"/>
      <c r="Z206" s="84"/>
      <c r="AA206" s="84"/>
      <c r="AB206" s="84"/>
      <c r="AC206" s="84"/>
      <c r="AD206" s="81"/>
      <c r="AE206" s="85">
        <f t="shared" ref="AE206:DO206" si="125">SUM(AE207)</f>
        <v>12800000</v>
      </c>
      <c r="AF206" s="85">
        <f t="shared" si="125"/>
        <v>12800000</v>
      </c>
      <c r="AG206" s="85">
        <f t="shared" si="125"/>
        <v>5000000</v>
      </c>
      <c r="AH206" s="85">
        <f t="shared" si="125"/>
        <v>5000000</v>
      </c>
      <c r="AI206" s="85">
        <f t="shared" si="125"/>
        <v>0</v>
      </c>
      <c r="AJ206" s="85">
        <f t="shared" si="125"/>
        <v>12800000</v>
      </c>
      <c r="AK206" s="85">
        <f t="shared" si="125"/>
        <v>12800000</v>
      </c>
      <c r="AL206" s="85">
        <f t="shared" si="125"/>
        <v>5000000</v>
      </c>
      <c r="AM206" s="85">
        <f t="shared" si="125"/>
        <v>5000000</v>
      </c>
      <c r="AN206" s="85">
        <f t="shared" si="125"/>
        <v>0</v>
      </c>
      <c r="AO206" s="85">
        <f t="shared" si="125"/>
        <v>0</v>
      </c>
      <c r="AP206" s="85">
        <f t="shared" si="125"/>
        <v>0</v>
      </c>
      <c r="AQ206" s="85">
        <f t="shared" si="125"/>
        <v>0</v>
      </c>
      <c r="AR206" s="85">
        <f t="shared" si="125"/>
        <v>0</v>
      </c>
      <c r="AS206" s="85">
        <f t="shared" si="125"/>
        <v>0</v>
      </c>
      <c r="AT206" s="85">
        <f t="shared" si="125"/>
        <v>0</v>
      </c>
      <c r="AU206" s="85">
        <f t="shared" si="125"/>
        <v>0</v>
      </c>
      <c r="AV206" s="85">
        <f t="shared" si="125"/>
        <v>0</v>
      </c>
      <c r="AW206" s="85">
        <f t="shared" si="125"/>
        <v>0</v>
      </c>
      <c r="AX206" s="85">
        <f t="shared" si="125"/>
        <v>0</v>
      </c>
      <c r="AY206" s="85">
        <f t="shared" si="125"/>
        <v>0</v>
      </c>
      <c r="AZ206" s="85">
        <f t="shared" si="125"/>
        <v>0</v>
      </c>
      <c r="BA206" s="85">
        <f t="shared" si="125"/>
        <v>0</v>
      </c>
      <c r="BB206" s="85">
        <f t="shared" si="125"/>
        <v>0</v>
      </c>
      <c r="BC206" s="85">
        <f t="shared" si="125"/>
        <v>0</v>
      </c>
      <c r="BD206" s="85">
        <f t="shared" si="125"/>
        <v>0</v>
      </c>
      <c r="BE206" s="85">
        <f t="shared" si="125"/>
        <v>0</v>
      </c>
      <c r="BF206" s="85">
        <f t="shared" si="125"/>
        <v>0</v>
      </c>
      <c r="BG206" s="85">
        <f t="shared" si="125"/>
        <v>0</v>
      </c>
      <c r="BH206" s="85">
        <f t="shared" si="125"/>
        <v>0</v>
      </c>
      <c r="BI206" s="85">
        <f t="shared" si="125"/>
        <v>0</v>
      </c>
      <c r="BJ206" s="85">
        <f t="shared" si="125"/>
        <v>0</v>
      </c>
      <c r="BK206" s="85">
        <f t="shared" si="125"/>
        <v>0</v>
      </c>
      <c r="BL206" s="85">
        <f t="shared" si="125"/>
        <v>0</v>
      </c>
      <c r="BM206" s="85">
        <f t="shared" si="125"/>
        <v>0</v>
      </c>
      <c r="BN206" s="85">
        <f t="shared" si="125"/>
        <v>0</v>
      </c>
      <c r="BO206" s="85">
        <f t="shared" si="125"/>
        <v>0</v>
      </c>
      <c r="BP206" s="85">
        <f t="shared" si="125"/>
        <v>0</v>
      </c>
      <c r="BQ206" s="85">
        <f t="shared" si="125"/>
        <v>0</v>
      </c>
      <c r="BR206" s="85">
        <f t="shared" si="125"/>
        <v>0</v>
      </c>
      <c r="BS206" s="85">
        <f t="shared" si="125"/>
        <v>0</v>
      </c>
      <c r="BT206" s="85">
        <f t="shared" si="125"/>
        <v>0</v>
      </c>
      <c r="BU206" s="85">
        <f t="shared" si="125"/>
        <v>0</v>
      </c>
      <c r="BV206" s="85">
        <f t="shared" si="125"/>
        <v>0</v>
      </c>
      <c r="BW206" s="85">
        <f t="shared" si="125"/>
        <v>0</v>
      </c>
      <c r="BX206" s="85">
        <f t="shared" si="125"/>
        <v>0</v>
      </c>
      <c r="BY206" s="85">
        <f t="shared" si="125"/>
        <v>0</v>
      </c>
      <c r="BZ206" s="85">
        <f t="shared" si="125"/>
        <v>0</v>
      </c>
      <c r="CA206" s="85">
        <f t="shared" si="125"/>
        <v>0</v>
      </c>
      <c r="CB206" s="85">
        <f t="shared" si="125"/>
        <v>0</v>
      </c>
      <c r="CC206" s="85">
        <f t="shared" si="125"/>
        <v>0</v>
      </c>
      <c r="CD206" s="85">
        <f t="shared" si="125"/>
        <v>0</v>
      </c>
      <c r="CE206" s="85">
        <f t="shared" si="125"/>
        <v>0</v>
      </c>
      <c r="CF206" s="85">
        <f t="shared" si="125"/>
        <v>0</v>
      </c>
      <c r="CG206" s="85">
        <f t="shared" si="125"/>
        <v>0</v>
      </c>
      <c r="CH206" s="85">
        <f t="shared" si="125"/>
        <v>11155584</v>
      </c>
      <c r="CI206" s="85">
        <f t="shared" si="125"/>
        <v>11155584</v>
      </c>
      <c r="CJ206" s="85">
        <f t="shared" si="125"/>
        <v>0</v>
      </c>
      <c r="CK206" s="85">
        <f t="shared" si="125"/>
        <v>0</v>
      </c>
      <c r="CL206" s="85">
        <f t="shared" si="125"/>
        <v>0</v>
      </c>
      <c r="CM206" s="85">
        <f t="shared" si="125"/>
        <v>0</v>
      </c>
      <c r="CN206" s="85">
        <f t="shared" si="125"/>
        <v>0</v>
      </c>
      <c r="CO206" s="85">
        <f t="shared" si="125"/>
        <v>0</v>
      </c>
      <c r="CP206" s="85">
        <f t="shared" si="125"/>
        <v>0</v>
      </c>
      <c r="CQ206" s="85">
        <f t="shared" si="125"/>
        <v>0</v>
      </c>
      <c r="CR206" s="85">
        <f t="shared" si="125"/>
        <v>0</v>
      </c>
      <c r="CS206" s="85">
        <f t="shared" si="125"/>
        <v>48255000</v>
      </c>
      <c r="CT206" s="85">
        <f t="shared" si="125"/>
        <v>48255000</v>
      </c>
      <c r="CU206" s="85">
        <f t="shared" si="125"/>
        <v>0</v>
      </c>
      <c r="CV206" s="85">
        <f t="shared" si="125"/>
        <v>0</v>
      </c>
      <c r="CW206" s="85">
        <f t="shared" si="125"/>
        <v>0</v>
      </c>
      <c r="CX206" s="85">
        <f t="shared" si="125"/>
        <v>0</v>
      </c>
      <c r="CY206" s="85">
        <f t="shared" si="125"/>
        <v>0</v>
      </c>
      <c r="CZ206" s="85">
        <f t="shared" si="125"/>
        <v>0</v>
      </c>
      <c r="DA206" s="85">
        <f t="shared" si="125"/>
        <v>0</v>
      </c>
      <c r="DB206" s="85">
        <f t="shared" si="125"/>
        <v>0</v>
      </c>
      <c r="DC206" s="85">
        <f t="shared" si="125"/>
        <v>0</v>
      </c>
      <c r="DD206" s="85">
        <f t="shared" si="125"/>
        <v>68665000</v>
      </c>
      <c r="DE206" s="85">
        <f t="shared" si="125"/>
        <v>68665000</v>
      </c>
      <c r="DF206" s="85">
        <f t="shared" si="125"/>
        <v>0</v>
      </c>
      <c r="DG206" s="85">
        <f t="shared" si="125"/>
        <v>0</v>
      </c>
      <c r="DH206" s="85">
        <f t="shared" si="125"/>
        <v>0</v>
      </c>
      <c r="DI206" s="85">
        <f t="shared" si="125"/>
        <v>0</v>
      </c>
      <c r="DJ206" s="85">
        <f t="shared" si="125"/>
        <v>0</v>
      </c>
      <c r="DK206" s="85">
        <f t="shared" si="125"/>
        <v>0</v>
      </c>
      <c r="DL206" s="85">
        <f t="shared" si="125"/>
        <v>0</v>
      </c>
      <c r="DM206" s="85">
        <f t="shared" si="125"/>
        <v>0</v>
      </c>
      <c r="DN206" s="86">
        <f t="shared" si="125"/>
        <v>0</v>
      </c>
      <c r="DO206" s="85">
        <f t="shared" si="125"/>
        <v>140875584</v>
      </c>
    </row>
    <row r="207" spans="1:119" s="225" customFormat="1" ht="101.25" customHeight="1" x14ac:dyDescent="0.2">
      <c r="A207" s="244">
        <v>2</v>
      </c>
      <c r="B207" s="254" t="s">
        <v>33</v>
      </c>
      <c r="C207" s="59" t="s">
        <v>343</v>
      </c>
      <c r="D207" s="59" t="s">
        <v>35</v>
      </c>
      <c r="E207" s="157">
        <v>0.16500000000000001</v>
      </c>
      <c r="F207" s="13">
        <v>2018</v>
      </c>
      <c r="G207" s="59" t="s">
        <v>344</v>
      </c>
      <c r="H207" s="127">
        <v>0.18099999999999999</v>
      </c>
      <c r="I207" s="158">
        <v>17</v>
      </c>
      <c r="J207" s="159" t="s">
        <v>345</v>
      </c>
      <c r="K207" s="48">
        <v>13</v>
      </c>
      <c r="L207" s="160" t="s">
        <v>346</v>
      </c>
      <c r="M207" s="246">
        <v>7</v>
      </c>
      <c r="N207" s="247">
        <v>1706</v>
      </c>
      <c r="O207" s="245" t="s">
        <v>125</v>
      </c>
      <c r="P207" s="13" t="s">
        <v>415</v>
      </c>
      <c r="Q207" s="48" t="s">
        <v>416</v>
      </c>
      <c r="R207" s="48">
        <v>1706004</v>
      </c>
      <c r="S207" s="59" t="s">
        <v>417</v>
      </c>
      <c r="T207" s="13" t="s">
        <v>418</v>
      </c>
      <c r="U207" s="48" t="s">
        <v>419</v>
      </c>
      <c r="V207" s="48" t="s">
        <v>419</v>
      </c>
      <c r="W207" s="87" t="s">
        <v>420</v>
      </c>
      <c r="X207" s="13" t="s">
        <v>8</v>
      </c>
      <c r="Y207" s="13">
        <v>10</v>
      </c>
      <c r="Z207" s="13">
        <v>10</v>
      </c>
      <c r="AA207" s="13">
        <v>4</v>
      </c>
      <c r="AB207" s="13">
        <v>10</v>
      </c>
      <c r="AC207" s="13">
        <v>10</v>
      </c>
      <c r="AD207" s="13">
        <v>10</v>
      </c>
      <c r="AE207" s="89">
        <f>AJ207+AO207+AT207+AY207+BD207+BI207+BN207+BS207+BX207+CC207</f>
        <v>12800000</v>
      </c>
      <c r="AF207" s="89">
        <f>AK207+AP207+AU207+AZ207+BE207+BJ207+BO207+BT207+BY207+CD207</f>
        <v>12800000</v>
      </c>
      <c r="AG207" s="89">
        <f>AL207+AQ207+AV207+BA207+BF207+BK207+BP207+BU207+BZ207+CE207</f>
        <v>5000000</v>
      </c>
      <c r="AH207" s="89">
        <f>AM207+AR207+AW207+BB207+BG207+BL207+BQ207+BV207+CA207+CF207</f>
        <v>5000000</v>
      </c>
      <c r="AI207" s="89">
        <f>AN207+AS207+AX207+BC207+BH207+BM207+BR207+BW207+CB207+CG207</f>
        <v>0</v>
      </c>
      <c r="AJ207" s="90">
        <v>12800000</v>
      </c>
      <c r="AK207" s="90">
        <v>12800000</v>
      </c>
      <c r="AL207" s="90">
        <v>5000000</v>
      </c>
      <c r="AM207" s="90">
        <v>5000000</v>
      </c>
      <c r="AN207" s="90"/>
      <c r="AO207" s="90"/>
      <c r="AP207" s="90"/>
      <c r="AQ207" s="90"/>
      <c r="AR207" s="90"/>
      <c r="AS207" s="90"/>
      <c r="AT207" s="90"/>
      <c r="AU207" s="90"/>
      <c r="AV207" s="90"/>
      <c r="AW207" s="90"/>
      <c r="AX207" s="90"/>
      <c r="AY207" s="90"/>
      <c r="AZ207" s="90"/>
      <c r="BA207" s="90"/>
      <c r="BB207" s="90"/>
      <c r="BC207" s="90"/>
      <c r="BD207" s="90"/>
      <c r="BE207" s="90"/>
      <c r="BF207" s="90"/>
      <c r="BG207" s="90"/>
      <c r="BH207" s="90"/>
      <c r="BI207" s="90"/>
      <c r="BJ207" s="90"/>
      <c r="BK207" s="90"/>
      <c r="BL207" s="90"/>
      <c r="BM207" s="90"/>
      <c r="BN207" s="91"/>
      <c r="BO207" s="90"/>
      <c r="BP207" s="91"/>
      <c r="BQ207" s="91"/>
      <c r="BR207" s="91"/>
      <c r="BS207" s="91"/>
      <c r="BT207" s="90"/>
      <c r="BU207" s="91"/>
      <c r="BV207" s="91"/>
      <c r="BW207" s="91"/>
      <c r="BX207" s="91"/>
      <c r="BY207" s="90"/>
      <c r="BZ207" s="91"/>
      <c r="CA207" s="91"/>
      <c r="CB207" s="91"/>
      <c r="CC207" s="91"/>
      <c r="CD207" s="90"/>
      <c r="CE207" s="91"/>
      <c r="CF207" s="91"/>
      <c r="CG207" s="91"/>
      <c r="CH207" s="91">
        <f>CI207+CJ207+CK207+CL207+CM207+CN207+CO207+CP207+CQ207+CR207</f>
        <v>11155584</v>
      </c>
      <c r="CI207" s="91">
        <v>11155584</v>
      </c>
      <c r="CJ207" s="91"/>
      <c r="CK207" s="91"/>
      <c r="CL207" s="91"/>
      <c r="CM207" s="91"/>
      <c r="CN207" s="91"/>
      <c r="CO207" s="91"/>
      <c r="CP207" s="91"/>
      <c r="CQ207" s="91"/>
      <c r="CR207" s="91"/>
      <c r="CS207" s="91">
        <f>CT207+CU207+CV207+CW207+CX207+CY207+CZ207+DA207+DB207+DC207</f>
        <v>48255000</v>
      </c>
      <c r="CT207" s="91">
        <v>48255000</v>
      </c>
      <c r="CU207" s="91"/>
      <c r="CV207" s="91"/>
      <c r="CW207" s="91"/>
      <c r="CX207" s="91"/>
      <c r="CY207" s="91"/>
      <c r="CZ207" s="91"/>
      <c r="DA207" s="91"/>
      <c r="DB207" s="91"/>
      <c r="DC207" s="91"/>
      <c r="DD207" s="91">
        <f>DE207+DF207+DG207+DH207+DI207+DJ207+DK207+DL207+DM207+DN207</f>
        <v>68665000</v>
      </c>
      <c r="DE207" s="91">
        <v>68665000</v>
      </c>
      <c r="DF207" s="91"/>
      <c r="DG207" s="91"/>
      <c r="DH207" s="91"/>
      <c r="DI207" s="91"/>
      <c r="DJ207" s="91"/>
      <c r="DK207" s="91"/>
      <c r="DL207" s="91"/>
      <c r="DM207" s="91"/>
      <c r="DN207" s="92"/>
      <c r="DO207" s="93">
        <f>AE207+CH207+CS207+DD207</f>
        <v>140875584</v>
      </c>
    </row>
    <row r="208" spans="1:119" ht="24.75" customHeight="1" x14ac:dyDescent="0.2">
      <c r="A208" s="64"/>
      <c r="B208" s="255"/>
      <c r="C208" s="74"/>
      <c r="D208" s="74"/>
      <c r="E208" s="77"/>
      <c r="F208" s="74"/>
      <c r="G208" s="74"/>
      <c r="H208" s="77"/>
      <c r="I208" s="74"/>
      <c r="J208" s="74"/>
      <c r="K208" s="74"/>
      <c r="L208" s="74"/>
      <c r="M208" s="147">
        <v>8</v>
      </c>
      <c r="N208" s="96">
        <v>1707</v>
      </c>
      <c r="O208" s="97" t="s">
        <v>126</v>
      </c>
      <c r="P208" s="96"/>
      <c r="Q208" s="98"/>
      <c r="R208" s="98"/>
      <c r="S208" s="98"/>
      <c r="T208" s="98"/>
      <c r="U208" s="98"/>
      <c r="V208" s="98"/>
      <c r="W208" s="83"/>
      <c r="X208" s="83"/>
      <c r="Y208" s="84"/>
      <c r="Z208" s="84"/>
      <c r="AA208" s="84"/>
      <c r="AB208" s="84"/>
      <c r="AC208" s="84"/>
      <c r="AD208" s="81"/>
      <c r="AE208" s="85">
        <f t="shared" ref="AE208:DO208" si="126">AE209</f>
        <v>50000000</v>
      </c>
      <c r="AF208" s="85">
        <f t="shared" si="126"/>
        <v>50000000</v>
      </c>
      <c r="AG208" s="85">
        <f t="shared" si="126"/>
        <v>47223333</v>
      </c>
      <c r="AH208" s="85">
        <f t="shared" si="126"/>
        <v>47223333</v>
      </c>
      <c r="AI208" s="85">
        <f t="shared" si="126"/>
        <v>0</v>
      </c>
      <c r="AJ208" s="85">
        <f t="shared" si="126"/>
        <v>50000000</v>
      </c>
      <c r="AK208" s="85">
        <f t="shared" si="126"/>
        <v>50000000</v>
      </c>
      <c r="AL208" s="85">
        <f t="shared" si="126"/>
        <v>47223333</v>
      </c>
      <c r="AM208" s="85">
        <f t="shared" si="126"/>
        <v>47223333</v>
      </c>
      <c r="AN208" s="85">
        <f t="shared" si="126"/>
        <v>0</v>
      </c>
      <c r="AO208" s="85">
        <f t="shared" si="126"/>
        <v>0</v>
      </c>
      <c r="AP208" s="85">
        <f t="shared" si="126"/>
        <v>0</v>
      </c>
      <c r="AQ208" s="85">
        <f t="shared" si="126"/>
        <v>0</v>
      </c>
      <c r="AR208" s="85">
        <f t="shared" si="126"/>
        <v>0</v>
      </c>
      <c r="AS208" s="85">
        <f t="shared" si="126"/>
        <v>0</v>
      </c>
      <c r="AT208" s="85">
        <f t="shared" si="126"/>
        <v>0</v>
      </c>
      <c r="AU208" s="85">
        <f t="shared" si="126"/>
        <v>0</v>
      </c>
      <c r="AV208" s="85">
        <f t="shared" si="126"/>
        <v>0</v>
      </c>
      <c r="AW208" s="85">
        <f t="shared" si="126"/>
        <v>0</v>
      </c>
      <c r="AX208" s="85">
        <f t="shared" si="126"/>
        <v>0</v>
      </c>
      <c r="AY208" s="85">
        <f t="shared" si="126"/>
        <v>0</v>
      </c>
      <c r="AZ208" s="85">
        <f t="shared" si="126"/>
        <v>0</v>
      </c>
      <c r="BA208" s="85">
        <f t="shared" si="126"/>
        <v>0</v>
      </c>
      <c r="BB208" s="85">
        <f t="shared" si="126"/>
        <v>0</v>
      </c>
      <c r="BC208" s="85">
        <f t="shared" si="126"/>
        <v>0</v>
      </c>
      <c r="BD208" s="85">
        <f t="shared" si="126"/>
        <v>0</v>
      </c>
      <c r="BE208" s="85">
        <f t="shared" si="126"/>
        <v>0</v>
      </c>
      <c r="BF208" s="85">
        <f t="shared" si="126"/>
        <v>0</v>
      </c>
      <c r="BG208" s="85">
        <f t="shared" si="126"/>
        <v>0</v>
      </c>
      <c r="BH208" s="85">
        <f t="shared" si="126"/>
        <v>0</v>
      </c>
      <c r="BI208" s="85">
        <f t="shared" si="126"/>
        <v>0</v>
      </c>
      <c r="BJ208" s="85">
        <f t="shared" si="126"/>
        <v>0</v>
      </c>
      <c r="BK208" s="85">
        <f t="shared" si="126"/>
        <v>0</v>
      </c>
      <c r="BL208" s="85">
        <f t="shared" si="126"/>
        <v>0</v>
      </c>
      <c r="BM208" s="85">
        <f t="shared" si="126"/>
        <v>0</v>
      </c>
      <c r="BN208" s="85">
        <f t="shared" si="126"/>
        <v>0</v>
      </c>
      <c r="BO208" s="85">
        <f t="shared" si="126"/>
        <v>0</v>
      </c>
      <c r="BP208" s="85">
        <f t="shared" si="126"/>
        <v>0</v>
      </c>
      <c r="BQ208" s="85">
        <f t="shared" si="126"/>
        <v>0</v>
      </c>
      <c r="BR208" s="85">
        <f t="shared" si="126"/>
        <v>0</v>
      </c>
      <c r="BS208" s="85">
        <f t="shared" si="126"/>
        <v>0</v>
      </c>
      <c r="BT208" s="85">
        <f t="shared" si="126"/>
        <v>0</v>
      </c>
      <c r="BU208" s="85">
        <f t="shared" si="126"/>
        <v>0</v>
      </c>
      <c r="BV208" s="85">
        <f t="shared" si="126"/>
        <v>0</v>
      </c>
      <c r="BW208" s="85">
        <f t="shared" si="126"/>
        <v>0</v>
      </c>
      <c r="BX208" s="85">
        <f t="shared" si="126"/>
        <v>0</v>
      </c>
      <c r="BY208" s="85">
        <f t="shared" si="126"/>
        <v>0</v>
      </c>
      <c r="BZ208" s="85">
        <f t="shared" si="126"/>
        <v>0</v>
      </c>
      <c r="CA208" s="85">
        <f t="shared" si="126"/>
        <v>0</v>
      </c>
      <c r="CB208" s="85">
        <f t="shared" si="126"/>
        <v>0</v>
      </c>
      <c r="CC208" s="85">
        <f t="shared" si="126"/>
        <v>0</v>
      </c>
      <c r="CD208" s="85">
        <f t="shared" si="126"/>
        <v>0</v>
      </c>
      <c r="CE208" s="85">
        <f t="shared" si="126"/>
        <v>0</v>
      </c>
      <c r="CF208" s="85">
        <f t="shared" si="126"/>
        <v>0</v>
      </c>
      <c r="CG208" s="85">
        <f t="shared" si="126"/>
        <v>0</v>
      </c>
      <c r="CH208" s="85">
        <f t="shared" si="126"/>
        <v>43576500</v>
      </c>
      <c r="CI208" s="85">
        <f t="shared" si="126"/>
        <v>43576500</v>
      </c>
      <c r="CJ208" s="85">
        <f t="shared" si="126"/>
        <v>0</v>
      </c>
      <c r="CK208" s="85">
        <f t="shared" si="126"/>
        <v>0</v>
      </c>
      <c r="CL208" s="85">
        <f t="shared" si="126"/>
        <v>0</v>
      </c>
      <c r="CM208" s="85">
        <f t="shared" si="126"/>
        <v>0</v>
      </c>
      <c r="CN208" s="85">
        <f t="shared" si="126"/>
        <v>0</v>
      </c>
      <c r="CO208" s="85">
        <f t="shared" si="126"/>
        <v>0</v>
      </c>
      <c r="CP208" s="85">
        <f t="shared" si="126"/>
        <v>0</v>
      </c>
      <c r="CQ208" s="85">
        <f t="shared" si="126"/>
        <v>0</v>
      </c>
      <c r="CR208" s="85">
        <f t="shared" si="126"/>
        <v>0</v>
      </c>
      <c r="CS208" s="85">
        <f t="shared" si="126"/>
        <v>67557000</v>
      </c>
      <c r="CT208" s="85">
        <f t="shared" si="126"/>
        <v>67557000</v>
      </c>
      <c r="CU208" s="85">
        <f t="shared" si="126"/>
        <v>0</v>
      </c>
      <c r="CV208" s="85">
        <f t="shared" si="126"/>
        <v>0</v>
      </c>
      <c r="CW208" s="85">
        <f t="shared" si="126"/>
        <v>0</v>
      </c>
      <c r="CX208" s="85">
        <f t="shared" si="126"/>
        <v>0</v>
      </c>
      <c r="CY208" s="85">
        <f t="shared" si="126"/>
        <v>0</v>
      </c>
      <c r="CZ208" s="85">
        <f t="shared" si="126"/>
        <v>0</v>
      </c>
      <c r="DA208" s="85">
        <f t="shared" si="126"/>
        <v>0</v>
      </c>
      <c r="DB208" s="85">
        <f t="shared" si="126"/>
        <v>0</v>
      </c>
      <c r="DC208" s="85">
        <f t="shared" si="126"/>
        <v>0</v>
      </c>
      <c r="DD208" s="85">
        <f t="shared" si="126"/>
        <v>90419570</v>
      </c>
      <c r="DE208" s="85">
        <f t="shared" si="126"/>
        <v>90419570</v>
      </c>
      <c r="DF208" s="85">
        <f t="shared" si="126"/>
        <v>0</v>
      </c>
      <c r="DG208" s="85">
        <f t="shared" si="126"/>
        <v>0</v>
      </c>
      <c r="DH208" s="85">
        <f t="shared" si="126"/>
        <v>0</v>
      </c>
      <c r="DI208" s="85">
        <f t="shared" si="126"/>
        <v>0</v>
      </c>
      <c r="DJ208" s="85">
        <f t="shared" si="126"/>
        <v>0</v>
      </c>
      <c r="DK208" s="85">
        <f t="shared" si="126"/>
        <v>0</v>
      </c>
      <c r="DL208" s="85">
        <f t="shared" si="126"/>
        <v>0</v>
      </c>
      <c r="DM208" s="85">
        <f t="shared" si="126"/>
        <v>0</v>
      </c>
      <c r="DN208" s="86">
        <f t="shared" si="126"/>
        <v>0</v>
      </c>
      <c r="DO208" s="85">
        <f t="shared" si="126"/>
        <v>251553070</v>
      </c>
    </row>
    <row r="209" spans="1:119" s="225" customFormat="1" ht="91.5" customHeight="1" x14ac:dyDescent="0.2">
      <c r="A209" s="244">
        <v>2</v>
      </c>
      <c r="B209" s="254" t="s">
        <v>33</v>
      </c>
      <c r="C209" s="59" t="s">
        <v>343</v>
      </c>
      <c r="D209" s="59" t="s">
        <v>35</v>
      </c>
      <c r="E209" s="157">
        <v>0.16500000000000001</v>
      </c>
      <c r="F209" s="13">
        <v>2018</v>
      </c>
      <c r="G209" s="59" t="s">
        <v>344</v>
      </c>
      <c r="H209" s="127">
        <v>0.18099999999999999</v>
      </c>
      <c r="I209" s="158">
        <v>17</v>
      </c>
      <c r="J209" s="159" t="s">
        <v>345</v>
      </c>
      <c r="K209" s="48">
        <v>8</v>
      </c>
      <c r="L209" s="160" t="s">
        <v>360</v>
      </c>
      <c r="M209" s="246">
        <v>8</v>
      </c>
      <c r="N209" s="247">
        <v>1707</v>
      </c>
      <c r="O209" s="245" t="s">
        <v>126</v>
      </c>
      <c r="P209" s="13" t="s">
        <v>421</v>
      </c>
      <c r="Q209" s="48" t="s">
        <v>422</v>
      </c>
      <c r="R209" s="48" t="s">
        <v>422</v>
      </c>
      <c r="S209" s="59" t="s">
        <v>127</v>
      </c>
      <c r="T209" s="13" t="s">
        <v>423</v>
      </c>
      <c r="U209" s="48" t="s">
        <v>424</v>
      </c>
      <c r="V209" s="48" t="s">
        <v>424</v>
      </c>
      <c r="W209" s="87" t="s">
        <v>425</v>
      </c>
      <c r="X209" s="13" t="s">
        <v>9</v>
      </c>
      <c r="Y209" s="13">
        <v>20</v>
      </c>
      <c r="Z209" s="13">
        <v>5</v>
      </c>
      <c r="AA209" s="13">
        <v>5</v>
      </c>
      <c r="AB209" s="13">
        <v>5</v>
      </c>
      <c r="AC209" s="13">
        <v>5</v>
      </c>
      <c r="AD209" s="13">
        <v>5</v>
      </c>
      <c r="AE209" s="89">
        <f>AJ209+AO209+AT209+AY209+BD209+BI209+BN209+BS209+BX209+CC209</f>
        <v>50000000</v>
      </c>
      <c r="AF209" s="89">
        <f>AK209+AP209+AU209+AZ209+BE209+BJ209+BO209+BT209+BY209+CD209</f>
        <v>50000000</v>
      </c>
      <c r="AG209" s="89">
        <f>AL209+AQ209+AV209+BA209+BF209+BK209+BP209+BU209+BZ209+CE209</f>
        <v>47223333</v>
      </c>
      <c r="AH209" s="89">
        <f>AM209+AR209+AW209+BB209+BG209+BL209+BQ209+BV209+CA209+CF209</f>
        <v>47223333</v>
      </c>
      <c r="AI209" s="89">
        <f>AN209+AS209+AX209+BC209+BH209+BM209+BR209+BW209+CB209+CG209</f>
        <v>0</v>
      </c>
      <c r="AJ209" s="90">
        <v>50000000</v>
      </c>
      <c r="AK209" s="90">
        <v>50000000</v>
      </c>
      <c r="AL209" s="90">
        <v>47223333</v>
      </c>
      <c r="AM209" s="90">
        <v>47223333</v>
      </c>
      <c r="AN209" s="90"/>
      <c r="AO209" s="90"/>
      <c r="AP209" s="90"/>
      <c r="AQ209" s="90"/>
      <c r="AR209" s="90"/>
      <c r="AS209" s="90"/>
      <c r="AT209" s="90"/>
      <c r="AU209" s="90"/>
      <c r="AV209" s="90"/>
      <c r="AW209" s="90"/>
      <c r="AX209" s="90"/>
      <c r="AY209" s="90"/>
      <c r="AZ209" s="90"/>
      <c r="BA209" s="90"/>
      <c r="BB209" s="90"/>
      <c r="BC209" s="90"/>
      <c r="BD209" s="90"/>
      <c r="BE209" s="90"/>
      <c r="BF209" s="90"/>
      <c r="BG209" s="90"/>
      <c r="BH209" s="90"/>
      <c r="BI209" s="90"/>
      <c r="BJ209" s="90"/>
      <c r="BK209" s="90"/>
      <c r="BL209" s="90"/>
      <c r="BM209" s="90"/>
      <c r="BN209" s="91"/>
      <c r="BO209" s="90"/>
      <c r="BP209" s="91"/>
      <c r="BQ209" s="91"/>
      <c r="BR209" s="91"/>
      <c r="BS209" s="91"/>
      <c r="BT209" s="90"/>
      <c r="BU209" s="91"/>
      <c r="BV209" s="91"/>
      <c r="BW209" s="91"/>
      <c r="BX209" s="91"/>
      <c r="BY209" s="90"/>
      <c r="BZ209" s="91"/>
      <c r="CA209" s="91"/>
      <c r="CB209" s="91"/>
      <c r="CC209" s="91"/>
      <c r="CD209" s="90"/>
      <c r="CE209" s="91"/>
      <c r="CF209" s="91"/>
      <c r="CG209" s="91"/>
      <c r="CH209" s="91">
        <f>CI209+CJ209+CK209+CL209+CM209+CN209+CO209+CP209+CQ209+CR209</f>
        <v>43576500</v>
      </c>
      <c r="CI209" s="91">
        <v>43576500</v>
      </c>
      <c r="CJ209" s="91"/>
      <c r="CK209" s="91"/>
      <c r="CL209" s="91"/>
      <c r="CM209" s="91"/>
      <c r="CN209" s="91"/>
      <c r="CO209" s="91"/>
      <c r="CP209" s="91"/>
      <c r="CQ209" s="91"/>
      <c r="CR209" s="91"/>
      <c r="CS209" s="91">
        <f>CT209+CU209+CV209+CW209+CX209+CY209+CZ209+DA209+DB209+DC209</f>
        <v>67557000</v>
      </c>
      <c r="CT209" s="91">
        <v>67557000</v>
      </c>
      <c r="CU209" s="91"/>
      <c r="CV209" s="91"/>
      <c r="CW209" s="91"/>
      <c r="CX209" s="91"/>
      <c r="CY209" s="91"/>
      <c r="CZ209" s="91"/>
      <c r="DA209" s="91"/>
      <c r="DB209" s="91"/>
      <c r="DC209" s="91"/>
      <c r="DD209" s="91">
        <f>DE209+DF209+DG209+DH209+DI209+DJ209+DK209+DL209+DM209+DN209</f>
        <v>90419570</v>
      </c>
      <c r="DE209" s="91">
        <v>90419570</v>
      </c>
      <c r="DF209" s="91"/>
      <c r="DG209" s="91"/>
      <c r="DH209" s="91"/>
      <c r="DI209" s="91"/>
      <c r="DJ209" s="91"/>
      <c r="DK209" s="91"/>
      <c r="DL209" s="91"/>
      <c r="DM209" s="91"/>
      <c r="DN209" s="92"/>
      <c r="DO209" s="93">
        <f>AE209+CH209+CS209+DD209</f>
        <v>251553070</v>
      </c>
    </row>
    <row r="210" spans="1:119" ht="27" customHeight="1" x14ac:dyDescent="0.2">
      <c r="A210" s="64"/>
      <c r="B210" s="255"/>
      <c r="C210" s="74"/>
      <c r="D210" s="74"/>
      <c r="E210" s="77"/>
      <c r="F210" s="74"/>
      <c r="G210" s="74"/>
      <c r="H210" s="77"/>
      <c r="I210" s="74"/>
      <c r="J210" s="74"/>
      <c r="K210" s="74"/>
      <c r="L210" s="74"/>
      <c r="M210" s="147">
        <v>9</v>
      </c>
      <c r="N210" s="96">
        <v>1708</v>
      </c>
      <c r="O210" s="97" t="s">
        <v>128</v>
      </c>
      <c r="P210" s="96"/>
      <c r="Q210" s="98"/>
      <c r="R210" s="98"/>
      <c r="S210" s="98"/>
      <c r="T210" s="98"/>
      <c r="U210" s="98"/>
      <c r="V210" s="98"/>
      <c r="W210" s="83"/>
      <c r="X210" s="83"/>
      <c r="Y210" s="84"/>
      <c r="Z210" s="84"/>
      <c r="AA210" s="84"/>
      <c r="AB210" s="84"/>
      <c r="AC210" s="84"/>
      <c r="AD210" s="81"/>
      <c r="AE210" s="85">
        <f>SUM(AE211:AE212)</f>
        <v>80000000</v>
      </c>
      <c r="AF210" s="85">
        <f>SUM(AF211:AF212)</f>
        <v>30519269</v>
      </c>
      <c r="AG210" s="85">
        <f t="shared" ref="AG210:DO210" si="127">SUM(AG211:AG212)</f>
        <v>25366665</v>
      </c>
      <c r="AH210" s="85">
        <f t="shared" si="127"/>
        <v>25366665</v>
      </c>
      <c r="AI210" s="85">
        <f t="shared" si="127"/>
        <v>0</v>
      </c>
      <c r="AJ210" s="85">
        <f t="shared" si="127"/>
        <v>80000000</v>
      </c>
      <c r="AK210" s="85">
        <f>SUM(AK211:AK212)</f>
        <v>30519269</v>
      </c>
      <c r="AL210" s="85">
        <f t="shared" si="127"/>
        <v>25366665</v>
      </c>
      <c r="AM210" s="85">
        <f t="shared" si="127"/>
        <v>25366665</v>
      </c>
      <c r="AN210" s="85">
        <f t="shared" si="127"/>
        <v>0</v>
      </c>
      <c r="AO210" s="85">
        <f t="shared" si="127"/>
        <v>0</v>
      </c>
      <c r="AP210" s="85">
        <f t="shared" si="127"/>
        <v>0</v>
      </c>
      <c r="AQ210" s="85">
        <f t="shared" si="127"/>
        <v>0</v>
      </c>
      <c r="AR210" s="85">
        <f t="shared" si="127"/>
        <v>0</v>
      </c>
      <c r="AS210" s="85">
        <f t="shared" si="127"/>
        <v>0</v>
      </c>
      <c r="AT210" s="85">
        <f t="shared" si="127"/>
        <v>0</v>
      </c>
      <c r="AU210" s="85">
        <f>SUM(AU211:AU212)</f>
        <v>0</v>
      </c>
      <c r="AV210" s="85">
        <f t="shared" si="127"/>
        <v>0</v>
      </c>
      <c r="AW210" s="85">
        <f t="shared" si="127"/>
        <v>0</v>
      </c>
      <c r="AX210" s="85">
        <f t="shared" si="127"/>
        <v>0</v>
      </c>
      <c r="AY210" s="85">
        <f t="shared" si="127"/>
        <v>0</v>
      </c>
      <c r="AZ210" s="85">
        <f t="shared" si="127"/>
        <v>0</v>
      </c>
      <c r="BA210" s="85">
        <f t="shared" si="127"/>
        <v>0</v>
      </c>
      <c r="BB210" s="85">
        <f t="shared" si="127"/>
        <v>0</v>
      </c>
      <c r="BC210" s="85">
        <f t="shared" si="127"/>
        <v>0</v>
      </c>
      <c r="BD210" s="85">
        <f t="shared" si="127"/>
        <v>0</v>
      </c>
      <c r="BE210" s="85">
        <f>SUM(BE211:BE212)</f>
        <v>0</v>
      </c>
      <c r="BF210" s="85">
        <f t="shared" si="127"/>
        <v>0</v>
      </c>
      <c r="BG210" s="85">
        <f t="shared" si="127"/>
        <v>0</v>
      </c>
      <c r="BH210" s="85">
        <f t="shared" si="127"/>
        <v>0</v>
      </c>
      <c r="BI210" s="85">
        <f t="shared" si="127"/>
        <v>0</v>
      </c>
      <c r="BJ210" s="85">
        <f t="shared" si="127"/>
        <v>0</v>
      </c>
      <c r="BK210" s="85">
        <f t="shared" si="127"/>
        <v>0</v>
      </c>
      <c r="BL210" s="85">
        <f t="shared" si="127"/>
        <v>0</v>
      </c>
      <c r="BM210" s="85">
        <f t="shared" si="127"/>
        <v>0</v>
      </c>
      <c r="BN210" s="85">
        <f t="shared" si="127"/>
        <v>0</v>
      </c>
      <c r="BO210" s="85">
        <f>SUM(BO211:BO212)</f>
        <v>0</v>
      </c>
      <c r="BP210" s="85">
        <f t="shared" si="127"/>
        <v>0</v>
      </c>
      <c r="BQ210" s="85">
        <f t="shared" si="127"/>
        <v>0</v>
      </c>
      <c r="BR210" s="85">
        <f t="shared" si="127"/>
        <v>0</v>
      </c>
      <c r="BS210" s="85">
        <f t="shared" si="127"/>
        <v>0</v>
      </c>
      <c r="BT210" s="85">
        <f t="shared" si="127"/>
        <v>0</v>
      </c>
      <c r="BU210" s="85">
        <f t="shared" si="127"/>
        <v>0</v>
      </c>
      <c r="BV210" s="85">
        <f t="shared" si="127"/>
        <v>0</v>
      </c>
      <c r="BW210" s="85">
        <f t="shared" si="127"/>
        <v>0</v>
      </c>
      <c r="BX210" s="85">
        <f t="shared" si="127"/>
        <v>0</v>
      </c>
      <c r="BY210" s="85">
        <f>SUM(BY211:BY212)</f>
        <v>0</v>
      </c>
      <c r="BZ210" s="85">
        <f t="shared" si="127"/>
        <v>0</v>
      </c>
      <c r="CA210" s="85">
        <f t="shared" si="127"/>
        <v>0</v>
      </c>
      <c r="CB210" s="85">
        <f t="shared" si="127"/>
        <v>0</v>
      </c>
      <c r="CC210" s="85">
        <f t="shared" si="127"/>
        <v>0</v>
      </c>
      <c r="CD210" s="85">
        <f t="shared" si="127"/>
        <v>0</v>
      </c>
      <c r="CE210" s="85">
        <f t="shared" si="127"/>
        <v>0</v>
      </c>
      <c r="CF210" s="85">
        <f t="shared" si="127"/>
        <v>0</v>
      </c>
      <c r="CG210" s="85">
        <f t="shared" si="127"/>
        <v>0</v>
      </c>
      <c r="CH210" s="85">
        <f t="shared" si="127"/>
        <v>69722.399999999994</v>
      </c>
      <c r="CI210" s="85">
        <f t="shared" si="127"/>
        <v>69722.399999999994</v>
      </c>
      <c r="CJ210" s="85">
        <f t="shared" si="127"/>
        <v>0</v>
      </c>
      <c r="CK210" s="85">
        <f t="shared" si="127"/>
        <v>0</v>
      </c>
      <c r="CL210" s="85">
        <f t="shared" si="127"/>
        <v>0</v>
      </c>
      <c r="CM210" s="85">
        <f t="shared" si="127"/>
        <v>0</v>
      </c>
      <c r="CN210" s="85">
        <f t="shared" si="127"/>
        <v>0</v>
      </c>
      <c r="CO210" s="85">
        <f t="shared" si="127"/>
        <v>0</v>
      </c>
      <c r="CP210" s="85">
        <f t="shared" si="127"/>
        <v>0</v>
      </c>
      <c r="CQ210" s="85">
        <f t="shared" si="127"/>
        <v>0</v>
      </c>
      <c r="CR210" s="85">
        <f t="shared" si="127"/>
        <v>0</v>
      </c>
      <c r="CS210" s="85">
        <f t="shared" si="127"/>
        <v>144765000</v>
      </c>
      <c r="CT210" s="85">
        <f t="shared" si="127"/>
        <v>144765000</v>
      </c>
      <c r="CU210" s="85">
        <f t="shared" si="127"/>
        <v>0</v>
      </c>
      <c r="CV210" s="85">
        <f t="shared" si="127"/>
        <v>0</v>
      </c>
      <c r="CW210" s="85">
        <f t="shared" si="127"/>
        <v>0</v>
      </c>
      <c r="CX210" s="85">
        <f t="shared" si="127"/>
        <v>0</v>
      </c>
      <c r="CY210" s="85">
        <f t="shared" si="127"/>
        <v>0</v>
      </c>
      <c r="CZ210" s="85">
        <f t="shared" si="127"/>
        <v>0</v>
      </c>
      <c r="DA210" s="85">
        <f t="shared" si="127"/>
        <v>0</v>
      </c>
      <c r="DB210" s="85">
        <f t="shared" si="127"/>
        <v>0</v>
      </c>
      <c r="DC210" s="85">
        <f t="shared" si="127"/>
        <v>0</v>
      </c>
      <c r="DD210" s="85">
        <f t="shared" si="127"/>
        <v>194660000</v>
      </c>
      <c r="DE210" s="85">
        <f t="shared" si="127"/>
        <v>194660000</v>
      </c>
      <c r="DF210" s="85">
        <f t="shared" si="127"/>
        <v>0</v>
      </c>
      <c r="DG210" s="85">
        <f t="shared" si="127"/>
        <v>0</v>
      </c>
      <c r="DH210" s="85">
        <f t="shared" si="127"/>
        <v>0</v>
      </c>
      <c r="DI210" s="85">
        <f t="shared" si="127"/>
        <v>0</v>
      </c>
      <c r="DJ210" s="85">
        <f t="shared" si="127"/>
        <v>0</v>
      </c>
      <c r="DK210" s="85">
        <f t="shared" si="127"/>
        <v>0</v>
      </c>
      <c r="DL210" s="85">
        <f t="shared" si="127"/>
        <v>0</v>
      </c>
      <c r="DM210" s="85">
        <f t="shared" si="127"/>
        <v>0</v>
      </c>
      <c r="DN210" s="86">
        <f t="shared" si="127"/>
        <v>0</v>
      </c>
      <c r="DO210" s="85">
        <f t="shared" si="127"/>
        <v>419494722.39999998</v>
      </c>
    </row>
    <row r="211" spans="1:119" s="225" customFormat="1" ht="96" customHeight="1" x14ac:dyDescent="0.2">
      <c r="A211" s="244">
        <v>2</v>
      </c>
      <c r="B211" s="254" t="s">
        <v>33</v>
      </c>
      <c r="C211" s="59" t="s">
        <v>343</v>
      </c>
      <c r="D211" s="59" t="s">
        <v>35</v>
      </c>
      <c r="E211" s="157">
        <v>0.16500000000000001</v>
      </c>
      <c r="F211" s="13">
        <v>2018</v>
      </c>
      <c r="G211" s="59" t="s">
        <v>344</v>
      </c>
      <c r="H211" s="127">
        <v>0.18099999999999999</v>
      </c>
      <c r="I211" s="158">
        <v>17</v>
      </c>
      <c r="J211" s="159" t="s">
        <v>345</v>
      </c>
      <c r="K211" s="48">
        <v>13</v>
      </c>
      <c r="L211" s="160" t="s">
        <v>346</v>
      </c>
      <c r="M211" s="246">
        <v>9</v>
      </c>
      <c r="N211" s="247">
        <v>1708</v>
      </c>
      <c r="O211" s="245" t="s">
        <v>128</v>
      </c>
      <c r="P211" s="13" t="s">
        <v>426</v>
      </c>
      <c r="Q211" s="48" t="s">
        <v>427</v>
      </c>
      <c r="R211" s="48" t="s">
        <v>427</v>
      </c>
      <c r="S211" s="59" t="s">
        <v>123</v>
      </c>
      <c r="T211" s="13" t="s">
        <v>428</v>
      </c>
      <c r="U211" s="48" t="s">
        <v>429</v>
      </c>
      <c r="V211" s="48" t="s">
        <v>429</v>
      </c>
      <c r="W211" s="87" t="s">
        <v>430</v>
      </c>
      <c r="X211" s="13" t="s">
        <v>8</v>
      </c>
      <c r="Y211" s="13">
        <v>2</v>
      </c>
      <c r="Z211" s="13">
        <v>2</v>
      </c>
      <c r="AA211" s="13">
        <v>2</v>
      </c>
      <c r="AB211" s="13">
        <v>2</v>
      </c>
      <c r="AC211" s="13">
        <v>2</v>
      </c>
      <c r="AD211" s="13">
        <v>2</v>
      </c>
      <c r="AE211" s="89">
        <f t="shared" ref="AE211:AI212" si="128">AJ211+AO211+AT211+AY211+BD211+BI211+BN211+BS211+BX211+CC211</f>
        <v>65000000</v>
      </c>
      <c r="AF211" s="89">
        <f t="shared" si="128"/>
        <v>15519269</v>
      </c>
      <c r="AG211" s="89">
        <f t="shared" si="128"/>
        <v>10366666</v>
      </c>
      <c r="AH211" s="89">
        <f t="shared" si="128"/>
        <v>10366666</v>
      </c>
      <c r="AI211" s="89">
        <f t="shared" si="128"/>
        <v>0</v>
      </c>
      <c r="AJ211" s="91">
        <v>65000000</v>
      </c>
      <c r="AK211" s="91">
        <v>15519269</v>
      </c>
      <c r="AL211" s="91">
        <v>10366666</v>
      </c>
      <c r="AM211" s="91">
        <v>10366666</v>
      </c>
      <c r="AN211" s="91"/>
      <c r="AO211" s="91"/>
      <c r="AP211" s="91"/>
      <c r="AQ211" s="91"/>
      <c r="AR211" s="91"/>
      <c r="AS211" s="91"/>
      <c r="AT211" s="91"/>
      <c r="AU211" s="91"/>
      <c r="AV211" s="91"/>
      <c r="AW211" s="91"/>
      <c r="AX211" s="91"/>
      <c r="AY211" s="91"/>
      <c r="AZ211" s="91"/>
      <c r="BA211" s="91"/>
      <c r="BB211" s="91"/>
      <c r="BC211" s="91"/>
      <c r="BD211" s="91"/>
      <c r="BE211" s="91"/>
      <c r="BF211" s="91"/>
      <c r="BG211" s="91"/>
      <c r="BH211" s="91"/>
      <c r="BI211" s="91"/>
      <c r="BJ211" s="91"/>
      <c r="BK211" s="91"/>
      <c r="BL211" s="91"/>
      <c r="BM211" s="91"/>
      <c r="BN211" s="91"/>
      <c r="BO211" s="91"/>
      <c r="BP211" s="91"/>
      <c r="BQ211" s="91"/>
      <c r="BR211" s="91"/>
      <c r="BS211" s="91"/>
      <c r="BT211" s="91"/>
      <c r="BU211" s="91"/>
      <c r="BV211" s="91"/>
      <c r="BW211" s="91"/>
      <c r="BX211" s="91"/>
      <c r="BY211" s="91"/>
      <c r="BZ211" s="91"/>
      <c r="CA211" s="91"/>
      <c r="CB211" s="91"/>
      <c r="CC211" s="91"/>
      <c r="CD211" s="91"/>
      <c r="CE211" s="91"/>
      <c r="CF211" s="91"/>
      <c r="CG211" s="91"/>
      <c r="CH211" s="91">
        <f>CI211+CJ211+CK211+CL211+CM211+CN211+CO211+CP211+CQ211+CR211</f>
        <v>69722.399999999994</v>
      </c>
      <c r="CI211" s="91">
        <v>69722.399999999994</v>
      </c>
      <c r="CJ211" s="91"/>
      <c r="CK211" s="91"/>
      <c r="CL211" s="91"/>
      <c r="CM211" s="91"/>
      <c r="CN211" s="91"/>
      <c r="CO211" s="91"/>
      <c r="CP211" s="91"/>
      <c r="CQ211" s="91"/>
      <c r="CR211" s="91"/>
      <c r="CS211" s="91">
        <f>CT211+CU211+CV211+CW211+CX211+CY211+CZ211+DA211+DB211+DC211</f>
        <v>100000000</v>
      </c>
      <c r="CT211" s="91">
        <v>100000000</v>
      </c>
      <c r="CU211" s="91"/>
      <c r="CV211" s="91"/>
      <c r="CW211" s="91"/>
      <c r="CX211" s="91"/>
      <c r="CY211" s="91"/>
      <c r="CZ211" s="91"/>
      <c r="DA211" s="91"/>
      <c r="DB211" s="91"/>
      <c r="DC211" s="91"/>
      <c r="DD211" s="91">
        <f>DE211+DF211+DG211+DH211+DI211+DJ211+DK211+DL211+DM211+DN211</f>
        <v>100000000</v>
      </c>
      <c r="DE211" s="91">
        <v>100000000</v>
      </c>
      <c r="DF211" s="91"/>
      <c r="DG211" s="91"/>
      <c r="DH211" s="91"/>
      <c r="DI211" s="91"/>
      <c r="DJ211" s="91"/>
      <c r="DK211" s="91"/>
      <c r="DL211" s="91"/>
      <c r="DM211" s="91"/>
      <c r="DN211" s="92"/>
      <c r="DO211" s="93">
        <f>AE211+CH211+CS211+DD211</f>
        <v>265069722.40000001</v>
      </c>
    </row>
    <row r="212" spans="1:119" s="225" customFormat="1" ht="96" customHeight="1" x14ac:dyDescent="0.2">
      <c r="A212" s="244">
        <v>2</v>
      </c>
      <c r="B212" s="254" t="s">
        <v>33</v>
      </c>
      <c r="C212" s="59" t="s">
        <v>343</v>
      </c>
      <c r="D212" s="59" t="s">
        <v>35</v>
      </c>
      <c r="E212" s="157">
        <v>0.16500000000000001</v>
      </c>
      <c r="F212" s="13">
        <v>2018</v>
      </c>
      <c r="G212" s="59" t="s">
        <v>344</v>
      </c>
      <c r="H212" s="127">
        <v>0.18099999999999999</v>
      </c>
      <c r="I212" s="158">
        <v>17</v>
      </c>
      <c r="J212" s="159" t="s">
        <v>345</v>
      </c>
      <c r="K212" s="48">
        <v>13</v>
      </c>
      <c r="L212" s="160" t="s">
        <v>346</v>
      </c>
      <c r="M212" s="246">
        <v>9</v>
      </c>
      <c r="N212" s="247">
        <v>1708</v>
      </c>
      <c r="O212" s="245" t="s">
        <v>128</v>
      </c>
      <c r="P212" s="13" t="s">
        <v>431</v>
      </c>
      <c r="Q212" s="48" t="s">
        <v>432</v>
      </c>
      <c r="R212" s="48" t="s">
        <v>432</v>
      </c>
      <c r="S212" s="59" t="s">
        <v>129</v>
      </c>
      <c r="T212" s="13" t="s">
        <v>433</v>
      </c>
      <c r="U212" s="48" t="s">
        <v>434</v>
      </c>
      <c r="V212" s="48">
        <v>170805100</v>
      </c>
      <c r="W212" s="87" t="s">
        <v>435</v>
      </c>
      <c r="X212" s="13" t="s">
        <v>8</v>
      </c>
      <c r="Y212" s="13">
        <v>1</v>
      </c>
      <c r="Z212" s="13">
        <v>1</v>
      </c>
      <c r="AA212" s="13">
        <v>1</v>
      </c>
      <c r="AB212" s="13">
        <v>1</v>
      </c>
      <c r="AC212" s="13">
        <v>1</v>
      </c>
      <c r="AD212" s="13">
        <v>1</v>
      </c>
      <c r="AE212" s="89">
        <f t="shared" si="128"/>
        <v>15000000</v>
      </c>
      <c r="AF212" s="89">
        <f t="shared" si="128"/>
        <v>15000000</v>
      </c>
      <c r="AG212" s="89">
        <f t="shared" si="128"/>
        <v>14999999</v>
      </c>
      <c r="AH212" s="89">
        <f t="shared" si="128"/>
        <v>14999999</v>
      </c>
      <c r="AI212" s="89">
        <f t="shared" si="128"/>
        <v>0</v>
      </c>
      <c r="AJ212" s="91">
        <v>15000000</v>
      </c>
      <c r="AK212" s="91">
        <v>15000000</v>
      </c>
      <c r="AL212" s="91">
        <v>14999999</v>
      </c>
      <c r="AM212" s="91">
        <v>14999999</v>
      </c>
      <c r="AN212" s="91"/>
      <c r="AO212" s="91"/>
      <c r="AP212" s="91"/>
      <c r="AQ212" s="91"/>
      <c r="AR212" s="91"/>
      <c r="AS212" s="91"/>
      <c r="AT212" s="91"/>
      <c r="AU212" s="91"/>
      <c r="AV212" s="91"/>
      <c r="AW212" s="91"/>
      <c r="AX212" s="91"/>
      <c r="AY212" s="91"/>
      <c r="AZ212" s="91"/>
      <c r="BA212" s="91"/>
      <c r="BB212" s="91"/>
      <c r="BC212" s="91"/>
      <c r="BD212" s="91"/>
      <c r="BE212" s="91"/>
      <c r="BF212" s="91"/>
      <c r="BG212" s="91"/>
      <c r="BH212" s="91"/>
      <c r="BI212" s="91"/>
      <c r="BJ212" s="91"/>
      <c r="BK212" s="91"/>
      <c r="BL212" s="91"/>
      <c r="BM212" s="91"/>
      <c r="BN212" s="91"/>
      <c r="BO212" s="91"/>
      <c r="BP212" s="91"/>
      <c r="BQ212" s="91"/>
      <c r="BR212" s="91"/>
      <c r="BS212" s="91"/>
      <c r="BT212" s="91"/>
      <c r="BU212" s="91"/>
      <c r="BV212" s="91"/>
      <c r="BW212" s="91"/>
      <c r="BX212" s="91"/>
      <c r="BY212" s="91"/>
      <c r="BZ212" s="91"/>
      <c r="CA212" s="91"/>
      <c r="CB212" s="91"/>
      <c r="CC212" s="91"/>
      <c r="CD212" s="91"/>
      <c r="CE212" s="91"/>
      <c r="CF212" s="91"/>
      <c r="CG212" s="91"/>
      <c r="CH212" s="91">
        <f>CI212+CJ212+CK212+CL212+CM212+CN212+CO212+CP212+CQ212+CR212</f>
        <v>0</v>
      </c>
      <c r="CI212" s="91"/>
      <c r="CJ212" s="91"/>
      <c r="CK212" s="91"/>
      <c r="CL212" s="91"/>
      <c r="CM212" s="91"/>
      <c r="CN212" s="91"/>
      <c r="CO212" s="91"/>
      <c r="CP212" s="91"/>
      <c r="CQ212" s="91"/>
      <c r="CR212" s="91"/>
      <c r="CS212" s="91">
        <f>CT212+CU212+CV212+CW212+CX212+CY212+CZ212+DA212+DB212+DC212</f>
        <v>44765000</v>
      </c>
      <c r="CT212" s="91">
        <v>44765000</v>
      </c>
      <c r="CU212" s="91"/>
      <c r="CV212" s="91"/>
      <c r="CW212" s="91"/>
      <c r="CX212" s="91"/>
      <c r="CY212" s="91"/>
      <c r="CZ212" s="91"/>
      <c r="DA212" s="91"/>
      <c r="DB212" s="91"/>
      <c r="DC212" s="91"/>
      <c r="DD212" s="91">
        <f>DE212+DF212+DG212+DH212+DI212+DJ212+DK212+DL212+DM212+DN212</f>
        <v>94660000</v>
      </c>
      <c r="DE212" s="91">
        <v>94660000</v>
      </c>
      <c r="DF212" s="91"/>
      <c r="DG212" s="91"/>
      <c r="DH212" s="91"/>
      <c r="DI212" s="91"/>
      <c r="DJ212" s="91"/>
      <c r="DK212" s="91"/>
      <c r="DL212" s="91"/>
      <c r="DM212" s="91"/>
      <c r="DN212" s="92"/>
      <c r="DO212" s="93">
        <f>AE212+CH212+CS212+DD212</f>
        <v>154425000</v>
      </c>
    </row>
    <row r="213" spans="1:119" ht="25.5" customHeight="1" x14ac:dyDescent="0.2">
      <c r="A213" s="64"/>
      <c r="B213" s="255"/>
      <c r="C213" s="74"/>
      <c r="D213" s="74"/>
      <c r="E213" s="77"/>
      <c r="F213" s="74"/>
      <c r="G213" s="74"/>
      <c r="H213" s="77"/>
      <c r="I213" s="74"/>
      <c r="J213" s="74"/>
      <c r="K213" s="74"/>
      <c r="L213" s="74"/>
      <c r="M213" s="147">
        <v>10</v>
      </c>
      <c r="N213" s="96">
        <v>1709</v>
      </c>
      <c r="O213" s="97" t="s">
        <v>34</v>
      </c>
      <c r="P213" s="96"/>
      <c r="Q213" s="98"/>
      <c r="R213" s="98"/>
      <c r="S213" s="98"/>
      <c r="T213" s="98"/>
      <c r="U213" s="98"/>
      <c r="V213" s="98"/>
      <c r="W213" s="83"/>
      <c r="X213" s="83"/>
      <c r="Y213" s="84"/>
      <c r="Z213" s="84"/>
      <c r="AA213" s="84"/>
      <c r="AB213" s="84"/>
      <c r="AC213" s="84"/>
      <c r="AD213" s="81"/>
      <c r="AE213" s="85">
        <f>SUM(AE214:AE218)</f>
        <v>127000000</v>
      </c>
      <c r="AF213" s="85">
        <f>SUM(AF214:AF218)</f>
        <v>77000000</v>
      </c>
      <c r="AG213" s="85">
        <f t="shared" ref="AG213:DO213" si="129">SUM(AG214:AG218)</f>
        <v>67845000</v>
      </c>
      <c r="AH213" s="85">
        <f t="shared" si="129"/>
        <v>67845000</v>
      </c>
      <c r="AI213" s="85">
        <f t="shared" si="129"/>
        <v>0</v>
      </c>
      <c r="AJ213" s="85">
        <f t="shared" si="129"/>
        <v>127000000</v>
      </c>
      <c r="AK213" s="85">
        <f>SUM(AK214:AK218)</f>
        <v>77000000</v>
      </c>
      <c r="AL213" s="85">
        <f t="shared" si="129"/>
        <v>67845000</v>
      </c>
      <c r="AM213" s="85">
        <f t="shared" si="129"/>
        <v>67845000</v>
      </c>
      <c r="AN213" s="85">
        <f t="shared" si="129"/>
        <v>0</v>
      </c>
      <c r="AO213" s="85">
        <f t="shared" si="129"/>
        <v>0</v>
      </c>
      <c r="AP213" s="85">
        <f t="shared" si="129"/>
        <v>0</v>
      </c>
      <c r="AQ213" s="85">
        <f t="shared" si="129"/>
        <v>0</v>
      </c>
      <c r="AR213" s="85">
        <f t="shared" si="129"/>
        <v>0</v>
      </c>
      <c r="AS213" s="85">
        <f t="shared" si="129"/>
        <v>0</v>
      </c>
      <c r="AT213" s="85">
        <f t="shared" si="129"/>
        <v>0</v>
      </c>
      <c r="AU213" s="85">
        <f>SUM(AU214:AU218)</f>
        <v>0</v>
      </c>
      <c r="AV213" s="85">
        <f t="shared" si="129"/>
        <v>0</v>
      </c>
      <c r="AW213" s="85">
        <f t="shared" si="129"/>
        <v>0</v>
      </c>
      <c r="AX213" s="85">
        <f t="shared" si="129"/>
        <v>0</v>
      </c>
      <c r="AY213" s="85">
        <f t="shared" si="129"/>
        <v>0</v>
      </c>
      <c r="AZ213" s="85">
        <f t="shared" si="129"/>
        <v>0</v>
      </c>
      <c r="BA213" s="85">
        <f t="shared" si="129"/>
        <v>0</v>
      </c>
      <c r="BB213" s="85">
        <f t="shared" si="129"/>
        <v>0</v>
      </c>
      <c r="BC213" s="85">
        <f t="shared" si="129"/>
        <v>0</v>
      </c>
      <c r="BD213" s="85">
        <f t="shared" si="129"/>
        <v>0</v>
      </c>
      <c r="BE213" s="85">
        <f>SUM(BE214:BE218)</f>
        <v>0</v>
      </c>
      <c r="BF213" s="85">
        <f t="shared" si="129"/>
        <v>0</v>
      </c>
      <c r="BG213" s="85">
        <f t="shared" si="129"/>
        <v>0</v>
      </c>
      <c r="BH213" s="85">
        <f t="shared" si="129"/>
        <v>0</v>
      </c>
      <c r="BI213" s="85">
        <f t="shared" si="129"/>
        <v>0</v>
      </c>
      <c r="BJ213" s="85">
        <f t="shared" si="129"/>
        <v>0</v>
      </c>
      <c r="BK213" s="85">
        <f t="shared" si="129"/>
        <v>0</v>
      </c>
      <c r="BL213" s="85">
        <f t="shared" si="129"/>
        <v>0</v>
      </c>
      <c r="BM213" s="85">
        <f t="shared" si="129"/>
        <v>0</v>
      </c>
      <c r="BN213" s="85">
        <f t="shared" si="129"/>
        <v>0</v>
      </c>
      <c r="BO213" s="85">
        <f>SUM(BO214:BO218)</f>
        <v>0</v>
      </c>
      <c r="BP213" s="85">
        <f t="shared" si="129"/>
        <v>0</v>
      </c>
      <c r="BQ213" s="85">
        <f t="shared" si="129"/>
        <v>0</v>
      </c>
      <c r="BR213" s="85">
        <f t="shared" si="129"/>
        <v>0</v>
      </c>
      <c r="BS213" s="85">
        <f t="shared" si="129"/>
        <v>0</v>
      </c>
      <c r="BT213" s="85">
        <f t="shared" si="129"/>
        <v>0</v>
      </c>
      <c r="BU213" s="85">
        <f t="shared" si="129"/>
        <v>0</v>
      </c>
      <c r="BV213" s="85">
        <f t="shared" si="129"/>
        <v>0</v>
      </c>
      <c r="BW213" s="85">
        <f t="shared" si="129"/>
        <v>0</v>
      </c>
      <c r="BX213" s="85">
        <f t="shared" si="129"/>
        <v>0</v>
      </c>
      <c r="BY213" s="85">
        <f>SUM(BY214:BY218)</f>
        <v>0</v>
      </c>
      <c r="BZ213" s="85">
        <f t="shared" si="129"/>
        <v>0</v>
      </c>
      <c r="CA213" s="85">
        <f t="shared" si="129"/>
        <v>0</v>
      </c>
      <c r="CB213" s="85">
        <f t="shared" si="129"/>
        <v>0</v>
      </c>
      <c r="CC213" s="85">
        <f t="shared" si="129"/>
        <v>0</v>
      </c>
      <c r="CD213" s="85">
        <f t="shared" si="129"/>
        <v>0</v>
      </c>
      <c r="CE213" s="85">
        <f t="shared" si="129"/>
        <v>0</v>
      </c>
      <c r="CF213" s="85">
        <f t="shared" si="129"/>
        <v>0</v>
      </c>
      <c r="CG213" s="85">
        <f t="shared" si="129"/>
        <v>0</v>
      </c>
      <c r="CH213" s="85">
        <f t="shared" si="129"/>
        <v>108941250</v>
      </c>
      <c r="CI213" s="85">
        <f t="shared" si="129"/>
        <v>108941250</v>
      </c>
      <c r="CJ213" s="85">
        <f t="shared" si="129"/>
        <v>0</v>
      </c>
      <c r="CK213" s="85">
        <f t="shared" si="129"/>
        <v>0</v>
      </c>
      <c r="CL213" s="85">
        <f t="shared" si="129"/>
        <v>0</v>
      </c>
      <c r="CM213" s="85">
        <f t="shared" si="129"/>
        <v>0</v>
      </c>
      <c r="CN213" s="85">
        <f t="shared" si="129"/>
        <v>0</v>
      </c>
      <c r="CO213" s="85">
        <f t="shared" si="129"/>
        <v>0</v>
      </c>
      <c r="CP213" s="85">
        <f t="shared" si="129"/>
        <v>0</v>
      </c>
      <c r="CQ213" s="85">
        <f t="shared" si="129"/>
        <v>0</v>
      </c>
      <c r="CR213" s="85">
        <f t="shared" si="129"/>
        <v>0</v>
      </c>
      <c r="CS213" s="85">
        <f t="shared" si="129"/>
        <v>296015472</v>
      </c>
      <c r="CT213" s="85">
        <f t="shared" si="129"/>
        <v>296015472</v>
      </c>
      <c r="CU213" s="85">
        <f t="shared" si="129"/>
        <v>0</v>
      </c>
      <c r="CV213" s="85">
        <f t="shared" si="129"/>
        <v>0</v>
      </c>
      <c r="CW213" s="85">
        <f t="shared" si="129"/>
        <v>0</v>
      </c>
      <c r="CX213" s="85">
        <f t="shared" si="129"/>
        <v>0</v>
      </c>
      <c r="CY213" s="85">
        <f t="shared" si="129"/>
        <v>0</v>
      </c>
      <c r="CZ213" s="85">
        <f t="shared" si="129"/>
        <v>0</v>
      </c>
      <c r="DA213" s="85">
        <f t="shared" si="129"/>
        <v>0</v>
      </c>
      <c r="DB213" s="85">
        <f t="shared" si="129"/>
        <v>0</v>
      </c>
      <c r="DC213" s="85">
        <f t="shared" si="129"/>
        <v>0</v>
      </c>
      <c r="DD213" s="85">
        <f t="shared" si="129"/>
        <v>371967640</v>
      </c>
      <c r="DE213" s="85">
        <f t="shared" si="129"/>
        <v>371967640</v>
      </c>
      <c r="DF213" s="85">
        <f t="shared" si="129"/>
        <v>0</v>
      </c>
      <c r="DG213" s="85">
        <f t="shared" si="129"/>
        <v>0</v>
      </c>
      <c r="DH213" s="85">
        <f t="shared" si="129"/>
        <v>0</v>
      </c>
      <c r="DI213" s="85">
        <f t="shared" si="129"/>
        <v>0</v>
      </c>
      <c r="DJ213" s="85">
        <f t="shared" si="129"/>
        <v>0</v>
      </c>
      <c r="DK213" s="85">
        <f t="shared" si="129"/>
        <v>0</v>
      </c>
      <c r="DL213" s="85">
        <f t="shared" si="129"/>
        <v>0</v>
      </c>
      <c r="DM213" s="85">
        <f t="shared" si="129"/>
        <v>0</v>
      </c>
      <c r="DN213" s="86">
        <f t="shared" si="129"/>
        <v>0</v>
      </c>
      <c r="DO213" s="85">
        <f t="shared" si="129"/>
        <v>903924362</v>
      </c>
    </row>
    <row r="214" spans="1:119" s="225" customFormat="1" ht="97.5" customHeight="1" x14ac:dyDescent="0.2">
      <c r="A214" s="244">
        <v>2</v>
      </c>
      <c r="B214" s="254" t="s">
        <v>33</v>
      </c>
      <c r="C214" s="59" t="s">
        <v>343</v>
      </c>
      <c r="D214" s="59" t="s">
        <v>35</v>
      </c>
      <c r="E214" s="157">
        <v>0.16500000000000001</v>
      </c>
      <c r="F214" s="13">
        <v>2018</v>
      </c>
      <c r="G214" s="59" t="s">
        <v>344</v>
      </c>
      <c r="H214" s="127">
        <v>0.18099999999999999</v>
      </c>
      <c r="I214" s="158">
        <v>17</v>
      </c>
      <c r="J214" s="159" t="s">
        <v>345</v>
      </c>
      <c r="K214" s="48">
        <v>13</v>
      </c>
      <c r="L214" s="160" t="s">
        <v>346</v>
      </c>
      <c r="M214" s="246">
        <v>10</v>
      </c>
      <c r="N214" s="247">
        <v>1709</v>
      </c>
      <c r="O214" s="245" t="s">
        <v>34</v>
      </c>
      <c r="P214" s="13" t="s">
        <v>436</v>
      </c>
      <c r="Q214" s="48" t="s">
        <v>437</v>
      </c>
      <c r="R214" s="48" t="s">
        <v>437</v>
      </c>
      <c r="S214" s="59" t="s">
        <v>130</v>
      </c>
      <c r="T214" s="13" t="s">
        <v>438</v>
      </c>
      <c r="U214" s="48" t="s">
        <v>439</v>
      </c>
      <c r="V214" s="48">
        <v>170901900</v>
      </c>
      <c r="W214" s="87" t="s">
        <v>130</v>
      </c>
      <c r="X214" s="13" t="s">
        <v>9</v>
      </c>
      <c r="Y214" s="13">
        <v>15</v>
      </c>
      <c r="Z214" s="13">
        <v>2</v>
      </c>
      <c r="AA214" s="13">
        <v>0</v>
      </c>
      <c r="AB214" s="13">
        <v>4</v>
      </c>
      <c r="AC214" s="13">
        <v>5</v>
      </c>
      <c r="AD214" s="13">
        <v>4</v>
      </c>
      <c r="AE214" s="89">
        <f t="shared" ref="AE214:AF218" si="130">AJ214+AO214+AT214+AY214+BD214+BI214+BN214+BS214+BX214+CC214</f>
        <v>75000000</v>
      </c>
      <c r="AF214" s="89">
        <f t="shared" si="130"/>
        <v>50000000</v>
      </c>
      <c r="AG214" s="89">
        <f>AL214+AQ214+AV214+BA214+BF214+BK214+BP214+BU214+BZ214+CE214</f>
        <v>43451176</v>
      </c>
      <c r="AH214" s="89">
        <f t="shared" ref="AH214:AI218" si="131">AM214+AR214+AW214+BB214+BG214+BL214+BQ214+BV214+CA214+CF214</f>
        <v>43451176</v>
      </c>
      <c r="AI214" s="89">
        <f t="shared" si="131"/>
        <v>0</v>
      </c>
      <c r="AJ214" s="91">
        <f>50000000+25000000</f>
        <v>75000000</v>
      </c>
      <c r="AK214" s="91">
        <v>50000000</v>
      </c>
      <c r="AL214" s="91">
        <v>43451176</v>
      </c>
      <c r="AM214" s="91">
        <v>43451176</v>
      </c>
      <c r="AN214" s="91"/>
      <c r="AO214" s="91"/>
      <c r="AP214" s="91"/>
      <c r="AQ214" s="91"/>
      <c r="AR214" s="91"/>
      <c r="AS214" s="91"/>
      <c r="AT214" s="91"/>
      <c r="AU214" s="91"/>
      <c r="AV214" s="91"/>
      <c r="AW214" s="91"/>
      <c r="AX214" s="91"/>
      <c r="AY214" s="91"/>
      <c r="AZ214" s="91"/>
      <c r="BA214" s="91"/>
      <c r="BB214" s="91"/>
      <c r="BC214" s="91"/>
      <c r="BD214" s="91"/>
      <c r="BE214" s="91"/>
      <c r="BF214" s="91"/>
      <c r="BG214" s="91"/>
      <c r="BH214" s="91"/>
      <c r="BI214" s="91"/>
      <c r="BJ214" s="91"/>
      <c r="BK214" s="91"/>
      <c r="BL214" s="91"/>
      <c r="BM214" s="91"/>
      <c r="BN214" s="91"/>
      <c r="BO214" s="91"/>
      <c r="BP214" s="91"/>
      <c r="BQ214" s="91"/>
      <c r="BR214" s="91"/>
      <c r="BS214" s="91"/>
      <c r="BT214" s="91"/>
      <c r="BU214" s="91"/>
      <c r="BV214" s="91"/>
      <c r="BW214" s="91"/>
      <c r="BX214" s="91"/>
      <c r="BY214" s="91"/>
      <c r="BZ214" s="91"/>
      <c r="CA214" s="91"/>
      <c r="CB214" s="91"/>
      <c r="CC214" s="91"/>
      <c r="CD214" s="91"/>
      <c r="CE214" s="91"/>
      <c r="CF214" s="91"/>
      <c r="CG214" s="91"/>
      <c r="CH214" s="91">
        <f>CI214+CJ214+CK214+CL214+CM214+CN214+CO214+CP214+CQ214+CR214</f>
        <v>43370000</v>
      </c>
      <c r="CI214" s="91">
        <v>43370000</v>
      </c>
      <c r="CJ214" s="91"/>
      <c r="CK214" s="91"/>
      <c r="CL214" s="91"/>
      <c r="CM214" s="91"/>
      <c r="CN214" s="91"/>
      <c r="CO214" s="91"/>
      <c r="CP214" s="91"/>
      <c r="CQ214" s="91"/>
      <c r="CR214" s="91"/>
      <c r="CS214" s="91">
        <f>CT214+CU214+CV214+CW214+CX214+CY214+CZ214+DA214+DB214+DC214</f>
        <v>112760472</v>
      </c>
      <c r="CT214" s="91">
        <v>112760472</v>
      </c>
      <c r="CU214" s="91"/>
      <c r="CV214" s="91"/>
      <c r="CW214" s="91"/>
      <c r="CX214" s="91"/>
      <c r="CY214" s="91"/>
      <c r="CZ214" s="91"/>
      <c r="DA214" s="91"/>
      <c r="DB214" s="91"/>
      <c r="DC214" s="91"/>
      <c r="DD214" s="91">
        <f>DE214+DF214+DG214+DH214+DI214+DJ214+DK214+DL214+DM214+DN214</f>
        <v>139400000</v>
      </c>
      <c r="DE214" s="91">
        <v>139400000</v>
      </c>
      <c r="DF214" s="91"/>
      <c r="DG214" s="91"/>
      <c r="DH214" s="91"/>
      <c r="DI214" s="91"/>
      <c r="DJ214" s="91"/>
      <c r="DK214" s="91"/>
      <c r="DL214" s="91"/>
      <c r="DM214" s="91"/>
      <c r="DN214" s="92"/>
      <c r="DO214" s="93">
        <f>AE214+CH214+CS214+DD214</f>
        <v>370530472</v>
      </c>
    </row>
    <row r="215" spans="1:119" s="225" customFormat="1" ht="97.5" customHeight="1" x14ac:dyDescent="0.2">
      <c r="A215" s="244">
        <v>2</v>
      </c>
      <c r="B215" s="254" t="s">
        <v>33</v>
      </c>
      <c r="C215" s="59" t="s">
        <v>343</v>
      </c>
      <c r="D215" s="59" t="s">
        <v>35</v>
      </c>
      <c r="E215" s="157">
        <v>0.16500000000000001</v>
      </c>
      <c r="F215" s="13">
        <v>2018</v>
      </c>
      <c r="G215" s="59" t="s">
        <v>344</v>
      </c>
      <c r="H215" s="127">
        <v>0.18099999999999999</v>
      </c>
      <c r="I215" s="158">
        <v>17</v>
      </c>
      <c r="J215" s="159" t="s">
        <v>345</v>
      </c>
      <c r="K215" s="48">
        <v>13</v>
      </c>
      <c r="L215" s="160" t="s">
        <v>346</v>
      </c>
      <c r="M215" s="246">
        <v>10</v>
      </c>
      <c r="N215" s="247">
        <v>1709</v>
      </c>
      <c r="O215" s="245" t="s">
        <v>34</v>
      </c>
      <c r="P215" s="13" t="s">
        <v>440</v>
      </c>
      <c r="Q215" s="48" t="s">
        <v>441</v>
      </c>
      <c r="R215" s="48" t="s">
        <v>441</v>
      </c>
      <c r="S215" s="59" t="s">
        <v>131</v>
      </c>
      <c r="T215" s="13" t="s">
        <v>442</v>
      </c>
      <c r="U215" s="48" t="s">
        <v>443</v>
      </c>
      <c r="V215" s="48" t="s">
        <v>443</v>
      </c>
      <c r="W215" s="87" t="s">
        <v>131</v>
      </c>
      <c r="X215" s="13" t="s">
        <v>9</v>
      </c>
      <c r="Y215" s="13">
        <v>10</v>
      </c>
      <c r="Z215" s="13">
        <v>1</v>
      </c>
      <c r="AA215" s="13">
        <v>1</v>
      </c>
      <c r="AB215" s="13">
        <v>3</v>
      </c>
      <c r="AC215" s="13">
        <v>3</v>
      </c>
      <c r="AD215" s="13">
        <v>3</v>
      </c>
      <c r="AE215" s="89">
        <f t="shared" si="130"/>
        <v>50000000</v>
      </c>
      <c r="AF215" s="89">
        <f t="shared" si="130"/>
        <v>25000000</v>
      </c>
      <c r="AG215" s="89">
        <f>AL215+AQ215+AV215+BA215+BF215+BK215+BP215+BU215+BZ215+CE215</f>
        <v>24393824</v>
      </c>
      <c r="AH215" s="89">
        <f t="shared" si="131"/>
        <v>24393824</v>
      </c>
      <c r="AI215" s="89">
        <f t="shared" si="131"/>
        <v>0</v>
      </c>
      <c r="AJ215" s="91">
        <v>50000000</v>
      </c>
      <c r="AK215" s="91">
        <v>25000000</v>
      </c>
      <c r="AL215" s="91">
        <v>24393824</v>
      </c>
      <c r="AM215" s="91">
        <v>24393824</v>
      </c>
      <c r="AN215" s="91"/>
      <c r="AO215" s="91"/>
      <c r="AP215" s="91"/>
      <c r="AQ215" s="91"/>
      <c r="AR215" s="91"/>
      <c r="AS215" s="91"/>
      <c r="AT215" s="91"/>
      <c r="AU215" s="91"/>
      <c r="AV215" s="91"/>
      <c r="AW215" s="91"/>
      <c r="AX215" s="91"/>
      <c r="AY215" s="91"/>
      <c r="AZ215" s="91"/>
      <c r="BA215" s="91"/>
      <c r="BB215" s="91"/>
      <c r="BC215" s="91"/>
      <c r="BD215" s="91"/>
      <c r="BE215" s="91"/>
      <c r="BF215" s="91"/>
      <c r="BG215" s="91"/>
      <c r="BH215" s="91"/>
      <c r="BI215" s="91"/>
      <c r="BJ215" s="91"/>
      <c r="BK215" s="91"/>
      <c r="BL215" s="91"/>
      <c r="BM215" s="91"/>
      <c r="BN215" s="91"/>
      <c r="BO215" s="91"/>
      <c r="BP215" s="91"/>
      <c r="BQ215" s="91"/>
      <c r="BR215" s="91"/>
      <c r="BS215" s="91"/>
      <c r="BT215" s="91"/>
      <c r="BU215" s="91"/>
      <c r="BV215" s="91"/>
      <c r="BW215" s="91"/>
      <c r="BX215" s="91"/>
      <c r="BY215" s="91"/>
      <c r="BZ215" s="91"/>
      <c r="CA215" s="91"/>
      <c r="CB215" s="91"/>
      <c r="CC215" s="91"/>
      <c r="CD215" s="91"/>
      <c r="CE215" s="91"/>
      <c r="CF215" s="91"/>
      <c r="CG215" s="91"/>
      <c r="CH215" s="91">
        <f>CI215+CJ215+CK215+CL215+CM215+CN215+CO215+CP215+CQ215+CR215</f>
        <v>43370000</v>
      </c>
      <c r="CI215" s="91">
        <v>43370000</v>
      </c>
      <c r="CJ215" s="91"/>
      <c r="CK215" s="91"/>
      <c r="CL215" s="91"/>
      <c r="CM215" s="91"/>
      <c r="CN215" s="91"/>
      <c r="CO215" s="91"/>
      <c r="CP215" s="91"/>
      <c r="CQ215" s="91"/>
      <c r="CR215" s="91"/>
      <c r="CS215" s="91">
        <f>CT215+CU215+CV215+CW215+CX215+CY215+CZ215+DA215+DB215+DC215</f>
        <v>65000000</v>
      </c>
      <c r="CT215" s="91">
        <v>65000000</v>
      </c>
      <c r="CU215" s="91"/>
      <c r="CV215" s="91"/>
      <c r="CW215" s="91"/>
      <c r="CX215" s="91"/>
      <c r="CY215" s="91"/>
      <c r="CZ215" s="91"/>
      <c r="DA215" s="91"/>
      <c r="DB215" s="91"/>
      <c r="DC215" s="91"/>
      <c r="DD215" s="91">
        <f>DE215+DF215+DG215+DH215+DI215+DJ215+DK215+DL215+DM215+DN215</f>
        <v>89400000</v>
      </c>
      <c r="DE215" s="91">
        <v>89400000</v>
      </c>
      <c r="DF215" s="91"/>
      <c r="DG215" s="91"/>
      <c r="DH215" s="91"/>
      <c r="DI215" s="91"/>
      <c r="DJ215" s="91"/>
      <c r="DK215" s="91"/>
      <c r="DL215" s="91"/>
      <c r="DM215" s="91"/>
      <c r="DN215" s="92"/>
      <c r="DO215" s="93">
        <f>AE215+CH215+CS215+DD215</f>
        <v>247770000</v>
      </c>
    </row>
    <row r="216" spans="1:119" s="225" customFormat="1" ht="97.5" customHeight="1" x14ac:dyDescent="0.2">
      <c r="A216" s="244">
        <v>2</v>
      </c>
      <c r="B216" s="254" t="s">
        <v>33</v>
      </c>
      <c r="C216" s="94" t="s">
        <v>396</v>
      </c>
      <c r="D216" s="94" t="s">
        <v>35</v>
      </c>
      <c r="E216" s="118">
        <v>16.5</v>
      </c>
      <c r="F216" s="48">
        <v>2018</v>
      </c>
      <c r="G216" s="94" t="s">
        <v>344</v>
      </c>
      <c r="H216" s="118">
        <v>18.100000000000001</v>
      </c>
      <c r="I216" s="158">
        <v>17</v>
      </c>
      <c r="J216" s="159" t="s">
        <v>345</v>
      </c>
      <c r="K216" s="48">
        <v>13</v>
      </c>
      <c r="L216" s="160" t="s">
        <v>346</v>
      </c>
      <c r="M216" s="246">
        <v>10</v>
      </c>
      <c r="N216" s="247">
        <v>1709</v>
      </c>
      <c r="O216" s="245" t="s">
        <v>34</v>
      </c>
      <c r="P216" s="13" t="s">
        <v>451</v>
      </c>
      <c r="Q216" s="48">
        <v>1709065</v>
      </c>
      <c r="R216" s="48">
        <v>1709065</v>
      </c>
      <c r="S216" s="94" t="s">
        <v>36</v>
      </c>
      <c r="T216" s="13" t="s">
        <v>452</v>
      </c>
      <c r="U216" s="48">
        <v>170906500</v>
      </c>
      <c r="V216" s="48">
        <v>170906500</v>
      </c>
      <c r="W216" s="95" t="s">
        <v>36</v>
      </c>
      <c r="X216" s="48" t="s">
        <v>8</v>
      </c>
      <c r="Y216" s="13">
        <v>1</v>
      </c>
      <c r="Z216" s="13">
        <v>0</v>
      </c>
      <c r="AA216" s="13"/>
      <c r="AB216" s="13">
        <v>0</v>
      </c>
      <c r="AC216" s="13">
        <v>1</v>
      </c>
      <c r="AD216" s="13">
        <v>1</v>
      </c>
      <c r="AE216" s="89">
        <f t="shared" si="130"/>
        <v>0</v>
      </c>
      <c r="AF216" s="89">
        <f t="shared" si="130"/>
        <v>0</v>
      </c>
      <c r="AG216" s="89">
        <f>AL216+AQ216+AV216+BA216+BF216+BK216+BP216+BU216+BZ216+CE216</f>
        <v>0</v>
      </c>
      <c r="AH216" s="89">
        <f t="shared" si="131"/>
        <v>0</v>
      </c>
      <c r="AI216" s="89">
        <f t="shared" si="131"/>
        <v>0</v>
      </c>
      <c r="AJ216" s="91">
        <f>1000000-1000000</f>
        <v>0</v>
      </c>
      <c r="AK216" s="91"/>
      <c r="AL216" s="91"/>
      <c r="AM216" s="91"/>
      <c r="AN216" s="91"/>
      <c r="AO216" s="91"/>
      <c r="AP216" s="91"/>
      <c r="AQ216" s="91"/>
      <c r="AR216" s="91"/>
      <c r="AS216" s="91"/>
      <c r="AT216" s="91"/>
      <c r="AU216" s="91"/>
      <c r="AV216" s="91"/>
      <c r="AW216" s="91"/>
      <c r="AX216" s="91"/>
      <c r="AY216" s="91"/>
      <c r="AZ216" s="91"/>
      <c r="BA216" s="91"/>
      <c r="BB216" s="91"/>
      <c r="BC216" s="91"/>
      <c r="BD216" s="91"/>
      <c r="BE216" s="91"/>
      <c r="BF216" s="91"/>
      <c r="BG216" s="91"/>
      <c r="BH216" s="91"/>
      <c r="BI216" s="91"/>
      <c r="BJ216" s="91"/>
      <c r="BK216" s="91"/>
      <c r="BL216" s="91"/>
      <c r="BM216" s="91"/>
      <c r="BN216" s="91"/>
      <c r="BO216" s="91"/>
      <c r="BP216" s="91"/>
      <c r="BQ216" s="91"/>
      <c r="BR216" s="91"/>
      <c r="BS216" s="91"/>
      <c r="BT216" s="91"/>
      <c r="BU216" s="91"/>
      <c r="BV216" s="91"/>
      <c r="BW216" s="91"/>
      <c r="BX216" s="91"/>
      <c r="BY216" s="91"/>
      <c r="BZ216" s="91"/>
      <c r="CA216" s="91"/>
      <c r="CB216" s="91"/>
      <c r="CC216" s="91"/>
      <c r="CD216" s="91"/>
      <c r="CE216" s="91"/>
      <c r="CF216" s="91"/>
      <c r="CG216" s="91"/>
      <c r="CH216" s="91">
        <f>CI216+CJ216+CK216+CL216+CM216+CN216+CO216+CP216+CQ216+CR216</f>
        <v>0</v>
      </c>
      <c r="CI216" s="91"/>
      <c r="CJ216" s="91"/>
      <c r="CK216" s="91"/>
      <c r="CL216" s="91"/>
      <c r="CM216" s="91"/>
      <c r="CN216" s="91"/>
      <c r="CO216" s="91"/>
      <c r="CP216" s="91"/>
      <c r="CQ216" s="91"/>
      <c r="CR216" s="91"/>
      <c r="CS216" s="91">
        <f>CT216+CU216+CV216+CW216+CX216+CY216+CZ216+DA216+DB216+DC216</f>
        <v>28953000</v>
      </c>
      <c r="CT216" s="91">
        <v>28953000</v>
      </c>
      <c r="CU216" s="91"/>
      <c r="CV216" s="91"/>
      <c r="CW216" s="91"/>
      <c r="CX216" s="91"/>
      <c r="CY216" s="91"/>
      <c r="CZ216" s="91"/>
      <c r="DA216" s="91"/>
      <c r="DB216" s="91"/>
      <c r="DC216" s="91"/>
      <c r="DD216" s="91">
        <f>DE216+DF216+DG216+DH216+DI216+DJ216+DK216+DL216+DM216+DN216</f>
        <v>34162830</v>
      </c>
      <c r="DE216" s="91">
        <v>34162830</v>
      </c>
      <c r="DF216" s="91"/>
      <c r="DG216" s="91"/>
      <c r="DH216" s="91"/>
      <c r="DI216" s="91"/>
      <c r="DJ216" s="91"/>
      <c r="DK216" s="91"/>
      <c r="DL216" s="91"/>
      <c r="DM216" s="91"/>
      <c r="DN216" s="92"/>
      <c r="DO216" s="93">
        <f>AE216+CH216+CS216+DD216</f>
        <v>63115830</v>
      </c>
    </row>
    <row r="217" spans="1:119" s="225" customFormat="1" ht="97.5" customHeight="1" x14ac:dyDescent="0.2">
      <c r="A217" s="244">
        <v>2</v>
      </c>
      <c r="B217" s="254" t="s">
        <v>33</v>
      </c>
      <c r="C217" s="94" t="s">
        <v>396</v>
      </c>
      <c r="D217" s="94" t="s">
        <v>35</v>
      </c>
      <c r="E217" s="118">
        <v>16.5</v>
      </c>
      <c r="F217" s="48">
        <v>2018</v>
      </c>
      <c r="G217" s="94" t="s">
        <v>344</v>
      </c>
      <c r="H217" s="118">
        <v>18.100000000000001</v>
      </c>
      <c r="I217" s="158">
        <v>17</v>
      </c>
      <c r="J217" s="159" t="s">
        <v>345</v>
      </c>
      <c r="K217" s="48">
        <v>13</v>
      </c>
      <c r="L217" s="160" t="s">
        <v>346</v>
      </c>
      <c r="M217" s="246">
        <v>10</v>
      </c>
      <c r="N217" s="247">
        <v>1709</v>
      </c>
      <c r="O217" s="245" t="s">
        <v>34</v>
      </c>
      <c r="P217" s="13" t="s">
        <v>449</v>
      </c>
      <c r="Q217" s="48">
        <v>1709078</v>
      </c>
      <c r="R217" s="48">
        <v>1709080</v>
      </c>
      <c r="S217" s="94" t="s">
        <v>37</v>
      </c>
      <c r="T217" s="13" t="s">
        <v>450</v>
      </c>
      <c r="U217" s="48">
        <v>170907800</v>
      </c>
      <c r="V217" s="48">
        <v>170907800</v>
      </c>
      <c r="W217" s="95" t="s">
        <v>37</v>
      </c>
      <c r="X217" s="48" t="s">
        <v>8</v>
      </c>
      <c r="Y217" s="13">
        <v>1</v>
      </c>
      <c r="Z217" s="13">
        <v>1</v>
      </c>
      <c r="AA217" s="13">
        <v>0</v>
      </c>
      <c r="AB217" s="13">
        <v>0</v>
      </c>
      <c r="AC217" s="13">
        <v>1</v>
      </c>
      <c r="AD217" s="13">
        <v>1</v>
      </c>
      <c r="AE217" s="89">
        <f t="shared" si="130"/>
        <v>2000000</v>
      </c>
      <c r="AF217" s="89">
        <f t="shared" si="130"/>
        <v>2000000</v>
      </c>
      <c r="AG217" s="89">
        <f>AL217+AQ217+AV217+BA217+BF217+BK217+BP217+BU217+BZ217+CE217</f>
        <v>0</v>
      </c>
      <c r="AH217" s="89">
        <f t="shared" si="131"/>
        <v>0</v>
      </c>
      <c r="AI217" s="89">
        <f t="shared" si="131"/>
        <v>0</v>
      </c>
      <c r="AJ217" s="91">
        <f>1000000+1000000</f>
        <v>2000000</v>
      </c>
      <c r="AK217" s="91">
        <v>2000000</v>
      </c>
      <c r="AL217" s="91"/>
      <c r="AM217" s="91"/>
      <c r="AN217" s="91"/>
      <c r="AO217" s="91"/>
      <c r="AP217" s="91"/>
      <c r="AQ217" s="91"/>
      <c r="AR217" s="91"/>
      <c r="AS217" s="91"/>
      <c r="AT217" s="91"/>
      <c r="AU217" s="91"/>
      <c r="AV217" s="91"/>
      <c r="AW217" s="91"/>
      <c r="AX217" s="91"/>
      <c r="AY217" s="91"/>
      <c r="AZ217" s="91"/>
      <c r="BA217" s="91"/>
      <c r="BB217" s="91"/>
      <c r="BC217" s="91"/>
      <c r="BD217" s="91"/>
      <c r="BE217" s="91"/>
      <c r="BF217" s="91"/>
      <c r="BG217" s="91"/>
      <c r="BH217" s="91"/>
      <c r="BI217" s="91"/>
      <c r="BJ217" s="91"/>
      <c r="BK217" s="91"/>
      <c r="BL217" s="91"/>
      <c r="BM217" s="91"/>
      <c r="BN217" s="91"/>
      <c r="BO217" s="91"/>
      <c r="BP217" s="91"/>
      <c r="BQ217" s="91"/>
      <c r="BR217" s="91"/>
      <c r="BS217" s="91"/>
      <c r="BT217" s="91"/>
      <c r="BU217" s="91"/>
      <c r="BV217" s="91"/>
      <c r="BW217" s="91"/>
      <c r="BX217" s="91"/>
      <c r="BY217" s="91"/>
      <c r="BZ217" s="91"/>
      <c r="CA217" s="91"/>
      <c r="CB217" s="91"/>
      <c r="CC217" s="91"/>
      <c r="CD217" s="91"/>
      <c r="CE217" s="91"/>
      <c r="CF217" s="91"/>
      <c r="CG217" s="91"/>
      <c r="CH217" s="91">
        <f>CI217+CJ217+CK217+CL217+CM217+CN217+CO217+CP217+CQ217+CR217</f>
        <v>0</v>
      </c>
      <c r="CI217" s="91"/>
      <c r="CJ217" s="91"/>
      <c r="CK217" s="91"/>
      <c r="CL217" s="91"/>
      <c r="CM217" s="91"/>
      <c r="CN217" s="91"/>
      <c r="CO217" s="91"/>
      <c r="CP217" s="91"/>
      <c r="CQ217" s="91"/>
      <c r="CR217" s="91"/>
      <c r="CS217" s="91">
        <f>CT217+CU217+CV217+CW217+CX217+CY217+CZ217+DA217+DB217+DC217</f>
        <v>19302000</v>
      </c>
      <c r="CT217" s="91">
        <v>19302000</v>
      </c>
      <c r="CU217" s="91"/>
      <c r="CV217" s="91"/>
      <c r="CW217" s="91"/>
      <c r="CX217" s="91"/>
      <c r="CY217" s="91"/>
      <c r="CZ217" s="91"/>
      <c r="DA217" s="91"/>
      <c r="DB217" s="91"/>
      <c r="DC217" s="91"/>
      <c r="DD217" s="91">
        <f>DE217+DF217+DG217+DH217+DI217+DJ217+DK217+DL217+DM217+DN217</f>
        <v>29101670</v>
      </c>
      <c r="DE217" s="91">
        <v>29101670</v>
      </c>
      <c r="DF217" s="91"/>
      <c r="DG217" s="91"/>
      <c r="DH217" s="91"/>
      <c r="DI217" s="91"/>
      <c r="DJ217" s="91"/>
      <c r="DK217" s="91"/>
      <c r="DL217" s="91"/>
      <c r="DM217" s="91"/>
      <c r="DN217" s="92"/>
      <c r="DO217" s="93">
        <f>AE217+CH217+CS217+DD217</f>
        <v>50403670</v>
      </c>
    </row>
    <row r="218" spans="1:119" s="225" customFormat="1" ht="97.5" customHeight="1" x14ac:dyDescent="0.2">
      <c r="A218" s="244">
        <v>2</v>
      </c>
      <c r="B218" s="254" t="s">
        <v>33</v>
      </c>
      <c r="C218" s="59" t="s">
        <v>343</v>
      </c>
      <c r="D218" s="59" t="s">
        <v>35</v>
      </c>
      <c r="E218" s="157">
        <v>0.16500000000000001</v>
      </c>
      <c r="F218" s="13">
        <v>2018</v>
      </c>
      <c r="G218" s="59" t="s">
        <v>344</v>
      </c>
      <c r="H218" s="127">
        <v>0.18099999999999999</v>
      </c>
      <c r="I218" s="158">
        <v>17</v>
      </c>
      <c r="J218" s="159" t="s">
        <v>345</v>
      </c>
      <c r="K218" s="48">
        <v>13</v>
      </c>
      <c r="L218" s="160" t="s">
        <v>346</v>
      </c>
      <c r="M218" s="246">
        <v>10</v>
      </c>
      <c r="N218" s="247">
        <v>1709</v>
      </c>
      <c r="O218" s="245" t="s">
        <v>34</v>
      </c>
      <c r="P218" s="13" t="s">
        <v>444</v>
      </c>
      <c r="Q218" s="48" t="s">
        <v>445</v>
      </c>
      <c r="R218" s="48" t="s">
        <v>445</v>
      </c>
      <c r="S218" s="94" t="s">
        <v>132</v>
      </c>
      <c r="T218" s="13" t="s">
        <v>446</v>
      </c>
      <c r="U218" s="48" t="s">
        <v>447</v>
      </c>
      <c r="V218" s="48" t="s">
        <v>447</v>
      </c>
      <c r="W218" s="87" t="s">
        <v>448</v>
      </c>
      <c r="X218" s="13" t="s">
        <v>9</v>
      </c>
      <c r="Y218" s="13">
        <v>5</v>
      </c>
      <c r="Z218" s="13">
        <v>0</v>
      </c>
      <c r="AA218" s="13"/>
      <c r="AB218" s="13">
        <v>2</v>
      </c>
      <c r="AC218" s="13">
        <v>2</v>
      </c>
      <c r="AD218" s="13">
        <v>1</v>
      </c>
      <c r="AE218" s="89">
        <f t="shared" si="130"/>
        <v>0</v>
      </c>
      <c r="AF218" s="89">
        <f t="shared" si="130"/>
        <v>0</v>
      </c>
      <c r="AG218" s="89">
        <f>AL218+AQ218+AV218+BA218+BF218+BK218+BP218+BU218+BZ218+CE218</f>
        <v>0</v>
      </c>
      <c r="AH218" s="89">
        <f t="shared" si="131"/>
        <v>0</v>
      </c>
      <c r="AI218" s="89">
        <f t="shared" si="131"/>
        <v>0</v>
      </c>
      <c r="AJ218" s="91">
        <v>0</v>
      </c>
      <c r="AK218" s="91">
        <v>0</v>
      </c>
      <c r="AL218" s="91"/>
      <c r="AM218" s="91"/>
      <c r="AN218" s="91"/>
      <c r="AO218" s="91"/>
      <c r="AP218" s="91">
        <v>0</v>
      </c>
      <c r="AQ218" s="91"/>
      <c r="AR218" s="91"/>
      <c r="AS218" s="91"/>
      <c r="AT218" s="91"/>
      <c r="AU218" s="91">
        <v>0</v>
      </c>
      <c r="AV218" s="91"/>
      <c r="AW218" s="91"/>
      <c r="AX218" s="91"/>
      <c r="AY218" s="91"/>
      <c r="AZ218" s="91">
        <v>0</v>
      </c>
      <c r="BA218" s="91"/>
      <c r="BB218" s="91"/>
      <c r="BC218" s="91"/>
      <c r="BD218" s="91"/>
      <c r="BE218" s="91">
        <v>0</v>
      </c>
      <c r="BF218" s="91"/>
      <c r="BG218" s="91"/>
      <c r="BH218" s="91"/>
      <c r="BI218" s="91"/>
      <c r="BJ218" s="91">
        <v>0</v>
      </c>
      <c r="BK218" s="91"/>
      <c r="BL218" s="91"/>
      <c r="BM218" s="91"/>
      <c r="BN218" s="91"/>
      <c r="BO218" s="91">
        <v>0</v>
      </c>
      <c r="BP218" s="91"/>
      <c r="BQ218" s="91"/>
      <c r="BR218" s="91"/>
      <c r="BS218" s="91"/>
      <c r="BT218" s="91">
        <v>0</v>
      </c>
      <c r="BU218" s="91"/>
      <c r="BV218" s="91"/>
      <c r="BW218" s="91"/>
      <c r="BX218" s="91"/>
      <c r="BY218" s="91">
        <v>0</v>
      </c>
      <c r="BZ218" s="91"/>
      <c r="CA218" s="91"/>
      <c r="CB218" s="91"/>
      <c r="CC218" s="91"/>
      <c r="CD218" s="91">
        <v>0</v>
      </c>
      <c r="CE218" s="91"/>
      <c r="CF218" s="91"/>
      <c r="CG218" s="91"/>
      <c r="CH218" s="91">
        <f>CI218+CJ218+CK218+CL218+CM218+CN218+CO218+CP218+CQ218+CR218</f>
        <v>22201250</v>
      </c>
      <c r="CI218" s="91">
        <v>22201250</v>
      </c>
      <c r="CJ218" s="91"/>
      <c r="CK218" s="91"/>
      <c r="CL218" s="91"/>
      <c r="CM218" s="91"/>
      <c r="CN218" s="91"/>
      <c r="CO218" s="91"/>
      <c r="CP218" s="91"/>
      <c r="CQ218" s="91"/>
      <c r="CR218" s="91"/>
      <c r="CS218" s="91">
        <f>CT218+CU218+CV218+CW218+CX218+CY218+CZ218+DA218+DB218+DC218</f>
        <v>70000000</v>
      </c>
      <c r="CT218" s="91">
        <v>70000000</v>
      </c>
      <c r="CU218" s="91"/>
      <c r="CV218" s="91"/>
      <c r="CW218" s="91"/>
      <c r="CX218" s="91"/>
      <c r="CY218" s="91"/>
      <c r="CZ218" s="91"/>
      <c r="DA218" s="91"/>
      <c r="DB218" s="91"/>
      <c r="DC218" s="91"/>
      <c r="DD218" s="91">
        <f>DE218+DF218+DG218+DH218+DI218+DJ218+DK218+DL218+DM218+DN218</f>
        <v>79903140</v>
      </c>
      <c r="DE218" s="91">
        <v>79903140</v>
      </c>
      <c r="DF218" s="91"/>
      <c r="DG218" s="91"/>
      <c r="DH218" s="91"/>
      <c r="DI218" s="91"/>
      <c r="DJ218" s="91"/>
      <c r="DK218" s="91"/>
      <c r="DL218" s="91"/>
      <c r="DM218" s="91"/>
      <c r="DN218" s="92"/>
      <c r="DO218" s="93">
        <f>AE218+CH218+CS218+DD218</f>
        <v>172104390</v>
      </c>
    </row>
    <row r="219" spans="1:119" ht="29.25" customHeight="1" x14ac:dyDescent="0.2">
      <c r="A219" s="64"/>
      <c r="B219" s="255"/>
      <c r="C219" s="74"/>
      <c r="D219" s="74"/>
      <c r="E219" s="77"/>
      <c r="F219" s="74"/>
      <c r="G219" s="74"/>
      <c r="H219" s="77"/>
      <c r="I219" s="74"/>
      <c r="J219" s="74"/>
      <c r="K219" s="74"/>
      <c r="L219" s="74"/>
      <c r="M219" s="96">
        <v>14</v>
      </c>
      <c r="N219" s="96">
        <v>2102</v>
      </c>
      <c r="O219" s="97" t="s">
        <v>661</v>
      </c>
      <c r="P219" s="96"/>
      <c r="Q219" s="98"/>
      <c r="R219" s="98"/>
      <c r="S219" s="98"/>
      <c r="T219" s="98"/>
      <c r="U219" s="98"/>
      <c r="V219" s="98"/>
      <c r="W219" s="83"/>
      <c r="X219" s="83"/>
      <c r="Y219" s="84"/>
      <c r="Z219" s="84"/>
      <c r="AA219" s="84"/>
      <c r="AB219" s="84"/>
      <c r="AC219" s="84"/>
      <c r="AD219" s="81"/>
      <c r="AE219" s="85">
        <f t="shared" ref="AE219:DO219" si="132">AE220</f>
        <v>2500000000</v>
      </c>
      <c r="AF219" s="85">
        <f t="shared" si="132"/>
        <v>0</v>
      </c>
      <c r="AG219" s="85">
        <f t="shared" si="132"/>
        <v>0</v>
      </c>
      <c r="AH219" s="85">
        <f t="shared" si="132"/>
        <v>0</v>
      </c>
      <c r="AI219" s="85">
        <f t="shared" si="132"/>
        <v>0</v>
      </c>
      <c r="AJ219" s="85">
        <f t="shared" si="132"/>
        <v>0</v>
      </c>
      <c r="AK219" s="85">
        <f t="shared" si="132"/>
        <v>0</v>
      </c>
      <c r="AL219" s="85">
        <f t="shared" si="132"/>
        <v>0</v>
      </c>
      <c r="AM219" s="85">
        <f t="shared" si="132"/>
        <v>0</v>
      </c>
      <c r="AN219" s="85">
        <f t="shared" si="132"/>
        <v>0</v>
      </c>
      <c r="AO219" s="85">
        <f t="shared" si="132"/>
        <v>0</v>
      </c>
      <c r="AP219" s="85">
        <f t="shared" si="132"/>
        <v>0</v>
      </c>
      <c r="AQ219" s="85">
        <f t="shared" si="132"/>
        <v>0</v>
      </c>
      <c r="AR219" s="85">
        <f t="shared" si="132"/>
        <v>0</v>
      </c>
      <c r="AS219" s="85">
        <f t="shared" si="132"/>
        <v>0</v>
      </c>
      <c r="AT219" s="85">
        <f t="shared" si="132"/>
        <v>0</v>
      </c>
      <c r="AU219" s="85">
        <f t="shared" si="132"/>
        <v>0</v>
      </c>
      <c r="AV219" s="85">
        <f t="shared" si="132"/>
        <v>0</v>
      </c>
      <c r="AW219" s="85">
        <f t="shared" si="132"/>
        <v>0</v>
      </c>
      <c r="AX219" s="85">
        <f t="shared" si="132"/>
        <v>0</v>
      </c>
      <c r="AY219" s="85">
        <f t="shared" si="132"/>
        <v>0</v>
      </c>
      <c r="AZ219" s="85">
        <f t="shared" si="132"/>
        <v>0</v>
      </c>
      <c r="BA219" s="85">
        <f t="shared" si="132"/>
        <v>0</v>
      </c>
      <c r="BB219" s="85">
        <f t="shared" si="132"/>
        <v>0</v>
      </c>
      <c r="BC219" s="85">
        <f t="shared" si="132"/>
        <v>0</v>
      </c>
      <c r="BD219" s="85">
        <f t="shared" si="132"/>
        <v>0</v>
      </c>
      <c r="BE219" s="85">
        <f t="shared" si="132"/>
        <v>0</v>
      </c>
      <c r="BF219" s="85">
        <f t="shared" si="132"/>
        <v>0</v>
      </c>
      <c r="BG219" s="85">
        <f t="shared" si="132"/>
        <v>0</v>
      </c>
      <c r="BH219" s="85">
        <f t="shared" si="132"/>
        <v>0</v>
      </c>
      <c r="BI219" s="85">
        <f t="shared" si="132"/>
        <v>0</v>
      </c>
      <c r="BJ219" s="85">
        <f t="shared" si="132"/>
        <v>0</v>
      </c>
      <c r="BK219" s="85">
        <f t="shared" si="132"/>
        <v>0</v>
      </c>
      <c r="BL219" s="85">
        <f t="shared" si="132"/>
        <v>0</v>
      </c>
      <c r="BM219" s="85">
        <f t="shared" si="132"/>
        <v>0</v>
      </c>
      <c r="BN219" s="85">
        <f t="shared" si="132"/>
        <v>2500000000</v>
      </c>
      <c r="BO219" s="85">
        <f t="shared" si="132"/>
        <v>0</v>
      </c>
      <c r="BP219" s="85">
        <f t="shared" si="132"/>
        <v>0</v>
      </c>
      <c r="BQ219" s="85">
        <f t="shared" si="132"/>
        <v>0</v>
      </c>
      <c r="BR219" s="85">
        <f t="shared" si="132"/>
        <v>0</v>
      </c>
      <c r="BS219" s="85">
        <f t="shared" si="132"/>
        <v>0</v>
      </c>
      <c r="BT219" s="85">
        <f t="shared" si="132"/>
        <v>0</v>
      </c>
      <c r="BU219" s="85">
        <f t="shared" si="132"/>
        <v>0</v>
      </c>
      <c r="BV219" s="85">
        <f t="shared" si="132"/>
        <v>0</v>
      </c>
      <c r="BW219" s="85">
        <f t="shared" si="132"/>
        <v>0</v>
      </c>
      <c r="BX219" s="85">
        <f t="shared" si="132"/>
        <v>0</v>
      </c>
      <c r="BY219" s="85">
        <f t="shared" si="132"/>
        <v>0</v>
      </c>
      <c r="BZ219" s="85">
        <f t="shared" si="132"/>
        <v>0</v>
      </c>
      <c r="CA219" s="85">
        <f t="shared" si="132"/>
        <v>0</v>
      </c>
      <c r="CB219" s="85">
        <f t="shared" si="132"/>
        <v>0</v>
      </c>
      <c r="CC219" s="85">
        <f t="shared" si="132"/>
        <v>0</v>
      </c>
      <c r="CD219" s="85">
        <f t="shared" si="132"/>
        <v>0</v>
      </c>
      <c r="CE219" s="85">
        <f t="shared" si="132"/>
        <v>0</v>
      </c>
      <c r="CF219" s="85">
        <f t="shared" si="132"/>
        <v>0</v>
      </c>
      <c r="CG219" s="85">
        <f t="shared" si="132"/>
        <v>0</v>
      </c>
      <c r="CH219" s="85">
        <f t="shared" si="132"/>
        <v>0</v>
      </c>
      <c r="CI219" s="85">
        <f t="shared" si="132"/>
        <v>0</v>
      </c>
      <c r="CJ219" s="85">
        <f t="shared" si="132"/>
        <v>0</v>
      </c>
      <c r="CK219" s="85">
        <f t="shared" si="132"/>
        <v>0</v>
      </c>
      <c r="CL219" s="85">
        <f t="shared" si="132"/>
        <v>0</v>
      </c>
      <c r="CM219" s="85">
        <f t="shared" si="132"/>
        <v>0</v>
      </c>
      <c r="CN219" s="85">
        <f t="shared" si="132"/>
        <v>0</v>
      </c>
      <c r="CO219" s="85">
        <f t="shared" si="132"/>
        <v>0</v>
      </c>
      <c r="CP219" s="85">
        <f t="shared" si="132"/>
        <v>0</v>
      </c>
      <c r="CQ219" s="85">
        <f t="shared" si="132"/>
        <v>0</v>
      </c>
      <c r="CR219" s="85">
        <f t="shared" si="132"/>
        <v>0</v>
      </c>
      <c r="CS219" s="85">
        <f t="shared" si="132"/>
        <v>0</v>
      </c>
      <c r="CT219" s="85">
        <f t="shared" si="132"/>
        <v>0</v>
      </c>
      <c r="CU219" s="85">
        <f t="shared" si="132"/>
        <v>0</v>
      </c>
      <c r="CV219" s="85">
        <f t="shared" si="132"/>
        <v>0</v>
      </c>
      <c r="CW219" s="85">
        <f t="shared" si="132"/>
        <v>0</v>
      </c>
      <c r="CX219" s="85">
        <f t="shared" si="132"/>
        <v>0</v>
      </c>
      <c r="CY219" s="85">
        <f t="shared" si="132"/>
        <v>0</v>
      </c>
      <c r="CZ219" s="85">
        <f t="shared" si="132"/>
        <v>0</v>
      </c>
      <c r="DA219" s="85">
        <f t="shared" si="132"/>
        <v>0</v>
      </c>
      <c r="DB219" s="85">
        <f t="shared" si="132"/>
        <v>0</v>
      </c>
      <c r="DC219" s="85">
        <f t="shared" si="132"/>
        <v>0</v>
      </c>
      <c r="DD219" s="85">
        <f t="shared" si="132"/>
        <v>0</v>
      </c>
      <c r="DE219" s="85">
        <f t="shared" si="132"/>
        <v>0</v>
      </c>
      <c r="DF219" s="85">
        <f t="shared" si="132"/>
        <v>0</v>
      </c>
      <c r="DG219" s="85">
        <f t="shared" si="132"/>
        <v>0</v>
      </c>
      <c r="DH219" s="85">
        <f t="shared" si="132"/>
        <v>0</v>
      </c>
      <c r="DI219" s="85">
        <f t="shared" si="132"/>
        <v>0</v>
      </c>
      <c r="DJ219" s="85">
        <f t="shared" si="132"/>
        <v>0</v>
      </c>
      <c r="DK219" s="85">
        <f t="shared" si="132"/>
        <v>0</v>
      </c>
      <c r="DL219" s="85">
        <f t="shared" si="132"/>
        <v>0</v>
      </c>
      <c r="DM219" s="85">
        <f t="shared" si="132"/>
        <v>0</v>
      </c>
      <c r="DN219" s="86">
        <f t="shared" si="132"/>
        <v>0</v>
      </c>
      <c r="DO219" s="85">
        <f t="shared" si="132"/>
        <v>2500000000</v>
      </c>
    </row>
    <row r="220" spans="1:119" s="225" customFormat="1" ht="141.75" customHeight="1" x14ac:dyDescent="0.2">
      <c r="A220" s="244">
        <v>2</v>
      </c>
      <c r="B220" s="254" t="s">
        <v>33</v>
      </c>
      <c r="C220" s="94" t="s">
        <v>396</v>
      </c>
      <c r="D220" s="59" t="s">
        <v>658</v>
      </c>
      <c r="E220" s="111">
        <v>98.41</v>
      </c>
      <c r="F220" s="120">
        <v>2019</v>
      </c>
      <c r="G220" s="59" t="s">
        <v>659</v>
      </c>
      <c r="H220" s="111">
        <v>100</v>
      </c>
      <c r="I220" s="13">
        <v>21</v>
      </c>
      <c r="J220" s="13" t="s">
        <v>660</v>
      </c>
      <c r="K220" s="50">
        <v>7</v>
      </c>
      <c r="L220" s="13" t="s">
        <v>1104</v>
      </c>
      <c r="M220" s="244">
        <v>14</v>
      </c>
      <c r="N220" s="248">
        <v>2102</v>
      </c>
      <c r="O220" s="245" t="s">
        <v>661</v>
      </c>
      <c r="P220" s="115" t="s">
        <v>662</v>
      </c>
      <c r="Q220" s="48">
        <v>2102045</v>
      </c>
      <c r="R220" s="48">
        <v>2102045</v>
      </c>
      <c r="S220" s="59" t="s">
        <v>663</v>
      </c>
      <c r="T220" s="116" t="s">
        <v>664</v>
      </c>
      <c r="U220" s="48" t="s">
        <v>665</v>
      </c>
      <c r="V220" s="48" t="s">
        <v>665</v>
      </c>
      <c r="W220" s="87" t="s">
        <v>666</v>
      </c>
      <c r="X220" s="13" t="s">
        <v>9</v>
      </c>
      <c r="Y220" s="13">
        <v>155</v>
      </c>
      <c r="Z220" s="13">
        <v>70</v>
      </c>
      <c r="AA220" s="13"/>
      <c r="AB220" s="13">
        <v>85</v>
      </c>
      <c r="AC220" s="13"/>
      <c r="AD220" s="13"/>
      <c r="AE220" s="89">
        <f>AJ220+AO220+AT220+AY220+BD220+BI220+BN220+BS220+BX220+CC220</f>
        <v>2500000000</v>
      </c>
      <c r="AF220" s="89">
        <f>AK220+AP220+AU220+AZ220+BE220+BJ220+BO220+BT220+BY220+CD220</f>
        <v>0</v>
      </c>
      <c r="AG220" s="89">
        <f>AL220+AQ220+AV220+BA220+BF220+BK220+BP220+BU220+BZ220+CE220</f>
        <v>0</v>
      </c>
      <c r="AH220" s="89">
        <f>AM220+AR220+AW220+BB220+BG220+BL220+BQ220+BV220+CA220+CF220</f>
        <v>0</v>
      </c>
      <c r="AI220" s="89">
        <f>AN220+AS220+AX220+BC220+BH220+BM220+BR220+BW220+CB220+CG220</f>
        <v>0</v>
      </c>
      <c r="AJ220" s="91"/>
      <c r="AK220" s="91"/>
      <c r="AL220" s="91"/>
      <c r="AM220" s="91"/>
      <c r="AN220" s="91"/>
      <c r="AO220" s="91"/>
      <c r="AP220" s="91"/>
      <c r="AQ220" s="91"/>
      <c r="AR220" s="91"/>
      <c r="AS220" s="91"/>
      <c r="AT220" s="91"/>
      <c r="AU220" s="91"/>
      <c r="AV220" s="91"/>
      <c r="AW220" s="91"/>
      <c r="AX220" s="91"/>
      <c r="AY220" s="91"/>
      <c r="AZ220" s="91"/>
      <c r="BA220" s="91"/>
      <c r="BB220" s="91"/>
      <c r="BC220" s="91"/>
      <c r="BD220" s="91"/>
      <c r="BE220" s="91"/>
      <c r="BF220" s="91"/>
      <c r="BG220" s="91"/>
      <c r="BH220" s="91"/>
      <c r="BI220" s="91"/>
      <c r="BJ220" s="91"/>
      <c r="BK220" s="91"/>
      <c r="BL220" s="91"/>
      <c r="BM220" s="91"/>
      <c r="BN220" s="91">
        <v>2500000000</v>
      </c>
      <c r="BO220" s="91"/>
      <c r="BP220" s="91"/>
      <c r="BQ220" s="91"/>
      <c r="BR220" s="91"/>
      <c r="BS220" s="91"/>
      <c r="BT220" s="91"/>
      <c r="BU220" s="91"/>
      <c r="BV220" s="91"/>
      <c r="BW220" s="91"/>
      <c r="BX220" s="91"/>
      <c r="BY220" s="91"/>
      <c r="BZ220" s="91"/>
      <c r="CA220" s="91"/>
      <c r="CB220" s="91"/>
      <c r="CC220" s="91"/>
      <c r="CD220" s="91"/>
      <c r="CE220" s="91"/>
      <c r="CF220" s="91"/>
      <c r="CG220" s="91"/>
      <c r="CH220" s="91">
        <f>CI220+CJ220+CK220+CL220+CM220+CN220+CO220+CP220+CQ220+CR220</f>
        <v>0</v>
      </c>
      <c r="CI220" s="91"/>
      <c r="CJ220" s="91"/>
      <c r="CK220" s="91"/>
      <c r="CL220" s="91"/>
      <c r="CM220" s="91"/>
      <c r="CN220" s="91"/>
      <c r="CO220" s="91"/>
      <c r="CP220" s="91"/>
      <c r="CQ220" s="91"/>
      <c r="CR220" s="91"/>
      <c r="CS220" s="91">
        <f>CT220+CU220+CV220+CW220+CX220+CY220+CZ220+DA220+DB220+DC220</f>
        <v>0</v>
      </c>
      <c r="CT220" s="91"/>
      <c r="CU220" s="91"/>
      <c r="CV220" s="91"/>
      <c r="CW220" s="91"/>
      <c r="CX220" s="91"/>
      <c r="CY220" s="91"/>
      <c r="CZ220" s="91"/>
      <c r="DA220" s="91"/>
      <c r="DB220" s="91"/>
      <c r="DC220" s="91"/>
      <c r="DD220" s="91">
        <f>DE220+DF220+DG220+DH220+DI220+DJ220+DK220+DL220+DM220+DN220</f>
        <v>0</v>
      </c>
      <c r="DE220" s="91"/>
      <c r="DF220" s="91"/>
      <c r="DG220" s="91"/>
      <c r="DH220" s="91"/>
      <c r="DI220" s="91"/>
      <c r="DJ220" s="91"/>
      <c r="DK220" s="91"/>
      <c r="DL220" s="91"/>
      <c r="DM220" s="91"/>
      <c r="DN220" s="92"/>
      <c r="DO220" s="93">
        <f>AE220+CH220+CS220+DD220</f>
        <v>2500000000</v>
      </c>
    </row>
    <row r="221" spans="1:119" ht="30.75" customHeight="1" x14ac:dyDescent="0.2">
      <c r="A221" s="64"/>
      <c r="B221" s="255"/>
      <c r="C221" s="74"/>
      <c r="D221" s="74"/>
      <c r="E221" s="77"/>
      <c r="F221" s="74"/>
      <c r="G221" s="74"/>
      <c r="H221" s="77"/>
      <c r="I221" s="74"/>
      <c r="J221" s="74"/>
      <c r="K221" s="74"/>
      <c r="L221" s="74"/>
      <c r="M221" s="96">
        <v>27</v>
      </c>
      <c r="N221" s="96">
        <v>3502</v>
      </c>
      <c r="O221" s="97" t="s">
        <v>38</v>
      </c>
      <c r="P221" s="96"/>
      <c r="Q221" s="98"/>
      <c r="R221" s="98"/>
      <c r="S221" s="98"/>
      <c r="T221" s="98"/>
      <c r="U221" s="98"/>
      <c r="V221" s="98"/>
      <c r="W221" s="83"/>
      <c r="X221" s="83"/>
      <c r="Y221" s="84"/>
      <c r="Z221" s="84"/>
      <c r="AA221" s="84"/>
      <c r="AB221" s="84"/>
      <c r="AC221" s="84"/>
      <c r="AD221" s="81"/>
      <c r="AE221" s="85">
        <f>SUM(AE222:AE230)</f>
        <v>4727986841.8500004</v>
      </c>
      <c r="AF221" s="85">
        <f t="shared" ref="AF221:BJ221" si="133">SUM(AF222:AF230)</f>
        <v>1584204071.8499999</v>
      </c>
      <c r="AG221" s="85">
        <f t="shared" si="133"/>
        <v>806257883</v>
      </c>
      <c r="AH221" s="85">
        <f t="shared" si="133"/>
        <v>806257883</v>
      </c>
      <c r="AI221" s="85">
        <f t="shared" si="133"/>
        <v>11751600</v>
      </c>
      <c r="AJ221" s="85">
        <f t="shared" si="133"/>
        <v>682004937</v>
      </c>
      <c r="AK221" s="85">
        <f t="shared" si="133"/>
        <v>1584204071.8499999</v>
      </c>
      <c r="AL221" s="85">
        <f t="shared" si="133"/>
        <v>806257883</v>
      </c>
      <c r="AM221" s="85">
        <f t="shared" si="133"/>
        <v>806257883</v>
      </c>
      <c r="AN221" s="85">
        <f t="shared" si="133"/>
        <v>11751600</v>
      </c>
      <c r="AO221" s="85">
        <f t="shared" si="133"/>
        <v>545981904.85000002</v>
      </c>
      <c r="AP221" s="85">
        <f t="shared" si="133"/>
        <v>0</v>
      </c>
      <c r="AQ221" s="85">
        <f t="shared" si="133"/>
        <v>0</v>
      </c>
      <c r="AR221" s="85">
        <f t="shared" si="133"/>
        <v>0</v>
      </c>
      <c r="AS221" s="85">
        <f t="shared" si="133"/>
        <v>0</v>
      </c>
      <c r="AT221" s="85">
        <f t="shared" si="133"/>
        <v>0</v>
      </c>
      <c r="AU221" s="85">
        <f t="shared" si="133"/>
        <v>0</v>
      </c>
      <c r="AV221" s="85">
        <f t="shared" si="133"/>
        <v>0</v>
      </c>
      <c r="AW221" s="85">
        <f t="shared" si="133"/>
        <v>0</v>
      </c>
      <c r="AX221" s="85">
        <f t="shared" si="133"/>
        <v>0</v>
      </c>
      <c r="AY221" s="85">
        <f t="shared" si="133"/>
        <v>0</v>
      </c>
      <c r="AZ221" s="85">
        <f t="shared" si="133"/>
        <v>0</v>
      </c>
      <c r="BA221" s="85">
        <f t="shared" si="133"/>
        <v>0</v>
      </c>
      <c r="BB221" s="85">
        <f t="shared" si="133"/>
        <v>0</v>
      </c>
      <c r="BC221" s="85">
        <f t="shared" si="133"/>
        <v>0</v>
      </c>
      <c r="BD221" s="85">
        <f t="shared" si="133"/>
        <v>0</v>
      </c>
      <c r="BE221" s="85">
        <f t="shared" si="133"/>
        <v>0</v>
      </c>
      <c r="BF221" s="85">
        <f t="shared" si="133"/>
        <v>0</v>
      </c>
      <c r="BG221" s="85">
        <f t="shared" si="133"/>
        <v>0</v>
      </c>
      <c r="BH221" s="85">
        <f t="shared" si="133"/>
        <v>0</v>
      </c>
      <c r="BI221" s="85">
        <f t="shared" si="133"/>
        <v>0</v>
      </c>
      <c r="BJ221" s="85">
        <f t="shared" si="133"/>
        <v>0</v>
      </c>
      <c r="BK221" s="85">
        <f t="shared" ref="BK221:CP221" si="134">SUM(BK222:BK230)</f>
        <v>0</v>
      </c>
      <c r="BL221" s="85">
        <f t="shared" si="134"/>
        <v>0</v>
      </c>
      <c r="BM221" s="85">
        <f t="shared" si="134"/>
        <v>0</v>
      </c>
      <c r="BN221" s="85">
        <f t="shared" si="134"/>
        <v>3500000000</v>
      </c>
      <c r="BO221" s="85">
        <f t="shared" si="134"/>
        <v>0</v>
      </c>
      <c r="BP221" s="85">
        <f t="shared" si="134"/>
        <v>0</v>
      </c>
      <c r="BQ221" s="85">
        <f t="shared" si="134"/>
        <v>0</v>
      </c>
      <c r="BR221" s="85">
        <f t="shared" si="134"/>
        <v>0</v>
      </c>
      <c r="BS221" s="85">
        <f t="shared" si="134"/>
        <v>0</v>
      </c>
      <c r="BT221" s="85">
        <f t="shared" si="134"/>
        <v>0</v>
      </c>
      <c r="BU221" s="85">
        <f t="shared" si="134"/>
        <v>0</v>
      </c>
      <c r="BV221" s="85">
        <f t="shared" si="134"/>
        <v>0</v>
      </c>
      <c r="BW221" s="85">
        <f t="shared" si="134"/>
        <v>0</v>
      </c>
      <c r="BX221" s="85">
        <f t="shared" si="134"/>
        <v>0</v>
      </c>
      <c r="BY221" s="85">
        <f t="shared" si="134"/>
        <v>0</v>
      </c>
      <c r="BZ221" s="85">
        <f t="shared" si="134"/>
        <v>0</v>
      </c>
      <c r="CA221" s="85">
        <f t="shared" si="134"/>
        <v>0</v>
      </c>
      <c r="CB221" s="85">
        <f t="shared" si="134"/>
        <v>0</v>
      </c>
      <c r="CC221" s="85">
        <f t="shared" si="134"/>
        <v>0</v>
      </c>
      <c r="CD221" s="85">
        <f t="shared" si="134"/>
        <v>0</v>
      </c>
      <c r="CE221" s="85">
        <f t="shared" si="134"/>
        <v>0</v>
      </c>
      <c r="CF221" s="85">
        <f t="shared" si="134"/>
        <v>0</v>
      </c>
      <c r="CG221" s="85">
        <f t="shared" si="134"/>
        <v>0</v>
      </c>
      <c r="CH221" s="85">
        <f t="shared" si="134"/>
        <v>1046631014</v>
      </c>
      <c r="CI221" s="85">
        <f t="shared" si="134"/>
        <v>500380647</v>
      </c>
      <c r="CJ221" s="85">
        <f t="shared" si="134"/>
        <v>546250367</v>
      </c>
      <c r="CK221" s="85">
        <f t="shared" si="134"/>
        <v>0</v>
      </c>
      <c r="CL221" s="85">
        <f t="shared" si="134"/>
        <v>0</v>
      </c>
      <c r="CM221" s="85">
        <f t="shared" si="134"/>
        <v>0</v>
      </c>
      <c r="CN221" s="85">
        <f t="shared" si="134"/>
        <v>0</v>
      </c>
      <c r="CO221" s="85">
        <f t="shared" si="134"/>
        <v>0</v>
      </c>
      <c r="CP221" s="85">
        <f t="shared" si="134"/>
        <v>0</v>
      </c>
      <c r="CQ221" s="85">
        <f t="shared" ref="CQ221:DO221" si="135">SUM(CQ222:CQ230)</f>
        <v>0</v>
      </c>
      <c r="CR221" s="85">
        <f t="shared" si="135"/>
        <v>0</v>
      </c>
      <c r="CS221" s="85">
        <f t="shared" si="135"/>
        <v>4157313681</v>
      </c>
      <c r="CT221" s="85">
        <f t="shared" si="135"/>
        <v>1009108568</v>
      </c>
      <c r="CU221" s="85">
        <f t="shared" si="135"/>
        <v>648205113</v>
      </c>
      <c r="CV221" s="85">
        <f t="shared" si="135"/>
        <v>0</v>
      </c>
      <c r="CW221" s="85">
        <f t="shared" si="135"/>
        <v>0</v>
      </c>
      <c r="CX221" s="85">
        <f t="shared" si="135"/>
        <v>0</v>
      </c>
      <c r="CY221" s="85">
        <f t="shared" si="135"/>
        <v>0</v>
      </c>
      <c r="CZ221" s="85">
        <f t="shared" si="135"/>
        <v>2500000000</v>
      </c>
      <c r="DA221" s="85">
        <f t="shared" si="135"/>
        <v>0</v>
      </c>
      <c r="DB221" s="85">
        <f t="shared" si="135"/>
        <v>0</v>
      </c>
      <c r="DC221" s="85">
        <f t="shared" si="135"/>
        <v>0</v>
      </c>
      <c r="DD221" s="85">
        <f t="shared" si="135"/>
        <v>4597973798</v>
      </c>
      <c r="DE221" s="85">
        <f t="shared" si="135"/>
        <v>1363361280</v>
      </c>
      <c r="DF221" s="85">
        <f t="shared" si="135"/>
        <v>734612518</v>
      </c>
      <c r="DG221" s="85">
        <f t="shared" si="135"/>
        <v>0</v>
      </c>
      <c r="DH221" s="85">
        <f t="shared" si="135"/>
        <v>0</v>
      </c>
      <c r="DI221" s="85">
        <f t="shared" si="135"/>
        <v>0</v>
      </c>
      <c r="DJ221" s="85">
        <f t="shared" si="135"/>
        <v>0</v>
      </c>
      <c r="DK221" s="85">
        <f t="shared" si="135"/>
        <v>2500000000</v>
      </c>
      <c r="DL221" s="85">
        <f t="shared" si="135"/>
        <v>0</v>
      </c>
      <c r="DM221" s="85">
        <f t="shared" si="135"/>
        <v>0</v>
      </c>
      <c r="DN221" s="86">
        <f t="shared" si="135"/>
        <v>0</v>
      </c>
      <c r="DO221" s="85">
        <f t="shared" si="135"/>
        <v>14529905334.85</v>
      </c>
    </row>
    <row r="222" spans="1:119" s="225" customFormat="1" ht="110.25" customHeight="1" x14ac:dyDescent="0.2">
      <c r="A222" s="244">
        <v>2</v>
      </c>
      <c r="B222" s="254" t="s">
        <v>33</v>
      </c>
      <c r="C222" s="59" t="s">
        <v>343</v>
      </c>
      <c r="D222" s="59" t="s">
        <v>1720</v>
      </c>
      <c r="E222" s="55" t="s">
        <v>1020</v>
      </c>
      <c r="F222" s="13" t="s">
        <v>1021</v>
      </c>
      <c r="G222" s="59" t="s">
        <v>1022</v>
      </c>
      <c r="H222" s="55" t="s">
        <v>1717</v>
      </c>
      <c r="I222" s="13">
        <v>35</v>
      </c>
      <c r="J222" s="137" t="s">
        <v>1013</v>
      </c>
      <c r="K222" s="50">
        <v>13</v>
      </c>
      <c r="L222" s="137" t="s">
        <v>346</v>
      </c>
      <c r="M222" s="244">
        <v>27</v>
      </c>
      <c r="N222" s="247">
        <v>3502</v>
      </c>
      <c r="O222" s="245" t="s">
        <v>38</v>
      </c>
      <c r="P222" s="13" t="s">
        <v>1023</v>
      </c>
      <c r="Q222" s="48" t="s">
        <v>1024</v>
      </c>
      <c r="R222" s="48" t="s">
        <v>1024</v>
      </c>
      <c r="S222" s="59" t="s">
        <v>103</v>
      </c>
      <c r="T222" s="13" t="s">
        <v>1025</v>
      </c>
      <c r="U222" s="48" t="s">
        <v>1026</v>
      </c>
      <c r="V222" s="48" t="s">
        <v>1026</v>
      </c>
      <c r="W222" s="87" t="s">
        <v>1027</v>
      </c>
      <c r="X222" s="13" t="s">
        <v>9</v>
      </c>
      <c r="Y222" s="13">
        <v>4</v>
      </c>
      <c r="Z222" s="13">
        <v>1</v>
      </c>
      <c r="AA222" s="13">
        <v>1</v>
      </c>
      <c r="AB222" s="13">
        <v>1</v>
      </c>
      <c r="AC222" s="13">
        <v>1</v>
      </c>
      <c r="AD222" s="13">
        <v>1</v>
      </c>
      <c r="AE222" s="89">
        <f t="shared" ref="AE222:AI230" si="136">AJ222+AO222+AT222+AY222+BD222+BI222+BN222+BS222+BX222+CC222</f>
        <v>32500000</v>
      </c>
      <c r="AF222" s="89">
        <f t="shared" si="136"/>
        <v>30000000</v>
      </c>
      <c r="AG222" s="89">
        <f t="shared" si="136"/>
        <v>18666666</v>
      </c>
      <c r="AH222" s="89">
        <f t="shared" si="136"/>
        <v>18666666</v>
      </c>
      <c r="AI222" s="89">
        <f t="shared" si="136"/>
        <v>0</v>
      </c>
      <c r="AJ222" s="91">
        <v>32500000</v>
      </c>
      <c r="AK222" s="91">
        <v>30000000</v>
      </c>
      <c r="AL222" s="91">
        <v>18666666</v>
      </c>
      <c r="AM222" s="91">
        <v>18666666</v>
      </c>
      <c r="AN222" s="91"/>
      <c r="AO222" s="91"/>
      <c r="AP222" s="91"/>
      <c r="AQ222" s="91"/>
      <c r="AR222" s="91"/>
      <c r="AS222" s="91"/>
      <c r="AT222" s="91"/>
      <c r="AU222" s="91"/>
      <c r="AV222" s="91"/>
      <c r="AW222" s="91"/>
      <c r="AX222" s="91"/>
      <c r="AY222" s="91"/>
      <c r="AZ222" s="91"/>
      <c r="BA222" s="91"/>
      <c r="BB222" s="91"/>
      <c r="BC222" s="91"/>
      <c r="BD222" s="91"/>
      <c r="BE222" s="91"/>
      <c r="BF222" s="91"/>
      <c r="BG222" s="91"/>
      <c r="BH222" s="91"/>
      <c r="BI222" s="91"/>
      <c r="BJ222" s="91"/>
      <c r="BK222" s="91"/>
      <c r="BL222" s="91"/>
      <c r="BM222" s="91"/>
      <c r="BN222" s="91"/>
      <c r="BO222" s="91"/>
      <c r="BP222" s="91"/>
      <c r="BQ222" s="91"/>
      <c r="BR222" s="91"/>
      <c r="BS222" s="91"/>
      <c r="BT222" s="91"/>
      <c r="BU222" s="91"/>
      <c r="BV222" s="91"/>
      <c r="BW222" s="91"/>
      <c r="BX222" s="91"/>
      <c r="BY222" s="91"/>
      <c r="BZ222" s="91"/>
      <c r="CA222" s="91"/>
      <c r="CB222" s="91"/>
      <c r="CC222" s="91"/>
      <c r="CD222" s="91"/>
      <c r="CE222" s="91"/>
      <c r="CF222" s="91"/>
      <c r="CG222" s="91"/>
      <c r="CH222" s="91">
        <f t="shared" ref="CH222:CH230" si="137">CI222+CJ222+CK222+CL222+CM222+CN222+CO222+CP222+CQ222+CR222</f>
        <v>26619447</v>
      </c>
      <c r="CI222" s="91">
        <v>26619447</v>
      </c>
      <c r="CJ222" s="91"/>
      <c r="CK222" s="91"/>
      <c r="CL222" s="91"/>
      <c r="CM222" s="91"/>
      <c r="CN222" s="91"/>
      <c r="CO222" s="91"/>
      <c r="CP222" s="91"/>
      <c r="CQ222" s="91"/>
      <c r="CR222" s="91"/>
      <c r="CS222" s="91">
        <f t="shared" ref="CS222:CS247" si="138">CT222+CU222+CV222+CW222+CX222+CY222+CZ222+DA222+DB222+DC222</f>
        <v>40000000</v>
      </c>
      <c r="CT222" s="91">
        <v>40000000</v>
      </c>
      <c r="CU222" s="91"/>
      <c r="CV222" s="91"/>
      <c r="CW222" s="91"/>
      <c r="CX222" s="91"/>
      <c r="CY222" s="91"/>
      <c r="CZ222" s="91"/>
      <c r="DA222" s="91"/>
      <c r="DB222" s="91"/>
      <c r="DC222" s="91"/>
      <c r="DD222" s="91">
        <f t="shared" ref="DD222:DD230" si="139">DE222+DF222+DG222+DH222+DI222+DJ222+DK222+DL222+DM222+DN222</f>
        <v>40000000</v>
      </c>
      <c r="DE222" s="91">
        <v>40000000</v>
      </c>
      <c r="DF222" s="91"/>
      <c r="DG222" s="91"/>
      <c r="DH222" s="91"/>
      <c r="DI222" s="91"/>
      <c r="DJ222" s="91"/>
      <c r="DK222" s="91"/>
      <c r="DL222" s="91"/>
      <c r="DM222" s="91"/>
      <c r="DN222" s="92"/>
      <c r="DO222" s="93">
        <f t="shared" ref="DO222:DO230" si="140">AE222+CH222+CS222+DD222</f>
        <v>139119447</v>
      </c>
    </row>
    <row r="223" spans="1:119" s="225" customFormat="1" ht="110.25" customHeight="1" x14ac:dyDescent="0.2">
      <c r="A223" s="244">
        <v>2</v>
      </c>
      <c r="B223" s="254" t="s">
        <v>33</v>
      </c>
      <c r="C223" s="59" t="s">
        <v>343</v>
      </c>
      <c r="D223" s="59" t="s">
        <v>1019</v>
      </c>
      <c r="E223" s="55" t="s">
        <v>1020</v>
      </c>
      <c r="F223" s="13" t="s">
        <v>1021</v>
      </c>
      <c r="G223" s="59" t="s">
        <v>1022</v>
      </c>
      <c r="H223" s="55" t="s">
        <v>1717</v>
      </c>
      <c r="I223" s="13">
        <v>35</v>
      </c>
      <c r="J223" s="137" t="s">
        <v>1013</v>
      </c>
      <c r="K223" s="50">
        <v>13</v>
      </c>
      <c r="L223" s="137" t="s">
        <v>346</v>
      </c>
      <c r="M223" s="244">
        <v>27</v>
      </c>
      <c r="N223" s="247">
        <v>3502</v>
      </c>
      <c r="O223" s="245" t="s">
        <v>38</v>
      </c>
      <c r="P223" s="13" t="s">
        <v>1028</v>
      </c>
      <c r="Q223" s="48" t="s">
        <v>1029</v>
      </c>
      <c r="R223" s="48" t="s">
        <v>1029</v>
      </c>
      <c r="S223" s="59" t="s">
        <v>134</v>
      </c>
      <c r="T223" s="13" t="s">
        <v>1030</v>
      </c>
      <c r="U223" s="48" t="s">
        <v>1031</v>
      </c>
      <c r="V223" s="48" t="s">
        <v>1031</v>
      </c>
      <c r="W223" s="87" t="s">
        <v>1032</v>
      </c>
      <c r="X223" s="13" t="s">
        <v>8</v>
      </c>
      <c r="Y223" s="13">
        <f>5+7</f>
        <v>12</v>
      </c>
      <c r="Z223" s="13">
        <f>5+7</f>
        <v>12</v>
      </c>
      <c r="AA223" s="13">
        <f>7+3</f>
        <v>10</v>
      </c>
      <c r="AB223" s="13">
        <f>5+7</f>
        <v>12</v>
      </c>
      <c r="AC223" s="13">
        <f>5+7</f>
        <v>12</v>
      </c>
      <c r="AD223" s="13">
        <f>5+7</f>
        <v>12</v>
      </c>
      <c r="AE223" s="89">
        <f t="shared" si="136"/>
        <v>60361200</v>
      </c>
      <c r="AF223" s="89">
        <f t="shared" si="136"/>
        <v>62861200</v>
      </c>
      <c r="AG223" s="89">
        <f t="shared" si="136"/>
        <v>25544533</v>
      </c>
      <c r="AH223" s="89">
        <f t="shared" si="136"/>
        <v>25544533</v>
      </c>
      <c r="AI223" s="89">
        <f t="shared" si="136"/>
        <v>0</v>
      </c>
      <c r="AJ223" s="91">
        <f>42500000+17861200</f>
        <v>60361200</v>
      </c>
      <c r="AK223" s="91">
        <f>45000000+17861200</f>
        <v>62861200</v>
      </c>
      <c r="AL223" s="91">
        <f>8750000+16794533</f>
        <v>25544533</v>
      </c>
      <c r="AM223" s="91">
        <f>8750000+16794533</f>
        <v>25544533</v>
      </c>
      <c r="AN223" s="91"/>
      <c r="AO223" s="91"/>
      <c r="AP223" s="91"/>
      <c r="AQ223" s="91"/>
      <c r="AR223" s="91"/>
      <c r="AS223" s="91"/>
      <c r="AT223" s="91"/>
      <c r="AU223" s="91"/>
      <c r="AV223" s="91"/>
      <c r="AW223" s="91"/>
      <c r="AX223" s="91"/>
      <c r="AY223" s="91"/>
      <c r="AZ223" s="91"/>
      <c r="BA223" s="91"/>
      <c r="BB223" s="91"/>
      <c r="BC223" s="91"/>
      <c r="BD223" s="91"/>
      <c r="BE223" s="91"/>
      <c r="BF223" s="91"/>
      <c r="BG223" s="91"/>
      <c r="BH223" s="91"/>
      <c r="BI223" s="91"/>
      <c r="BJ223" s="91"/>
      <c r="BK223" s="91"/>
      <c r="BL223" s="91"/>
      <c r="BM223" s="91"/>
      <c r="BN223" s="91"/>
      <c r="BO223" s="91"/>
      <c r="BP223" s="91"/>
      <c r="BQ223" s="91"/>
      <c r="BR223" s="91"/>
      <c r="BS223" s="91"/>
      <c r="BT223" s="91"/>
      <c r="BU223" s="91"/>
      <c r="BV223" s="91"/>
      <c r="BW223" s="91"/>
      <c r="BX223" s="91"/>
      <c r="BY223" s="91"/>
      <c r="BZ223" s="91"/>
      <c r="CA223" s="91"/>
      <c r="CB223" s="91"/>
      <c r="CC223" s="91"/>
      <c r="CD223" s="91"/>
      <c r="CE223" s="91"/>
      <c r="CF223" s="91"/>
      <c r="CG223" s="91"/>
      <c r="CH223" s="91">
        <f t="shared" si="137"/>
        <v>54430600</v>
      </c>
      <c r="CI223" s="91">
        <f>37000000+17430600</f>
        <v>54430600</v>
      </c>
      <c r="CJ223" s="91"/>
      <c r="CK223" s="91"/>
      <c r="CL223" s="91"/>
      <c r="CM223" s="91"/>
      <c r="CN223" s="91"/>
      <c r="CO223" s="91"/>
      <c r="CP223" s="91"/>
      <c r="CQ223" s="91"/>
      <c r="CR223" s="91"/>
      <c r="CS223" s="91">
        <f t="shared" si="138"/>
        <v>2597510000</v>
      </c>
      <c r="CT223" s="91">
        <f>50000000+47510000</f>
        <v>97510000</v>
      </c>
      <c r="CU223" s="91"/>
      <c r="CV223" s="91"/>
      <c r="CW223" s="91"/>
      <c r="CX223" s="91"/>
      <c r="CY223" s="91"/>
      <c r="CZ223" s="91">
        <v>2500000000</v>
      </c>
      <c r="DA223" s="91"/>
      <c r="DB223" s="91"/>
      <c r="DC223" s="91"/>
      <c r="DD223" s="91">
        <f t="shared" si="139"/>
        <v>2599726800</v>
      </c>
      <c r="DE223" s="91">
        <f>51396800+48330000</f>
        <v>99726800</v>
      </c>
      <c r="DF223" s="91"/>
      <c r="DG223" s="91"/>
      <c r="DH223" s="91"/>
      <c r="DI223" s="91"/>
      <c r="DJ223" s="91"/>
      <c r="DK223" s="91">
        <v>2500000000</v>
      </c>
      <c r="DL223" s="91"/>
      <c r="DM223" s="91"/>
      <c r="DN223" s="92"/>
      <c r="DO223" s="93">
        <f t="shared" si="140"/>
        <v>5312028600</v>
      </c>
    </row>
    <row r="224" spans="1:119" s="225" customFormat="1" ht="115.5" customHeight="1" x14ac:dyDescent="0.2">
      <c r="A224" s="244">
        <v>2</v>
      </c>
      <c r="B224" s="254" t="s">
        <v>33</v>
      </c>
      <c r="C224" s="59" t="s">
        <v>343</v>
      </c>
      <c r="D224" s="59" t="s">
        <v>1721</v>
      </c>
      <c r="E224" s="55" t="s">
        <v>1009</v>
      </c>
      <c r="F224" s="13" t="s">
        <v>1010</v>
      </c>
      <c r="G224" s="59" t="s">
        <v>1011</v>
      </c>
      <c r="H224" s="55" t="s">
        <v>1012</v>
      </c>
      <c r="I224" s="13">
        <v>35</v>
      </c>
      <c r="J224" s="137" t="s">
        <v>1013</v>
      </c>
      <c r="K224" s="50">
        <v>13</v>
      </c>
      <c r="L224" s="137" t="s">
        <v>346</v>
      </c>
      <c r="M224" s="244">
        <v>27</v>
      </c>
      <c r="N224" s="247">
        <v>3502</v>
      </c>
      <c r="O224" s="245" t="s">
        <v>38</v>
      </c>
      <c r="P224" s="13" t="s">
        <v>1014</v>
      </c>
      <c r="Q224" s="48" t="s">
        <v>1015</v>
      </c>
      <c r="R224" s="48" t="s">
        <v>1015</v>
      </c>
      <c r="S224" s="59" t="s">
        <v>133</v>
      </c>
      <c r="T224" s="13" t="s">
        <v>1016</v>
      </c>
      <c r="U224" s="48" t="s">
        <v>1017</v>
      </c>
      <c r="V224" s="48" t="s">
        <v>1017</v>
      </c>
      <c r="W224" s="87" t="s">
        <v>1018</v>
      </c>
      <c r="X224" s="13" t="s">
        <v>8</v>
      </c>
      <c r="Y224" s="13">
        <v>6</v>
      </c>
      <c r="Z224" s="13">
        <v>6</v>
      </c>
      <c r="AA224" s="13">
        <v>2</v>
      </c>
      <c r="AB224" s="13">
        <v>6</v>
      </c>
      <c r="AC224" s="13">
        <v>6</v>
      </c>
      <c r="AD224" s="13">
        <v>6</v>
      </c>
      <c r="AE224" s="89">
        <f t="shared" si="136"/>
        <v>22138800</v>
      </c>
      <c r="AF224" s="89">
        <f t="shared" si="136"/>
        <v>22138800</v>
      </c>
      <c r="AG224" s="89">
        <f t="shared" si="136"/>
        <v>22138800</v>
      </c>
      <c r="AH224" s="89">
        <f t="shared" si="136"/>
        <v>22138800</v>
      </c>
      <c r="AI224" s="89">
        <f t="shared" si="136"/>
        <v>0</v>
      </c>
      <c r="AJ224" s="91">
        <v>22138800</v>
      </c>
      <c r="AK224" s="91">
        <v>22138800</v>
      </c>
      <c r="AL224" s="91">
        <v>22138800</v>
      </c>
      <c r="AM224" s="91">
        <v>22138800</v>
      </c>
      <c r="AN224" s="91"/>
      <c r="AO224" s="91"/>
      <c r="AP224" s="91"/>
      <c r="AQ224" s="91"/>
      <c r="AR224" s="91"/>
      <c r="AS224" s="91"/>
      <c r="AT224" s="91"/>
      <c r="AU224" s="91"/>
      <c r="AV224" s="91"/>
      <c r="AW224" s="91"/>
      <c r="AX224" s="91"/>
      <c r="AY224" s="91"/>
      <c r="AZ224" s="91"/>
      <c r="BA224" s="91"/>
      <c r="BB224" s="91"/>
      <c r="BC224" s="91"/>
      <c r="BD224" s="91"/>
      <c r="BE224" s="91"/>
      <c r="BF224" s="91"/>
      <c r="BG224" s="91"/>
      <c r="BH224" s="91"/>
      <c r="BI224" s="91"/>
      <c r="BJ224" s="91"/>
      <c r="BK224" s="91"/>
      <c r="BL224" s="91"/>
      <c r="BM224" s="91"/>
      <c r="BN224" s="91"/>
      <c r="BO224" s="91"/>
      <c r="BP224" s="91"/>
      <c r="BQ224" s="91"/>
      <c r="BR224" s="91"/>
      <c r="BS224" s="91"/>
      <c r="BT224" s="91"/>
      <c r="BU224" s="91"/>
      <c r="BV224" s="91"/>
      <c r="BW224" s="91"/>
      <c r="BX224" s="91"/>
      <c r="BY224" s="91"/>
      <c r="BZ224" s="91"/>
      <c r="CA224" s="91"/>
      <c r="CB224" s="91"/>
      <c r="CC224" s="91"/>
      <c r="CD224" s="91"/>
      <c r="CE224" s="91"/>
      <c r="CF224" s="91"/>
      <c r="CG224" s="91"/>
      <c r="CH224" s="91">
        <f t="shared" si="137"/>
        <v>17430600</v>
      </c>
      <c r="CI224" s="91">
        <v>17430600</v>
      </c>
      <c r="CJ224" s="91"/>
      <c r="CK224" s="91"/>
      <c r="CL224" s="91"/>
      <c r="CM224" s="91"/>
      <c r="CN224" s="91"/>
      <c r="CO224" s="91"/>
      <c r="CP224" s="91"/>
      <c r="CQ224" s="91"/>
      <c r="CR224" s="91"/>
      <c r="CS224" s="91">
        <f t="shared" si="138"/>
        <v>49000000</v>
      </c>
      <c r="CT224" s="91">
        <v>49000000</v>
      </c>
      <c r="CU224" s="91"/>
      <c r="CV224" s="91"/>
      <c r="CW224" s="91"/>
      <c r="CX224" s="91"/>
      <c r="CY224" s="91"/>
      <c r="CZ224" s="91"/>
      <c r="DA224" s="91"/>
      <c r="DB224" s="91"/>
      <c r="DC224" s="91"/>
      <c r="DD224" s="91">
        <f t="shared" si="139"/>
        <v>49000000</v>
      </c>
      <c r="DE224" s="91">
        <v>49000000</v>
      </c>
      <c r="DF224" s="91"/>
      <c r="DG224" s="91"/>
      <c r="DH224" s="91"/>
      <c r="DI224" s="91"/>
      <c r="DJ224" s="91"/>
      <c r="DK224" s="91"/>
      <c r="DL224" s="91"/>
      <c r="DM224" s="91"/>
      <c r="DN224" s="92"/>
      <c r="DO224" s="93">
        <f t="shared" si="140"/>
        <v>137569400</v>
      </c>
    </row>
    <row r="225" spans="1:119" s="225" customFormat="1" ht="110.25" customHeight="1" x14ac:dyDescent="0.2">
      <c r="A225" s="244">
        <v>2</v>
      </c>
      <c r="B225" s="254" t="s">
        <v>33</v>
      </c>
      <c r="C225" s="59" t="s">
        <v>343</v>
      </c>
      <c r="D225" s="59" t="s">
        <v>1019</v>
      </c>
      <c r="E225" s="55" t="s">
        <v>1020</v>
      </c>
      <c r="F225" s="13" t="s">
        <v>1021</v>
      </c>
      <c r="G225" s="59" t="s">
        <v>1022</v>
      </c>
      <c r="H225" s="55" t="s">
        <v>1717</v>
      </c>
      <c r="I225" s="13">
        <v>35</v>
      </c>
      <c r="J225" s="137" t="s">
        <v>1013</v>
      </c>
      <c r="K225" s="50">
        <v>13</v>
      </c>
      <c r="L225" s="137" t="s">
        <v>346</v>
      </c>
      <c r="M225" s="244">
        <v>27</v>
      </c>
      <c r="N225" s="247">
        <v>3502</v>
      </c>
      <c r="O225" s="245" t="s">
        <v>38</v>
      </c>
      <c r="P225" s="13" t="s">
        <v>1033</v>
      </c>
      <c r="Q225" s="48" t="s">
        <v>1034</v>
      </c>
      <c r="R225" s="48">
        <v>3502022</v>
      </c>
      <c r="S225" s="59" t="s">
        <v>104</v>
      </c>
      <c r="T225" s="13" t="s">
        <v>1035</v>
      </c>
      <c r="U225" s="48" t="s">
        <v>1036</v>
      </c>
      <c r="V225" s="48" t="s">
        <v>1036</v>
      </c>
      <c r="W225" s="87" t="s">
        <v>1037</v>
      </c>
      <c r="X225" s="13" t="s">
        <v>8</v>
      </c>
      <c r="Y225" s="13">
        <v>14</v>
      </c>
      <c r="Z225" s="13">
        <v>14</v>
      </c>
      <c r="AA225" s="13">
        <v>15</v>
      </c>
      <c r="AB225" s="13">
        <v>14</v>
      </c>
      <c r="AC225" s="13">
        <v>14</v>
      </c>
      <c r="AD225" s="13">
        <v>14</v>
      </c>
      <c r="AE225" s="89">
        <f t="shared" si="136"/>
        <v>189600000</v>
      </c>
      <c r="AF225" s="89">
        <f t="shared" si="136"/>
        <v>148013333</v>
      </c>
      <c r="AG225" s="89">
        <f t="shared" si="136"/>
        <v>148013333</v>
      </c>
      <c r="AH225" s="89">
        <f t="shared" si="136"/>
        <v>148013333</v>
      </c>
      <c r="AI225" s="89">
        <f t="shared" si="136"/>
        <v>0</v>
      </c>
      <c r="AJ225" s="91">
        <v>189600000</v>
      </c>
      <c r="AK225" s="91">
        <v>148013333</v>
      </c>
      <c r="AL225" s="91">
        <v>148013333</v>
      </c>
      <c r="AM225" s="91">
        <v>148013333</v>
      </c>
      <c r="AN225" s="91"/>
      <c r="AO225" s="91"/>
      <c r="AP225" s="91"/>
      <c r="AQ225" s="91"/>
      <c r="AR225" s="91"/>
      <c r="AS225" s="91"/>
      <c r="AT225" s="91"/>
      <c r="AU225" s="91"/>
      <c r="AV225" s="91"/>
      <c r="AW225" s="91"/>
      <c r="AX225" s="91"/>
      <c r="AY225" s="91"/>
      <c r="AZ225" s="91"/>
      <c r="BA225" s="91"/>
      <c r="BB225" s="91"/>
      <c r="BC225" s="91"/>
      <c r="BD225" s="91"/>
      <c r="BE225" s="91"/>
      <c r="BF225" s="91"/>
      <c r="BG225" s="91"/>
      <c r="BH225" s="91"/>
      <c r="BI225" s="91"/>
      <c r="BJ225" s="91"/>
      <c r="BK225" s="91"/>
      <c r="BL225" s="91"/>
      <c r="BM225" s="91"/>
      <c r="BN225" s="91"/>
      <c r="BO225" s="91"/>
      <c r="BP225" s="91"/>
      <c r="BQ225" s="91"/>
      <c r="BR225" s="91"/>
      <c r="BS225" s="91"/>
      <c r="BT225" s="91"/>
      <c r="BU225" s="91"/>
      <c r="BV225" s="91"/>
      <c r="BW225" s="91"/>
      <c r="BX225" s="91"/>
      <c r="BY225" s="91"/>
      <c r="BZ225" s="91"/>
      <c r="CA225" s="91"/>
      <c r="CB225" s="91"/>
      <c r="CC225" s="91"/>
      <c r="CD225" s="91"/>
      <c r="CE225" s="91"/>
      <c r="CF225" s="91"/>
      <c r="CG225" s="91"/>
      <c r="CH225" s="91">
        <f t="shared" si="137"/>
        <v>90000000</v>
      </c>
      <c r="CI225" s="91">
        <v>90000000</v>
      </c>
      <c r="CJ225" s="91"/>
      <c r="CK225" s="91"/>
      <c r="CL225" s="91"/>
      <c r="CM225" s="91"/>
      <c r="CN225" s="91"/>
      <c r="CO225" s="91"/>
      <c r="CP225" s="91"/>
      <c r="CQ225" s="91"/>
      <c r="CR225" s="91"/>
      <c r="CS225" s="91">
        <f t="shared" si="138"/>
        <v>345598568</v>
      </c>
      <c r="CT225" s="91">
        <f>120000000+225598568</f>
        <v>345598568</v>
      </c>
      <c r="CU225" s="91"/>
      <c r="CV225" s="91">
        <f>CU22873</f>
        <v>0</v>
      </c>
      <c r="CW225" s="91"/>
      <c r="CX225" s="91"/>
      <c r="CY225" s="91"/>
      <c r="CZ225" s="91"/>
      <c r="DA225" s="91"/>
      <c r="DB225" s="91"/>
      <c r="DC225" s="91"/>
      <c r="DD225" s="91">
        <f t="shared" si="139"/>
        <v>419634480</v>
      </c>
      <c r="DE225" s="91">
        <f>115000000+54634480+250000000</f>
        <v>419634480</v>
      </c>
      <c r="DF225" s="91"/>
      <c r="DG225" s="91"/>
      <c r="DH225" s="91"/>
      <c r="DI225" s="91"/>
      <c r="DJ225" s="91"/>
      <c r="DK225" s="91"/>
      <c r="DL225" s="91"/>
      <c r="DM225" s="91"/>
      <c r="DN225" s="92"/>
      <c r="DO225" s="93">
        <f t="shared" si="140"/>
        <v>1044833048</v>
      </c>
    </row>
    <row r="226" spans="1:119" s="225" customFormat="1" ht="110.25" customHeight="1" x14ac:dyDescent="0.2">
      <c r="A226" s="244">
        <v>2</v>
      </c>
      <c r="B226" s="254" t="s">
        <v>33</v>
      </c>
      <c r="C226" s="59" t="s">
        <v>343</v>
      </c>
      <c r="D226" s="59" t="s">
        <v>39</v>
      </c>
      <c r="E226" s="55" t="s">
        <v>1038</v>
      </c>
      <c r="F226" s="13" t="s">
        <v>1021</v>
      </c>
      <c r="G226" s="59" t="s">
        <v>1039</v>
      </c>
      <c r="H226" s="55" t="s">
        <v>1724</v>
      </c>
      <c r="I226" s="13">
        <v>35</v>
      </c>
      <c r="J226" s="137" t="s">
        <v>1013</v>
      </c>
      <c r="K226" s="50">
        <v>13</v>
      </c>
      <c r="L226" s="137" t="s">
        <v>346</v>
      </c>
      <c r="M226" s="244">
        <v>27</v>
      </c>
      <c r="N226" s="247">
        <v>3502</v>
      </c>
      <c r="O226" s="245" t="s">
        <v>38</v>
      </c>
      <c r="P226" s="13" t="s">
        <v>1040</v>
      </c>
      <c r="Q226" s="48" t="s">
        <v>1041</v>
      </c>
      <c r="R226" s="48" t="s">
        <v>1041</v>
      </c>
      <c r="S226" s="59" t="s">
        <v>106</v>
      </c>
      <c r="T226" s="13" t="s">
        <v>1042</v>
      </c>
      <c r="U226" s="48" t="s">
        <v>1043</v>
      </c>
      <c r="V226" s="48">
        <v>350203900</v>
      </c>
      <c r="W226" s="87" t="s">
        <v>333</v>
      </c>
      <c r="X226" s="13" t="s">
        <v>8</v>
      </c>
      <c r="Y226" s="13">
        <v>12</v>
      </c>
      <c r="Z226" s="13">
        <v>12</v>
      </c>
      <c r="AA226" s="13">
        <v>12</v>
      </c>
      <c r="AB226" s="13">
        <v>12</v>
      </c>
      <c r="AC226" s="13">
        <v>12</v>
      </c>
      <c r="AD226" s="13">
        <v>12</v>
      </c>
      <c r="AE226" s="89">
        <f t="shared" si="136"/>
        <v>183639999</v>
      </c>
      <c r="AF226" s="89">
        <f t="shared" si="136"/>
        <v>233839999</v>
      </c>
      <c r="AG226" s="89">
        <f t="shared" si="136"/>
        <v>233839999</v>
      </c>
      <c r="AH226" s="89">
        <f t="shared" si="136"/>
        <v>233839999</v>
      </c>
      <c r="AI226" s="89">
        <f t="shared" si="136"/>
        <v>0</v>
      </c>
      <c r="AJ226" s="91">
        <v>183639999</v>
      </c>
      <c r="AK226" s="91">
        <v>233839999</v>
      </c>
      <c r="AL226" s="91">
        <v>233839999</v>
      </c>
      <c r="AM226" s="91">
        <v>233839999</v>
      </c>
      <c r="AN226" s="91"/>
      <c r="AO226" s="91"/>
      <c r="AP226" s="91"/>
      <c r="AQ226" s="91"/>
      <c r="AR226" s="91"/>
      <c r="AS226" s="91"/>
      <c r="AT226" s="91"/>
      <c r="AU226" s="91"/>
      <c r="AV226" s="91"/>
      <c r="AW226" s="91"/>
      <c r="AX226" s="91"/>
      <c r="AY226" s="91"/>
      <c r="AZ226" s="91"/>
      <c r="BA226" s="91"/>
      <c r="BB226" s="91"/>
      <c r="BC226" s="91"/>
      <c r="BD226" s="91"/>
      <c r="BE226" s="91"/>
      <c r="BF226" s="91"/>
      <c r="BG226" s="91"/>
      <c r="BH226" s="91"/>
      <c r="BI226" s="91"/>
      <c r="BJ226" s="91"/>
      <c r="BK226" s="91"/>
      <c r="BL226" s="91"/>
      <c r="BM226" s="91"/>
      <c r="BN226" s="91"/>
      <c r="BO226" s="91"/>
      <c r="BP226" s="91"/>
      <c r="BQ226" s="91"/>
      <c r="BR226" s="91"/>
      <c r="BS226" s="91"/>
      <c r="BT226" s="91"/>
      <c r="BU226" s="91"/>
      <c r="BV226" s="91"/>
      <c r="BW226" s="91"/>
      <c r="BX226" s="91"/>
      <c r="BY226" s="91"/>
      <c r="BZ226" s="91"/>
      <c r="CA226" s="91"/>
      <c r="CB226" s="91"/>
      <c r="CC226" s="91"/>
      <c r="CD226" s="91"/>
      <c r="CE226" s="91"/>
      <c r="CF226" s="91"/>
      <c r="CG226" s="91"/>
      <c r="CH226" s="91">
        <f t="shared" si="137"/>
        <v>80000000</v>
      </c>
      <c r="CI226" s="91">
        <v>80000000</v>
      </c>
      <c r="CJ226" s="91"/>
      <c r="CK226" s="91"/>
      <c r="CL226" s="91"/>
      <c r="CM226" s="91"/>
      <c r="CN226" s="91"/>
      <c r="CO226" s="91"/>
      <c r="CP226" s="91"/>
      <c r="CQ226" s="91"/>
      <c r="CR226" s="91"/>
      <c r="CS226" s="91">
        <f t="shared" si="138"/>
        <v>127000000</v>
      </c>
      <c r="CT226" s="91">
        <v>127000000</v>
      </c>
      <c r="CU226" s="91"/>
      <c r="CV226" s="91"/>
      <c r="CW226" s="91"/>
      <c r="CX226" s="91"/>
      <c r="CY226" s="91"/>
      <c r="CZ226" s="91"/>
      <c r="DA226" s="91"/>
      <c r="DB226" s="91"/>
      <c r="DC226" s="91"/>
      <c r="DD226" s="91">
        <f t="shared" si="139"/>
        <v>155000000</v>
      </c>
      <c r="DE226" s="91">
        <v>155000000</v>
      </c>
      <c r="DF226" s="91"/>
      <c r="DG226" s="91"/>
      <c r="DH226" s="91"/>
      <c r="DI226" s="91"/>
      <c r="DJ226" s="91"/>
      <c r="DK226" s="91"/>
      <c r="DL226" s="91"/>
      <c r="DM226" s="91"/>
      <c r="DN226" s="92"/>
      <c r="DO226" s="93">
        <f t="shared" si="140"/>
        <v>545639999</v>
      </c>
    </row>
    <row r="227" spans="1:119" s="225" customFormat="1" ht="110.25" customHeight="1" x14ac:dyDescent="0.2">
      <c r="A227" s="244">
        <v>2</v>
      </c>
      <c r="B227" s="254" t="s">
        <v>33</v>
      </c>
      <c r="C227" s="59" t="s">
        <v>343</v>
      </c>
      <c r="D227" s="59" t="s">
        <v>39</v>
      </c>
      <c r="E227" s="55" t="s">
        <v>1038</v>
      </c>
      <c r="F227" s="13" t="s">
        <v>1021</v>
      </c>
      <c r="G227" s="59" t="s">
        <v>1039</v>
      </c>
      <c r="H227" s="55" t="s">
        <v>1724</v>
      </c>
      <c r="I227" s="13">
        <v>35</v>
      </c>
      <c r="J227" s="137" t="s">
        <v>1013</v>
      </c>
      <c r="K227" s="50">
        <v>13</v>
      </c>
      <c r="L227" s="137" t="s">
        <v>346</v>
      </c>
      <c r="M227" s="244">
        <v>27</v>
      </c>
      <c r="N227" s="247">
        <v>3502</v>
      </c>
      <c r="O227" s="245" t="s">
        <v>38</v>
      </c>
      <c r="P227" s="13" t="s">
        <v>1040</v>
      </c>
      <c r="Q227" s="48" t="s">
        <v>1041</v>
      </c>
      <c r="R227" s="48" t="s">
        <v>1041</v>
      </c>
      <c r="S227" s="59" t="s">
        <v>106</v>
      </c>
      <c r="T227" s="13" t="s">
        <v>1044</v>
      </c>
      <c r="U227" s="48" t="s">
        <v>1045</v>
      </c>
      <c r="V227" s="48" t="s">
        <v>1045</v>
      </c>
      <c r="W227" s="87" t="s">
        <v>1046</v>
      </c>
      <c r="X227" s="13" t="s">
        <v>9</v>
      </c>
      <c r="Y227" s="13">
        <v>6</v>
      </c>
      <c r="Z227" s="13">
        <v>1</v>
      </c>
      <c r="AA227" s="13">
        <v>2</v>
      </c>
      <c r="AB227" s="13">
        <v>1</v>
      </c>
      <c r="AC227" s="13">
        <v>2</v>
      </c>
      <c r="AD227" s="13">
        <v>2</v>
      </c>
      <c r="AE227" s="89">
        <f t="shared" si="136"/>
        <v>2136245001</v>
      </c>
      <c r="AF227" s="89">
        <f t="shared" si="136"/>
        <v>105167437</v>
      </c>
      <c r="AG227" s="89">
        <f t="shared" si="136"/>
        <v>55000000</v>
      </c>
      <c r="AH227" s="89">
        <f t="shared" si="136"/>
        <v>55000000</v>
      </c>
      <c r="AI227" s="89">
        <f t="shared" si="136"/>
        <v>0</v>
      </c>
      <c r="AJ227" s="91">
        <f>286245001-50000000-100000000</f>
        <v>136245001</v>
      </c>
      <c r="AK227" s="91">
        <v>105167437</v>
      </c>
      <c r="AL227" s="91">
        <v>55000000</v>
      </c>
      <c r="AM227" s="91">
        <v>55000000</v>
      </c>
      <c r="AN227" s="91"/>
      <c r="AO227" s="91"/>
      <c r="AP227" s="91"/>
      <c r="AQ227" s="91"/>
      <c r="AR227" s="91"/>
      <c r="AS227" s="91"/>
      <c r="AT227" s="91"/>
      <c r="AU227" s="91"/>
      <c r="AV227" s="91"/>
      <c r="AW227" s="91"/>
      <c r="AX227" s="91"/>
      <c r="AY227" s="91"/>
      <c r="AZ227" s="91"/>
      <c r="BA227" s="91"/>
      <c r="BB227" s="91"/>
      <c r="BC227" s="91"/>
      <c r="BD227" s="91"/>
      <c r="BE227" s="91"/>
      <c r="BF227" s="91"/>
      <c r="BG227" s="91"/>
      <c r="BH227" s="91"/>
      <c r="BI227" s="91"/>
      <c r="BJ227" s="91"/>
      <c r="BK227" s="91"/>
      <c r="BL227" s="91"/>
      <c r="BM227" s="91"/>
      <c r="BN227" s="91">
        <v>2000000000</v>
      </c>
      <c r="BO227" s="91"/>
      <c r="BP227" s="91"/>
      <c r="BQ227" s="91"/>
      <c r="BR227" s="91"/>
      <c r="BS227" s="91"/>
      <c r="BT227" s="91"/>
      <c r="BU227" s="91"/>
      <c r="BV227" s="91"/>
      <c r="BW227" s="91"/>
      <c r="BX227" s="91"/>
      <c r="BY227" s="91"/>
      <c r="BZ227" s="91"/>
      <c r="CA227" s="91"/>
      <c r="CB227" s="91"/>
      <c r="CC227" s="91"/>
      <c r="CD227" s="91"/>
      <c r="CE227" s="91"/>
      <c r="CF227" s="91"/>
      <c r="CG227" s="91"/>
      <c r="CH227" s="91">
        <f t="shared" si="137"/>
        <v>100000000</v>
      </c>
      <c r="CI227" s="91">
        <v>100000000</v>
      </c>
      <c r="CJ227" s="91"/>
      <c r="CK227" s="91"/>
      <c r="CL227" s="91"/>
      <c r="CM227" s="91"/>
      <c r="CN227" s="91"/>
      <c r="CO227" s="91"/>
      <c r="CP227" s="91"/>
      <c r="CQ227" s="91"/>
      <c r="CR227" s="91"/>
      <c r="CS227" s="91">
        <f t="shared" si="138"/>
        <v>350000000</v>
      </c>
      <c r="CT227" s="91">
        <f>250000000+100000000</f>
        <v>350000000</v>
      </c>
      <c r="CU227" s="91"/>
      <c r="CV227" s="91"/>
      <c r="CW227" s="91"/>
      <c r="CX227" s="91"/>
      <c r="CY227" s="91"/>
      <c r="CZ227" s="91"/>
      <c r="DA227" s="91"/>
      <c r="DB227" s="91"/>
      <c r="DC227" s="91"/>
      <c r="DD227" s="91">
        <f t="shared" si="139"/>
        <v>600000000</v>
      </c>
      <c r="DE227" s="91">
        <f>400000000+200000000</f>
        <v>600000000</v>
      </c>
      <c r="DF227" s="91"/>
      <c r="DG227" s="91"/>
      <c r="DH227" s="91"/>
      <c r="DI227" s="91"/>
      <c r="DJ227" s="91"/>
      <c r="DK227" s="91"/>
      <c r="DL227" s="91"/>
      <c r="DM227" s="91"/>
      <c r="DN227" s="92"/>
      <c r="DO227" s="93">
        <f t="shared" si="140"/>
        <v>3186245001</v>
      </c>
    </row>
    <row r="228" spans="1:119" s="225" customFormat="1" ht="110.25" customHeight="1" x14ac:dyDescent="0.2">
      <c r="A228" s="244">
        <v>2</v>
      </c>
      <c r="B228" s="254" t="s">
        <v>33</v>
      </c>
      <c r="C228" s="59" t="s">
        <v>343</v>
      </c>
      <c r="D228" s="59" t="s">
        <v>39</v>
      </c>
      <c r="E228" s="55" t="s">
        <v>1038</v>
      </c>
      <c r="F228" s="13" t="s">
        <v>1021</v>
      </c>
      <c r="G228" s="59" t="s">
        <v>1039</v>
      </c>
      <c r="H228" s="55" t="s">
        <v>1724</v>
      </c>
      <c r="I228" s="13">
        <v>35</v>
      </c>
      <c r="J228" s="137" t="s">
        <v>1013</v>
      </c>
      <c r="K228" s="50">
        <v>13</v>
      </c>
      <c r="L228" s="137" t="s">
        <v>346</v>
      </c>
      <c r="M228" s="244">
        <v>27</v>
      </c>
      <c r="N228" s="247">
        <v>3502</v>
      </c>
      <c r="O228" s="245" t="s">
        <v>38</v>
      </c>
      <c r="P228" s="13" t="s">
        <v>1047</v>
      </c>
      <c r="Q228" s="48" t="s">
        <v>1048</v>
      </c>
      <c r="R228" s="48" t="s">
        <v>1048</v>
      </c>
      <c r="S228" s="59" t="s">
        <v>107</v>
      </c>
      <c r="T228" s="13" t="s">
        <v>1049</v>
      </c>
      <c r="U228" s="48">
        <v>350204600</v>
      </c>
      <c r="V228" s="48">
        <v>350204600</v>
      </c>
      <c r="W228" s="87" t="s">
        <v>1050</v>
      </c>
      <c r="X228" s="13" t="s">
        <v>9</v>
      </c>
      <c r="Y228" s="13">
        <v>4</v>
      </c>
      <c r="Z228" s="13">
        <v>1</v>
      </c>
      <c r="AA228" s="13">
        <v>1</v>
      </c>
      <c r="AB228" s="13">
        <v>1</v>
      </c>
      <c r="AC228" s="13">
        <v>1</v>
      </c>
      <c r="AD228" s="13">
        <v>1</v>
      </c>
      <c r="AE228" s="89">
        <f t="shared" si="136"/>
        <v>545981904.85000002</v>
      </c>
      <c r="AF228" s="89">
        <f t="shared" si="136"/>
        <v>933596635.85000002</v>
      </c>
      <c r="AG228" s="89">
        <f t="shared" si="136"/>
        <v>283654552</v>
      </c>
      <c r="AH228" s="89">
        <f t="shared" si="136"/>
        <v>283654552</v>
      </c>
      <c r="AI228" s="89">
        <f t="shared" si="136"/>
        <v>11751600</v>
      </c>
      <c r="AJ228" s="91"/>
      <c r="AK228" s="10">
        <v>933596635.85000002</v>
      </c>
      <c r="AL228" s="91">
        <v>283654552</v>
      </c>
      <c r="AM228" s="91">
        <v>283654552</v>
      </c>
      <c r="AN228" s="91">
        <v>11751600</v>
      </c>
      <c r="AO228" s="91">
        <v>545981904.85000002</v>
      </c>
      <c r="AP228" s="9"/>
      <c r="AQ228" s="9"/>
      <c r="AR228" s="9"/>
      <c r="AS228" s="91"/>
      <c r="AT228" s="91"/>
      <c r="AU228" s="91"/>
      <c r="AV228" s="91"/>
      <c r="AW228" s="91"/>
      <c r="AX228" s="91"/>
      <c r="AY228" s="91"/>
      <c r="AZ228" s="91"/>
      <c r="BA228" s="91"/>
      <c r="BB228" s="91"/>
      <c r="BC228" s="91"/>
      <c r="BD228" s="91"/>
      <c r="BE228" s="91"/>
      <c r="BF228" s="91"/>
      <c r="BG228" s="91"/>
      <c r="BH228" s="91"/>
      <c r="BI228" s="91"/>
      <c r="BJ228" s="91"/>
      <c r="BK228" s="91"/>
      <c r="BL228" s="91"/>
      <c r="BM228" s="91"/>
      <c r="BN228" s="91"/>
      <c r="BO228" s="91"/>
      <c r="BP228" s="91"/>
      <c r="BQ228" s="91"/>
      <c r="BR228" s="91"/>
      <c r="BS228" s="91"/>
      <c r="BT228" s="91"/>
      <c r="BU228" s="91"/>
      <c r="BV228" s="91"/>
      <c r="BW228" s="91"/>
      <c r="BX228" s="91"/>
      <c r="BY228" s="91"/>
      <c r="BZ228" s="91"/>
      <c r="CA228" s="91"/>
      <c r="CB228" s="91"/>
      <c r="CC228" s="91"/>
      <c r="CD228" s="91"/>
      <c r="CE228" s="91"/>
      <c r="CF228" s="91"/>
      <c r="CG228" s="91"/>
      <c r="CH228" s="91">
        <f t="shared" si="137"/>
        <v>546250367</v>
      </c>
      <c r="CI228" s="91"/>
      <c r="CJ228" s="91">
        <f>516250367+30000000</f>
        <v>546250367</v>
      </c>
      <c r="CK228" s="91"/>
      <c r="CL228" s="91"/>
      <c r="CM228" s="91"/>
      <c r="CN228" s="91"/>
      <c r="CO228" s="91"/>
      <c r="CP228" s="91"/>
      <c r="CQ228" s="91"/>
      <c r="CR228" s="91"/>
      <c r="CS228" s="91">
        <f t="shared" si="138"/>
        <v>648205113</v>
      </c>
      <c r="CT228" s="91"/>
      <c r="CU228" s="91">
        <f>598205113+50000000</f>
        <v>648205113</v>
      </c>
      <c r="CV228" s="91"/>
      <c r="CW228" s="91"/>
      <c r="CX228" s="91"/>
      <c r="CY228" s="91"/>
      <c r="CZ228" s="91"/>
      <c r="DA228" s="91"/>
      <c r="DB228" s="91"/>
      <c r="DC228" s="91"/>
      <c r="DD228" s="91">
        <f t="shared" si="139"/>
        <v>734612518</v>
      </c>
      <c r="DE228" s="91"/>
      <c r="DF228" s="91">
        <f>684612518+50000000</f>
        <v>734612518</v>
      </c>
      <c r="DG228" s="91"/>
      <c r="DH228" s="91"/>
      <c r="DI228" s="91"/>
      <c r="DJ228" s="91"/>
      <c r="DK228" s="91"/>
      <c r="DL228" s="91"/>
      <c r="DM228" s="91"/>
      <c r="DN228" s="92"/>
      <c r="DO228" s="93">
        <f t="shared" si="140"/>
        <v>2475049902.8499999</v>
      </c>
    </row>
    <row r="229" spans="1:119" s="225" customFormat="1" ht="110.25" customHeight="1" x14ac:dyDescent="0.2">
      <c r="A229" s="244">
        <v>2</v>
      </c>
      <c r="B229" s="254" t="s">
        <v>33</v>
      </c>
      <c r="C229" s="59" t="s">
        <v>343</v>
      </c>
      <c r="D229" s="59" t="s">
        <v>1019</v>
      </c>
      <c r="E229" s="55" t="s">
        <v>1020</v>
      </c>
      <c r="F229" s="13" t="s">
        <v>1021</v>
      </c>
      <c r="G229" s="59" t="s">
        <v>1022</v>
      </c>
      <c r="H229" s="55" t="s">
        <v>1717</v>
      </c>
      <c r="I229" s="13">
        <v>35</v>
      </c>
      <c r="J229" s="137" t="s">
        <v>1013</v>
      </c>
      <c r="K229" s="50">
        <v>13</v>
      </c>
      <c r="L229" s="137" t="s">
        <v>346</v>
      </c>
      <c r="M229" s="244">
        <v>27</v>
      </c>
      <c r="N229" s="247">
        <v>3502</v>
      </c>
      <c r="O229" s="245" t="s">
        <v>38</v>
      </c>
      <c r="P229" s="13" t="s">
        <v>1051</v>
      </c>
      <c r="Q229" s="48" t="s">
        <v>1052</v>
      </c>
      <c r="R229" s="48" t="s">
        <v>1052</v>
      </c>
      <c r="S229" s="59" t="s">
        <v>105</v>
      </c>
      <c r="T229" s="13" t="s">
        <v>1053</v>
      </c>
      <c r="U229" s="48" t="s">
        <v>1054</v>
      </c>
      <c r="V229" s="48" t="s">
        <v>1054</v>
      </c>
      <c r="W229" s="87" t="s">
        <v>851</v>
      </c>
      <c r="X229" s="13" t="s">
        <v>9</v>
      </c>
      <c r="Y229" s="13">
        <v>2</v>
      </c>
      <c r="Z229" s="13">
        <f>Y229*30%</f>
        <v>0.6</v>
      </c>
      <c r="AA229" s="13">
        <v>0.6</v>
      </c>
      <c r="AB229" s="115">
        <v>1.4</v>
      </c>
      <c r="AC229" s="13"/>
      <c r="AD229" s="13"/>
      <c r="AE229" s="89">
        <f t="shared" si="136"/>
        <v>56519937</v>
      </c>
      <c r="AF229" s="89">
        <f t="shared" si="136"/>
        <v>47586667</v>
      </c>
      <c r="AG229" s="89">
        <f t="shared" si="136"/>
        <v>19400000</v>
      </c>
      <c r="AH229" s="89">
        <f t="shared" si="136"/>
        <v>19400000</v>
      </c>
      <c r="AI229" s="89">
        <f t="shared" si="136"/>
        <v>0</v>
      </c>
      <c r="AJ229" s="91">
        <f>20000000+36519937</f>
        <v>56519937</v>
      </c>
      <c r="AK229" s="10">
        <f>43586667+4000000</f>
        <v>47586667</v>
      </c>
      <c r="AL229" s="10">
        <f>17400000+2000000</f>
        <v>19400000</v>
      </c>
      <c r="AM229" s="10">
        <f>17400000+2000000</f>
        <v>19400000</v>
      </c>
      <c r="AN229" s="91"/>
      <c r="AO229" s="91"/>
      <c r="AP229" s="91"/>
      <c r="AQ229" s="91"/>
      <c r="AR229" s="91"/>
      <c r="AS229" s="91"/>
      <c r="AT229" s="91"/>
      <c r="AU229" s="91"/>
      <c r="AV229" s="91"/>
      <c r="AW229" s="91"/>
      <c r="AX229" s="91"/>
      <c r="AY229" s="91"/>
      <c r="AZ229" s="91"/>
      <c r="BA229" s="91"/>
      <c r="BB229" s="91"/>
      <c r="BC229" s="91"/>
      <c r="BD229" s="91"/>
      <c r="BE229" s="91"/>
      <c r="BF229" s="91"/>
      <c r="BG229" s="91"/>
      <c r="BH229" s="91"/>
      <c r="BI229" s="91"/>
      <c r="BJ229" s="91"/>
      <c r="BK229" s="91"/>
      <c r="BL229" s="91"/>
      <c r="BM229" s="91"/>
      <c r="BN229" s="91"/>
      <c r="BO229" s="91"/>
      <c r="BP229" s="91"/>
      <c r="BQ229" s="91"/>
      <c r="BR229" s="91"/>
      <c r="BS229" s="91"/>
      <c r="BT229" s="91"/>
      <c r="BU229" s="91"/>
      <c r="BV229" s="91"/>
      <c r="BW229" s="91"/>
      <c r="BX229" s="91"/>
      <c r="BY229" s="91"/>
      <c r="BZ229" s="91"/>
      <c r="CA229" s="91"/>
      <c r="CB229" s="91"/>
      <c r="CC229" s="91"/>
      <c r="CD229" s="91"/>
      <c r="CE229" s="91"/>
      <c r="CF229" s="91">
        <v>0</v>
      </c>
      <c r="CG229" s="91"/>
      <c r="CH229" s="91">
        <f t="shared" si="137"/>
        <v>130000000</v>
      </c>
      <c r="CI229" s="91">
        <v>130000000</v>
      </c>
      <c r="CJ229" s="91"/>
      <c r="CK229" s="91"/>
      <c r="CL229" s="91"/>
      <c r="CM229" s="91"/>
      <c r="CN229" s="91"/>
      <c r="CO229" s="91"/>
      <c r="CP229" s="91"/>
      <c r="CQ229" s="91"/>
      <c r="CR229" s="91"/>
      <c r="CS229" s="91">
        <f t="shared" si="138"/>
        <v>0</v>
      </c>
      <c r="CT229" s="91"/>
      <c r="CU229" s="91"/>
      <c r="CV229" s="91"/>
      <c r="CW229" s="91"/>
      <c r="CX229" s="91"/>
      <c r="CY229" s="91"/>
      <c r="CZ229" s="91"/>
      <c r="DA229" s="91"/>
      <c r="DB229" s="91"/>
      <c r="DC229" s="91"/>
      <c r="DD229" s="91">
        <f t="shared" si="139"/>
        <v>0</v>
      </c>
      <c r="DE229" s="91"/>
      <c r="DF229" s="91"/>
      <c r="DG229" s="91"/>
      <c r="DH229" s="91"/>
      <c r="DI229" s="91"/>
      <c r="DJ229" s="91"/>
      <c r="DK229" s="91"/>
      <c r="DL229" s="91"/>
      <c r="DM229" s="91"/>
      <c r="DN229" s="92"/>
      <c r="DO229" s="93">
        <f t="shared" si="140"/>
        <v>186519937</v>
      </c>
    </row>
    <row r="230" spans="1:119" s="225" customFormat="1" ht="110.25" customHeight="1" x14ac:dyDescent="0.2">
      <c r="A230" s="244">
        <v>2</v>
      </c>
      <c r="B230" s="254" t="s">
        <v>33</v>
      </c>
      <c r="C230" s="94" t="s">
        <v>396</v>
      </c>
      <c r="D230" s="59" t="s">
        <v>1637</v>
      </c>
      <c r="E230" s="55" t="s">
        <v>1038</v>
      </c>
      <c r="F230" s="13" t="s">
        <v>1021</v>
      </c>
      <c r="G230" s="59" t="s">
        <v>1039</v>
      </c>
      <c r="H230" s="55" t="s">
        <v>1724</v>
      </c>
      <c r="I230" s="120">
        <v>35</v>
      </c>
      <c r="J230" s="13" t="s">
        <v>1013</v>
      </c>
      <c r="K230" s="50">
        <v>13</v>
      </c>
      <c r="L230" s="13" t="s">
        <v>346</v>
      </c>
      <c r="M230" s="244">
        <v>27</v>
      </c>
      <c r="N230" s="247">
        <v>3502</v>
      </c>
      <c r="O230" s="245" t="s">
        <v>38</v>
      </c>
      <c r="P230" s="13" t="s">
        <v>1055</v>
      </c>
      <c r="Q230" s="48">
        <v>3502084</v>
      </c>
      <c r="R230" s="48">
        <v>3502084</v>
      </c>
      <c r="S230" s="94" t="s">
        <v>40</v>
      </c>
      <c r="T230" s="13" t="s">
        <v>1056</v>
      </c>
      <c r="U230" s="48">
        <v>350208400</v>
      </c>
      <c r="V230" s="48">
        <v>350208400</v>
      </c>
      <c r="W230" s="95" t="s">
        <v>40</v>
      </c>
      <c r="X230" s="48" t="s">
        <v>9</v>
      </c>
      <c r="Y230" s="13">
        <v>1</v>
      </c>
      <c r="Z230" s="13">
        <v>0.5</v>
      </c>
      <c r="AA230" s="13">
        <v>0</v>
      </c>
      <c r="AB230" s="13">
        <v>0.5</v>
      </c>
      <c r="AC230" s="59"/>
      <c r="AD230" s="59"/>
      <c r="AE230" s="89">
        <f t="shared" si="136"/>
        <v>1501000000</v>
      </c>
      <c r="AF230" s="89">
        <f t="shared" si="136"/>
        <v>1000000</v>
      </c>
      <c r="AG230" s="89">
        <f t="shared" si="136"/>
        <v>0</v>
      </c>
      <c r="AH230" s="89">
        <f t="shared" si="136"/>
        <v>0</v>
      </c>
      <c r="AI230" s="89">
        <f t="shared" si="136"/>
        <v>0</v>
      </c>
      <c r="AJ230" s="91">
        <v>1000000</v>
      </c>
      <c r="AK230" s="91">
        <v>1000000</v>
      </c>
      <c r="AL230" s="91"/>
      <c r="AM230" s="91"/>
      <c r="AN230" s="91"/>
      <c r="AO230" s="91"/>
      <c r="AP230" s="91"/>
      <c r="AQ230" s="91"/>
      <c r="AR230" s="91"/>
      <c r="AS230" s="91"/>
      <c r="AT230" s="91"/>
      <c r="AU230" s="91"/>
      <c r="AV230" s="91"/>
      <c r="AW230" s="91"/>
      <c r="AX230" s="91"/>
      <c r="AY230" s="91"/>
      <c r="AZ230" s="91"/>
      <c r="BA230" s="91"/>
      <c r="BB230" s="91"/>
      <c r="BC230" s="91"/>
      <c r="BD230" s="91"/>
      <c r="BE230" s="91"/>
      <c r="BF230" s="91"/>
      <c r="BG230" s="91"/>
      <c r="BH230" s="91"/>
      <c r="BI230" s="91"/>
      <c r="BJ230" s="91"/>
      <c r="BK230" s="91"/>
      <c r="BL230" s="91"/>
      <c r="BM230" s="91"/>
      <c r="BN230" s="91">
        <v>1500000000</v>
      </c>
      <c r="BO230" s="91"/>
      <c r="BP230" s="91"/>
      <c r="BQ230" s="91"/>
      <c r="BR230" s="91"/>
      <c r="BS230" s="91"/>
      <c r="BT230" s="91"/>
      <c r="BU230" s="91"/>
      <c r="BV230" s="91"/>
      <c r="BW230" s="91"/>
      <c r="BX230" s="91"/>
      <c r="BY230" s="91"/>
      <c r="BZ230" s="91"/>
      <c r="CA230" s="91"/>
      <c r="CB230" s="91"/>
      <c r="CC230" s="91"/>
      <c r="CD230" s="91"/>
      <c r="CE230" s="91"/>
      <c r="CF230" s="91"/>
      <c r="CG230" s="91"/>
      <c r="CH230" s="91">
        <f t="shared" si="137"/>
        <v>1900000</v>
      </c>
      <c r="CI230" s="91">
        <v>1900000</v>
      </c>
      <c r="CJ230" s="91"/>
      <c r="CK230" s="91"/>
      <c r="CL230" s="91"/>
      <c r="CM230" s="91"/>
      <c r="CN230" s="91"/>
      <c r="CO230" s="91"/>
      <c r="CP230" s="91"/>
      <c r="CQ230" s="91"/>
      <c r="CR230" s="91"/>
      <c r="CS230" s="91">
        <f t="shared" si="138"/>
        <v>0</v>
      </c>
      <c r="CT230" s="91"/>
      <c r="CU230" s="91"/>
      <c r="CV230" s="91"/>
      <c r="CW230" s="91"/>
      <c r="CX230" s="91"/>
      <c r="CY230" s="91"/>
      <c r="CZ230" s="91"/>
      <c r="DA230" s="91"/>
      <c r="DB230" s="91"/>
      <c r="DC230" s="91"/>
      <c r="DD230" s="91">
        <f t="shared" si="139"/>
        <v>0</v>
      </c>
      <c r="DE230" s="91"/>
      <c r="DF230" s="91"/>
      <c r="DG230" s="91"/>
      <c r="DH230" s="91"/>
      <c r="DI230" s="91"/>
      <c r="DJ230" s="91"/>
      <c r="DK230" s="91"/>
      <c r="DL230" s="91"/>
      <c r="DM230" s="91"/>
      <c r="DN230" s="92"/>
      <c r="DO230" s="93">
        <f t="shared" si="140"/>
        <v>1502900000</v>
      </c>
    </row>
    <row r="231" spans="1:119" ht="36" customHeight="1" x14ac:dyDescent="0.2">
      <c r="A231" s="64"/>
      <c r="B231" s="255"/>
      <c r="C231" s="74"/>
      <c r="D231" s="74"/>
      <c r="E231" s="77"/>
      <c r="F231" s="74"/>
      <c r="G231" s="74"/>
      <c r="H231" s="77"/>
      <c r="I231" s="74"/>
      <c r="J231" s="74"/>
      <c r="K231" s="74"/>
      <c r="L231" s="74"/>
      <c r="M231" s="96">
        <v>28</v>
      </c>
      <c r="N231" s="96">
        <v>3602</v>
      </c>
      <c r="O231" s="97" t="s">
        <v>108</v>
      </c>
      <c r="P231" s="96"/>
      <c r="Q231" s="98"/>
      <c r="R231" s="98"/>
      <c r="S231" s="98"/>
      <c r="T231" s="98"/>
      <c r="U231" s="98"/>
      <c r="V231" s="98"/>
      <c r="W231" s="83"/>
      <c r="X231" s="83"/>
      <c r="Y231" s="84"/>
      <c r="Z231" s="84"/>
      <c r="AA231" s="84"/>
      <c r="AB231" s="84"/>
      <c r="AC231" s="84"/>
      <c r="AD231" s="81"/>
      <c r="AE231" s="85">
        <f>SUM(AE232:AE235)</f>
        <v>385685000</v>
      </c>
      <c r="AF231" s="85">
        <f>SUM(AF232:AF235)</f>
        <v>1235685000</v>
      </c>
      <c r="AG231" s="85">
        <f t="shared" ref="AG231:DO231" si="141">SUM(AG232:AG235)</f>
        <v>1126359998</v>
      </c>
      <c r="AH231" s="85">
        <f t="shared" si="141"/>
        <v>1126359998</v>
      </c>
      <c r="AI231" s="85">
        <f t="shared" si="141"/>
        <v>0</v>
      </c>
      <c r="AJ231" s="85">
        <f t="shared" si="141"/>
        <v>385685000</v>
      </c>
      <c r="AK231" s="85">
        <f>SUM(AK232:AK235)</f>
        <v>1235685000</v>
      </c>
      <c r="AL231" s="85">
        <f t="shared" si="141"/>
        <v>1126359998</v>
      </c>
      <c r="AM231" s="85">
        <f t="shared" si="141"/>
        <v>1126359998</v>
      </c>
      <c r="AN231" s="85">
        <f t="shared" si="141"/>
        <v>0</v>
      </c>
      <c r="AO231" s="85">
        <f t="shared" si="141"/>
        <v>0</v>
      </c>
      <c r="AP231" s="85">
        <f t="shared" si="141"/>
        <v>0</v>
      </c>
      <c r="AQ231" s="85">
        <f t="shared" si="141"/>
        <v>0</v>
      </c>
      <c r="AR231" s="85">
        <f t="shared" si="141"/>
        <v>0</v>
      </c>
      <c r="AS231" s="85">
        <f t="shared" si="141"/>
        <v>0</v>
      </c>
      <c r="AT231" s="85">
        <f t="shared" si="141"/>
        <v>0</v>
      </c>
      <c r="AU231" s="85">
        <f>SUM(AU232:AU235)</f>
        <v>0</v>
      </c>
      <c r="AV231" s="85">
        <f t="shared" si="141"/>
        <v>0</v>
      </c>
      <c r="AW231" s="85">
        <f t="shared" si="141"/>
        <v>0</v>
      </c>
      <c r="AX231" s="85">
        <f t="shared" si="141"/>
        <v>0</v>
      </c>
      <c r="AY231" s="85">
        <f t="shared" si="141"/>
        <v>0</v>
      </c>
      <c r="AZ231" s="85">
        <f t="shared" si="141"/>
        <v>0</v>
      </c>
      <c r="BA231" s="85">
        <f t="shared" si="141"/>
        <v>0</v>
      </c>
      <c r="BB231" s="85">
        <f t="shared" si="141"/>
        <v>0</v>
      </c>
      <c r="BC231" s="85">
        <f t="shared" si="141"/>
        <v>0</v>
      </c>
      <c r="BD231" s="85">
        <f t="shared" si="141"/>
        <v>0</v>
      </c>
      <c r="BE231" s="85">
        <f>SUM(BE232:BE235)</f>
        <v>0</v>
      </c>
      <c r="BF231" s="85">
        <f t="shared" si="141"/>
        <v>0</v>
      </c>
      <c r="BG231" s="85">
        <f t="shared" si="141"/>
        <v>0</v>
      </c>
      <c r="BH231" s="85">
        <f t="shared" si="141"/>
        <v>0</v>
      </c>
      <c r="BI231" s="85">
        <f t="shared" si="141"/>
        <v>0</v>
      </c>
      <c r="BJ231" s="85">
        <f t="shared" si="141"/>
        <v>0</v>
      </c>
      <c r="BK231" s="85">
        <f t="shared" si="141"/>
        <v>0</v>
      </c>
      <c r="BL231" s="85">
        <f t="shared" si="141"/>
        <v>0</v>
      </c>
      <c r="BM231" s="85">
        <f t="shared" si="141"/>
        <v>0</v>
      </c>
      <c r="BN231" s="85">
        <f t="shared" si="141"/>
        <v>0</v>
      </c>
      <c r="BO231" s="85">
        <f>SUM(BO232:BO235)</f>
        <v>0</v>
      </c>
      <c r="BP231" s="85">
        <f t="shared" si="141"/>
        <v>0</v>
      </c>
      <c r="BQ231" s="85">
        <f t="shared" si="141"/>
        <v>0</v>
      </c>
      <c r="BR231" s="85">
        <f t="shared" si="141"/>
        <v>0</v>
      </c>
      <c r="BS231" s="85">
        <f t="shared" si="141"/>
        <v>0</v>
      </c>
      <c r="BT231" s="85">
        <f t="shared" si="141"/>
        <v>0</v>
      </c>
      <c r="BU231" s="85">
        <f t="shared" si="141"/>
        <v>0</v>
      </c>
      <c r="BV231" s="85">
        <f t="shared" si="141"/>
        <v>0</v>
      </c>
      <c r="BW231" s="85">
        <f t="shared" si="141"/>
        <v>0</v>
      </c>
      <c r="BX231" s="85">
        <f t="shared" si="141"/>
        <v>0</v>
      </c>
      <c r="BY231" s="85">
        <f>SUM(BY232:BY235)</f>
        <v>0</v>
      </c>
      <c r="BZ231" s="85">
        <f t="shared" si="141"/>
        <v>0</v>
      </c>
      <c r="CA231" s="85">
        <f t="shared" si="141"/>
        <v>0</v>
      </c>
      <c r="CB231" s="85">
        <f t="shared" si="141"/>
        <v>0</v>
      </c>
      <c r="CC231" s="85">
        <f t="shared" si="141"/>
        <v>0</v>
      </c>
      <c r="CD231" s="85">
        <f t="shared" si="141"/>
        <v>0</v>
      </c>
      <c r="CE231" s="85">
        <f t="shared" si="141"/>
        <v>0</v>
      </c>
      <c r="CF231" s="85">
        <f t="shared" si="141"/>
        <v>0</v>
      </c>
      <c r="CG231" s="85">
        <f t="shared" si="141"/>
        <v>0</v>
      </c>
      <c r="CH231" s="85">
        <f t="shared" si="141"/>
        <v>237500000</v>
      </c>
      <c r="CI231" s="85">
        <f t="shared" si="141"/>
        <v>237500000</v>
      </c>
      <c r="CJ231" s="85">
        <f t="shared" si="141"/>
        <v>0</v>
      </c>
      <c r="CK231" s="85">
        <f t="shared" si="141"/>
        <v>0</v>
      </c>
      <c r="CL231" s="85">
        <f t="shared" si="141"/>
        <v>0</v>
      </c>
      <c r="CM231" s="85">
        <f t="shared" si="141"/>
        <v>0</v>
      </c>
      <c r="CN231" s="85">
        <f t="shared" si="141"/>
        <v>0</v>
      </c>
      <c r="CO231" s="85">
        <f t="shared" si="141"/>
        <v>0</v>
      </c>
      <c r="CP231" s="85">
        <f t="shared" si="141"/>
        <v>0</v>
      </c>
      <c r="CQ231" s="85">
        <f t="shared" si="141"/>
        <v>0</v>
      </c>
      <c r="CR231" s="85">
        <f t="shared" si="141"/>
        <v>0</v>
      </c>
      <c r="CS231" s="85">
        <f t="shared" si="141"/>
        <v>289530000</v>
      </c>
      <c r="CT231" s="85">
        <f t="shared" si="141"/>
        <v>289530000</v>
      </c>
      <c r="CU231" s="85">
        <f t="shared" si="141"/>
        <v>0</v>
      </c>
      <c r="CV231" s="85">
        <f t="shared" si="141"/>
        <v>0</v>
      </c>
      <c r="CW231" s="85">
        <f t="shared" si="141"/>
        <v>0</v>
      </c>
      <c r="CX231" s="85">
        <f t="shared" si="141"/>
        <v>0</v>
      </c>
      <c r="CY231" s="85">
        <f t="shared" si="141"/>
        <v>0</v>
      </c>
      <c r="CZ231" s="85">
        <f t="shared" si="141"/>
        <v>0</v>
      </c>
      <c r="DA231" s="85">
        <f t="shared" si="141"/>
        <v>0</v>
      </c>
      <c r="DB231" s="85">
        <f t="shared" si="141"/>
        <v>0</v>
      </c>
      <c r="DC231" s="85">
        <f t="shared" si="141"/>
        <v>0</v>
      </c>
      <c r="DD231" s="85">
        <f t="shared" si="141"/>
        <v>687805825</v>
      </c>
      <c r="DE231" s="85">
        <f t="shared" si="141"/>
        <v>687805825</v>
      </c>
      <c r="DF231" s="85">
        <f t="shared" si="141"/>
        <v>0</v>
      </c>
      <c r="DG231" s="85">
        <f t="shared" si="141"/>
        <v>0</v>
      </c>
      <c r="DH231" s="85">
        <f t="shared" si="141"/>
        <v>0</v>
      </c>
      <c r="DI231" s="85">
        <f t="shared" si="141"/>
        <v>0</v>
      </c>
      <c r="DJ231" s="85">
        <f t="shared" si="141"/>
        <v>0</v>
      </c>
      <c r="DK231" s="85">
        <f t="shared" si="141"/>
        <v>0</v>
      </c>
      <c r="DL231" s="85">
        <f t="shared" si="141"/>
        <v>0</v>
      </c>
      <c r="DM231" s="85">
        <f t="shared" si="141"/>
        <v>0</v>
      </c>
      <c r="DN231" s="86">
        <f t="shared" si="141"/>
        <v>0</v>
      </c>
      <c r="DO231" s="85">
        <f t="shared" si="141"/>
        <v>1600520825</v>
      </c>
    </row>
    <row r="232" spans="1:119" s="225" customFormat="1" ht="110.25" customHeight="1" x14ac:dyDescent="0.2">
      <c r="A232" s="244">
        <v>2</v>
      </c>
      <c r="B232" s="254" t="s">
        <v>33</v>
      </c>
      <c r="C232" s="59" t="s">
        <v>343</v>
      </c>
      <c r="D232" s="59" t="s">
        <v>1057</v>
      </c>
      <c r="E232" s="55" t="s">
        <v>1020</v>
      </c>
      <c r="F232" s="13" t="s">
        <v>1021</v>
      </c>
      <c r="G232" s="59" t="s">
        <v>1058</v>
      </c>
      <c r="H232" s="55" t="s">
        <v>1718</v>
      </c>
      <c r="I232" s="13">
        <v>36</v>
      </c>
      <c r="J232" s="13" t="s">
        <v>1059</v>
      </c>
      <c r="K232" s="50">
        <v>13</v>
      </c>
      <c r="L232" s="13" t="s">
        <v>346</v>
      </c>
      <c r="M232" s="244">
        <v>28</v>
      </c>
      <c r="N232" s="247">
        <v>3602</v>
      </c>
      <c r="O232" s="245" t="s">
        <v>108</v>
      </c>
      <c r="P232" s="13" t="s">
        <v>1060</v>
      </c>
      <c r="Q232" s="48" t="s">
        <v>1061</v>
      </c>
      <c r="R232" s="48" t="s">
        <v>1061</v>
      </c>
      <c r="S232" s="59" t="s">
        <v>109</v>
      </c>
      <c r="T232" s="13" t="s">
        <v>1062</v>
      </c>
      <c r="U232" s="48" t="s">
        <v>1063</v>
      </c>
      <c r="V232" s="48" t="s">
        <v>1063</v>
      </c>
      <c r="W232" s="87" t="s">
        <v>1064</v>
      </c>
      <c r="X232" s="13" t="s">
        <v>9</v>
      </c>
      <c r="Y232" s="13">
        <v>14</v>
      </c>
      <c r="Z232" s="13">
        <v>3</v>
      </c>
      <c r="AA232" s="13">
        <v>3</v>
      </c>
      <c r="AB232" s="13">
        <v>3</v>
      </c>
      <c r="AC232" s="13">
        <v>4</v>
      </c>
      <c r="AD232" s="13">
        <v>4</v>
      </c>
      <c r="AE232" s="89">
        <f t="shared" ref="AE232:AF235" si="142">AJ232+AO232+AT232+AY232+BD232+BI232+BN232+BS232+BX232+CC232</f>
        <v>273285000</v>
      </c>
      <c r="AF232" s="89">
        <f t="shared" si="142"/>
        <v>1110285000</v>
      </c>
      <c r="AG232" s="89">
        <f>AL232+AQ232+AV232+BA232+BF232+BK232+BP232+BU232+BZ232+CE232</f>
        <v>1009000000</v>
      </c>
      <c r="AH232" s="89">
        <f t="shared" ref="AH232:AI235" si="143">AM232+AR232+AW232+BB232+BG232+BL232+BQ232+BV232+CA232+CF232</f>
        <v>1009000000</v>
      </c>
      <c r="AI232" s="89">
        <f t="shared" si="143"/>
        <v>0</v>
      </c>
      <c r="AJ232" s="91">
        <f>173285000+100000000</f>
        <v>273285000</v>
      </c>
      <c r="AK232" s="91">
        <v>1110285000</v>
      </c>
      <c r="AL232" s="91">
        <v>1009000000</v>
      </c>
      <c r="AM232" s="91">
        <v>1009000000</v>
      </c>
      <c r="AN232" s="91"/>
      <c r="AO232" s="91"/>
      <c r="AP232" s="91"/>
      <c r="AQ232" s="91"/>
      <c r="AR232" s="91"/>
      <c r="AS232" s="91"/>
      <c r="AT232" s="91"/>
      <c r="AU232" s="91"/>
      <c r="AV232" s="91"/>
      <c r="AW232" s="91"/>
      <c r="AX232" s="91"/>
      <c r="AY232" s="91"/>
      <c r="AZ232" s="91"/>
      <c r="BA232" s="91"/>
      <c r="BB232" s="91"/>
      <c r="BC232" s="91"/>
      <c r="BD232" s="91"/>
      <c r="BE232" s="91"/>
      <c r="BF232" s="91"/>
      <c r="BG232" s="91"/>
      <c r="BH232" s="91"/>
      <c r="BI232" s="91"/>
      <c r="BJ232" s="91"/>
      <c r="BK232" s="91"/>
      <c r="BL232" s="91"/>
      <c r="BM232" s="91"/>
      <c r="BN232" s="91"/>
      <c r="BO232" s="91"/>
      <c r="BP232" s="91"/>
      <c r="BQ232" s="91"/>
      <c r="BR232" s="91"/>
      <c r="BS232" s="91"/>
      <c r="BT232" s="91"/>
      <c r="BU232" s="91"/>
      <c r="BV232" s="91"/>
      <c r="BW232" s="91"/>
      <c r="BX232" s="91"/>
      <c r="BY232" s="91"/>
      <c r="BZ232" s="91"/>
      <c r="CA232" s="91"/>
      <c r="CB232" s="91"/>
      <c r="CC232" s="91"/>
      <c r="CD232" s="91"/>
      <c r="CE232" s="91"/>
      <c r="CF232" s="91"/>
      <c r="CG232" s="91"/>
      <c r="CH232" s="91">
        <f>CI232+CJ232+CK232+CL232+CM232+CN232+CO232+CP232+CQ232+CR232</f>
        <v>120000000</v>
      </c>
      <c r="CI232" s="91">
        <v>120000000</v>
      </c>
      <c r="CJ232" s="91"/>
      <c r="CK232" s="91"/>
      <c r="CL232" s="91"/>
      <c r="CM232" s="91"/>
      <c r="CN232" s="91"/>
      <c r="CO232" s="91"/>
      <c r="CP232" s="91"/>
      <c r="CQ232" s="91"/>
      <c r="CR232" s="91"/>
      <c r="CS232" s="91">
        <f t="shared" si="138"/>
        <v>150000000</v>
      </c>
      <c r="CT232" s="91">
        <v>150000000</v>
      </c>
      <c r="CU232" s="91"/>
      <c r="CV232" s="91"/>
      <c r="CW232" s="91"/>
      <c r="CX232" s="91"/>
      <c r="CY232" s="91"/>
      <c r="CZ232" s="91"/>
      <c r="DA232" s="91"/>
      <c r="DB232" s="91"/>
      <c r="DC232" s="91"/>
      <c r="DD232" s="91">
        <f>DE232+DF232+DG232+DH232+DI232+DJ232+DK232+DL232+DM232+DN232</f>
        <v>437805825</v>
      </c>
      <c r="DE232" s="91">
        <v>437805825</v>
      </c>
      <c r="DF232" s="91"/>
      <c r="DG232" s="91"/>
      <c r="DH232" s="91"/>
      <c r="DI232" s="91"/>
      <c r="DJ232" s="91"/>
      <c r="DK232" s="91"/>
      <c r="DL232" s="91"/>
      <c r="DM232" s="91"/>
      <c r="DN232" s="92"/>
      <c r="DO232" s="93">
        <f>AE232+CH232+CS232+DD232</f>
        <v>981090825</v>
      </c>
    </row>
    <row r="233" spans="1:119" s="225" customFormat="1" ht="112.5" customHeight="1" x14ac:dyDescent="0.2">
      <c r="A233" s="244">
        <v>2</v>
      </c>
      <c r="B233" s="254" t="s">
        <v>33</v>
      </c>
      <c r="C233" s="59" t="s">
        <v>343</v>
      </c>
      <c r="D233" s="59" t="s">
        <v>1057</v>
      </c>
      <c r="E233" s="55" t="s">
        <v>1020</v>
      </c>
      <c r="F233" s="13" t="s">
        <v>1021</v>
      </c>
      <c r="G233" s="59" t="s">
        <v>1058</v>
      </c>
      <c r="H233" s="55" t="s">
        <v>1718</v>
      </c>
      <c r="I233" s="13">
        <v>36</v>
      </c>
      <c r="J233" s="13" t="s">
        <v>1059</v>
      </c>
      <c r="K233" s="50">
        <v>13</v>
      </c>
      <c r="L233" s="13" t="s">
        <v>346</v>
      </c>
      <c r="M233" s="244">
        <v>28</v>
      </c>
      <c r="N233" s="247">
        <v>3602</v>
      </c>
      <c r="O233" s="245" t="s">
        <v>108</v>
      </c>
      <c r="P233" s="13" t="s">
        <v>1065</v>
      </c>
      <c r="Q233" s="48" t="s">
        <v>1066</v>
      </c>
      <c r="R233" s="48" t="s">
        <v>1066</v>
      </c>
      <c r="S233" s="59" t="s">
        <v>1067</v>
      </c>
      <c r="T233" s="13" t="s">
        <v>1068</v>
      </c>
      <c r="U233" s="48" t="s">
        <v>1069</v>
      </c>
      <c r="V233" s="48" t="s">
        <v>1069</v>
      </c>
      <c r="W233" s="87" t="s">
        <v>1070</v>
      </c>
      <c r="X233" s="13" t="s">
        <v>9</v>
      </c>
      <c r="Y233" s="13">
        <v>42</v>
      </c>
      <c r="Z233" s="13">
        <v>5</v>
      </c>
      <c r="AA233" s="13">
        <v>5</v>
      </c>
      <c r="AB233" s="13">
        <v>12</v>
      </c>
      <c r="AC233" s="13">
        <v>12</v>
      </c>
      <c r="AD233" s="13">
        <v>13</v>
      </c>
      <c r="AE233" s="89">
        <f t="shared" si="142"/>
        <v>20000000</v>
      </c>
      <c r="AF233" s="89">
        <f t="shared" si="142"/>
        <v>34400000</v>
      </c>
      <c r="AG233" s="89">
        <f>AL233+AQ233+AV233+BA233+BF233+BK233+BP233+BU233+BZ233+CE233</f>
        <v>34400000</v>
      </c>
      <c r="AH233" s="89">
        <f t="shared" si="143"/>
        <v>34400000</v>
      </c>
      <c r="AI233" s="89">
        <f t="shared" si="143"/>
        <v>0</v>
      </c>
      <c r="AJ233" s="91">
        <v>20000000</v>
      </c>
      <c r="AK233" s="91">
        <v>34400000</v>
      </c>
      <c r="AL233" s="91">
        <v>34400000</v>
      </c>
      <c r="AM233" s="91">
        <v>34400000</v>
      </c>
      <c r="AN233" s="91"/>
      <c r="AO233" s="91"/>
      <c r="AP233" s="91"/>
      <c r="AQ233" s="91"/>
      <c r="AR233" s="91"/>
      <c r="AS233" s="91"/>
      <c r="AT233" s="91"/>
      <c r="AU233" s="91"/>
      <c r="AV233" s="91"/>
      <c r="AW233" s="91"/>
      <c r="AX233" s="91"/>
      <c r="AY233" s="91"/>
      <c r="AZ233" s="91"/>
      <c r="BA233" s="91"/>
      <c r="BB233" s="91"/>
      <c r="BC233" s="91"/>
      <c r="BD233" s="91"/>
      <c r="BE233" s="91"/>
      <c r="BF233" s="91"/>
      <c r="BG233" s="91"/>
      <c r="BH233" s="91"/>
      <c r="BI233" s="91"/>
      <c r="BJ233" s="91"/>
      <c r="BK233" s="91"/>
      <c r="BL233" s="91"/>
      <c r="BM233" s="91"/>
      <c r="BN233" s="91"/>
      <c r="BO233" s="91"/>
      <c r="BP233" s="91"/>
      <c r="BQ233" s="91"/>
      <c r="BR233" s="91"/>
      <c r="BS233" s="91"/>
      <c r="BT233" s="91"/>
      <c r="BU233" s="91"/>
      <c r="BV233" s="91"/>
      <c r="BW233" s="91"/>
      <c r="BX233" s="91"/>
      <c r="BY233" s="91"/>
      <c r="BZ233" s="91"/>
      <c r="CA233" s="91"/>
      <c r="CB233" s="91"/>
      <c r="CC233" s="91"/>
      <c r="CD233" s="91"/>
      <c r="CE233" s="91"/>
      <c r="CF233" s="91"/>
      <c r="CG233" s="91"/>
      <c r="CH233" s="91">
        <f>CI233+CJ233+CK233+CL233+CM233+CN233+CO233+CP233+CQ233+CR233</f>
        <v>22500000</v>
      </c>
      <c r="CI233" s="91">
        <v>22500000</v>
      </c>
      <c r="CJ233" s="91"/>
      <c r="CK233" s="91"/>
      <c r="CL233" s="91"/>
      <c r="CM233" s="91"/>
      <c r="CN233" s="91"/>
      <c r="CO233" s="91"/>
      <c r="CP233" s="91"/>
      <c r="CQ233" s="91"/>
      <c r="CR233" s="91"/>
      <c r="CS233" s="91">
        <f t="shared" si="138"/>
        <v>24530000</v>
      </c>
      <c r="CT233" s="91">
        <v>24530000</v>
      </c>
      <c r="CU233" s="91"/>
      <c r="CV233" s="91"/>
      <c r="CW233" s="91"/>
      <c r="CX233" s="91"/>
      <c r="CY233" s="91"/>
      <c r="CZ233" s="91"/>
      <c r="DA233" s="91"/>
      <c r="DB233" s="91"/>
      <c r="DC233" s="91"/>
      <c r="DD233" s="91">
        <f>DE233+DF233+DG233+DH233+DI233+DJ233+DK233+DL233+DM233+DN233</f>
        <v>30000000</v>
      </c>
      <c r="DE233" s="91">
        <v>30000000</v>
      </c>
      <c r="DF233" s="91"/>
      <c r="DG233" s="91"/>
      <c r="DH233" s="91"/>
      <c r="DI233" s="91"/>
      <c r="DJ233" s="91"/>
      <c r="DK233" s="91"/>
      <c r="DL233" s="91"/>
      <c r="DM233" s="91"/>
      <c r="DN233" s="92"/>
      <c r="DO233" s="93">
        <f>AE233+CH233+CS233+DD233</f>
        <v>97030000</v>
      </c>
    </row>
    <row r="234" spans="1:119" s="225" customFormat="1" ht="111" customHeight="1" x14ac:dyDescent="0.2">
      <c r="A234" s="244">
        <v>2</v>
      </c>
      <c r="B234" s="254" t="s">
        <v>33</v>
      </c>
      <c r="C234" s="59" t="s">
        <v>343</v>
      </c>
      <c r="D234" s="59" t="s">
        <v>1057</v>
      </c>
      <c r="E234" s="55" t="s">
        <v>1020</v>
      </c>
      <c r="F234" s="13" t="s">
        <v>1021</v>
      </c>
      <c r="G234" s="59" t="s">
        <v>1058</v>
      </c>
      <c r="H234" s="55" t="s">
        <v>1718</v>
      </c>
      <c r="I234" s="13">
        <v>36</v>
      </c>
      <c r="J234" s="13" t="s">
        <v>1059</v>
      </c>
      <c r="K234" s="50">
        <v>13</v>
      </c>
      <c r="L234" s="13" t="s">
        <v>346</v>
      </c>
      <c r="M234" s="244">
        <v>28</v>
      </c>
      <c r="N234" s="247">
        <v>3602</v>
      </c>
      <c r="O234" s="245" t="s">
        <v>108</v>
      </c>
      <c r="P234" s="13" t="s">
        <v>1071</v>
      </c>
      <c r="Q234" s="48">
        <v>3602030</v>
      </c>
      <c r="R234" s="48">
        <v>3602030</v>
      </c>
      <c r="S234" s="59" t="s">
        <v>110</v>
      </c>
      <c r="T234" s="13" t="s">
        <v>1072</v>
      </c>
      <c r="U234" s="48" t="s">
        <v>1073</v>
      </c>
      <c r="V234" s="48" t="s">
        <v>1073</v>
      </c>
      <c r="W234" s="87" t="s">
        <v>1074</v>
      </c>
      <c r="X234" s="13" t="s">
        <v>9</v>
      </c>
      <c r="Y234" s="13">
        <v>12</v>
      </c>
      <c r="Z234" s="13">
        <v>1</v>
      </c>
      <c r="AA234" s="13">
        <v>1</v>
      </c>
      <c r="AB234" s="13">
        <v>3</v>
      </c>
      <c r="AC234" s="13">
        <v>4</v>
      </c>
      <c r="AD234" s="13">
        <v>4</v>
      </c>
      <c r="AE234" s="89">
        <f t="shared" si="142"/>
        <v>18000000</v>
      </c>
      <c r="AF234" s="89">
        <f t="shared" si="142"/>
        <v>19000000</v>
      </c>
      <c r="AG234" s="89">
        <f>AL234+AQ234+AV234+BA234+BF234+BK234+BP234+BU234+BZ234+CE234</f>
        <v>12040000</v>
      </c>
      <c r="AH234" s="89">
        <f t="shared" si="143"/>
        <v>12040000</v>
      </c>
      <c r="AI234" s="89">
        <f t="shared" si="143"/>
        <v>0</v>
      </c>
      <c r="AJ234" s="91">
        <v>18000000</v>
      </c>
      <c r="AK234" s="91">
        <v>19000000</v>
      </c>
      <c r="AL234" s="91">
        <v>12040000</v>
      </c>
      <c r="AM234" s="91">
        <v>12040000</v>
      </c>
      <c r="AN234" s="91"/>
      <c r="AO234" s="91"/>
      <c r="AP234" s="91"/>
      <c r="AQ234" s="91"/>
      <c r="AR234" s="91"/>
      <c r="AS234" s="91"/>
      <c r="AT234" s="91"/>
      <c r="AU234" s="91"/>
      <c r="AV234" s="91"/>
      <c r="AW234" s="91"/>
      <c r="AX234" s="91"/>
      <c r="AY234" s="91"/>
      <c r="AZ234" s="91"/>
      <c r="BA234" s="91"/>
      <c r="BB234" s="91"/>
      <c r="BC234" s="91"/>
      <c r="BD234" s="91"/>
      <c r="BE234" s="91"/>
      <c r="BF234" s="91"/>
      <c r="BG234" s="91"/>
      <c r="BH234" s="91"/>
      <c r="BI234" s="91"/>
      <c r="BJ234" s="91"/>
      <c r="BK234" s="91"/>
      <c r="BL234" s="91"/>
      <c r="BM234" s="91"/>
      <c r="BN234" s="91"/>
      <c r="BO234" s="91"/>
      <c r="BP234" s="91"/>
      <c r="BQ234" s="91"/>
      <c r="BR234" s="91"/>
      <c r="BS234" s="91"/>
      <c r="BT234" s="91"/>
      <c r="BU234" s="91"/>
      <c r="BV234" s="91"/>
      <c r="BW234" s="91"/>
      <c r="BX234" s="91"/>
      <c r="BY234" s="91"/>
      <c r="BZ234" s="91"/>
      <c r="CA234" s="91"/>
      <c r="CB234" s="91"/>
      <c r="CC234" s="91"/>
      <c r="CD234" s="91"/>
      <c r="CE234" s="91"/>
      <c r="CF234" s="91"/>
      <c r="CG234" s="91"/>
      <c r="CH234" s="91">
        <f>CI234+CJ234+CK234+CL234+CM234+CN234+CO234+CP234+CQ234+CR234</f>
        <v>35000000</v>
      </c>
      <c r="CI234" s="91">
        <v>35000000</v>
      </c>
      <c r="CJ234" s="91"/>
      <c r="CK234" s="91"/>
      <c r="CL234" s="91"/>
      <c r="CM234" s="91"/>
      <c r="CN234" s="91"/>
      <c r="CO234" s="91"/>
      <c r="CP234" s="91"/>
      <c r="CQ234" s="91"/>
      <c r="CR234" s="91"/>
      <c r="CS234" s="91">
        <f t="shared" si="138"/>
        <v>35000000</v>
      </c>
      <c r="CT234" s="91">
        <v>35000000</v>
      </c>
      <c r="CU234" s="91"/>
      <c r="CV234" s="91"/>
      <c r="CW234" s="91"/>
      <c r="CX234" s="91"/>
      <c r="CY234" s="91"/>
      <c r="CZ234" s="91"/>
      <c r="DA234" s="91"/>
      <c r="DB234" s="91"/>
      <c r="DC234" s="91"/>
      <c r="DD234" s="91">
        <f>DE234+DF234+DG234+DH234+DI234+DJ234+DK234+DL234+DM234+DN234</f>
        <v>40000000</v>
      </c>
      <c r="DE234" s="91">
        <v>40000000</v>
      </c>
      <c r="DF234" s="91"/>
      <c r="DG234" s="91"/>
      <c r="DH234" s="91"/>
      <c r="DI234" s="91"/>
      <c r="DJ234" s="91"/>
      <c r="DK234" s="91"/>
      <c r="DL234" s="91"/>
      <c r="DM234" s="91"/>
      <c r="DN234" s="92"/>
      <c r="DO234" s="93">
        <f>AE234+CH234+CS234+DD234</f>
        <v>128000000</v>
      </c>
    </row>
    <row r="235" spans="1:119" s="225" customFormat="1" ht="110.25" customHeight="1" x14ac:dyDescent="0.2">
      <c r="A235" s="244">
        <v>2</v>
      </c>
      <c r="B235" s="254" t="s">
        <v>33</v>
      </c>
      <c r="C235" s="59" t="s">
        <v>343</v>
      </c>
      <c r="D235" s="59" t="s">
        <v>1057</v>
      </c>
      <c r="E235" s="55" t="s">
        <v>1020</v>
      </c>
      <c r="F235" s="13" t="s">
        <v>1021</v>
      </c>
      <c r="G235" s="59" t="s">
        <v>1075</v>
      </c>
      <c r="H235" s="55" t="s">
        <v>1718</v>
      </c>
      <c r="I235" s="13">
        <v>36</v>
      </c>
      <c r="J235" s="13" t="s">
        <v>1059</v>
      </c>
      <c r="K235" s="50">
        <v>13</v>
      </c>
      <c r="L235" s="13" t="s">
        <v>346</v>
      </c>
      <c r="M235" s="244">
        <v>28</v>
      </c>
      <c r="N235" s="247">
        <v>3602</v>
      </c>
      <c r="O235" s="245" t="s">
        <v>108</v>
      </c>
      <c r="P235" s="13" t="s">
        <v>1076</v>
      </c>
      <c r="Q235" s="48" t="s">
        <v>1077</v>
      </c>
      <c r="R235" s="48" t="s">
        <v>1077</v>
      </c>
      <c r="S235" s="59" t="s">
        <v>1078</v>
      </c>
      <c r="T235" s="13" t="s">
        <v>1079</v>
      </c>
      <c r="U235" s="48" t="s">
        <v>1080</v>
      </c>
      <c r="V235" s="48" t="s">
        <v>1080</v>
      </c>
      <c r="W235" s="87" t="s">
        <v>1081</v>
      </c>
      <c r="X235" s="13" t="s">
        <v>8</v>
      </c>
      <c r="Y235" s="13">
        <v>14</v>
      </c>
      <c r="Z235" s="13">
        <v>14</v>
      </c>
      <c r="AA235" s="13">
        <v>14</v>
      </c>
      <c r="AB235" s="13">
        <v>14</v>
      </c>
      <c r="AC235" s="13">
        <v>14</v>
      </c>
      <c r="AD235" s="13">
        <v>14</v>
      </c>
      <c r="AE235" s="89">
        <f t="shared" si="142"/>
        <v>74400000</v>
      </c>
      <c r="AF235" s="89">
        <f t="shared" si="142"/>
        <v>72000000</v>
      </c>
      <c r="AG235" s="89">
        <f>AL235+AQ235+AV235+BA235+BF235+BK235+BP235+BU235+BZ235+CE235</f>
        <v>70919998</v>
      </c>
      <c r="AH235" s="89">
        <f t="shared" si="143"/>
        <v>70919998</v>
      </c>
      <c r="AI235" s="89">
        <f t="shared" si="143"/>
        <v>0</v>
      </c>
      <c r="AJ235" s="91">
        <v>74400000</v>
      </c>
      <c r="AK235" s="91">
        <v>72000000</v>
      </c>
      <c r="AL235" s="91">
        <v>70919998</v>
      </c>
      <c r="AM235" s="91">
        <v>70919998</v>
      </c>
      <c r="AN235" s="91"/>
      <c r="AO235" s="91"/>
      <c r="AP235" s="91"/>
      <c r="AQ235" s="91"/>
      <c r="AR235" s="91"/>
      <c r="AS235" s="91"/>
      <c r="AT235" s="91"/>
      <c r="AU235" s="91"/>
      <c r="AV235" s="91"/>
      <c r="AW235" s="91"/>
      <c r="AX235" s="91"/>
      <c r="AY235" s="91"/>
      <c r="AZ235" s="91"/>
      <c r="BA235" s="91"/>
      <c r="BB235" s="91"/>
      <c r="BC235" s="91"/>
      <c r="BD235" s="91"/>
      <c r="BE235" s="91"/>
      <c r="BF235" s="91"/>
      <c r="BG235" s="91"/>
      <c r="BH235" s="91"/>
      <c r="BI235" s="91"/>
      <c r="BJ235" s="91"/>
      <c r="BK235" s="91"/>
      <c r="BL235" s="91"/>
      <c r="BM235" s="91"/>
      <c r="BN235" s="91"/>
      <c r="BO235" s="91"/>
      <c r="BP235" s="91"/>
      <c r="BQ235" s="91"/>
      <c r="BR235" s="91"/>
      <c r="BS235" s="91"/>
      <c r="BT235" s="91"/>
      <c r="BU235" s="91"/>
      <c r="BV235" s="91"/>
      <c r="BW235" s="91"/>
      <c r="BX235" s="91"/>
      <c r="BY235" s="91"/>
      <c r="BZ235" s="91"/>
      <c r="CA235" s="91"/>
      <c r="CB235" s="91"/>
      <c r="CC235" s="91"/>
      <c r="CD235" s="91"/>
      <c r="CE235" s="91"/>
      <c r="CF235" s="91"/>
      <c r="CG235" s="91"/>
      <c r="CH235" s="91">
        <f>CI235+CJ235+CK235+CL235+CM235+CN235+CO235+CP235+CQ235+CR235</f>
        <v>60000000</v>
      </c>
      <c r="CI235" s="91">
        <v>60000000</v>
      </c>
      <c r="CJ235" s="91"/>
      <c r="CK235" s="91"/>
      <c r="CL235" s="91"/>
      <c r="CM235" s="91"/>
      <c r="CN235" s="91"/>
      <c r="CO235" s="91"/>
      <c r="CP235" s="91"/>
      <c r="CQ235" s="91"/>
      <c r="CR235" s="91"/>
      <c r="CS235" s="91">
        <f t="shared" si="138"/>
        <v>80000000</v>
      </c>
      <c r="CT235" s="91">
        <v>80000000</v>
      </c>
      <c r="CU235" s="91"/>
      <c r="CV235" s="91"/>
      <c r="CW235" s="91"/>
      <c r="CX235" s="91"/>
      <c r="CY235" s="91"/>
      <c r="CZ235" s="91"/>
      <c r="DA235" s="91"/>
      <c r="DB235" s="91"/>
      <c r="DC235" s="91"/>
      <c r="DD235" s="91">
        <f>DE235+DF235+DG235+DH235+DI235+DJ235+DK235+DL235+DM235+DN235</f>
        <v>180000000</v>
      </c>
      <c r="DE235" s="91">
        <v>180000000</v>
      </c>
      <c r="DF235" s="91"/>
      <c r="DG235" s="91"/>
      <c r="DH235" s="91"/>
      <c r="DI235" s="91"/>
      <c r="DJ235" s="91"/>
      <c r="DK235" s="91"/>
      <c r="DL235" s="91"/>
      <c r="DM235" s="91"/>
      <c r="DN235" s="92"/>
      <c r="DO235" s="93">
        <f>AE235+CH235+CS235+DD235</f>
        <v>394400000</v>
      </c>
    </row>
    <row r="236" spans="1:119" ht="26.25" customHeight="1" x14ac:dyDescent="0.2">
      <c r="A236" s="64"/>
      <c r="B236" s="255"/>
      <c r="C236" s="74"/>
      <c r="D236" s="74"/>
      <c r="E236" s="77"/>
      <c r="F236" s="74"/>
      <c r="G236" s="74"/>
      <c r="H236" s="77"/>
      <c r="I236" s="74"/>
      <c r="J236" s="74"/>
      <c r="K236" s="74"/>
      <c r="L236" s="74"/>
      <c r="M236" s="96">
        <v>29</v>
      </c>
      <c r="N236" s="96">
        <v>3604</v>
      </c>
      <c r="O236" s="97" t="s">
        <v>216</v>
      </c>
      <c r="P236" s="96"/>
      <c r="Q236" s="98"/>
      <c r="R236" s="98"/>
      <c r="S236" s="98"/>
      <c r="T236" s="98"/>
      <c r="U236" s="98"/>
      <c r="V236" s="98"/>
      <c r="W236" s="83"/>
      <c r="X236" s="83"/>
      <c r="Y236" s="84"/>
      <c r="Z236" s="84"/>
      <c r="AA236" s="84"/>
      <c r="AB236" s="84"/>
      <c r="AC236" s="84"/>
      <c r="AD236" s="81"/>
      <c r="AE236" s="85">
        <f>AE237</f>
        <v>25000000</v>
      </c>
      <c r="AF236" s="85">
        <f t="shared" ref="AF236:DO236" si="144">AF237</f>
        <v>25000000</v>
      </c>
      <c r="AG236" s="85">
        <f t="shared" si="144"/>
        <v>0</v>
      </c>
      <c r="AH236" s="85">
        <f t="shared" si="144"/>
        <v>0</v>
      </c>
      <c r="AI236" s="85">
        <f t="shared" si="144"/>
        <v>0</v>
      </c>
      <c r="AJ236" s="85">
        <f t="shared" si="144"/>
        <v>25000000</v>
      </c>
      <c r="AK236" s="85">
        <f t="shared" si="144"/>
        <v>25000000</v>
      </c>
      <c r="AL236" s="85">
        <f t="shared" si="144"/>
        <v>0</v>
      </c>
      <c r="AM236" s="85">
        <f t="shared" si="144"/>
        <v>0</v>
      </c>
      <c r="AN236" s="85">
        <f t="shared" si="144"/>
        <v>0</v>
      </c>
      <c r="AO236" s="85">
        <f t="shared" si="144"/>
        <v>0</v>
      </c>
      <c r="AP236" s="85">
        <f t="shared" si="144"/>
        <v>0</v>
      </c>
      <c r="AQ236" s="85">
        <f t="shared" si="144"/>
        <v>0</v>
      </c>
      <c r="AR236" s="85">
        <f t="shared" si="144"/>
        <v>0</v>
      </c>
      <c r="AS236" s="85">
        <f t="shared" si="144"/>
        <v>0</v>
      </c>
      <c r="AT236" s="85">
        <f t="shared" si="144"/>
        <v>0</v>
      </c>
      <c r="AU236" s="85">
        <f t="shared" si="144"/>
        <v>0</v>
      </c>
      <c r="AV236" s="85">
        <f t="shared" si="144"/>
        <v>0</v>
      </c>
      <c r="AW236" s="85">
        <f t="shared" si="144"/>
        <v>0</v>
      </c>
      <c r="AX236" s="85">
        <f t="shared" si="144"/>
        <v>0</v>
      </c>
      <c r="AY236" s="85">
        <f t="shared" si="144"/>
        <v>0</v>
      </c>
      <c r="AZ236" s="85">
        <f t="shared" si="144"/>
        <v>0</v>
      </c>
      <c r="BA236" s="85">
        <f t="shared" si="144"/>
        <v>0</v>
      </c>
      <c r="BB236" s="85">
        <f t="shared" si="144"/>
        <v>0</v>
      </c>
      <c r="BC236" s="85">
        <f t="shared" si="144"/>
        <v>0</v>
      </c>
      <c r="BD236" s="85">
        <f t="shared" si="144"/>
        <v>0</v>
      </c>
      <c r="BE236" s="85">
        <f t="shared" si="144"/>
        <v>0</v>
      </c>
      <c r="BF236" s="85">
        <f t="shared" si="144"/>
        <v>0</v>
      </c>
      <c r="BG236" s="85">
        <f t="shared" si="144"/>
        <v>0</v>
      </c>
      <c r="BH236" s="85">
        <f t="shared" si="144"/>
        <v>0</v>
      </c>
      <c r="BI236" s="85">
        <f t="shared" si="144"/>
        <v>0</v>
      </c>
      <c r="BJ236" s="85">
        <f t="shared" si="144"/>
        <v>0</v>
      </c>
      <c r="BK236" s="85">
        <f t="shared" si="144"/>
        <v>0</v>
      </c>
      <c r="BL236" s="85">
        <f t="shared" si="144"/>
        <v>0</v>
      </c>
      <c r="BM236" s="85">
        <f t="shared" si="144"/>
        <v>0</v>
      </c>
      <c r="BN236" s="85">
        <f t="shared" si="144"/>
        <v>0</v>
      </c>
      <c r="BO236" s="85">
        <f t="shared" si="144"/>
        <v>0</v>
      </c>
      <c r="BP236" s="85">
        <f t="shared" si="144"/>
        <v>0</v>
      </c>
      <c r="BQ236" s="85">
        <f t="shared" si="144"/>
        <v>0</v>
      </c>
      <c r="BR236" s="85">
        <f t="shared" si="144"/>
        <v>0</v>
      </c>
      <c r="BS236" s="85">
        <f t="shared" si="144"/>
        <v>0</v>
      </c>
      <c r="BT236" s="85">
        <f t="shared" si="144"/>
        <v>0</v>
      </c>
      <c r="BU236" s="85">
        <f t="shared" si="144"/>
        <v>0</v>
      </c>
      <c r="BV236" s="85">
        <f t="shared" si="144"/>
        <v>0</v>
      </c>
      <c r="BW236" s="85">
        <f t="shared" si="144"/>
        <v>0</v>
      </c>
      <c r="BX236" s="85">
        <f t="shared" si="144"/>
        <v>0</v>
      </c>
      <c r="BY236" s="85">
        <f t="shared" si="144"/>
        <v>0</v>
      </c>
      <c r="BZ236" s="85">
        <f t="shared" si="144"/>
        <v>0</v>
      </c>
      <c r="CA236" s="85">
        <f t="shared" si="144"/>
        <v>0</v>
      </c>
      <c r="CB236" s="85">
        <f t="shared" si="144"/>
        <v>0</v>
      </c>
      <c r="CC236" s="85">
        <f t="shared" si="144"/>
        <v>0</v>
      </c>
      <c r="CD236" s="85">
        <f t="shared" si="144"/>
        <v>0</v>
      </c>
      <c r="CE236" s="85">
        <f t="shared" si="144"/>
        <v>0</v>
      </c>
      <c r="CF236" s="85">
        <f t="shared" si="144"/>
        <v>0</v>
      </c>
      <c r="CG236" s="85">
        <f t="shared" si="144"/>
        <v>0</v>
      </c>
      <c r="CH236" s="85">
        <f t="shared" si="144"/>
        <v>14250000</v>
      </c>
      <c r="CI236" s="85">
        <f t="shared" si="144"/>
        <v>14250000</v>
      </c>
      <c r="CJ236" s="85">
        <f t="shared" si="144"/>
        <v>0</v>
      </c>
      <c r="CK236" s="85">
        <f t="shared" si="144"/>
        <v>0</v>
      </c>
      <c r="CL236" s="85">
        <f t="shared" si="144"/>
        <v>0</v>
      </c>
      <c r="CM236" s="85">
        <f t="shared" si="144"/>
        <v>0</v>
      </c>
      <c r="CN236" s="85">
        <f t="shared" si="144"/>
        <v>0</v>
      </c>
      <c r="CO236" s="85">
        <f t="shared" si="144"/>
        <v>0</v>
      </c>
      <c r="CP236" s="85">
        <f t="shared" si="144"/>
        <v>0</v>
      </c>
      <c r="CQ236" s="85">
        <f t="shared" si="144"/>
        <v>0</v>
      </c>
      <c r="CR236" s="85">
        <f t="shared" si="144"/>
        <v>0</v>
      </c>
      <c r="CS236" s="85">
        <f t="shared" si="144"/>
        <v>31848300</v>
      </c>
      <c r="CT236" s="85">
        <f t="shared" si="144"/>
        <v>31848300</v>
      </c>
      <c r="CU236" s="85">
        <f t="shared" si="144"/>
        <v>0</v>
      </c>
      <c r="CV236" s="85">
        <f t="shared" si="144"/>
        <v>0</v>
      </c>
      <c r="CW236" s="85">
        <f t="shared" si="144"/>
        <v>0</v>
      </c>
      <c r="CX236" s="85">
        <f t="shared" si="144"/>
        <v>0</v>
      </c>
      <c r="CY236" s="85">
        <f t="shared" si="144"/>
        <v>0</v>
      </c>
      <c r="CZ236" s="85">
        <f t="shared" si="144"/>
        <v>0</v>
      </c>
      <c r="DA236" s="85">
        <f t="shared" si="144"/>
        <v>0</v>
      </c>
      <c r="DB236" s="85">
        <f t="shared" si="144"/>
        <v>0</v>
      </c>
      <c r="DC236" s="85">
        <f t="shared" si="144"/>
        <v>0</v>
      </c>
      <c r="DD236" s="85">
        <f t="shared" si="144"/>
        <v>68131000</v>
      </c>
      <c r="DE236" s="85">
        <f t="shared" si="144"/>
        <v>68131000</v>
      </c>
      <c r="DF236" s="85">
        <f t="shared" si="144"/>
        <v>0</v>
      </c>
      <c r="DG236" s="85">
        <f t="shared" si="144"/>
        <v>0</v>
      </c>
      <c r="DH236" s="85">
        <f t="shared" si="144"/>
        <v>0</v>
      </c>
      <c r="DI236" s="85">
        <f t="shared" si="144"/>
        <v>0</v>
      </c>
      <c r="DJ236" s="85">
        <f t="shared" si="144"/>
        <v>0</v>
      </c>
      <c r="DK236" s="85">
        <f t="shared" si="144"/>
        <v>0</v>
      </c>
      <c r="DL236" s="85">
        <f t="shared" si="144"/>
        <v>0</v>
      </c>
      <c r="DM236" s="85">
        <f t="shared" si="144"/>
        <v>0</v>
      </c>
      <c r="DN236" s="86">
        <f t="shared" si="144"/>
        <v>0</v>
      </c>
      <c r="DO236" s="85">
        <f t="shared" si="144"/>
        <v>139229300</v>
      </c>
    </row>
    <row r="237" spans="1:119" s="225" customFormat="1" ht="126" customHeight="1" x14ac:dyDescent="0.2">
      <c r="A237" s="244">
        <v>2</v>
      </c>
      <c r="B237" s="254" t="s">
        <v>33</v>
      </c>
      <c r="C237" s="59" t="s">
        <v>396</v>
      </c>
      <c r="D237" s="150" t="s">
        <v>217</v>
      </c>
      <c r="E237" s="118" t="s">
        <v>1082</v>
      </c>
      <c r="F237" s="13">
        <v>2018</v>
      </c>
      <c r="G237" s="59" t="s">
        <v>1083</v>
      </c>
      <c r="H237" s="118">
        <v>0.4</v>
      </c>
      <c r="I237" s="13">
        <v>36</v>
      </c>
      <c r="J237" s="13" t="s">
        <v>1059</v>
      </c>
      <c r="K237" s="50">
        <v>14</v>
      </c>
      <c r="L237" s="13" t="s">
        <v>1084</v>
      </c>
      <c r="M237" s="244">
        <v>29</v>
      </c>
      <c r="N237" s="244">
        <v>3604</v>
      </c>
      <c r="O237" s="251" t="s">
        <v>216</v>
      </c>
      <c r="P237" s="13" t="s">
        <v>1085</v>
      </c>
      <c r="Q237" s="120">
        <v>3604006</v>
      </c>
      <c r="R237" s="120">
        <v>3604006</v>
      </c>
      <c r="S237" s="59" t="s">
        <v>218</v>
      </c>
      <c r="T237" s="13" t="s">
        <v>1086</v>
      </c>
      <c r="U237" s="48" t="s">
        <v>1087</v>
      </c>
      <c r="V237" s="48" t="s">
        <v>1087</v>
      </c>
      <c r="W237" s="122" t="s">
        <v>543</v>
      </c>
      <c r="X237" s="120" t="s">
        <v>9</v>
      </c>
      <c r="Y237" s="120">
        <v>800</v>
      </c>
      <c r="Z237" s="120">
        <v>50</v>
      </c>
      <c r="AA237" s="120">
        <v>70</v>
      </c>
      <c r="AB237" s="120">
        <v>200</v>
      </c>
      <c r="AC237" s="120">
        <v>250</v>
      </c>
      <c r="AD237" s="120">
        <v>300</v>
      </c>
      <c r="AE237" s="89">
        <f>AJ237+AO237+AT237+AY237+BD237+BI237+BN237+BS237+BX237+CC237</f>
        <v>25000000</v>
      </c>
      <c r="AF237" s="89">
        <f>AK237+AP237+AU237+AZ237+BE237+BJ237+BO237+BT237+BY237+CD237</f>
        <v>25000000</v>
      </c>
      <c r="AG237" s="89">
        <f>AL237+AQ237+AV237+BA237+BF237+BK237+BP237+BU237+BZ237+CE237</f>
        <v>0</v>
      </c>
      <c r="AH237" s="89">
        <f>AM237+AR237+AW237+BB237+BG237+BL237+BQ237+BV237+CA237+CF237</f>
        <v>0</v>
      </c>
      <c r="AI237" s="89">
        <f>AN237+AS237+AX237+BC237+BH237+BM237+BR237+BW237+CB237+CG237</f>
        <v>0</v>
      </c>
      <c r="AJ237" s="91">
        <v>25000000</v>
      </c>
      <c r="AK237" s="91">
        <v>25000000</v>
      </c>
      <c r="AL237" s="91"/>
      <c r="AM237" s="91"/>
      <c r="AN237" s="91"/>
      <c r="AO237" s="91"/>
      <c r="AP237" s="91"/>
      <c r="AQ237" s="91"/>
      <c r="AR237" s="91"/>
      <c r="AS237" s="91"/>
      <c r="AT237" s="91"/>
      <c r="AU237" s="91"/>
      <c r="AV237" s="91"/>
      <c r="AW237" s="91"/>
      <c r="AX237" s="91"/>
      <c r="AY237" s="91"/>
      <c r="AZ237" s="91"/>
      <c r="BA237" s="91"/>
      <c r="BB237" s="91"/>
      <c r="BC237" s="91"/>
      <c r="BD237" s="91"/>
      <c r="BE237" s="91"/>
      <c r="BF237" s="91"/>
      <c r="BG237" s="91"/>
      <c r="BH237" s="91"/>
      <c r="BI237" s="91"/>
      <c r="BJ237" s="91"/>
      <c r="BK237" s="91"/>
      <c r="BL237" s="91"/>
      <c r="BM237" s="91"/>
      <c r="BN237" s="91"/>
      <c r="BO237" s="91"/>
      <c r="BP237" s="91"/>
      <c r="BQ237" s="91"/>
      <c r="BR237" s="91"/>
      <c r="BS237" s="91"/>
      <c r="BT237" s="91"/>
      <c r="BU237" s="91"/>
      <c r="BV237" s="91"/>
      <c r="BW237" s="91"/>
      <c r="BX237" s="91"/>
      <c r="BY237" s="91"/>
      <c r="BZ237" s="91"/>
      <c r="CA237" s="91"/>
      <c r="CB237" s="91"/>
      <c r="CC237" s="91"/>
      <c r="CD237" s="91"/>
      <c r="CE237" s="91"/>
      <c r="CF237" s="91"/>
      <c r="CG237" s="91"/>
      <c r="CH237" s="91">
        <f>CI237+CJ237+CK237+CL237+CM237+CN237+CO237+CP237+CQ237+CR237</f>
        <v>14250000</v>
      </c>
      <c r="CI237" s="91">
        <v>14250000</v>
      </c>
      <c r="CJ237" s="91"/>
      <c r="CK237" s="91"/>
      <c r="CL237" s="91"/>
      <c r="CM237" s="91"/>
      <c r="CN237" s="91"/>
      <c r="CO237" s="91"/>
      <c r="CP237" s="91"/>
      <c r="CQ237" s="91"/>
      <c r="CR237" s="91"/>
      <c r="CS237" s="91">
        <f t="shared" si="138"/>
        <v>31848300</v>
      </c>
      <c r="CT237" s="91">
        <v>31848300</v>
      </c>
      <c r="CU237" s="91"/>
      <c r="CV237" s="91"/>
      <c r="CW237" s="91"/>
      <c r="CX237" s="91"/>
      <c r="CY237" s="91"/>
      <c r="CZ237" s="91"/>
      <c r="DA237" s="91"/>
      <c r="DB237" s="91"/>
      <c r="DC237" s="91"/>
      <c r="DD237" s="91">
        <f t="shared" ref="DD237:DD247" si="145">DE237+DF237+DG237+DH237+DI237+DJ237+DK237+DL237+DM237+DN237</f>
        <v>68131000</v>
      </c>
      <c r="DE237" s="91">
        <v>68131000</v>
      </c>
      <c r="DF237" s="91"/>
      <c r="DG237" s="91"/>
      <c r="DH237" s="91"/>
      <c r="DI237" s="91"/>
      <c r="DJ237" s="91"/>
      <c r="DK237" s="91"/>
      <c r="DL237" s="91"/>
      <c r="DM237" s="91"/>
      <c r="DN237" s="92"/>
      <c r="DO237" s="93">
        <f>AE237+CH237+CS237+DD237</f>
        <v>139229300</v>
      </c>
    </row>
    <row r="238" spans="1:119" ht="27.75" customHeight="1" x14ac:dyDescent="0.2">
      <c r="A238" s="64"/>
      <c r="B238" s="255"/>
      <c r="C238" s="74"/>
      <c r="D238" s="74"/>
      <c r="E238" s="77"/>
      <c r="F238" s="74"/>
      <c r="G238" s="74"/>
      <c r="H238" s="77"/>
      <c r="I238" s="74"/>
      <c r="J238" s="74"/>
      <c r="K238" s="74"/>
      <c r="L238" s="74"/>
      <c r="M238" s="96">
        <v>30</v>
      </c>
      <c r="N238" s="96">
        <v>3902</v>
      </c>
      <c r="O238" s="97" t="s">
        <v>1547</v>
      </c>
      <c r="P238" s="96"/>
      <c r="Q238" s="98"/>
      <c r="R238" s="98"/>
      <c r="S238" s="98"/>
      <c r="T238" s="98"/>
      <c r="U238" s="98"/>
      <c r="V238" s="98"/>
      <c r="W238" s="83"/>
      <c r="X238" s="83"/>
      <c r="Y238" s="84"/>
      <c r="Z238" s="84"/>
      <c r="AA238" s="84"/>
      <c r="AB238" s="84"/>
      <c r="AC238" s="84"/>
      <c r="AD238" s="81"/>
      <c r="AE238" s="85">
        <f>SUM(AE239:AE240)</f>
        <v>1999837777</v>
      </c>
      <c r="AF238" s="85">
        <f>SUM(AF239:AF240)</f>
        <v>1999837777</v>
      </c>
      <c r="AG238" s="85">
        <f t="shared" ref="AG238:DO238" si="146">SUM(AG239:AG240)</f>
        <v>1861269540</v>
      </c>
      <c r="AH238" s="85">
        <f t="shared" si="146"/>
        <v>1130063400</v>
      </c>
      <c r="AI238" s="85">
        <f t="shared" si="146"/>
        <v>0</v>
      </c>
      <c r="AJ238" s="85">
        <f t="shared" si="146"/>
        <v>0</v>
      </c>
      <c r="AK238" s="85">
        <v>15000000</v>
      </c>
      <c r="AL238" s="85">
        <f t="shared" si="146"/>
        <v>0</v>
      </c>
      <c r="AM238" s="85">
        <f t="shared" si="146"/>
        <v>0</v>
      </c>
      <c r="AN238" s="85">
        <f t="shared" si="146"/>
        <v>0</v>
      </c>
      <c r="AO238" s="85">
        <f t="shared" si="146"/>
        <v>0</v>
      </c>
      <c r="AP238" s="85">
        <f t="shared" si="146"/>
        <v>0</v>
      </c>
      <c r="AQ238" s="85">
        <f t="shared" si="146"/>
        <v>0</v>
      </c>
      <c r="AR238" s="85">
        <f t="shared" si="146"/>
        <v>0</v>
      </c>
      <c r="AS238" s="85">
        <f t="shared" si="146"/>
        <v>0</v>
      </c>
      <c r="AT238" s="85">
        <f t="shared" si="146"/>
        <v>0</v>
      </c>
      <c r="AU238" s="85">
        <f>SUM(AU239:AU240)</f>
        <v>0</v>
      </c>
      <c r="AV238" s="85">
        <f t="shared" si="146"/>
        <v>0</v>
      </c>
      <c r="AW238" s="85">
        <f t="shared" si="146"/>
        <v>0</v>
      </c>
      <c r="AX238" s="85">
        <f t="shared" si="146"/>
        <v>0</v>
      </c>
      <c r="AY238" s="85">
        <f t="shared" si="146"/>
        <v>0</v>
      </c>
      <c r="AZ238" s="85">
        <f t="shared" si="146"/>
        <v>0</v>
      </c>
      <c r="BA238" s="85">
        <f t="shared" si="146"/>
        <v>0</v>
      </c>
      <c r="BB238" s="85">
        <f t="shared" si="146"/>
        <v>0</v>
      </c>
      <c r="BC238" s="85">
        <f t="shared" si="146"/>
        <v>0</v>
      </c>
      <c r="BD238" s="85">
        <f t="shared" si="146"/>
        <v>0</v>
      </c>
      <c r="BE238" s="85">
        <f>SUM(BE239:BE240)</f>
        <v>0</v>
      </c>
      <c r="BF238" s="85">
        <f t="shared" si="146"/>
        <v>0</v>
      </c>
      <c r="BG238" s="85">
        <f t="shared" si="146"/>
        <v>0</v>
      </c>
      <c r="BH238" s="85">
        <f t="shared" si="146"/>
        <v>0</v>
      </c>
      <c r="BI238" s="85">
        <f t="shared" si="146"/>
        <v>0</v>
      </c>
      <c r="BJ238" s="85">
        <f t="shared" si="146"/>
        <v>0</v>
      </c>
      <c r="BK238" s="85">
        <f t="shared" si="146"/>
        <v>0</v>
      </c>
      <c r="BL238" s="85">
        <f t="shared" si="146"/>
        <v>0</v>
      </c>
      <c r="BM238" s="85">
        <f t="shared" si="146"/>
        <v>0</v>
      </c>
      <c r="BN238" s="85">
        <f t="shared" si="146"/>
        <v>1999837777</v>
      </c>
      <c r="BO238" s="85">
        <f>SUM(BO239:BO240)</f>
        <v>1999837777</v>
      </c>
      <c r="BP238" s="85">
        <f t="shared" si="146"/>
        <v>1861269540</v>
      </c>
      <c r="BQ238" s="85">
        <f t="shared" si="146"/>
        <v>1130063400</v>
      </c>
      <c r="BR238" s="85">
        <f t="shared" si="146"/>
        <v>0</v>
      </c>
      <c r="BS238" s="85">
        <f t="shared" si="146"/>
        <v>0</v>
      </c>
      <c r="BT238" s="85">
        <f t="shared" si="146"/>
        <v>0</v>
      </c>
      <c r="BU238" s="85">
        <f t="shared" si="146"/>
        <v>0</v>
      </c>
      <c r="BV238" s="85">
        <f t="shared" si="146"/>
        <v>0</v>
      </c>
      <c r="BW238" s="85">
        <f t="shared" si="146"/>
        <v>0</v>
      </c>
      <c r="BX238" s="85">
        <f t="shared" si="146"/>
        <v>0</v>
      </c>
      <c r="BY238" s="85">
        <f>SUM(BY239:BY240)</f>
        <v>0</v>
      </c>
      <c r="BZ238" s="85">
        <f t="shared" si="146"/>
        <v>0</v>
      </c>
      <c r="CA238" s="85">
        <f t="shared" si="146"/>
        <v>0</v>
      </c>
      <c r="CB238" s="85">
        <f t="shared" si="146"/>
        <v>0</v>
      </c>
      <c r="CC238" s="85">
        <f t="shared" si="146"/>
        <v>0</v>
      </c>
      <c r="CD238" s="85">
        <f t="shared" si="146"/>
        <v>0</v>
      </c>
      <c r="CE238" s="85">
        <f t="shared" si="146"/>
        <v>0</v>
      </c>
      <c r="CF238" s="85">
        <f t="shared" si="146"/>
        <v>0</v>
      </c>
      <c r="CG238" s="85">
        <f t="shared" si="146"/>
        <v>0</v>
      </c>
      <c r="CH238" s="85">
        <f t="shared" si="146"/>
        <v>0</v>
      </c>
      <c r="CI238" s="85">
        <f t="shared" si="146"/>
        <v>0</v>
      </c>
      <c r="CJ238" s="85">
        <f t="shared" si="146"/>
        <v>0</v>
      </c>
      <c r="CK238" s="85">
        <f t="shared" si="146"/>
        <v>0</v>
      </c>
      <c r="CL238" s="85">
        <f t="shared" si="146"/>
        <v>0</v>
      </c>
      <c r="CM238" s="85">
        <f t="shared" si="146"/>
        <v>0</v>
      </c>
      <c r="CN238" s="85">
        <f t="shared" si="146"/>
        <v>0</v>
      </c>
      <c r="CO238" s="85">
        <f t="shared" si="146"/>
        <v>0</v>
      </c>
      <c r="CP238" s="85">
        <f t="shared" si="146"/>
        <v>0</v>
      </c>
      <c r="CQ238" s="85">
        <f t="shared" si="146"/>
        <v>0</v>
      </c>
      <c r="CR238" s="85">
        <f t="shared" si="146"/>
        <v>0</v>
      </c>
      <c r="CS238" s="85">
        <f t="shared" si="146"/>
        <v>0</v>
      </c>
      <c r="CT238" s="85">
        <f t="shared" si="146"/>
        <v>0</v>
      </c>
      <c r="CU238" s="85">
        <f t="shared" si="146"/>
        <v>0</v>
      </c>
      <c r="CV238" s="85">
        <f t="shared" si="146"/>
        <v>0</v>
      </c>
      <c r="CW238" s="85">
        <f t="shared" si="146"/>
        <v>0</v>
      </c>
      <c r="CX238" s="85">
        <f t="shared" si="146"/>
        <v>0</v>
      </c>
      <c r="CY238" s="85">
        <f t="shared" si="146"/>
        <v>0</v>
      </c>
      <c r="CZ238" s="85">
        <f t="shared" si="146"/>
        <v>0</v>
      </c>
      <c r="DA238" s="85">
        <f t="shared" si="146"/>
        <v>0</v>
      </c>
      <c r="DB238" s="85">
        <f t="shared" si="146"/>
        <v>0</v>
      </c>
      <c r="DC238" s="85">
        <f t="shared" si="146"/>
        <v>0</v>
      </c>
      <c r="DD238" s="85">
        <f t="shared" si="146"/>
        <v>0</v>
      </c>
      <c r="DE238" s="85">
        <f t="shared" si="146"/>
        <v>0</v>
      </c>
      <c r="DF238" s="85">
        <f t="shared" si="146"/>
        <v>0</v>
      </c>
      <c r="DG238" s="85">
        <f t="shared" si="146"/>
        <v>0</v>
      </c>
      <c r="DH238" s="85">
        <f t="shared" si="146"/>
        <v>0</v>
      </c>
      <c r="DI238" s="85">
        <f t="shared" si="146"/>
        <v>0</v>
      </c>
      <c r="DJ238" s="85">
        <f t="shared" si="146"/>
        <v>0</v>
      </c>
      <c r="DK238" s="85">
        <f t="shared" si="146"/>
        <v>0</v>
      </c>
      <c r="DL238" s="85">
        <f t="shared" si="146"/>
        <v>0</v>
      </c>
      <c r="DM238" s="85">
        <f t="shared" si="146"/>
        <v>0</v>
      </c>
      <c r="DN238" s="86">
        <f t="shared" si="146"/>
        <v>0</v>
      </c>
      <c r="DO238" s="85">
        <f t="shared" si="146"/>
        <v>1999837777</v>
      </c>
    </row>
    <row r="239" spans="1:119" s="225" customFormat="1" ht="114.75" customHeight="1" x14ac:dyDescent="0.2">
      <c r="A239" s="244">
        <v>2</v>
      </c>
      <c r="B239" s="254" t="s">
        <v>33</v>
      </c>
      <c r="C239" s="59" t="s">
        <v>1431</v>
      </c>
      <c r="D239" s="59" t="s">
        <v>285</v>
      </c>
      <c r="E239" s="165">
        <v>0.26800000000000002</v>
      </c>
      <c r="F239" s="13">
        <v>2018</v>
      </c>
      <c r="G239" s="59" t="s">
        <v>1432</v>
      </c>
      <c r="H239" s="125">
        <v>0.36749999999999999</v>
      </c>
      <c r="I239" s="13">
        <v>39</v>
      </c>
      <c r="J239" s="13" t="s">
        <v>1088</v>
      </c>
      <c r="K239" s="50">
        <v>13</v>
      </c>
      <c r="L239" s="13" t="s">
        <v>346</v>
      </c>
      <c r="M239" s="244">
        <v>30</v>
      </c>
      <c r="N239" s="248">
        <v>3902</v>
      </c>
      <c r="O239" s="245" t="s">
        <v>1547</v>
      </c>
      <c r="P239" s="166" t="s">
        <v>1548</v>
      </c>
      <c r="Q239" s="48">
        <v>3902017</v>
      </c>
      <c r="R239" s="48">
        <v>3902017</v>
      </c>
      <c r="S239" s="141" t="s">
        <v>1549</v>
      </c>
      <c r="T239" s="120" t="s">
        <v>1550</v>
      </c>
      <c r="U239" s="120">
        <v>390201700</v>
      </c>
      <c r="V239" s="120">
        <v>390201700</v>
      </c>
      <c r="W239" s="142" t="s">
        <v>1549</v>
      </c>
      <c r="X239" s="13" t="s">
        <v>9</v>
      </c>
      <c r="Y239" s="13">
        <v>1</v>
      </c>
      <c r="Z239" s="13">
        <v>1</v>
      </c>
      <c r="AA239" s="258"/>
      <c r="AB239" s="13" t="s">
        <v>1571</v>
      </c>
      <c r="AC239" s="59"/>
      <c r="AD239" s="59"/>
      <c r="AE239" s="89">
        <f t="shared" ref="AE239:AI240" si="147">AJ239+AO239+AT239+AY239+BD239+BI239+BN239+BS239+BX239+CC239</f>
        <v>800924000</v>
      </c>
      <c r="AF239" s="89">
        <f t="shared" si="147"/>
        <v>800924000</v>
      </c>
      <c r="AG239" s="89">
        <f t="shared" si="147"/>
        <v>760590140</v>
      </c>
      <c r="AH239" s="89">
        <f t="shared" si="147"/>
        <v>29384000</v>
      </c>
      <c r="AI239" s="89">
        <f t="shared" si="147"/>
        <v>0</v>
      </c>
      <c r="AJ239" s="143"/>
      <c r="AK239" s="143"/>
      <c r="AL239" s="143"/>
      <c r="AM239" s="143"/>
      <c r="AN239" s="143"/>
      <c r="AO239" s="144"/>
      <c r="AP239" s="143"/>
      <c r="AQ239" s="144"/>
      <c r="AR239" s="144"/>
      <c r="AS239" s="144"/>
      <c r="AT239" s="144"/>
      <c r="AU239" s="143"/>
      <c r="AV239" s="144"/>
      <c r="AW239" s="144"/>
      <c r="AX239" s="144"/>
      <c r="AY239" s="144"/>
      <c r="AZ239" s="143"/>
      <c r="BA239" s="144"/>
      <c r="BB239" s="144"/>
      <c r="BC239" s="144"/>
      <c r="BD239" s="144"/>
      <c r="BE239" s="143"/>
      <c r="BF239" s="144"/>
      <c r="BG239" s="144"/>
      <c r="BH239" s="144"/>
      <c r="BI239" s="144"/>
      <c r="BJ239" s="143"/>
      <c r="BK239" s="144"/>
      <c r="BL239" s="144"/>
      <c r="BM239" s="144"/>
      <c r="BN239" s="143">
        <v>800924000</v>
      </c>
      <c r="BO239" s="143">
        <v>800924000</v>
      </c>
      <c r="BP239" s="143">
        <v>760590140</v>
      </c>
      <c r="BQ239" s="143">
        <v>29384000</v>
      </c>
      <c r="BR239" s="143"/>
      <c r="BS239" s="144"/>
      <c r="BT239" s="143"/>
      <c r="BU239" s="144"/>
      <c r="BV239" s="144"/>
      <c r="BW239" s="144"/>
      <c r="BX239" s="144"/>
      <c r="BY239" s="143"/>
      <c r="BZ239" s="144"/>
      <c r="CA239" s="144"/>
      <c r="CB239" s="144"/>
      <c r="CC239" s="144"/>
      <c r="CD239" s="143"/>
      <c r="CE239" s="144"/>
      <c r="CF239" s="144"/>
      <c r="CG239" s="144"/>
      <c r="CH239" s="91">
        <f>CI239+CJ239+CK239+CL239+CM239+CN239+CO239+CP239+CQ239+CR239</f>
        <v>0</v>
      </c>
      <c r="CI239" s="145"/>
      <c r="CJ239" s="145"/>
      <c r="CK239" s="145"/>
      <c r="CL239" s="145"/>
      <c r="CM239" s="145"/>
      <c r="CN239" s="145"/>
      <c r="CO239" s="145"/>
      <c r="CP239" s="145"/>
      <c r="CQ239" s="145"/>
      <c r="CR239" s="145"/>
      <c r="CS239" s="91">
        <f t="shared" si="138"/>
        <v>0</v>
      </c>
      <c r="CT239" s="145"/>
      <c r="CU239" s="145"/>
      <c r="CV239" s="145"/>
      <c r="CW239" s="145"/>
      <c r="CX239" s="145"/>
      <c r="CY239" s="145"/>
      <c r="CZ239" s="145"/>
      <c r="DA239" s="145"/>
      <c r="DB239" s="145"/>
      <c r="DC239" s="145"/>
      <c r="DD239" s="91">
        <f t="shared" si="145"/>
        <v>0</v>
      </c>
      <c r="DE239" s="145"/>
      <c r="DF239" s="145"/>
      <c r="DG239" s="145"/>
      <c r="DH239" s="145"/>
      <c r="DI239" s="145"/>
      <c r="DJ239" s="145"/>
      <c r="DK239" s="145"/>
      <c r="DL239" s="145"/>
      <c r="DM239" s="145"/>
      <c r="DN239" s="146"/>
      <c r="DO239" s="93">
        <f>AE239+CH239+CS239+DD239</f>
        <v>800924000</v>
      </c>
    </row>
    <row r="240" spans="1:119" s="225" customFormat="1" ht="109.5" customHeight="1" x14ac:dyDescent="0.2">
      <c r="A240" s="244">
        <v>2</v>
      </c>
      <c r="B240" s="254" t="s">
        <v>33</v>
      </c>
      <c r="C240" s="59" t="s">
        <v>1431</v>
      </c>
      <c r="D240" s="59" t="s">
        <v>285</v>
      </c>
      <c r="E240" s="165">
        <v>0.26800000000000002</v>
      </c>
      <c r="F240" s="13">
        <v>2018</v>
      </c>
      <c r="G240" s="59" t="s">
        <v>1432</v>
      </c>
      <c r="H240" s="125">
        <v>0.36749999999999999</v>
      </c>
      <c r="I240" s="13">
        <v>39</v>
      </c>
      <c r="J240" s="13" t="s">
        <v>1088</v>
      </c>
      <c r="K240" s="50">
        <v>13</v>
      </c>
      <c r="L240" s="13" t="s">
        <v>346</v>
      </c>
      <c r="M240" s="244">
        <v>30</v>
      </c>
      <c r="N240" s="248">
        <v>3902</v>
      </c>
      <c r="O240" s="245" t="s">
        <v>1547</v>
      </c>
      <c r="P240" s="120" t="s">
        <v>1551</v>
      </c>
      <c r="Q240" s="48">
        <v>3902018</v>
      </c>
      <c r="R240" s="48">
        <v>3902018</v>
      </c>
      <c r="S240" s="141" t="s">
        <v>1552</v>
      </c>
      <c r="T240" s="120" t="s">
        <v>1553</v>
      </c>
      <c r="U240" s="120">
        <v>390201800</v>
      </c>
      <c r="V240" s="120">
        <v>390201800</v>
      </c>
      <c r="W240" s="142" t="s">
        <v>1552</v>
      </c>
      <c r="X240" s="13" t="s">
        <v>9</v>
      </c>
      <c r="Y240" s="13">
        <v>1</v>
      </c>
      <c r="Z240" s="13">
        <v>1</v>
      </c>
      <c r="AA240" s="258">
        <v>1</v>
      </c>
      <c r="AB240" s="59"/>
      <c r="AC240" s="59"/>
      <c r="AD240" s="59"/>
      <c r="AE240" s="89">
        <f t="shared" si="147"/>
        <v>1198913777</v>
      </c>
      <c r="AF240" s="89">
        <f t="shared" si="147"/>
        <v>1198913777</v>
      </c>
      <c r="AG240" s="89">
        <f t="shared" si="147"/>
        <v>1100679400</v>
      </c>
      <c r="AH240" s="89">
        <f t="shared" si="147"/>
        <v>1100679400</v>
      </c>
      <c r="AI240" s="89">
        <f t="shared" si="147"/>
        <v>0</v>
      </c>
      <c r="AJ240" s="143"/>
      <c r="AK240" s="143"/>
      <c r="AL240" s="143"/>
      <c r="AM240" s="143"/>
      <c r="AN240" s="143"/>
      <c r="AO240" s="144"/>
      <c r="AP240" s="143"/>
      <c r="AQ240" s="144"/>
      <c r="AR240" s="144"/>
      <c r="AS240" s="144"/>
      <c r="AT240" s="144"/>
      <c r="AU240" s="143"/>
      <c r="AV240" s="144"/>
      <c r="AW240" s="144"/>
      <c r="AX240" s="144"/>
      <c r="AY240" s="144"/>
      <c r="AZ240" s="143"/>
      <c r="BA240" s="144"/>
      <c r="BB240" s="144"/>
      <c r="BC240" s="144"/>
      <c r="BD240" s="144"/>
      <c r="BE240" s="143"/>
      <c r="BF240" s="144"/>
      <c r="BG240" s="144"/>
      <c r="BH240" s="144"/>
      <c r="BI240" s="144"/>
      <c r="BJ240" s="143"/>
      <c r="BK240" s="144"/>
      <c r="BL240" s="144"/>
      <c r="BM240" s="144"/>
      <c r="BN240" s="143">
        <v>1198913777</v>
      </c>
      <c r="BO240" s="143">
        <v>1198913777</v>
      </c>
      <c r="BP240" s="143">
        <v>1100679400</v>
      </c>
      <c r="BQ240" s="143">
        <v>1100679400</v>
      </c>
      <c r="BR240" s="143"/>
      <c r="BS240" s="144"/>
      <c r="BT240" s="143"/>
      <c r="BU240" s="144"/>
      <c r="BV240" s="144"/>
      <c r="BW240" s="144"/>
      <c r="BX240" s="144"/>
      <c r="BY240" s="143"/>
      <c r="BZ240" s="144"/>
      <c r="CA240" s="144"/>
      <c r="CB240" s="144"/>
      <c r="CC240" s="144"/>
      <c r="CD240" s="143"/>
      <c r="CE240" s="144"/>
      <c r="CF240" s="144"/>
      <c r="CG240" s="144"/>
      <c r="CH240" s="91">
        <f>CI240+CJ240+CK240+CL240+CM240+CN240+CO240+CP240+CQ240+CR240</f>
        <v>0</v>
      </c>
      <c r="CI240" s="145"/>
      <c r="CJ240" s="145"/>
      <c r="CK240" s="145"/>
      <c r="CL240" s="145"/>
      <c r="CM240" s="145"/>
      <c r="CN240" s="145"/>
      <c r="CO240" s="145"/>
      <c r="CP240" s="145"/>
      <c r="CQ240" s="145"/>
      <c r="CR240" s="145"/>
      <c r="CS240" s="91">
        <f t="shared" si="138"/>
        <v>0</v>
      </c>
      <c r="CT240" s="145"/>
      <c r="CU240" s="145"/>
      <c r="CV240" s="145"/>
      <c r="CW240" s="145"/>
      <c r="CX240" s="145"/>
      <c r="CY240" s="145"/>
      <c r="CZ240" s="145"/>
      <c r="DA240" s="145"/>
      <c r="DB240" s="145"/>
      <c r="DC240" s="145"/>
      <c r="DD240" s="91">
        <f t="shared" si="145"/>
        <v>0</v>
      </c>
      <c r="DE240" s="145"/>
      <c r="DF240" s="145"/>
      <c r="DG240" s="145"/>
      <c r="DH240" s="145"/>
      <c r="DI240" s="145"/>
      <c r="DJ240" s="145"/>
      <c r="DK240" s="145"/>
      <c r="DL240" s="145"/>
      <c r="DM240" s="145"/>
      <c r="DN240" s="146"/>
      <c r="DO240" s="93">
        <f>AE240+CH240+CS240+DD240</f>
        <v>1198913777</v>
      </c>
    </row>
    <row r="241" spans="1:123" ht="32.25" customHeight="1" x14ac:dyDescent="0.2">
      <c r="A241" s="64"/>
      <c r="B241" s="255"/>
      <c r="C241" s="74"/>
      <c r="D241" s="74"/>
      <c r="E241" s="77"/>
      <c r="F241" s="74"/>
      <c r="G241" s="74"/>
      <c r="H241" s="77"/>
      <c r="I241" s="74"/>
      <c r="J241" s="74"/>
      <c r="K241" s="74"/>
      <c r="L241" s="74"/>
      <c r="M241" s="96">
        <v>31</v>
      </c>
      <c r="N241" s="96" t="s">
        <v>283</v>
      </c>
      <c r="O241" s="97" t="s">
        <v>284</v>
      </c>
      <c r="P241" s="96"/>
      <c r="Q241" s="98"/>
      <c r="R241" s="98"/>
      <c r="S241" s="98"/>
      <c r="T241" s="98"/>
      <c r="U241" s="98"/>
      <c r="V241" s="98"/>
      <c r="W241" s="83"/>
      <c r="X241" s="83"/>
      <c r="Y241" s="84"/>
      <c r="Z241" s="84"/>
      <c r="AA241" s="84"/>
      <c r="AB241" s="84"/>
      <c r="AC241" s="84"/>
      <c r="AD241" s="81"/>
      <c r="AE241" s="85">
        <f>SUM(AE242:AE244)</f>
        <v>63000000</v>
      </c>
      <c r="AF241" s="85">
        <f>SUM(AF242:AF244)</f>
        <v>54000000</v>
      </c>
      <c r="AG241" s="85">
        <f t="shared" ref="AG241:DO241" si="148">SUM(AG242:AG244)</f>
        <v>51074800</v>
      </c>
      <c r="AH241" s="85">
        <f t="shared" si="148"/>
        <v>51074800</v>
      </c>
      <c r="AI241" s="85">
        <f t="shared" si="148"/>
        <v>0</v>
      </c>
      <c r="AJ241" s="85">
        <f t="shared" si="148"/>
        <v>63000000</v>
      </c>
      <c r="AK241" s="85">
        <f>SUM(AK242:AK244)</f>
        <v>54000000</v>
      </c>
      <c r="AL241" s="85">
        <f t="shared" si="148"/>
        <v>51074800</v>
      </c>
      <c r="AM241" s="85">
        <f t="shared" si="148"/>
        <v>51074800</v>
      </c>
      <c r="AN241" s="85">
        <f t="shared" si="148"/>
        <v>0</v>
      </c>
      <c r="AO241" s="85">
        <f t="shared" si="148"/>
        <v>0</v>
      </c>
      <c r="AP241" s="85">
        <f t="shared" si="148"/>
        <v>0</v>
      </c>
      <c r="AQ241" s="85">
        <f t="shared" si="148"/>
        <v>0</v>
      </c>
      <c r="AR241" s="85">
        <f t="shared" si="148"/>
        <v>0</v>
      </c>
      <c r="AS241" s="85">
        <f t="shared" si="148"/>
        <v>0</v>
      </c>
      <c r="AT241" s="85">
        <f t="shared" si="148"/>
        <v>0</v>
      </c>
      <c r="AU241" s="85">
        <f>SUM(AU242:AU244)</f>
        <v>0</v>
      </c>
      <c r="AV241" s="85">
        <f t="shared" si="148"/>
        <v>0</v>
      </c>
      <c r="AW241" s="85">
        <f t="shared" si="148"/>
        <v>0</v>
      </c>
      <c r="AX241" s="85">
        <f t="shared" si="148"/>
        <v>0</v>
      </c>
      <c r="AY241" s="85">
        <f t="shared" si="148"/>
        <v>0</v>
      </c>
      <c r="AZ241" s="85">
        <f t="shared" si="148"/>
        <v>0</v>
      </c>
      <c r="BA241" s="85">
        <f t="shared" si="148"/>
        <v>0</v>
      </c>
      <c r="BB241" s="85">
        <f t="shared" si="148"/>
        <v>0</v>
      </c>
      <c r="BC241" s="85">
        <f t="shared" si="148"/>
        <v>0</v>
      </c>
      <c r="BD241" s="85">
        <f t="shared" si="148"/>
        <v>0</v>
      </c>
      <c r="BE241" s="85">
        <f>SUM(BE242:BE244)</f>
        <v>0</v>
      </c>
      <c r="BF241" s="85">
        <f t="shared" si="148"/>
        <v>0</v>
      </c>
      <c r="BG241" s="85">
        <f t="shared" si="148"/>
        <v>0</v>
      </c>
      <c r="BH241" s="85">
        <f t="shared" si="148"/>
        <v>0</v>
      </c>
      <c r="BI241" s="85">
        <f t="shared" si="148"/>
        <v>0</v>
      </c>
      <c r="BJ241" s="85">
        <f t="shared" si="148"/>
        <v>0</v>
      </c>
      <c r="BK241" s="85">
        <f t="shared" si="148"/>
        <v>0</v>
      </c>
      <c r="BL241" s="85">
        <f t="shared" si="148"/>
        <v>0</v>
      </c>
      <c r="BM241" s="85">
        <f t="shared" si="148"/>
        <v>0</v>
      </c>
      <c r="BN241" s="85">
        <f t="shared" si="148"/>
        <v>0</v>
      </c>
      <c r="BO241" s="85">
        <f>SUM(BO242:BO244)</f>
        <v>0</v>
      </c>
      <c r="BP241" s="85">
        <f t="shared" si="148"/>
        <v>0</v>
      </c>
      <c r="BQ241" s="85">
        <f t="shared" si="148"/>
        <v>0</v>
      </c>
      <c r="BR241" s="85">
        <f t="shared" si="148"/>
        <v>0</v>
      </c>
      <c r="BS241" s="85">
        <f t="shared" si="148"/>
        <v>0</v>
      </c>
      <c r="BT241" s="85">
        <f t="shared" si="148"/>
        <v>0</v>
      </c>
      <c r="BU241" s="85">
        <f t="shared" si="148"/>
        <v>0</v>
      </c>
      <c r="BV241" s="85">
        <f t="shared" si="148"/>
        <v>0</v>
      </c>
      <c r="BW241" s="85">
        <f t="shared" si="148"/>
        <v>0</v>
      </c>
      <c r="BX241" s="85">
        <f t="shared" si="148"/>
        <v>0</v>
      </c>
      <c r="BY241" s="85">
        <f>SUM(BY242:BY244)</f>
        <v>0</v>
      </c>
      <c r="BZ241" s="85">
        <f t="shared" si="148"/>
        <v>0</v>
      </c>
      <c r="CA241" s="85">
        <f t="shared" si="148"/>
        <v>0</v>
      </c>
      <c r="CB241" s="85">
        <f t="shared" si="148"/>
        <v>0</v>
      </c>
      <c r="CC241" s="85">
        <f t="shared" si="148"/>
        <v>0</v>
      </c>
      <c r="CD241" s="85">
        <f t="shared" si="148"/>
        <v>0</v>
      </c>
      <c r="CE241" s="85">
        <f t="shared" si="148"/>
        <v>0</v>
      </c>
      <c r="CF241" s="85">
        <f t="shared" si="148"/>
        <v>0</v>
      </c>
      <c r="CG241" s="85">
        <f t="shared" si="148"/>
        <v>0</v>
      </c>
      <c r="CH241" s="85">
        <f t="shared" si="148"/>
        <v>943768237</v>
      </c>
      <c r="CI241" s="85">
        <f t="shared" si="148"/>
        <v>27268237</v>
      </c>
      <c r="CJ241" s="85">
        <f t="shared" si="148"/>
        <v>0</v>
      </c>
      <c r="CK241" s="85">
        <f t="shared" si="148"/>
        <v>0</v>
      </c>
      <c r="CL241" s="85">
        <f t="shared" si="148"/>
        <v>0</v>
      </c>
      <c r="CM241" s="85">
        <f t="shared" si="148"/>
        <v>0</v>
      </c>
      <c r="CN241" s="85">
        <f t="shared" si="148"/>
        <v>0</v>
      </c>
      <c r="CO241" s="85">
        <f t="shared" si="148"/>
        <v>916500000</v>
      </c>
      <c r="CP241" s="85">
        <f t="shared" si="148"/>
        <v>0</v>
      </c>
      <c r="CQ241" s="85">
        <f t="shared" si="148"/>
        <v>0</v>
      </c>
      <c r="CR241" s="85">
        <f t="shared" si="148"/>
        <v>0</v>
      </c>
      <c r="CS241" s="85">
        <f t="shared" si="148"/>
        <v>956308563</v>
      </c>
      <c r="CT241" s="85">
        <f t="shared" si="148"/>
        <v>39808563</v>
      </c>
      <c r="CU241" s="85">
        <f t="shared" si="148"/>
        <v>0</v>
      </c>
      <c r="CV241" s="85">
        <f t="shared" si="148"/>
        <v>0</v>
      </c>
      <c r="CW241" s="85">
        <f t="shared" si="148"/>
        <v>0</v>
      </c>
      <c r="CX241" s="85">
        <f t="shared" si="148"/>
        <v>0</v>
      </c>
      <c r="CY241" s="85">
        <f t="shared" si="148"/>
        <v>0</v>
      </c>
      <c r="CZ241" s="85">
        <f t="shared" si="148"/>
        <v>916500000</v>
      </c>
      <c r="DA241" s="85">
        <f t="shared" si="148"/>
        <v>0</v>
      </c>
      <c r="DB241" s="85">
        <f t="shared" si="148"/>
        <v>0</v>
      </c>
      <c r="DC241" s="85">
        <f t="shared" si="148"/>
        <v>0</v>
      </c>
      <c r="DD241" s="85">
        <f t="shared" si="148"/>
        <v>1573795218</v>
      </c>
      <c r="DE241" s="85">
        <f t="shared" si="148"/>
        <v>46295218</v>
      </c>
      <c r="DF241" s="85">
        <f t="shared" si="148"/>
        <v>0</v>
      </c>
      <c r="DG241" s="85">
        <f t="shared" si="148"/>
        <v>0</v>
      </c>
      <c r="DH241" s="85">
        <f t="shared" si="148"/>
        <v>0</v>
      </c>
      <c r="DI241" s="85">
        <f t="shared" si="148"/>
        <v>0</v>
      </c>
      <c r="DJ241" s="85">
        <f t="shared" si="148"/>
        <v>0</v>
      </c>
      <c r="DK241" s="85">
        <f t="shared" si="148"/>
        <v>1527500000</v>
      </c>
      <c r="DL241" s="85">
        <f t="shared" si="148"/>
        <v>0</v>
      </c>
      <c r="DM241" s="85">
        <f t="shared" si="148"/>
        <v>0</v>
      </c>
      <c r="DN241" s="86">
        <f t="shared" si="148"/>
        <v>0</v>
      </c>
      <c r="DO241" s="85">
        <f t="shared" si="148"/>
        <v>3536872018</v>
      </c>
    </row>
    <row r="242" spans="1:123" s="225" customFormat="1" ht="119.25" customHeight="1" x14ac:dyDescent="0.2">
      <c r="A242" s="244">
        <v>2</v>
      </c>
      <c r="B242" s="254" t="s">
        <v>33</v>
      </c>
      <c r="C242" s="59" t="s">
        <v>1431</v>
      </c>
      <c r="D242" s="59" t="s">
        <v>285</v>
      </c>
      <c r="E242" s="165">
        <v>0.26800000000000002</v>
      </c>
      <c r="F242" s="13">
        <v>2018</v>
      </c>
      <c r="G242" s="59" t="s">
        <v>1432</v>
      </c>
      <c r="H242" s="125">
        <v>0.36749999999999999</v>
      </c>
      <c r="I242" s="13">
        <v>39</v>
      </c>
      <c r="J242" s="13" t="s">
        <v>1088</v>
      </c>
      <c r="K242" s="50">
        <v>13</v>
      </c>
      <c r="L242" s="13" t="s">
        <v>346</v>
      </c>
      <c r="M242" s="244">
        <v>31</v>
      </c>
      <c r="N242" s="247" t="s">
        <v>283</v>
      </c>
      <c r="O242" s="245" t="s">
        <v>284</v>
      </c>
      <c r="P242" s="13" t="s">
        <v>1433</v>
      </c>
      <c r="Q242" s="48" t="s">
        <v>1434</v>
      </c>
      <c r="R242" s="48" t="s">
        <v>1434</v>
      </c>
      <c r="S242" s="59" t="s">
        <v>1696</v>
      </c>
      <c r="T242" s="13" t="s">
        <v>1435</v>
      </c>
      <c r="U242" s="48" t="s">
        <v>1436</v>
      </c>
      <c r="V242" s="48" t="s">
        <v>1436</v>
      </c>
      <c r="W242" s="87" t="s">
        <v>1437</v>
      </c>
      <c r="X242" s="13" t="s">
        <v>8</v>
      </c>
      <c r="Y242" s="13">
        <v>1</v>
      </c>
      <c r="Z242" s="13">
        <v>1</v>
      </c>
      <c r="AA242" s="13">
        <v>1</v>
      </c>
      <c r="AB242" s="13">
        <v>1</v>
      </c>
      <c r="AC242" s="13">
        <v>1</v>
      </c>
      <c r="AD242" s="13">
        <v>1</v>
      </c>
      <c r="AE242" s="89">
        <f t="shared" ref="AE242:AI244" si="149">AJ242+AO242+AT242+AY242+BD242+BI242+BN242+BS242+BX242+CC242</f>
        <v>63000000</v>
      </c>
      <c r="AF242" s="89">
        <f t="shared" si="149"/>
        <v>54000000</v>
      </c>
      <c r="AG242" s="89">
        <f t="shared" si="149"/>
        <v>51074800</v>
      </c>
      <c r="AH242" s="89">
        <f t="shared" si="149"/>
        <v>51074800</v>
      </c>
      <c r="AI242" s="89">
        <f t="shared" si="149"/>
        <v>0</v>
      </c>
      <c r="AJ242" s="91">
        <v>63000000</v>
      </c>
      <c r="AK242" s="91">
        <v>54000000</v>
      </c>
      <c r="AL242" s="91">
        <v>51074800</v>
      </c>
      <c r="AM242" s="91">
        <v>51074800</v>
      </c>
      <c r="AN242" s="91"/>
      <c r="AO242" s="91"/>
      <c r="AP242" s="91"/>
      <c r="AQ242" s="91"/>
      <c r="AR242" s="91"/>
      <c r="AS242" s="91"/>
      <c r="AT242" s="91"/>
      <c r="AU242" s="91"/>
      <c r="AV242" s="91"/>
      <c r="AW242" s="91"/>
      <c r="AX242" s="91"/>
      <c r="AY242" s="91"/>
      <c r="AZ242" s="91"/>
      <c r="BA242" s="91"/>
      <c r="BB242" s="91"/>
      <c r="BC242" s="91"/>
      <c r="BD242" s="91"/>
      <c r="BE242" s="91"/>
      <c r="BF242" s="91"/>
      <c r="BG242" s="91"/>
      <c r="BH242" s="91"/>
      <c r="BI242" s="91"/>
      <c r="BJ242" s="91"/>
      <c r="BK242" s="91"/>
      <c r="BL242" s="91"/>
      <c r="BM242" s="91"/>
      <c r="BN242" s="91"/>
      <c r="BO242" s="91"/>
      <c r="BP242" s="91"/>
      <c r="BQ242" s="91"/>
      <c r="BR242" s="91"/>
      <c r="BS242" s="91"/>
      <c r="BT242" s="91"/>
      <c r="BU242" s="91"/>
      <c r="BV242" s="91"/>
      <c r="BW242" s="91"/>
      <c r="BX242" s="91"/>
      <c r="BY242" s="91"/>
      <c r="BZ242" s="91"/>
      <c r="CA242" s="91"/>
      <c r="CB242" s="91"/>
      <c r="CC242" s="91"/>
      <c r="CD242" s="91"/>
      <c r="CE242" s="91"/>
      <c r="CF242" s="91"/>
      <c r="CG242" s="91"/>
      <c r="CH242" s="91">
        <f>CI242+CJ242+CK242+CL242+CM242+CN242+CO242+CP242+CQ242+CR242</f>
        <v>385382083</v>
      </c>
      <c r="CI242" s="91">
        <v>10382083</v>
      </c>
      <c r="CJ242" s="91"/>
      <c r="CK242" s="91"/>
      <c r="CL242" s="91"/>
      <c r="CM242" s="91"/>
      <c r="CN242" s="91"/>
      <c r="CO242" s="91">
        <v>375000000</v>
      </c>
      <c r="CP242" s="91"/>
      <c r="CQ242" s="91"/>
      <c r="CR242" s="91"/>
      <c r="CS242" s="91">
        <f t="shared" si="138"/>
        <v>400612426</v>
      </c>
      <c r="CT242" s="91">
        <v>25612426</v>
      </c>
      <c r="CU242" s="91"/>
      <c r="CV242" s="91"/>
      <c r="CW242" s="91"/>
      <c r="CX242" s="91"/>
      <c r="CY242" s="91"/>
      <c r="CZ242" s="91">
        <v>375000000</v>
      </c>
      <c r="DA242" s="91"/>
      <c r="DB242" s="91"/>
      <c r="DC242" s="91"/>
      <c r="DD242" s="91">
        <f t="shared" si="145"/>
        <v>652016560</v>
      </c>
      <c r="DE242" s="91">
        <v>27016560</v>
      </c>
      <c r="DF242" s="91"/>
      <c r="DG242" s="91"/>
      <c r="DH242" s="91"/>
      <c r="DI242" s="91"/>
      <c r="DJ242" s="91"/>
      <c r="DK242" s="91">
        <v>625000000</v>
      </c>
      <c r="DL242" s="91"/>
      <c r="DM242" s="91"/>
      <c r="DN242" s="92"/>
      <c r="DO242" s="93">
        <f>AE242+CH242+CS242+DD242</f>
        <v>1501011069</v>
      </c>
    </row>
    <row r="243" spans="1:123" s="225" customFormat="1" ht="122.25" customHeight="1" x14ac:dyDescent="0.2">
      <c r="A243" s="244">
        <v>2</v>
      </c>
      <c r="B243" s="254" t="s">
        <v>33</v>
      </c>
      <c r="C243" s="59" t="s">
        <v>1438</v>
      </c>
      <c r="D243" s="59" t="s">
        <v>285</v>
      </c>
      <c r="E243" s="165">
        <v>0.26800000000000002</v>
      </c>
      <c r="F243" s="13">
        <v>2018</v>
      </c>
      <c r="G243" s="59" t="s">
        <v>1432</v>
      </c>
      <c r="H243" s="125">
        <v>0.36749999999999999</v>
      </c>
      <c r="I243" s="13">
        <v>39</v>
      </c>
      <c r="J243" s="13" t="s">
        <v>1088</v>
      </c>
      <c r="K243" s="50">
        <v>13</v>
      </c>
      <c r="L243" s="13" t="s">
        <v>346</v>
      </c>
      <c r="M243" s="244">
        <v>31</v>
      </c>
      <c r="N243" s="247" t="s">
        <v>283</v>
      </c>
      <c r="O243" s="245" t="s">
        <v>284</v>
      </c>
      <c r="P243" s="13" t="s">
        <v>1433</v>
      </c>
      <c r="Q243" s="48" t="s">
        <v>1434</v>
      </c>
      <c r="R243" s="48" t="s">
        <v>1434</v>
      </c>
      <c r="S243" s="59" t="s">
        <v>286</v>
      </c>
      <c r="T243" s="13" t="s">
        <v>1439</v>
      </c>
      <c r="U243" s="48" t="s">
        <v>1440</v>
      </c>
      <c r="V243" s="48" t="s">
        <v>1440</v>
      </c>
      <c r="W243" s="87" t="s">
        <v>1441</v>
      </c>
      <c r="X243" s="13" t="s">
        <v>9</v>
      </c>
      <c r="Y243" s="13">
        <v>200</v>
      </c>
      <c r="Z243" s="13">
        <v>0</v>
      </c>
      <c r="AA243" s="13"/>
      <c r="AB243" s="13">
        <v>50</v>
      </c>
      <c r="AC243" s="13">
        <v>70</v>
      </c>
      <c r="AD243" s="13">
        <v>80</v>
      </c>
      <c r="AE243" s="89">
        <f t="shared" si="149"/>
        <v>0</v>
      </c>
      <c r="AF243" s="89">
        <f t="shared" si="149"/>
        <v>0</v>
      </c>
      <c r="AG243" s="89">
        <f t="shared" si="149"/>
        <v>0</v>
      </c>
      <c r="AH243" s="89">
        <f t="shared" si="149"/>
        <v>0</v>
      </c>
      <c r="AI243" s="89">
        <f t="shared" si="149"/>
        <v>0</v>
      </c>
      <c r="AJ243" s="91"/>
      <c r="AK243" s="91"/>
      <c r="AL243" s="91"/>
      <c r="AM243" s="91"/>
      <c r="AN243" s="91"/>
      <c r="AO243" s="91"/>
      <c r="AP243" s="91"/>
      <c r="AQ243" s="91"/>
      <c r="AR243" s="91"/>
      <c r="AS243" s="91"/>
      <c r="AT243" s="91"/>
      <c r="AU243" s="91"/>
      <c r="AV243" s="91"/>
      <c r="AW243" s="91"/>
      <c r="AX243" s="91"/>
      <c r="AY243" s="91"/>
      <c r="AZ243" s="91"/>
      <c r="BA243" s="91"/>
      <c r="BB243" s="91"/>
      <c r="BC243" s="91"/>
      <c r="BD243" s="91"/>
      <c r="BE243" s="91"/>
      <c r="BF243" s="91"/>
      <c r="BG243" s="91"/>
      <c r="BH243" s="91"/>
      <c r="BI243" s="91"/>
      <c r="BJ243" s="91"/>
      <c r="BK243" s="91"/>
      <c r="BL243" s="91"/>
      <c r="BM243" s="91"/>
      <c r="BN243" s="91"/>
      <c r="BO243" s="91"/>
      <c r="BP243" s="91"/>
      <c r="BQ243" s="91"/>
      <c r="BR243" s="91"/>
      <c r="BS243" s="91"/>
      <c r="BT243" s="91"/>
      <c r="BU243" s="91"/>
      <c r="BV243" s="91"/>
      <c r="BW243" s="91"/>
      <c r="BX243" s="91"/>
      <c r="BY243" s="91"/>
      <c r="BZ243" s="91"/>
      <c r="CA243" s="91"/>
      <c r="CB243" s="91"/>
      <c r="CC243" s="91"/>
      <c r="CD243" s="91"/>
      <c r="CE243" s="91"/>
      <c r="CF243" s="91"/>
      <c r="CG243" s="91"/>
      <c r="CH243" s="91">
        <f>CI243+CJ243+CK243+CL243+CM243+CN243+CO243+CP243+CQ243+CR243</f>
        <v>164443311</v>
      </c>
      <c r="CI243" s="91">
        <v>14443311</v>
      </c>
      <c r="CJ243" s="91"/>
      <c r="CK243" s="91"/>
      <c r="CL243" s="91"/>
      <c r="CM243" s="91"/>
      <c r="CN243" s="91"/>
      <c r="CO243" s="143">
        <v>150000000</v>
      </c>
      <c r="CP243" s="91"/>
      <c r="CQ243" s="91"/>
      <c r="CR243" s="91"/>
      <c r="CS243" s="91">
        <f t="shared" si="138"/>
        <v>160188013</v>
      </c>
      <c r="CT243" s="91">
        <v>10188013</v>
      </c>
      <c r="CU243" s="91"/>
      <c r="CV243" s="91"/>
      <c r="CW243" s="91"/>
      <c r="CX243" s="91"/>
      <c r="CY243" s="91"/>
      <c r="CZ243" s="91">
        <v>150000000</v>
      </c>
      <c r="DA243" s="91"/>
      <c r="DB243" s="91"/>
      <c r="DC243" s="91"/>
      <c r="DD243" s="91">
        <f t="shared" si="145"/>
        <v>262921820</v>
      </c>
      <c r="DE243" s="91">
        <v>12921820</v>
      </c>
      <c r="DF243" s="91"/>
      <c r="DG243" s="91"/>
      <c r="DH243" s="91"/>
      <c r="DI243" s="91"/>
      <c r="DJ243" s="91"/>
      <c r="DK243" s="91">
        <v>250000000</v>
      </c>
      <c r="DL243" s="91"/>
      <c r="DM243" s="91"/>
      <c r="DN243" s="92"/>
      <c r="DO243" s="93">
        <f>AE243+CH243+CS243+DD243</f>
        <v>587553144</v>
      </c>
    </row>
    <row r="244" spans="1:123" s="225" customFormat="1" ht="112.5" customHeight="1" x14ac:dyDescent="0.2">
      <c r="A244" s="244">
        <v>2</v>
      </c>
      <c r="B244" s="254" t="s">
        <v>33</v>
      </c>
      <c r="C244" s="59" t="s">
        <v>1442</v>
      </c>
      <c r="D244" s="59" t="s">
        <v>285</v>
      </c>
      <c r="E244" s="165">
        <v>0.26800000000000002</v>
      </c>
      <c r="F244" s="13">
        <v>2018</v>
      </c>
      <c r="G244" s="59" t="s">
        <v>1432</v>
      </c>
      <c r="H244" s="125">
        <v>0.36749999999999999</v>
      </c>
      <c r="I244" s="13">
        <v>39</v>
      </c>
      <c r="J244" s="13" t="s">
        <v>1088</v>
      </c>
      <c r="K244" s="50">
        <v>13</v>
      </c>
      <c r="L244" s="13" t="s">
        <v>346</v>
      </c>
      <c r="M244" s="244">
        <v>31</v>
      </c>
      <c r="N244" s="247" t="s">
        <v>283</v>
      </c>
      <c r="O244" s="245" t="s">
        <v>284</v>
      </c>
      <c r="P244" s="13" t="s">
        <v>1433</v>
      </c>
      <c r="Q244" s="48" t="s">
        <v>1434</v>
      </c>
      <c r="R244" s="48" t="s">
        <v>1434</v>
      </c>
      <c r="S244" s="59" t="s">
        <v>286</v>
      </c>
      <c r="T244" s="13" t="s">
        <v>1443</v>
      </c>
      <c r="U244" s="48" t="s">
        <v>1444</v>
      </c>
      <c r="V244" s="48" t="s">
        <v>1444</v>
      </c>
      <c r="W244" s="87" t="s">
        <v>1445</v>
      </c>
      <c r="X244" s="13" t="s">
        <v>9</v>
      </c>
      <c r="Y244" s="13">
        <v>200</v>
      </c>
      <c r="Z244" s="13">
        <v>0</v>
      </c>
      <c r="AA244" s="13"/>
      <c r="AB244" s="13">
        <v>50</v>
      </c>
      <c r="AC244" s="13">
        <v>70</v>
      </c>
      <c r="AD244" s="13">
        <v>80</v>
      </c>
      <c r="AE244" s="89">
        <f t="shared" si="149"/>
        <v>0</v>
      </c>
      <c r="AF244" s="89">
        <f t="shared" si="149"/>
        <v>0</v>
      </c>
      <c r="AG244" s="89">
        <f t="shared" si="149"/>
        <v>0</v>
      </c>
      <c r="AH244" s="89">
        <f t="shared" si="149"/>
        <v>0</v>
      </c>
      <c r="AI244" s="89">
        <f t="shared" si="149"/>
        <v>0</v>
      </c>
      <c r="AJ244" s="91"/>
      <c r="AK244" s="91"/>
      <c r="AL244" s="91"/>
      <c r="AM244" s="91"/>
      <c r="AN244" s="91"/>
      <c r="AO244" s="91"/>
      <c r="AP244" s="91"/>
      <c r="AQ244" s="91"/>
      <c r="AR244" s="91"/>
      <c r="AS244" s="91"/>
      <c r="AT244" s="91"/>
      <c r="AU244" s="91"/>
      <c r="AV244" s="91"/>
      <c r="AW244" s="91"/>
      <c r="AX244" s="91"/>
      <c r="AY244" s="91"/>
      <c r="AZ244" s="91"/>
      <c r="BA244" s="91"/>
      <c r="BB244" s="91"/>
      <c r="BC244" s="91"/>
      <c r="BD244" s="91"/>
      <c r="BE244" s="91"/>
      <c r="BF244" s="91"/>
      <c r="BG244" s="91"/>
      <c r="BH244" s="91"/>
      <c r="BI244" s="91"/>
      <c r="BJ244" s="91"/>
      <c r="BK244" s="91"/>
      <c r="BL244" s="91"/>
      <c r="BM244" s="91"/>
      <c r="BN244" s="91"/>
      <c r="BO244" s="91"/>
      <c r="BP244" s="91"/>
      <c r="BQ244" s="91"/>
      <c r="BR244" s="91"/>
      <c r="BS244" s="91"/>
      <c r="BT244" s="91"/>
      <c r="BU244" s="91"/>
      <c r="BV244" s="91"/>
      <c r="BW244" s="91"/>
      <c r="BX244" s="91"/>
      <c r="BY244" s="91"/>
      <c r="BZ244" s="91"/>
      <c r="CA244" s="91"/>
      <c r="CB244" s="91"/>
      <c r="CC244" s="91"/>
      <c r="CD244" s="91"/>
      <c r="CE244" s="91"/>
      <c r="CF244" s="91"/>
      <c r="CG244" s="91"/>
      <c r="CH244" s="91">
        <f>CI244+CJ244+CK244+CL244+CM244+CN244+CO244+CP244+CQ244+CR244</f>
        <v>393942843</v>
      </c>
      <c r="CI244" s="91">
        <v>2442843</v>
      </c>
      <c r="CJ244" s="91"/>
      <c r="CK244" s="91"/>
      <c r="CL244" s="91"/>
      <c r="CM244" s="91"/>
      <c r="CN244" s="91"/>
      <c r="CO244" s="91">
        <v>391500000</v>
      </c>
      <c r="CP244" s="91"/>
      <c r="CQ244" s="91"/>
      <c r="CR244" s="91"/>
      <c r="CS244" s="91">
        <f t="shared" si="138"/>
        <v>395508124</v>
      </c>
      <c r="CT244" s="91">
        <v>4008124</v>
      </c>
      <c r="CU244" s="91"/>
      <c r="CV244" s="91"/>
      <c r="CW244" s="91"/>
      <c r="CX244" s="91"/>
      <c r="CY244" s="91"/>
      <c r="CZ244" s="91">
        <v>391500000</v>
      </c>
      <c r="DA244" s="91"/>
      <c r="DB244" s="91"/>
      <c r="DC244" s="91"/>
      <c r="DD244" s="91">
        <f t="shared" si="145"/>
        <v>658856838</v>
      </c>
      <c r="DE244" s="91">
        <v>6356838</v>
      </c>
      <c r="DF244" s="91"/>
      <c r="DG244" s="91"/>
      <c r="DH244" s="91"/>
      <c r="DI244" s="91"/>
      <c r="DJ244" s="91"/>
      <c r="DK244" s="91">
        <v>652500000</v>
      </c>
      <c r="DL244" s="91"/>
      <c r="DM244" s="91"/>
      <c r="DN244" s="92"/>
      <c r="DO244" s="93">
        <f>AE244+CH244+CS244+DD244</f>
        <v>1448307805</v>
      </c>
    </row>
    <row r="245" spans="1:123" ht="35.25" customHeight="1" x14ac:dyDescent="0.2">
      <c r="A245" s="64"/>
      <c r="B245" s="255"/>
      <c r="C245" s="74"/>
      <c r="D245" s="74"/>
      <c r="E245" s="77"/>
      <c r="F245" s="74"/>
      <c r="G245" s="74"/>
      <c r="H245" s="77"/>
      <c r="I245" s="74"/>
      <c r="J245" s="74"/>
      <c r="K245" s="74"/>
      <c r="L245" s="74"/>
      <c r="M245" s="96">
        <v>32</v>
      </c>
      <c r="N245" s="96" t="s">
        <v>1447</v>
      </c>
      <c r="O245" s="97" t="s">
        <v>287</v>
      </c>
      <c r="P245" s="96"/>
      <c r="Q245" s="98"/>
      <c r="R245" s="98"/>
      <c r="S245" s="98"/>
      <c r="T245" s="98"/>
      <c r="U245" s="98"/>
      <c r="V245" s="98"/>
      <c r="W245" s="83"/>
      <c r="X245" s="83"/>
      <c r="Y245" s="84"/>
      <c r="Z245" s="84"/>
      <c r="AA245" s="84"/>
      <c r="AB245" s="84"/>
      <c r="AC245" s="84"/>
      <c r="AD245" s="81"/>
      <c r="AE245" s="85">
        <f>SUM(AE246:AE247)</f>
        <v>1138906214</v>
      </c>
      <c r="AF245" s="85">
        <f>SUM(AF246:AF247)</f>
        <v>18000000</v>
      </c>
      <c r="AG245" s="85">
        <f t="shared" ref="AG245:DO245" si="150">SUM(AG246:AG247)</f>
        <v>0</v>
      </c>
      <c r="AH245" s="85">
        <f t="shared" si="150"/>
        <v>0</v>
      </c>
      <c r="AI245" s="85">
        <f t="shared" si="150"/>
        <v>0</v>
      </c>
      <c r="AJ245" s="85">
        <f t="shared" si="150"/>
        <v>18000000</v>
      </c>
      <c r="AK245" s="85">
        <f>SUM(AK246:AK247)</f>
        <v>18000000</v>
      </c>
      <c r="AL245" s="85">
        <f t="shared" si="150"/>
        <v>0</v>
      </c>
      <c r="AM245" s="85">
        <f t="shared" si="150"/>
        <v>0</v>
      </c>
      <c r="AN245" s="85">
        <f t="shared" si="150"/>
        <v>0</v>
      </c>
      <c r="AO245" s="85">
        <f t="shared" si="150"/>
        <v>0</v>
      </c>
      <c r="AP245" s="85">
        <f t="shared" si="150"/>
        <v>0</v>
      </c>
      <c r="AQ245" s="85">
        <f t="shared" si="150"/>
        <v>0</v>
      </c>
      <c r="AR245" s="85">
        <f t="shared" si="150"/>
        <v>0</v>
      </c>
      <c r="AS245" s="85">
        <f t="shared" si="150"/>
        <v>0</v>
      </c>
      <c r="AT245" s="85">
        <f t="shared" si="150"/>
        <v>0</v>
      </c>
      <c r="AU245" s="85">
        <f>SUM(AU246:AU247)</f>
        <v>0</v>
      </c>
      <c r="AV245" s="85">
        <f t="shared" si="150"/>
        <v>0</v>
      </c>
      <c r="AW245" s="85">
        <f t="shared" si="150"/>
        <v>0</v>
      </c>
      <c r="AX245" s="85">
        <f t="shared" si="150"/>
        <v>0</v>
      </c>
      <c r="AY245" s="85">
        <f t="shared" si="150"/>
        <v>0</v>
      </c>
      <c r="AZ245" s="85">
        <f t="shared" si="150"/>
        <v>0</v>
      </c>
      <c r="BA245" s="85">
        <f t="shared" si="150"/>
        <v>0</v>
      </c>
      <c r="BB245" s="85">
        <f t="shared" si="150"/>
        <v>0</v>
      </c>
      <c r="BC245" s="85">
        <f t="shared" si="150"/>
        <v>0</v>
      </c>
      <c r="BD245" s="85">
        <f t="shared" si="150"/>
        <v>0</v>
      </c>
      <c r="BE245" s="85">
        <f>SUM(BE246:BE247)</f>
        <v>0</v>
      </c>
      <c r="BF245" s="85">
        <f t="shared" si="150"/>
        <v>0</v>
      </c>
      <c r="BG245" s="85">
        <f t="shared" si="150"/>
        <v>0</v>
      </c>
      <c r="BH245" s="85">
        <f t="shared" si="150"/>
        <v>0</v>
      </c>
      <c r="BI245" s="85">
        <f t="shared" si="150"/>
        <v>0</v>
      </c>
      <c r="BJ245" s="85">
        <f t="shared" si="150"/>
        <v>0</v>
      </c>
      <c r="BK245" s="85">
        <f t="shared" si="150"/>
        <v>0</v>
      </c>
      <c r="BL245" s="85">
        <f t="shared" si="150"/>
        <v>0</v>
      </c>
      <c r="BM245" s="85">
        <f t="shared" si="150"/>
        <v>0</v>
      </c>
      <c r="BN245" s="85">
        <f t="shared" si="150"/>
        <v>1120906214</v>
      </c>
      <c r="BO245" s="85">
        <f>SUM(BO246:BO247)</f>
        <v>0</v>
      </c>
      <c r="BP245" s="85">
        <f t="shared" si="150"/>
        <v>0</v>
      </c>
      <c r="BQ245" s="85">
        <f t="shared" si="150"/>
        <v>0</v>
      </c>
      <c r="BR245" s="85">
        <f t="shared" si="150"/>
        <v>0</v>
      </c>
      <c r="BS245" s="85">
        <f t="shared" si="150"/>
        <v>0</v>
      </c>
      <c r="BT245" s="85">
        <f t="shared" si="150"/>
        <v>0</v>
      </c>
      <c r="BU245" s="85">
        <f t="shared" si="150"/>
        <v>0</v>
      </c>
      <c r="BV245" s="85">
        <f t="shared" si="150"/>
        <v>0</v>
      </c>
      <c r="BW245" s="85">
        <f t="shared" si="150"/>
        <v>0</v>
      </c>
      <c r="BX245" s="85">
        <f t="shared" si="150"/>
        <v>0</v>
      </c>
      <c r="BY245" s="85">
        <f>SUM(BY246:BY247)</f>
        <v>0</v>
      </c>
      <c r="BZ245" s="85">
        <f t="shared" si="150"/>
        <v>0</v>
      </c>
      <c r="CA245" s="85">
        <f t="shared" si="150"/>
        <v>0</v>
      </c>
      <c r="CB245" s="85">
        <f t="shared" si="150"/>
        <v>0</v>
      </c>
      <c r="CC245" s="85">
        <f t="shared" si="150"/>
        <v>0</v>
      </c>
      <c r="CD245" s="85">
        <f t="shared" si="150"/>
        <v>0</v>
      </c>
      <c r="CE245" s="85">
        <f t="shared" si="150"/>
        <v>0</v>
      </c>
      <c r="CF245" s="85">
        <f t="shared" si="150"/>
        <v>0</v>
      </c>
      <c r="CG245" s="85">
        <f t="shared" si="150"/>
        <v>0</v>
      </c>
      <c r="CH245" s="85">
        <f t="shared" si="150"/>
        <v>107100000</v>
      </c>
      <c r="CI245" s="85">
        <f t="shared" si="150"/>
        <v>17100000</v>
      </c>
      <c r="CJ245" s="85">
        <f t="shared" si="150"/>
        <v>15000000</v>
      </c>
      <c r="CK245" s="85">
        <f t="shared" si="150"/>
        <v>0</v>
      </c>
      <c r="CL245" s="85">
        <f t="shared" si="150"/>
        <v>0</v>
      </c>
      <c r="CM245" s="85">
        <f t="shared" si="150"/>
        <v>0</v>
      </c>
      <c r="CN245" s="85">
        <f t="shared" si="150"/>
        <v>0</v>
      </c>
      <c r="CO245" s="85">
        <f t="shared" si="150"/>
        <v>75000000</v>
      </c>
      <c r="CP245" s="85">
        <f t="shared" si="150"/>
        <v>0</v>
      </c>
      <c r="CQ245" s="85">
        <f t="shared" si="150"/>
        <v>0</v>
      </c>
      <c r="CR245" s="85">
        <f t="shared" si="150"/>
        <v>0</v>
      </c>
      <c r="CS245" s="85">
        <f t="shared" si="150"/>
        <v>203401519</v>
      </c>
      <c r="CT245" s="85">
        <f t="shared" si="150"/>
        <v>113401519</v>
      </c>
      <c r="CU245" s="85">
        <f t="shared" si="150"/>
        <v>15000000</v>
      </c>
      <c r="CV245" s="85">
        <f t="shared" si="150"/>
        <v>0</v>
      </c>
      <c r="CW245" s="85">
        <f t="shared" si="150"/>
        <v>0</v>
      </c>
      <c r="CX245" s="85">
        <f t="shared" si="150"/>
        <v>0</v>
      </c>
      <c r="CY245" s="85">
        <f t="shared" si="150"/>
        <v>0</v>
      </c>
      <c r="CZ245" s="85">
        <f t="shared" si="150"/>
        <v>75000000</v>
      </c>
      <c r="DA245" s="85">
        <f t="shared" si="150"/>
        <v>0</v>
      </c>
      <c r="DB245" s="85">
        <f t="shared" si="150"/>
        <v>0</v>
      </c>
      <c r="DC245" s="85">
        <f t="shared" si="150"/>
        <v>0</v>
      </c>
      <c r="DD245" s="85">
        <f t="shared" si="150"/>
        <v>283733325</v>
      </c>
      <c r="DE245" s="85">
        <f t="shared" si="150"/>
        <v>143733325</v>
      </c>
      <c r="DF245" s="85">
        <f t="shared" si="150"/>
        <v>15000000</v>
      </c>
      <c r="DG245" s="85">
        <f t="shared" si="150"/>
        <v>0</v>
      </c>
      <c r="DH245" s="85">
        <f t="shared" si="150"/>
        <v>0</v>
      </c>
      <c r="DI245" s="85">
        <f t="shared" si="150"/>
        <v>0</v>
      </c>
      <c r="DJ245" s="85">
        <f t="shared" si="150"/>
        <v>0</v>
      </c>
      <c r="DK245" s="85">
        <f t="shared" si="150"/>
        <v>125000000</v>
      </c>
      <c r="DL245" s="85">
        <f t="shared" si="150"/>
        <v>0</v>
      </c>
      <c r="DM245" s="85">
        <f t="shared" si="150"/>
        <v>0</v>
      </c>
      <c r="DN245" s="86">
        <f t="shared" si="150"/>
        <v>0</v>
      </c>
      <c r="DO245" s="85">
        <f t="shared" si="150"/>
        <v>1733141058</v>
      </c>
    </row>
    <row r="246" spans="1:123" s="225" customFormat="1" ht="173.25" customHeight="1" x14ac:dyDescent="0.2">
      <c r="A246" s="244">
        <v>2</v>
      </c>
      <c r="B246" s="254" t="s">
        <v>33</v>
      </c>
      <c r="C246" s="59" t="s">
        <v>343</v>
      </c>
      <c r="D246" s="59" t="s">
        <v>1670</v>
      </c>
      <c r="E246" s="119" t="s">
        <v>1671</v>
      </c>
      <c r="F246" s="13" t="s">
        <v>455</v>
      </c>
      <c r="G246" s="59" t="s">
        <v>778</v>
      </c>
      <c r="H246" s="55" t="s">
        <v>779</v>
      </c>
      <c r="I246" s="13">
        <v>39</v>
      </c>
      <c r="J246" s="13" t="s">
        <v>1088</v>
      </c>
      <c r="K246" s="50">
        <v>13</v>
      </c>
      <c r="L246" s="13" t="s">
        <v>346</v>
      </c>
      <c r="M246" s="244">
        <v>32</v>
      </c>
      <c r="N246" s="248" t="s">
        <v>1447</v>
      </c>
      <c r="O246" s="245" t="s">
        <v>287</v>
      </c>
      <c r="P246" s="116" t="s">
        <v>1089</v>
      </c>
      <c r="Q246" s="48">
        <v>3904006</v>
      </c>
      <c r="R246" s="48">
        <v>3904006</v>
      </c>
      <c r="S246" s="59" t="s">
        <v>1090</v>
      </c>
      <c r="T246" s="116" t="s">
        <v>1091</v>
      </c>
      <c r="U246" s="48">
        <v>390400604</v>
      </c>
      <c r="V246" s="48">
        <v>390400604</v>
      </c>
      <c r="W246" s="87" t="s">
        <v>1092</v>
      </c>
      <c r="X246" s="13" t="s">
        <v>9</v>
      </c>
      <c r="Y246" s="13">
        <v>54</v>
      </c>
      <c r="Z246" s="13">
        <v>0</v>
      </c>
      <c r="AA246" s="13"/>
      <c r="AB246" s="13">
        <v>18</v>
      </c>
      <c r="AC246" s="13">
        <v>18</v>
      </c>
      <c r="AD246" s="13">
        <v>18</v>
      </c>
      <c r="AE246" s="89">
        <f t="shared" ref="AE246:AI247" si="151">AJ246+AO246+AT246+AY246+BD246+BI246+BN246+BS246+BX246+CC246</f>
        <v>1120906214</v>
      </c>
      <c r="AF246" s="89">
        <f t="shared" si="151"/>
        <v>0</v>
      </c>
      <c r="AG246" s="89">
        <f t="shared" si="151"/>
        <v>0</v>
      </c>
      <c r="AH246" s="89">
        <f t="shared" si="151"/>
        <v>0</v>
      </c>
      <c r="AI246" s="89">
        <f t="shared" si="151"/>
        <v>0</v>
      </c>
      <c r="AJ246" s="91"/>
      <c r="AK246" s="91"/>
      <c r="AL246" s="91"/>
      <c r="AM246" s="91"/>
      <c r="AN246" s="91"/>
      <c r="AO246" s="91"/>
      <c r="AP246" s="91"/>
      <c r="AQ246" s="91"/>
      <c r="AR246" s="91"/>
      <c r="AS246" s="91"/>
      <c r="AT246" s="91"/>
      <c r="AU246" s="91"/>
      <c r="AV246" s="91"/>
      <c r="AW246" s="91"/>
      <c r="AX246" s="91"/>
      <c r="AY246" s="91"/>
      <c r="AZ246" s="91"/>
      <c r="BA246" s="91"/>
      <c r="BB246" s="91"/>
      <c r="BC246" s="91"/>
      <c r="BD246" s="91"/>
      <c r="BE246" s="91"/>
      <c r="BF246" s="91"/>
      <c r="BG246" s="91"/>
      <c r="BH246" s="91"/>
      <c r="BI246" s="91"/>
      <c r="BJ246" s="91"/>
      <c r="BK246" s="91"/>
      <c r="BL246" s="91"/>
      <c r="BM246" s="91"/>
      <c r="BN246" s="91">
        <v>1120906214</v>
      </c>
      <c r="BO246" s="91"/>
      <c r="BP246" s="91"/>
      <c r="BQ246" s="91"/>
      <c r="BR246" s="91"/>
      <c r="BS246" s="91"/>
      <c r="BT246" s="91"/>
      <c r="BU246" s="91"/>
      <c r="BV246" s="91"/>
      <c r="BW246" s="91"/>
      <c r="BX246" s="91"/>
      <c r="BY246" s="91"/>
      <c r="BZ246" s="91"/>
      <c r="CA246" s="91"/>
      <c r="CB246" s="91"/>
      <c r="CC246" s="91"/>
      <c r="CD246" s="91"/>
      <c r="CE246" s="91"/>
      <c r="CF246" s="91"/>
      <c r="CG246" s="91"/>
      <c r="CH246" s="91">
        <f>CI246+CJ246+CK246+CL246+CM246+CN246+CO246+CP246+CQ246+CR246</f>
        <v>15000000</v>
      </c>
      <c r="CI246" s="91"/>
      <c r="CJ246" s="91">
        <v>15000000</v>
      </c>
      <c r="CK246" s="91"/>
      <c r="CL246" s="91"/>
      <c r="CM246" s="91"/>
      <c r="CN246" s="91"/>
      <c r="CO246" s="91"/>
      <c r="CP246" s="91"/>
      <c r="CQ246" s="91"/>
      <c r="CR246" s="91"/>
      <c r="CS246" s="91">
        <f t="shared" si="138"/>
        <v>111510000</v>
      </c>
      <c r="CT246" s="91">
        <v>96510000</v>
      </c>
      <c r="CU246" s="91">
        <v>15000000</v>
      </c>
      <c r="CV246" s="91"/>
      <c r="CW246" s="91"/>
      <c r="CX246" s="91"/>
      <c r="CY246" s="91"/>
      <c r="CZ246" s="91"/>
      <c r="DA246" s="91"/>
      <c r="DB246" s="91"/>
      <c r="DC246" s="91"/>
      <c r="DD246" s="91">
        <f t="shared" si="145"/>
        <v>112330000</v>
      </c>
      <c r="DE246" s="91">
        <v>97330000</v>
      </c>
      <c r="DF246" s="91">
        <v>15000000</v>
      </c>
      <c r="DG246" s="91"/>
      <c r="DH246" s="91"/>
      <c r="DI246" s="91"/>
      <c r="DJ246" s="91"/>
      <c r="DK246" s="91"/>
      <c r="DL246" s="91"/>
      <c r="DM246" s="91"/>
      <c r="DN246" s="92"/>
      <c r="DO246" s="93">
        <f>AE246+CH246+CS246+DD246</f>
        <v>1359746214</v>
      </c>
    </row>
    <row r="247" spans="1:123" s="225" customFormat="1" ht="141.75" customHeight="1" x14ac:dyDescent="0.2">
      <c r="A247" s="244">
        <v>2</v>
      </c>
      <c r="B247" s="254" t="s">
        <v>33</v>
      </c>
      <c r="C247" s="59" t="s">
        <v>343</v>
      </c>
      <c r="D247" s="59" t="s">
        <v>288</v>
      </c>
      <c r="E247" s="119">
        <v>0.1</v>
      </c>
      <c r="F247" s="13">
        <v>2018</v>
      </c>
      <c r="G247" s="59" t="s">
        <v>1446</v>
      </c>
      <c r="H247" s="119">
        <v>0.3</v>
      </c>
      <c r="I247" s="13">
        <v>39</v>
      </c>
      <c r="J247" s="13" t="s">
        <v>1088</v>
      </c>
      <c r="K247" s="50">
        <v>13</v>
      </c>
      <c r="L247" s="13" t="s">
        <v>346</v>
      </c>
      <c r="M247" s="244">
        <v>32</v>
      </c>
      <c r="N247" s="247" t="s">
        <v>1447</v>
      </c>
      <c r="O247" s="245" t="s">
        <v>287</v>
      </c>
      <c r="P247" s="13" t="s">
        <v>1448</v>
      </c>
      <c r="Q247" s="48" t="s">
        <v>289</v>
      </c>
      <c r="R247" s="48" t="s">
        <v>289</v>
      </c>
      <c r="S247" s="59" t="s">
        <v>1449</v>
      </c>
      <c r="T247" s="13" t="s">
        <v>1450</v>
      </c>
      <c r="U247" s="48">
        <v>390401809</v>
      </c>
      <c r="V247" s="48">
        <v>390401809</v>
      </c>
      <c r="W247" s="87" t="s">
        <v>1451</v>
      </c>
      <c r="X247" s="13" t="s">
        <v>9</v>
      </c>
      <c r="Y247" s="13">
        <v>20</v>
      </c>
      <c r="Z247" s="13">
        <v>1</v>
      </c>
      <c r="AA247" s="13">
        <v>0</v>
      </c>
      <c r="AB247" s="13">
        <v>6</v>
      </c>
      <c r="AC247" s="13">
        <v>6</v>
      </c>
      <c r="AD247" s="13">
        <v>7</v>
      </c>
      <c r="AE247" s="89">
        <f t="shared" si="151"/>
        <v>18000000</v>
      </c>
      <c r="AF247" s="89">
        <f t="shared" si="151"/>
        <v>18000000</v>
      </c>
      <c r="AG247" s="89">
        <f t="shared" si="151"/>
        <v>0</v>
      </c>
      <c r="AH247" s="89">
        <f t="shared" si="151"/>
        <v>0</v>
      </c>
      <c r="AI247" s="89">
        <f t="shared" si="151"/>
        <v>0</v>
      </c>
      <c r="AJ247" s="91">
        <v>18000000</v>
      </c>
      <c r="AK247" s="91">
        <v>18000000</v>
      </c>
      <c r="AL247" s="91"/>
      <c r="AM247" s="91"/>
      <c r="AN247" s="91"/>
      <c r="AO247" s="91"/>
      <c r="AP247" s="91"/>
      <c r="AQ247" s="91"/>
      <c r="AR247" s="91"/>
      <c r="AS247" s="91"/>
      <c r="AT247" s="91"/>
      <c r="AU247" s="91"/>
      <c r="AV247" s="91"/>
      <c r="AW247" s="91"/>
      <c r="AX247" s="91"/>
      <c r="AY247" s="91"/>
      <c r="AZ247" s="91"/>
      <c r="BA247" s="91"/>
      <c r="BB247" s="91"/>
      <c r="BC247" s="91"/>
      <c r="BD247" s="91"/>
      <c r="BE247" s="91"/>
      <c r="BF247" s="91"/>
      <c r="BG247" s="91"/>
      <c r="BH247" s="91"/>
      <c r="BI247" s="91"/>
      <c r="BJ247" s="91"/>
      <c r="BK247" s="91"/>
      <c r="BL247" s="91"/>
      <c r="BM247" s="91"/>
      <c r="BN247" s="91"/>
      <c r="BO247" s="91"/>
      <c r="BP247" s="91"/>
      <c r="BQ247" s="91"/>
      <c r="BR247" s="91"/>
      <c r="BS247" s="91"/>
      <c r="BT247" s="91"/>
      <c r="BU247" s="91"/>
      <c r="BV247" s="91"/>
      <c r="BW247" s="91"/>
      <c r="BX247" s="91"/>
      <c r="BY247" s="91"/>
      <c r="BZ247" s="91"/>
      <c r="CA247" s="91"/>
      <c r="CB247" s="91"/>
      <c r="CC247" s="91"/>
      <c r="CD247" s="91"/>
      <c r="CE247" s="91"/>
      <c r="CF247" s="91"/>
      <c r="CG247" s="91"/>
      <c r="CH247" s="91">
        <f>CI247+CJ247+CK247+CL247+CM247+CN247+CO247+CP247+CQ247+CR247</f>
        <v>92100000</v>
      </c>
      <c r="CI247" s="91">
        <v>17100000</v>
      </c>
      <c r="CJ247" s="91"/>
      <c r="CK247" s="91"/>
      <c r="CL247" s="91"/>
      <c r="CM247" s="91"/>
      <c r="CN247" s="91"/>
      <c r="CO247" s="91">
        <v>75000000</v>
      </c>
      <c r="CP247" s="91"/>
      <c r="CQ247" s="91"/>
      <c r="CR247" s="91"/>
      <c r="CS247" s="91">
        <f t="shared" si="138"/>
        <v>91891519</v>
      </c>
      <c r="CT247" s="91">
        <v>16891519</v>
      </c>
      <c r="CU247" s="91"/>
      <c r="CV247" s="91"/>
      <c r="CW247" s="91"/>
      <c r="CX247" s="91"/>
      <c r="CY247" s="91"/>
      <c r="CZ247" s="91">
        <v>75000000</v>
      </c>
      <c r="DA247" s="91"/>
      <c r="DB247" s="91"/>
      <c r="DC247" s="91"/>
      <c r="DD247" s="91">
        <f t="shared" si="145"/>
        <v>171403325</v>
      </c>
      <c r="DE247" s="91">
        <v>46403325</v>
      </c>
      <c r="DF247" s="91"/>
      <c r="DG247" s="91"/>
      <c r="DH247" s="91"/>
      <c r="DI247" s="91"/>
      <c r="DJ247" s="91"/>
      <c r="DK247" s="91">
        <v>125000000</v>
      </c>
      <c r="DL247" s="91"/>
      <c r="DM247" s="91"/>
      <c r="DN247" s="92"/>
      <c r="DO247" s="93">
        <f>AE247+CH247+CS247+DD247</f>
        <v>373394844</v>
      </c>
    </row>
    <row r="248" spans="1:123" s="217" customFormat="1" ht="21.75" customHeight="1" x14ac:dyDescent="0.2">
      <c r="A248" s="65">
        <v>3</v>
      </c>
      <c r="B248" s="153" t="s">
        <v>41</v>
      </c>
      <c r="C248" s="65"/>
      <c r="D248" s="65"/>
      <c r="E248" s="154"/>
      <c r="F248" s="65"/>
      <c r="G248" s="65"/>
      <c r="H248" s="154"/>
      <c r="I248" s="65"/>
      <c r="J248" s="65"/>
      <c r="K248" s="65"/>
      <c r="L248" s="65"/>
      <c r="M248" s="65"/>
      <c r="N248" s="65"/>
      <c r="O248" s="65"/>
      <c r="P248" s="65"/>
      <c r="Q248" s="155"/>
      <c r="R248" s="155"/>
      <c r="S248" s="155"/>
      <c r="T248" s="155"/>
      <c r="U248" s="155"/>
      <c r="V248" s="155"/>
      <c r="W248" s="71"/>
      <c r="X248" s="71"/>
      <c r="Y248" s="68"/>
      <c r="Z248" s="68"/>
      <c r="AA248" s="68"/>
      <c r="AB248" s="68"/>
      <c r="AC248" s="68"/>
      <c r="AD248" s="72"/>
      <c r="AE248" s="73">
        <f t="shared" ref="AE248:CP248" si="152">AE249+AE255+AE260+AE263+AE271+AE274+AE280+AE284+AE292+AE299</f>
        <v>112553438322.78</v>
      </c>
      <c r="AF248" s="73">
        <f t="shared" si="152"/>
        <v>92686939190.660004</v>
      </c>
      <c r="AG248" s="73">
        <f t="shared" si="152"/>
        <v>20810641156.849998</v>
      </c>
      <c r="AH248" s="73">
        <f t="shared" si="152"/>
        <v>11183504325.85</v>
      </c>
      <c r="AI248" s="73">
        <f t="shared" si="152"/>
        <v>1581806188</v>
      </c>
      <c r="AJ248" s="73">
        <f t="shared" si="152"/>
        <v>1073676280.3</v>
      </c>
      <c r="AK248" s="73">
        <f t="shared" si="152"/>
        <v>2347370354.04</v>
      </c>
      <c r="AL248" s="73">
        <f t="shared" si="152"/>
        <v>1101949331</v>
      </c>
      <c r="AM248" s="73">
        <f t="shared" si="152"/>
        <v>1021041264</v>
      </c>
      <c r="AN248" s="73">
        <f t="shared" si="152"/>
        <v>546139659</v>
      </c>
      <c r="AO248" s="73">
        <f t="shared" si="152"/>
        <v>3624247512.3599997</v>
      </c>
      <c r="AP248" s="73">
        <f t="shared" si="152"/>
        <v>0</v>
      </c>
      <c r="AQ248" s="73">
        <f t="shared" si="152"/>
        <v>0</v>
      </c>
      <c r="AR248" s="73">
        <f t="shared" si="152"/>
        <v>0</v>
      </c>
      <c r="AS248" s="73">
        <f t="shared" si="152"/>
        <v>0</v>
      </c>
      <c r="AT248" s="73">
        <f t="shared" si="152"/>
        <v>0</v>
      </c>
      <c r="AU248" s="73">
        <f t="shared" si="152"/>
        <v>0</v>
      </c>
      <c r="AV248" s="73">
        <f t="shared" si="152"/>
        <v>0</v>
      </c>
      <c r="AW248" s="73">
        <f t="shared" si="152"/>
        <v>0</v>
      </c>
      <c r="AX248" s="73">
        <f t="shared" si="152"/>
        <v>0</v>
      </c>
      <c r="AY248" s="73">
        <f t="shared" si="152"/>
        <v>0</v>
      </c>
      <c r="AZ248" s="73">
        <f t="shared" si="152"/>
        <v>0</v>
      </c>
      <c r="BA248" s="73">
        <f t="shared" si="152"/>
        <v>0</v>
      </c>
      <c r="BB248" s="73">
        <f t="shared" si="152"/>
        <v>0</v>
      </c>
      <c r="BC248" s="73">
        <f t="shared" si="152"/>
        <v>0</v>
      </c>
      <c r="BD248" s="73">
        <f t="shared" si="152"/>
        <v>2686652877.1199999</v>
      </c>
      <c r="BE248" s="73">
        <f t="shared" si="152"/>
        <v>2780436507.1199999</v>
      </c>
      <c r="BF248" s="73">
        <f t="shared" si="152"/>
        <v>2766983630</v>
      </c>
      <c r="BG248" s="73">
        <f t="shared" si="152"/>
        <v>2766983630</v>
      </c>
      <c r="BH248" s="73">
        <f t="shared" si="152"/>
        <v>0</v>
      </c>
      <c r="BI248" s="73">
        <f t="shared" si="152"/>
        <v>0</v>
      </c>
      <c r="BJ248" s="73">
        <f t="shared" si="152"/>
        <v>0</v>
      </c>
      <c r="BK248" s="73">
        <f t="shared" si="152"/>
        <v>0</v>
      </c>
      <c r="BL248" s="73">
        <f t="shared" si="152"/>
        <v>0</v>
      </c>
      <c r="BM248" s="73">
        <f t="shared" si="152"/>
        <v>0</v>
      </c>
      <c r="BN248" s="73">
        <f t="shared" si="152"/>
        <v>104654405653</v>
      </c>
      <c r="BO248" s="73">
        <f t="shared" si="152"/>
        <v>86822889900</v>
      </c>
      <c r="BP248" s="73">
        <f t="shared" si="152"/>
        <v>16351263376</v>
      </c>
      <c r="BQ248" s="73">
        <f t="shared" si="152"/>
        <v>6805034612</v>
      </c>
      <c r="BR248" s="73">
        <f t="shared" si="152"/>
        <v>0</v>
      </c>
      <c r="BS248" s="73">
        <f t="shared" si="152"/>
        <v>0</v>
      </c>
      <c r="BT248" s="73">
        <f t="shared" si="152"/>
        <v>0</v>
      </c>
      <c r="BU248" s="73">
        <f t="shared" si="152"/>
        <v>0</v>
      </c>
      <c r="BV248" s="73">
        <f t="shared" si="152"/>
        <v>0</v>
      </c>
      <c r="BW248" s="73">
        <f t="shared" si="152"/>
        <v>0</v>
      </c>
      <c r="BX248" s="73">
        <f t="shared" si="152"/>
        <v>0</v>
      </c>
      <c r="BY248" s="73">
        <f t="shared" si="152"/>
        <v>0</v>
      </c>
      <c r="BZ248" s="73">
        <f t="shared" si="152"/>
        <v>0</v>
      </c>
      <c r="CA248" s="73">
        <f t="shared" si="152"/>
        <v>0</v>
      </c>
      <c r="CB248" s="73">
        <f t="shared" si="152"/>
        <v>1035666529</v>
      </c>
      <c r="CC248" s="73">
        <f t="shared" si="152"/>
        <v>514456000</v>
      </c>
      <c r="CD248" s="73">
        <f t="shared" si="152"/>
        <v>736242429.5</v>
      </c>
      <c r="CE248" s="73">
        <f t="shared" si="152"/>
        <v>590444819.85000002</v>
      </c>
      <c r="CF248" s="73">
        <f t="shared" si="152"/>
        <v>590444819.85000002</v>
      </c>
      <c r="CG248" s="73">
        <f t="shared" si="152"/>
        <v>0</v>
      </c>
      <c r="CH248" s="73">
        <f t="shared" si="152"/>
        <v>7880954628.2366714</v>
      </c>
      <c r="CI248" s="73">
        <f t="shared" si="152"/>
        <v>685984164.43999994</v>
      </c>
      <c r="CJ248" s="73">
        <f t="shared" si="152"/>
        <v>4333524004.6240711</v>
      </c>
      <c r="CK248" s="73">
        <f t="shared" si="152"/>
        <v>0</v>
      </c>
      <c r="CL248" s="73">
        <f t="shared" si="152"/>
        <v>0</v>
      </c>
      <c r="CM248" s="73">
        <f t="shared" si="152"/>
        <v>2751236459.1726003</v>
      </c>
      <c r="CN248" s="73">
        <f t="shared" si="152"/>
        <v>0</v>
      </c>
      <c r="CO248" s="73">
        <f t="shared" si="152"/>
        <v>0</v>
      </c>
      <c r="CP248" s="73">
        <f t="shared" si="152"/>
        <v>0</v>
      </c>
      <c r="CQ248" s="73">
        <f t="shared" ref="CQ248:DO248" si="153">CQ249+CQ255+CQ260+CQ263+CQ271+CQ274+CQ280+CQ284+CQ292+CQ299</f>
        <v>0</v>
      </c>
      <c r="CR248" s="73">
        <f t="shared" si="153"/>
        <v>110210000</v>
      </c>
      <c r="CS248" s="73">
        <f t="shared" si="153"/>
        <v>8794890528.9729652</v>
      </c>
      <c r="CT248" s="73">
        <f t="shared" si="153"/>
        <v>1120401878.3400002</v>
      </c>
      <c r="CU248" s="73">
        <f t="shared" si="153"/>
        <v>4727198797.6851864</v>
      </c>
      <c r="CV248" s="73">
        <f t="shared" si="153"/>
        <v>0</v>
      </c>
      <c r="CW248" s="73">
        <f t="shared" si="153"/>
        <v>0</v>
      </c>
      <c r="CX248" s="73">
        <f t="shared" si="153"/>
        <v>2833773552.9477782</v>
      </c>
      <c r="CY248" s="73">
        <f t="shared" si="153"/>
        <v>0</v>
      </c>
      <c r="CZ248" s="73">
        <f t="shared" si="153"/>
        <v>0</v>
      </c>
      <c r="DA248" s="73">
        <f t="shared" si="153"/>
        <v>0</v>
      </c>
      <c r="DB248" s="73">
        <f t="shared" si="153"/>
        <v>0</v>
      </c>
      <c r="DC248" s="73">
        <f t="shared" si="153"/>
        <v>113516300</v>
      </c>
      <c r="DD248" s="73">
        <f t="shared" si="153"/>
        <v>11085867230.217501</v>
      </c>
      <c r="DE248" s="73">
        <f t="shared" si="153"/>
        <v>2487934166.7923999</v>
      </c>
      <c r="DF248" s="73">
        <f t="shared" si="153"/>
        <v>5562224514.8888893</v>
      </c>
      <c r="DG248" s="73">
        <f t="shared" si="153"/>
        <v>0</v>
      </c>
      <c r="DH248" s="73">
        <f t="shared" si="153"/>
        <v>0</v>
      </c>
      <c r="DI248" s="73">
        <f t="shared" si="153"/>
        <v>2918786759.536212</v>
      </c>
      <c r="DJ248" s="73">
        <f t="shared" si="153"/>
        <v>0</v>
      </c>
      <c r="DK248" s="73">
        <f t="shared" si="153"/>
        <v>0</v>
      </c>
      <c r="DL248" s="73">
        <f t="shared" si="153"/>
        <v>0</v>
      </c>
      <c r="DM248" s="73">
        <f t="shared" si="153"/>
        <v>0</v>
      </c>
      <c r="DN248" s="73">
        <f t="shared" si="153"/>
        <v>116921789</v>
      </c>
      <c r="DO248" s="73">
        <f t="shared" si="153"/>
        <v>140315150710.20712</v>
      </c>
      <c r="DS248" s="208"/>
    </row>
    <row r="249" spans="1:123" ht="29.25" customHeight="1" x14ac:dyDescent="0.2">
      <c r="A249" s="74"/>
      <c r="B249" s="156"/>
      <c r="C249" s="74"/>
      <c r="D249" s="74"/>
      <c r="E249" s="77"/>
      <c r="F249" s="74"/>
      <c r="G249" s="74"/>
      <c r="H249" s="77"/>
      <c r="I249" s="74"/>
      <c r="J249" s="74"/>
      <c r="K249" s="74"/>
      <c r="L249" s="74"/>
      <c r="M249" s="96">
        <v>18</v>
      </c>
      <c r="N249" s="96">
        <v>2402</v>
      </c>
      <c r="O249" s="97" t="s">
        <v>42</v>
      </c>
      <c r="P249" s="96"/>
      <c r="Q249" s="98"/>
      <c r="R249" s="98"/>
      <c r="S249" s="98"/>
      <c r="T249" s="98"/>
      <c r="U249" s="98"/>
      <c r="V249" s="98"/>
      <c r="W249" s="83"/>
      <c r="X249" s="83"/>
      <c r="Y249" s="84"/>
      <c r="Z249" s="84"/>
      <c r="AA249" s="84"/>
      <c r="AB249" s="84"/>
      <c r="AC249" s="84"/>
      <c r="AD249" s="81"/>
      <c r="AE249" s="85">
        <f>SUM(AE250:AE254)</f>
        <v>69070460300.050003</v>
      </c>
      <c r="AF249" s="85">
        <f>SUM(AF250:AF254)</f>
        <v>41977984939.940002</v>
      </c>
      <c r="AG249" s="85">
        <f t="shared" ref="AG249:DN249" si="154">SUM(AG250:AG254)</f>
        <v>865702370.37</v>
      </c>
      <c r="AH249" s="85">
        <f t="shared" si="154"/>
        <v>784548030.37</v>
      </c>
      <c r="AI249" s="85">
        <f t="shared" si="154"/>
        <v>1048083629</v>
      </c>
      <c r="AJ249" s="85">
        <f t="shared" si="154"/>
        <v>311721336</v>
      </c>
      <c r="AK249" s="85">
        <f>SUM(AK250:AK254)</f>
        <v>769025413.94000006</v>
      </c>
      <c r="AL249" s="85">
        <f t="shared" si="154"/>
        <v>396699304</v>
      </c>
      <c r="AM249" s="85">
        <f t="shared" si="154"/>
        <v>325591237</v>
      </c>
      <c r="AN249" s="85">
        <f t="shared" si="154"/>
        <v>12417100</v>
      </c>
      <c r="AO249" s="85">
        <f t="shared" si="154"/>
        <v>479436488.05000001</v>
      </c>
      <c r="AP249" s="85">
        <f t="shared" si="154"/>
        <v>0</v>
      </c>
      <c r="AQ249" s="85">
        <f t="shared" si="154"/>
        <v>0</v>
      </c>
      <c r="AR249" s="85">
        <f t="shared" si="154"/>
        <v>0</v>
      </c>
      <c r="AS249" s="85">
        <f t="shared" si="154"/>
        <v>0</v>
      </c>
      <c r="AT249" s="85">
        <f t="shared" si="154"/>
        <v>0</v>
      </c>
      <c r="AU249" s="85">
        <f>SUM(AU250:AU254)</f>
        <v>0</v>
      </c>
      <c r="AV249" s="85">
        <f t="shared" si="154"/>
        <v>0</v>
      </c>
      <c r="AW249" s="85">
        <f t="shared" si="154"/>
        <v>0</v>
      </c>
      <c r="AX249" s="85">
        <f t="shared" si="154"/>
        <v>0</v>
      </c>
      <c r="AY249" s="85">
        <f t="shared" si="154"/>
        <v>0</v>
      </c>
      <c r="AZ249" s="85">
        <f t="shared" si="154"/>
        <v>0</v>
      </c>
      <c r="BA249" s="85">
        <f t="shared" si="154"/>
        <v>0</v>
      </c>
      <c r="BB249" s="85">
        <f t="shared" si="154"/>
        <v>0</v>
      </c>
      <c r="BC249" s="85">
        <f t="shared" si="154"/>
        <v>0</v>
      </c>
      <c r="BD249" s="85">
        <f t="shared" si="154"/>
        <v>0</v>
      </c>
      <c r="BE249" s="85">
        <f>SUM(BE250:BE254)</f>
        <v>0</v>
      </c>
      <c r="BF249" s="85">
        <f t="shared" si="154"/>
        <v>0</v>
      </c>
      <c r="BG249" s="85">
        <f t="shared" si="154"/>
        <v>0</v>
      </c>
      <c r="BH249" s="85">
        <f t="shared" si="154"/>
        <v>0</v>
      </c>
      <c r="BI249" s="85">
        <f t="shared" si="154"/>
        <v>0</v>
      </c>
      <c r="BJ249" s="85">
        <f t="shared" si="154"/>
        <v>0</v>
      </c>
      <c r="BK249" s="85">
        <f t="shared" si="154"/>
        <v>0</v>
      </c>
      <c r="BL249" s="85">
        <f t="shared" si="154"/>
        <v>0</v>
      </c>
      <c r="BM249" s="85">
        <f t="shared" si="154"/>
        <v>0</v>
      </c>
      <c r="BN249" s="85">
        <f t="shared" si="154"/>
        <v>68061022476</v>
      </c>
      <c r="BO249" s="85">
        <f>SUM(BO250:BO254)</f>
        <v>40990679526</v>
      </c>
      <c r="BP249" s="85">
        <f t="shared" si="154"/>
        <v>250843467</v>
      </c>
      <c r="BQ249" s="85">
        <f t="shared" si="154"/>
        <v>240797194</v>
      </c>
      <c r="BR249" s="85">
        <f t="shared" si="154"/>
        <v>0</v>
      </c>
      <c r="BS249" s="85">
        <f t="shared" si="154"/>
        <v>0</v>
      </c>
      <c r="BT249" s="85">
        <f t="shared" si="154"/>
        <v>0</v>
      </c>
      <c r="BU249" s="85">
        <f t="shared" si="154"/>
        <v>0</v>
      </c>
      <c r="BV249" s="85">
        <f t="shared" si="154"/>
        <v>0</v>
      </c>
      <c r="BW249" s="85">
        <f t="shared" si="154"/>
        <v>0</v>
      </c>
      <c r="BX249" s="85">
        <f t="shared" si="154"/>
        <v>0</v>
      </c>
      <c r="BY249" s="85">
        <f>SUM(BY250:BY254)</f>
        <v>0</v>
      </c>
      <c r="BZ249" s="85">
        <f t="shared" si="154"/>
        <v>0</v>
      </c>
      <c r="CA249" s="85">
        <f t="shared" si="154"/>
        <v>0</v>
      </c>
      <c r="CB249" s="85">
        <f t="shared" si="154"/>
        <v>1035666529</v>
      </c>
      <c r="CC249" s="85">
        <f t="shared" si="154"/>
        <v>218280000</v>
      </c>
      <c r="CD249" s="85">
        <f t="shared" si="154"/>
        <v>218280000</v>
      </c>
      <c r="CE249" s="85">
        <f t="shared" si="154"/>
        <v>218159599.37</v>
      </c>
      <c r="CF249" s="85">
        <f t="shared" si="154"/>
        <v>218159599.37</v>
      </c>
      <c r="CG249" s="85">
        <f t="shared" si="154"/>
        <v>0</v>
      </c>
      <c r="CH249" s="85">
        <f t="shared" si="154"/>
        <v>1002689699.722222</v>
      </c>
      <c r="CI249" s="85">
        <f t="shared" si="154"/>
        <v>9500000</v>
      </c>
      <c r="CJ249" s="85">
        <f t="shared" si="154"/>
        <v>993189699.72222197</v>
      </c>
      <c r="CK249" s="85">
        <f t="shared" si="154"/>
        <v>0</v>
      </c>
      <c r="CL249" s="85">
        <f t="shared" si="154"/>
        <v>0</v>
      </c>
      <c r="CM249" s="85">
        <f t="shared" si="154"/>
        <v>0</v>
      </c>
      <c r="CN249" s="85">
        <f t="shared" si="154"/>
        <v>0</v>
      </c>
      <c r="CO249" s="85">
        <f t="shared" si="154"/>
        <v>0</v>
      </c>
      <c r="CP249" s="85">
        <f t="shared" si="154"/>
        <v>0</v>
      </c>
      <c r="CQ249" s="85">
        <f t="shared" si="154"/>
        <v>0</v>
      </c>
      <c r="CR249" s="85">
        <f t="shared" si="154"/>
        <v>0</v>
      </c>
      <c r="CS249" s="85">
        <f t="shared" si="154"/>
        <v>1516145830.2777781</v>
      </c>
      <c r="CT249" s="85">
        <f t="shared" si="154"/>
        <v>0</v>
      </c>
      <c r="CU249" s="85">
        <f t="shared" si="154"/>
        <v>1516145830.2777781</v>
      </c>
      <c r="CV249" s="85">
        <f t="shared" si="154"/>
        <v>0</v>
      </c>
      <c r="CW249" s="85">
        <f t="shared" si="154"/>
        <v>0</v>
      </c>
      <c r="CX249" s="85">
        <f t="shared" si="154"/>
        <v>0</v>
      </c>
      <c r="CY249" s="85">
        <f t="shared" si="154"/>
        <v>0</v>
      </c>
      <c r="CZ249" s="85">
        <f t="shared" si="154"/>
        <v>0</v>
      </c>
      <c r="DA249" s="85">
        <f t="shared" si="154"/>
        <v>0</v>
      </c>
      <c r="DB249" s="85">
        <f t="shared" si="154"/>
        <v>0</v>
      </c>
      <c r="DC249" s="85">
        <f t="shared" si="154"/>
        <v>0</v>
      </c>
      <c r="DD249" s="85">
        <f t="shared" si="154"/>
        <v>2092024037.833333</v>
      </c>
      <c r="DE249" s="85">
        <f t="shared" si="154"/>
        <v>0</v>
      </c>
      <c r="DF249" s="85">
        <f t="shared" si="154"/>
        <v>2092024037.833333</v>
      </c>
      <c r="DG249" s="85">
        <f t="shared" si="154"/>
        <v>0</v>
      </c>
      <c r="DH249" s="85">
        <f t="shared" si="154"/>
        <v>0</v>
      </c>
      <c r="DI249" s="85">
        <f t="shared" si="154"/>
        <v>0</v>
      </c>
      <c r="DJ249" s="85">
        <f t="shared" si="154"/>
        <v>0</v>
      </c>
      <c r="DK249" s="85">
        <f t="shared" si="154"/>
        <v>0</v>
      </c>
      <c r="DL249" s="85">
        <f t="shared" si="154"/>
        <v>0</v>
      </c>
      <c r="DM249" s="85">
        <f t="shared" si="154"/>
        <v>0</v>
      </c>
      <c r="DN249" s="86">
        <f t="shared" si="154"/>
        <v>0</v>
      </c>
      <c r="DO249" s="85">
        <f>SUM(DO250:DO254)</f>
        <v>73681319867.883331</v>
      </c>
    </row>
    <row r="250" spans="1:123" s="225" customFormat="1" ht="110.25" customHeight="1" x14ac:dyDescent="0.2">
      <c r="A250" s="64">
        <v>3</v>
      </c>
      <c r="B250" s="256" t="s">
        <v>41</v>
      </c>
      <c r="C250" s="94" t="s">
        <v>910</v>
      </c>
      <c r="D250" s="94" t="s">
        <v>1574</v>
      </c>
      <c r="E250" s="118">
        <v>2.42</v>
      </c>
      <c r="F250" s="48">
        <v>2019</v>
      </c>
      <c r="G250" s="94" t="s">
        <v>911</v>
      </c>
      <c r="H250" s="118">
        <v>3</v>
      </c>
      <c r="I250" s="13">
        <v>24</v>
      </c>
      <c r="J250" s="13" t="s">
        <v>912</v>
      </c>
      <c r="K250" s="50">
        <v>9</v>
      </c>
      <c r="L250" s="13" t="s">
        <v>912</v>
      </c>
      <c r="M250" s="244">
        <v>18</v>
      </c>
      <c r="N250" s="247">
        <v>2402</v>
      </c>
      <c r="O250" s="245" t="s">
        <v>42</v>
      </c>
      <c r="P250" s="13" t="s">
        <v>913</v>
      </c>
      <c r="Q250" s="13" t="s">
        <v>77</v>
      </c>
      <c r="R250" s="13">
        <v>2402022</v>
      </c>
      <c r="S250" s="59" t="s">
        <v>302</v>
      </c>
      <c r="T250" s="13" t="s">
        <v>914</v>
      </c>
      <c r="U250" s="13" t="s">
        <v>77</v>
      </c>
      <c r="V250" s="13">
        <v>240202200</v>
      </c>
      <c r="W250" s="95" t="s">
        <v>915</v>
      </c>
      <c r="X250" s="48" t="s">
        <v>8</v>
      </c>
      <c r="Y250" s="48">
        <v>1</v>
      </c>
      <c r="Z250" s="48">
        <v>0</v>
      </c>
      <c r="AA250" s="48"/>
      <c r="AB250" s="48">
        <v>1</v>
      </c>
      <c r="AC250" s="48">
        <v>1</v>
      </c>
      <c r="AD250" s="48">
        <v>1</v>
      </c>
      <c r="AE250" s="89">
        <f t="shared" ref="AE250:AF254" si="155">AJ250+AO250+AT250+AY250+BD250+BI250+BN250+BS250+BX250+CC250</f>
        <v>0</v>
      </c>
      <c r="AF250" s="89">
        <f t="shared" si="155"/>
        <v>0</v>
      </c>
      <c r="AG250" s="89">
        <f>AL250+AQ250+AV250+BA250+BF250+BK250+BP250+BU250+BZ250+CE250</f>
        <v>0</v>
      </c>
      <c r="AH250" s="89">
        <f t="shared" ref="AH250:AI254" si="156">AM250+AR250+AW250+BB250+BG250+BL250+BQ250+BV250+CA250+CF250</f>
        <v>0</v>
      </c>
      <c r="AI250" s="89">
        <f t="shared" si="156"/>
        <v>0</v>
      </c>
      <c r="AJ250" s="91">
        <v>0</v>
      </c>
      <c r="AK250" s="91">
        <v>0</v>
      </c>
      <c r="AL250" s="91"/>
      <c r="AM250" s="91"/>
      <c r="AN250" s="91"/>
      <c r="AO250" s="91"/>
      <c r="AP250" s="91">
        <v>0</v>
      </c>
      <c r="AQ250" s="91"/>
      <c r="AR250" s="91"/>
      <c r="AS250" s="91"/>
      <c r="AT250" s="91"/>
      <c r="AU250" s="91">
        <v>0</v>
      </c>
      <c r="AV250" s="91"/>
      <c r="AW250" s="91"/>
      <c r="AX250" s="91"/>
      <c r="AY250" s="91"/>
      <c r="AZ250" s="91">
        <v>0</v>
      </c>
      <c r="BA250" s="91"/>
      <c r="BB250" s="91"/>
      <c r="BC250" s="91"/>
      <c r="BD250" s="91"/>
      <c r="BE250" s="91">
        <v>0</v>
      </c>
      <c r="BF250" s="91"/>
      <c r="BG250" s="91"/>
      <c r="BH250" s="91"/>
      <c r="BI250" s="91"/>
      <c r="BJ250" s="91">
        <v>0</v>
      </c>
      <c r="BK250" s="91"/>
      <c r="BL250" s="91"/>
      <c r="BM250" s="91"/>
      <c r="BN250" s="91"/>
      <c r="BO250" s="91">
        <v>0</v>
      </c>
      <c r="BP250" s="91"/>
      <c r="BQ250" s="91"/>
      <c r="BR250" s="91"/>
      <c r="BS250" s="91"/>
      <c r="BT250" s="91">
        <v>0</v>
      </c>
      <c r="BU250" s="91"/>
      <c r="BV250" s="91"/>
      <c r="BW250" s="91"/>
      <c r="BX250" s="91"/>
      <c r="BY250" s="91">
        <v>0</v>
      </c>
      <c r="BZ250" s="91"/>
      <c r="CA250" s="91"/>
      <c r="CB250" s="91"/>
      <c r="CC250" s="91"/>
      <c r="CD250" s="91">
        <v>0</v>
      </c>
      <c r="CE250" s="91"/>
      <c r="CF250" s="91"/>
      <c r="CG250" s="91"/>
      <c r="CH250" s="91">
        <f t="shared" ref="CH250:CH302" si="157">CI250+CJ250+CK250+CL250+CM250+CN250+CO250+CP250+CQ250+CR250</f>
        <v>388831194</v>
      </c>
      <c r="CI250" s="91"/>
      <c r="CJ250" s="91">
        <v>388831194</v>
      </c>
      <c r="CK250" s="91"/>
      <c r="CL250" s="91"/>
      <c r="CM250" s="91"/>
      <c r="CN250" s="91"/>
      <c r="CO250" s="91"/>
      <c r="CP250" s="91"/>
      <c r="CQ250" s="91"/>
      <c r="CR250" s="91"/>
      <c r="CS250" s="91">
        <f>CT250+CU250+CV250+CW250+CX250+CY250+CZ250+DA250+DB250+DC250</f>
        <v>666893700</v>
      </c>
      <c r="CT250" s="91"/>
      <c r="CU250" s="91">
        <v>666893700</v>
      </c>
      <c r="CV250" s="91"/>
      <c r="CW250" s="91"/>
      <c r="CX250" s="91"/>
      <c r="CY250" s="91"/>
      <c r="CZ250" s="91"/>
      <c r="DA250" s="91"/>
      <c r="DB250" s="91"/>
      <c r="DC250" s="91"/>
      <c r="DD250" s="91">
        <f>DE250+DF250+DG250+DH250+DI250+DJ250+DK250+DL250+DM250+DN250</f>
        <v>506768822</v>
      </c>
      <c r="DE250" s="91"/>
      <c r="DF250" s="91">
        <v>506768822</v>
      </c>
      <c r="DG250" s="91"/>
      <c r="DH250" s="91"/>
      <c r="DI250" s="91"/>
      <c r="DJ250" s="91"/>
      <c r="DK250" s="91"/>
      <c r="DL250" s="91"/>
      <c r="DM250" s="91"/>
      <c r="DN250" s="92"/>
      <c r="DO250" s="93">
        <f>AE250+CH250+CS250+DD250</f>
        <v>1562493716</v>
      </c>
    </row>
    <row r="251" spans="1:123" s="225" customFormat="1" ht="110.25" customHeight="1" x14ac:dyDescent="0.2">
      <c r="A251" s="64">
        <v>3</v>
      </c>
      <c r="B251" s="256" t="s">
        <v>41</v>
      </c>
      <c r="C251" s="94" t="s">
        <v>910</v>
      </c>
      <c r="D251" s="94" t="s">
        <v>1574</v>
      </c>
      <c r="E251" s="118">
        <v>2.42</v>
      </c>
      <c r="F251" s="48">
        <v>2019</v>
      </c>
      <c r="G251" s="94" t="s">
        <v>911</v>
      </c>
      <c r="H251" s="118">
        <v>3</v>
      </c>
      <c r="I251" s="13">
        <v>24</v>
      </c>
      <c r="J251" s="13" t="s">
        <v>912</v>
      </c>
      <c r="K251" s="50">
        <v>9</v>
      </c>
      <c r="L251" s="13" t="s">
        <v>912</v>
      </c>
      <c r="M251" s="244">
        <v>18</v>
      </c>
      <c r="N251" s="247">
        <v>2402</v>
      </c>
      <c r="O251" s="245" t="s">
        <v>42</v>
      </c>
      <c r="P251" s="13" t="s">
        <v>916</v>
      </c>
      <c r="Q251" s="13" t="s">
        <v>77</v>
      </c>
      <c r="R251" s="13">
        <v>2402041</v>
      </c>
      <c r="S251" s="94" t="s">
        <v>1650</v>
      </c>
      <c r="T251" s="13" t="s">
        <v>917</v>
      </c>
      <c r="U251" s="13" t="s">
        <v>77</v>
      </c>
      <c r="V251" s="13">
        <v>240204100</v>
      </c>
      <c r="W251" s="95" t="s">
        <v>918</v>
      </c>
      <c r="X251" s="48" t="s">
        <v>8</v>
      </c>
      <c r="Y251" s="48">
        <v>130</v>
      </c>
      <c r="Z251" s="48">
        <v>130</v>
      </c>
      <c r="AA251" s="48">
        <f>159+97</f>
        <v>256</v>
      </c>
      <c r="AB251" s="48">
        <v>130</v>
      </c>
      <c r="AC251" s="48">
        <v>130</v>
      </c>
      <c r="AD251" s="48">
        <v>130</v>
      </c>
      <c r="AE251" s="89">
        <f t="shared" si="155"/>
        <v>69036460300.050003</v>
      </c>
      <c r="AF251" s="89">
        <f t="shared" si="155"/>
        <v>11070791373.940001</v>
      </c>
      <c r="AG251" s="89">
        <f>AL251+AQ251+AV251+BA251+BF251+BK251+BP251+BU251+BZ251+CE251</f>
        <v>728058982.37</v>
      </c>
      <c r="AH251" s="89">
        <f t="shared" si="156"/>
        <v>646904642.37</v>
      </c>
      <c r="AI251" s="89">
        <f t="shared" si="156"/>
        <v>1048083629</v>
      </c>
      <c r="AJ251" s="91">
        <f>170360668+141360668-34000000</f>
        <v>277721336</v>
      </c>
      <c r="AK251" s="91">
        <f>550721336+184304077.94</f>
        <v>735025413.94000006</v>
      </c>
      <c r="AL251" s="91">
        <v>396699304</v>
      </c>
      <c r="AM251" s="91">
        <v>325591237</v>
      </c>
      <c r="AN251" s="91">
        <v>12417100</v>
      </c>
      <c r="AO251" s="91">
        <v>479436488.05000001</v>
      </c>
      <c r="AP251" s="91"/>
      <c r="AQ251" s="91"/>
      <c r="AR251" s="91"/>
      <c r="AS251" s="91"/>
      <c r="AT251" s="91"/>
      <c r="AU251" s="91"/>
      <c r="AV251" s="91"/>
      <c r="AW251" s="91"/>
      <c r="AX251" s="91"/>
      <c r="AY251" s="91"/>
      <c r="AZ251" s="91"/>
      <c r="BA251" s="91"/>
      <c r="BB251" s="91"/>
      <c r="BC251" s="91"/>
      <c r="BD251" s="91"/>
      <c r="BE251" s="91"/>
      <c r="BF251" s="91"/>
      <c r="BG251" s="91"/>
      <c r="BH251" s="91"/>
      <c r="BI251" s="91"/>
      <c r="BJ251" s="91"/>
      <c r="BK251" s="91"/>
      <c r="BL251" s="91"/>
      <c r="BM251" s="91"/>
      <c r="BN251" s="91">
        <f>55374254675+12686767801</f>
        <v>68061022476</v>
      </c>
      <c r="BO251" s="91">
        <v>10117485960</v>
      </c>
      <c r="BP251" s="91">
        <v>113200079</v>
      </c>
      <c r="BQ251" s="91">
        <v>103153806</v>
      </c>
      <c r="BR251" s="91"/>
      <c r="BS251" s="91"/>
      <c r="BT251" s="91"/>
      <c r="BU251" s="91"/>
      <c r="BV251" s="91"/>
      <c r="BW251" s="91"/>
      <c r="BX251" s="91"/>
      <c r="BY251" s="91"/>
      <c r="BZ251" s="91"/>
      <c r="CA251" s="91"/>
      <c r="CB251" s="91">
        <v>1035666529</v>
      </c>
      <c r="CC251" s="91">
        <v>218280000</v>
      </c>
      <c r="CD251" s="91">
        <v>218280000</v>
      </c>
      <c r="CE251" s="91">
        <v>218159599.37</v>
      </c>
      <c r="CF251" s="91">
        <v>218159599.37</v>
      </c>
      <c r="CG251" s="91"/>
      <c r="CH251" s="91">
        <f t="shared" si="157"/>
        <v>604358505.72222197</v>
      </c>
      <c r="CI251" s="91"/>
      <c r="CJ251" s="91">
        <f>389254186+215104319.722222</f>
        <v>604358505.72222197</v>
      </c>
      <c r="CK251" s="91"/>
      <c r="CL251" s="91"/>
      <c r="CM251" s="91"/>
      <c r="CN251" s="91"/>
      <c r="CO251" s="91"/>
      <c r="CP251" s="91"/>
      <c r="CQ251" s="91"/>
      <c r="CR251" s="91"/>
      <c r="CS251" s="91">
        <f>CT251+CU251+CV251+CW251+CX251+CY251+CZ251+DA251+DB251+DC251</f>
        <v>849252130.27777803</v>
      </c>
      <c r="CT251" s="91"/>
      <c r="CU251" s="91">
        <f>600000000+249252130.277778</f>
        <v>849252130.27777803</v>
      </c>
      <c r="CV251" s="91"/>
      <c r="CW251" s="91"/>
      <c r="CX251" s="91"/>
      <c r="CY251" s="91"/>
      <c r="CZ251" s="91"/>
      <c r="DA251" s="91"/>
      <c r="DB251" s="91"/>
      <c r="DC251" s="91"/>
      <c r="DD251" s="91">
        <f>DE251+DF251+DG251+DH251+DI251+DJ251+DK251+DL251+DM251+DN251</f>
        <v>1585255215.833333</v>
      </c>
      <c r="DE251" s="91"/>
      <c r="DF251" s="91">
        <f>1300000000+285255215.833333</f>
        <v>1585255215.833333</v>
      </c>
      <c r="DG251" s="91"/>
      <c r="DH251" s="91"/>
      <c r="DI251" s="91"/>
      <c r="DJ251" s="91"/>
      <c r="DK251" s="91"/>
      <c r="DL251" s="91"/>
      <c r="DM251" s="91"/>
      <c r="DN251" s="92"/>
      <c r="DO251" s="93">
        <f>AE251+CH251+CS251+DD251</f>
        <v>72075326151.883331</v>
      </c>
    </row>
    <row r="252" spans="1:123" s="225" customFormat="1" ht="110.25" customHeight="1" x14ac:dyDescent="0.2">
      <c r="A252" s="64">
        <v>3</v>
      </c>
      <c r="B252" s="256" t="s">
        <v>41</v>
      </c>
      <c r="C252" s="94" t="s">
        <v>910</v>
      </c>
      <c r="D252" s="94" t="s">
        <v>1574</v>
      </c>
      <c r="E252" s="118">
        <v>2.42</v>
      </c>
      <c r="F252" s="48">
        <v>2019</v>
      </c>
      <c r="G252" s="94" t="s">
        <v>911</v>
      </c>
      <c r="H252" s="118">
        <v>3</v>
      </c>
      <c r="I252" s="13">
        <v>24</v>
      </c>
      <c r="J252" s="13" t="s">
        <v>912</v>
      </c>
      <c r="K252" s="50">
        <v>9</v>
      </c>
      <c r="L252" s="13" t="s">
        <v>912</v>
      </c>
      <c r="M252" s="244">
        <v>18</v>
      </c>
      <c r="N252" s="247">
        <v>2402</v>
      </c>
      <c r="O252" s="245" t="s">
        <v>42</v>
      </c>
      <c r="P252" s="13" t="s">
        <v>916</v>
      </c>
      <c r="Q252" s="13" t="s">
        <v>77</v>
      </c>
      <c r="R252" s="13">
        <v>2402001</v>
      </c>
      <c r="S252" s="94" t="s">
        <v>1729</v>
      </c>
      <c r="T252" s="13" t="s">
        <v>917</v>
      </c>
      <c r="U252" s="13"/>
      <c r="V252" s="13">
        <v>240200100</v>
      </c>
      <c r="W252" s="95" t="s">
        <v>1729</v>
      </c>
      <c r="X252" s="48" t="s">
        <v>8</v>
      </c>
      <c r="Y252" s="48">
        <v>130</v>
      </c>
      <c r="Z252" s="48">
        <v>130</v>
      </c>
      <c r="AA252" s="48"/>
      <c r="AB252" s="48"/>
      <c r="AC252" s="48"/>
      <c r="AD252" s="48"/>
      <c r="AE252" s="89">
        <f t="shared" ref="AE252:AE253" si="158">AJ252+AO252+AT252+AY252+BD252+BI252+BN252+BS252+BX252+CC252</f>
        <v>0</v>
      </c>
      <c r="AF252" s="89">
        <f t="shared" ref="AF252:AF253" si="159">AK252+AP252+AU252+AZ252+BE252+BJ252+BO252+BT252+BY252+CD252</f>
        <v>317590043</v>
      </c>
      <c r="AG252" s="89">
        <f t="shared" ref="AG252:AG253" si="160">AL252+AQ252+AV252+BA252+BF252+BK252+BP252+BU252+BZ252+CE252</f>
        <v>137643388</v>
      </c>
      <c r="AH252" s="89">
        <f t="shared" ref="AH252:AH253" si="161">AM252+AR252+AW252+BB252+BG252+BL252+BQ252+BV252+CA252+CF252</f>
        <v>137643388</v>
      </c>
      <c r="AI252" s="89">
        <f t="shared" ref="AI252:AI253" si="162">AN252+AS252+AX252+BC252+BH252+BM252+BR252+BW252+CB252+CG252</f>
        <v>0</v>
      </c>
      <c r="AJ252" s="91"/>
      <c r="AK252" s="91"/>
      <c r="AL252" s="91"/>
      <c r="AM252" s="91"/>
      <c r="AN252" s="91"/>
      <c r="AO252" s="91"/>
      <c r="AP252" s="91"/>
      <c r="AQ252" s="91"/>
      <c r="AR252" s="91"/>
      <c r="AS252" s="91"/>
      <c r="AT252" s="91"/>
      <c r="AU252" s="91"/>
      <c r="AV252" s="91"/>
      <c r="AW252" s="91"/>
      <c r="AX252" s="91"/>
      <c r="AY252" s="91"/>
      <c r="AZ252" s="91"/>
      <c r="BA252" s="91"/>
      <c r="BB252" s="91"/>
      <c r="BC252" s="91"/>
      <c r="BD252" s="91"/>
      <c r="BE252" s="91"/>
      <c r="BF252" s="91"/>
      <c r="BG252" s="91"/>
      <c r="BH252" s="91"/>
      <c r="BI252" s="91"/>
      <c r="BJ252" s="91"/>
      <c r="BK252" s="91"/>
      <c r="BL252" s="91"/>
      <c r="BM252" s="91"/>
      <c r="BN252" s="91"/>
      <c r="BO252" s="91">
        <v>317590043</v>
      </c>
      <c r="BP252" s="91">
        <v>137643388</v>
      </c>
      <c r="BQ252" s="91">
        <v>137643388</v>
      </c>
      <c r="BR252" s="91"/>
      <c r="BS252" s="91"/>
      <c r="BT252" s="91"/>
      <c r="BU252" s="91"/>
      <c r="BV252" s="91"/>
      <c r="BW252" s="91"/>
      <c r="BX252" s="91"/>
      <c r="BY252" s="91"/>
      <c r="BZ252" s="91"/>
      <c r="CA252" s="91"/>
      <c r="CB252" s="91"/>
      <c r="CC252" s="91"/>
      <c r="CD252" s="91"/>
      <c r="CE252" s="91"/>
      <c r="CF252" s="91"/>
      <c r="CG252" s="91"/>
      <c r="CH252" s="91"/>
      <c r="CI252" s="91"/>
      <c r="CJ252" s="91"/>
      <c r="CK252" s="91"/>
      <c r="CL252" s="91"/>
      <c r="CM252" s="91"/>
      <c r="CN252" s="91"/>
      <c r="CO252" s="91"/>
      <c r="CP252" s="91"/>
      <c r="CQ252" s="91"/>
      <c r="CR252" s="91"/>
      <c r="CS252" s="91"/>
      <c r="CT252" s="91"/>
      <c r="CU252" s="91"/>
      <c r="CV252" s="91"/>
      <c r="CW252" s="91"/>
      <c r="CX252" s="91"/>
      <c r="CY252" s="91"/>
      <c r="CZ252" s="91"/>
      <c r="DA252" s="91"/>
      <c r="DB252" s="91"/>
      <c r="DC252" s="91"/>
      <c r="DD252" s="91"/>
      <c r="DE252" s="91"/>
      <c r="DF252" s="91"/>
      <c r="DG252" s="91"/>
      <c r="DH252" s="91"/>
      <c r="DI252" s="91"/>
      <c r="DJ252" s="91"/>
      <c r="DK252" s="91"/>
      <c r="DL252" s="91"/>
      <c r="DM252" s="91"/>
      <c r="DN252" s="92"/>
      <c r="DO252" s="93"/>
    </row>
    <row r="253" spans="1:123" s="225" customFormat="1" ht="110.25" customHeight="1" x14ac:dyDescent="0.2">
      <c r="A253" s="64">
        <v>3</v>
      </c>
      <c r="B253" s="256" t="s">
        <v>41</v>
      </c>
      <c r="C253" s="94" t="s">
        <v>910</v>
      </c>
      <c r="D253" s="94" t="s">
        <v>1574</v>
      </c>
      <c r="E253" s="118">
        <v>2.42</v>
      </c>
      <c r="F253" s="48">
        <v>2019</v>
      </c>
      <c r="G253" s="94" t="s">
        <v>911</v>
      </c>
      <c r="H253" s="118">
        <v>3</v>
      </c>
      <c r="I253" s="13">
        <v>24</v>
      </c>
      <c r="J253" s="13" t="s">
        <v>912</v>
      </c>
      <c r="K253" s="50">
        <v>9</v>
      </c>
      <c r="L253" s="13" t="s">
        <v>912</v>
      </c>
      <c r="M253" s="244">
        <v>18</v>
      </c>
      <c r="N253" s="247">
        <v>2402</v>
      </c>
      <c r="O253" s="245" t="s">
        <v>42</v>
      </c>
      <c r="P253" s="13" t="s">
        <v>916</v>
      </c>
      <c r="Q253" s="13" t="s">
        <v>77</v>
      </c>
      <c r="R253" s="13">
        <v>2402006</v>
      </c>
      <c r="S253" s="94" t="s">
        <v>1730</v>
      </c>
      <c r="T253" s="13" t="s">
        <v>917</v>
      </c>
      <c r="U253" s="13"/>
      <c r="V253" s="13">
        <v>240200606</v>
      </c>
      <c r="W253" s="95" t="s">
        <v>1731</v>
      </c>
      <c r="X253" s="48" t="s">
        <v>8</v>
      </c>
      <c r="Y253" s="48">
        <v>130</v>
      </c>
      <c r="Z253" s="48">
        <v>130</v>
      </c>
      <c r="AA253" s="48"/>
      <c r="AB253" s="48"/>
      <c r="AC253" s="48"/>
      <c r="AD253" s="48"/>
      <c r="AE253" s="89">
        <f t="shared" si="158"/>
        <v>0</v>
      </c>
      <c r="AF253" s="89">
        <f t="shared" si="159"/>
        <v>30555603523</v>
      </c>
      <c r="AG253" s="89">
        <f t="shared" si="160"/>
        <v>0</v>
      </c>
      <c r="AH253" s="89">
        <f t="shared" si="161"/>
        <v>0</v>
      </c>
      <c r="AI253" s="89">
        <f t="shared" si="162"/>
        <v>0</v>
      </c>
      <c r="AJ253" s="91"/>
      <c r="AK253" s="91"/>
      <c r="AL253" s="91"/>
      <c r="AM253" s="91"/>
      <c r="AN253" s="91"/>
      <c r="AO253" s="91"/>
      <c r="AP253" s="91"/>
      <c r="AQ253" s="91"/>
      <c r="AR253" s="91"/>
      <c r="AS253" s="91"/>
      <c r="AT253" s="91"/>
      <c r="AU253" s="91"/>
      <c r="AV253" s="91"/>
      <c r="AW253" s="91"/>
      <c r="AX253" s="91"/>
      <c r="AY253" s="91"/>
      <c r="AZ253" s="91"/>
      <c r="BA253" s="91"/>
      <c r="BB253" s="91"/>
      <c r="BC253" s="91"/>
      <c r="BD253" s="91"/>
      <c r="BE253" s="91"/>
      <c r="BF253" s="91"/>
      <c r="BG253" s="91"/>
      <c r="BH253" s="91"/>
      <c r="BI253" s="91"/>
      <c r="BJ253" s="91"/>
      <c r="BK253" s="91"/>
      <c r="BL253" s="91"/>
      <c r="BM253" s="91"/>
      <c r="BN253" s="91"/>
      <c r="BO253" s="91">
        <v>30555603523</v>
      </c>
      <c r="BP253" s="91"/>
      <c r="BQ253" s="91"/>
      <c r="BR253" s="91"/>
      <c r="BS253" s="91"/>
      <c r="BT253" s="91"/>
      <c r="BU253" s="91"/>
      <c r="BV253" s="91"/>
      <c r="BW253" s="91"/>
      <c r="BX253" s="91"/>
      <c r="BY253" s="91"/>
      <c r="BZ253" s="91"/>
      <c r="CA253" s="91"/>
      <c r="CB253" s="91"/>
      <c r="CC253" s="91"/>
      <c r="CD253" s="91"/>
      <c r="CE253" s="91"/>
      <c r="CF253" s="91"/>
      <c r="CG253" s="91"/>
      <c r="CH253" s="91"/>
      <c r="CI253" s="91"/>
      <c r="CJ253" s="91"/>
      <c r="CK253" s="91"/>
      <c r="CL253" s="91"/>
      <c r="CM253" s="91"/>
      <c r="CN253" s="91"/>
      <c r="CO253" s="91"/>
      <c r="CP253" s="91"/>
      <c r="CQ253" s="91"/>
      <c r="CR253" s="91"/>
      <c r="CS253" s="91"/>
      <c r="CT253" s="91"/>
      <c r="CU253" s="91"/>
      <c r="CV253" s="91"/>
      <c r="CW253" s="91"/>
      <c r="CX253" s="91"/>
      <c r="CY253" s="91"/>
      <c r="CZ253" s="91"/>
      <c r="DA253" s="91"/>
      <c r="DB253" s="91"/>
      <c r="DC253" s="91"/>
      <c r="DD253" s="91"/>
      <c r="DE253" s="91"/>
      <c r="DF253" s="91"/>
      <c r="DG253" s="91"/>
      <c r="DH253" s="91"/>
      <c r="DI253" s="91"/>
      <c r="DJ253" s="91"/>
      <c r="DK253" s="91"/>
      <c r="DL253" s="91"/>
      <c r="DM253" s="91"/>
      <c r="DN253" s="92"/>
      <c r="DO253" s="93"/>
    </row>
    <row r="254" spans="1:123" s="225" customFormat="1" ht="78.75" customHeight="1" x14ac:dyDescent="0.2">
      <c r="A254" s="64">
        <v>3</v>
      </c>
      <c r="B254" s="256" t="s">
        <v>41</v>
      </c>
      <c r="C254" s="94" t="s">
        <v>919</v>
      </c>
      <c r="D254" s="94" t="s">
        <v>1574</v>
      </c>
      <c r="E254" s="118">
        <v>2.42</v>
      </c>
      <c r="F254" s="48">
        <v>2019</v>
      </c>
      <c r="G254" s="94" t="s">
        <v>911</v>
      </c>
      <c r="H254" s="118">
        <v>3</v>
      </c>
      <c r="I254" s="13">
        <v>24</v>
      </c>
      <c r="J254" s="13" t="s">
        <v>912</v>
      </c>
      <c r="K254" s="50">
        <v>9</v>
      </c>
      <c r="L254" s="13" t="s">
        <v>912</v>
      </c>
      <c r="M254" s="244">
        <v>18</v>
      </c>
      <c r="N254" s="247">
        <v>2402</v>
      </c>
      <c r="O254" s="245" t="s">
        <v>42</v>
      </c>
      <c r="P254" s="13" t="s">
        <v>920</v>
      </c>
      <c r="Q254" s="13" t="s">
        <v>77</v>
      </c>
      <c r="R254" s="13">
        <v>2402118</v>
      </c>
      <c r="S254" s="94" t="s">
        <v>921</v>
      </c>
      <c r="T254" s="13" t="s">
        <v>922</v>
      </c>
      <c r="U254" s="13" t="s">
        <v>77</v>
      </c>
      <c r="V254" s="13">
        <v>240211800</v>
      </c>
      <c r="W254" s="95" t="s">
        <v>923</v>
      </c>
      <c r="X254" s="48" t="s">
        <v>9</v>
      </c>
      <c r="Y254" s="48">
        <v>8</v>
      </c>
      <c r="Z254" s="13">
        <v>1</v>
      </c>
      <c r="AA254" s="13">
        <v>1</v>
      </c>
      <c r="AB254" s="13">
        <v>6</v>
      </c>
      <c r="AC254" s="13">
        <v>1</v>
      </c>
      <c r="AD254" s="59"/>
      <c r="AE254" s="89">
        <f t="shared" si="155"/>
        <v>34000000</v>
      </c>
      <c r="AF254" s="89">
        <f t="shared" si="155"/>
        <v>34000000</v>
      </c>
      <c r="AG254" s="89">
        <f>AL254+AQ254+AV254+BA254+BF254+BK254+BP254+BU254+BZ254+CE254</f>
        <v>0</v>
      </c>
      <c r="AH254" s="89">
        <f t="shared" si="156"/>
        <v>0</v>
      </c>
      <c r="AI254" s="89">
        <f t="shared" si="156"/>
        <v>0</v>
      </c>
      <c r="AJ254" s="91">
        <v>34000000</v>
      </c>
      <c r="AK254" s="91">
        <v>34000000</v>
      </c>
      <c r="AL254" s="91"/>
      <c r="AM254" s="91"/>
      <c r="AN254" s="91"/>
      <c r="AO254" s="91"/>
      <c r="AP254" s="91">
        <v>0</v>
      </c>
      <c r="AQ254" s="91"/>
      <c r="AR254" s="91"/>
      <c r="AS254" s="91"/>
      <c r="AT254" s="91"/>
      <c r="AU254" s="91">
        <v>0</v>
      </c>
      <c r="AV254" s="91"/>
      <c r="AW254" s="91"/>
      <c r="AX254" s="91"/>
      <c r="AY254" s="91"/>
      <c r="AZ254" s="91">
        <v>0</v>
      </c>
      <c r="BA254" s="91"/>
      <c r="BB254" s="91"/>
      <c r="BC254" s="91"/>
      <c r="BD254" s="91"/>
      <c r="BE254" s="91">
        <v>0</v>
      </c>
      <c r="BF254" s="91"/>
      <c r="BG254" s="91"/>
      <c r="BH254" s="91"/>
      <c r="BI254" s="91"/>
      <c r="BJ254" s="91">
        <v>0</v>
      </c>
      <c r="BK254" s="91"/>
      <c r="BL254" s="91"/>
      <c r="BM254" s="91"/>
      <c r="BN254" s="91"/>
      <c r="BO254" s="91">
        <v>0</v>
      </c>
      <c r="BP254" s="91"/>
      <c r="BQ254" s="91"/>
      <c r="BR254" s="91"/>
      <c r="BS254" s="91"/>
      <c r="BT254" s="91">
        <v>0</v>
      </c>
      <c r="BU254" s="91"/>
      <c r="BV254" s="91"/>
      <c r="BW254" s="91"/>
      <c r="BX254" s="91"/>
      <c r="BY254" s="91">
        <v>0</v>
      </c>
      <c r="BZ254" s="91"/>
      <c r="CA254" s="91"/>
      <c r="CB254" s="91"/>
      <c r="CC254" s="91"/>
      <c r="CD254" s="91">
        <v>0</v>
      </c>
      <c r="CE254" s="91"/>
      <c r="CF254" s="91"/>
      <c r="CG254" s="91"/>
      <c r="CH254" s="91">
        <f t="shared" si="157"/>
        <v>9500000</v>
      </c>
      <c r="CI254" s="91">
        <v>9500000</v>
      </c>
      <c r="CJ254" s="91"/>
      <c r="CK254" s="91"/>
      <c r="CL254" s="91"/>
      <c r="CM254" s="91"/>
      <c r="CN254" s="91"/>
      <c r="CO254" s="91"/>
      <c r="CP254" s="91"/>
      <c r="CQ254" s="91"/>
      <c r="CR254" s="91"/>
      <c r="CS254" s="91">
        <f>CT254+CU254+CV254+CW254+CX254+CY254+CZ254+DA254+DB254+DC254</f>
        <v>0</v>
      </c>
      <c r="CT254" s="91"/>
      <c r="CU254" s="91"/>
      <c r="CV254" s="91"/>
      <c r="CW254" s="91"/>
      <c r="CX254" s="91"/>
      <c r="CY254" s="91"/>
      <c r="CZ254" s="91"/>
      <c r="DA254" s="91"/>
      <c r="DB254" s="91"/>
      <c r="DC254" s="91"/>
      <c r="DD254" s="91">
        <f>DE254+DF254+DG254+DH254+DI254+DJ254+DK254+DL254+DM254+DN254</f>
        <v>0</v>
      </c>
      <c r="DE254" s="91"/>
      <c r="DF254" s="91"/>
      <c r="DG254" s="91"/>
      <c r="DH254" s="91"/>
      <c r="DI254" s="91"/>
      <c r="DJ254" s="91"/>
      <c r="DK254" s="91"/>
      <c r="DL254" s="91"/>
      <c r="DM254" s="91"/>
      <c r="DN254" s="92"/>
      <c r="DO254" s="93">
        <f>AE254+CH254+CS254+DD254</f>
        <v>43500000</v>
      </c>
    </row>
    <row r="255" spans="1:123" ht="23.25" customHeight="1" x14ac:dyDescent="0.2">
      <c r="A255" s="64"/>
      <c r="B255" s="255"/>
      <c r="C255" s="74"/>
      <c r="D255" s="74"/>
      <c r="E255" s="77"/>
      <c r="F255" s="74"/>
      <c r="G255" s="74"/>
      <c r="H255" s="77"/>
      <c r="I255" s="74"/>
      <c r="J255" s="74"/>
      <c r="K255" s="74"/>
      <c r="L255" s="74"/>
      <c r="M255" s="96">
        <v>19</v>
      </c>
      <c r="N255" s="96">
        <v>2409</v>
      </c>
      <c r="O255" s="97" t="s">
        <v>299</v>
      </c>
      <c r="P255" s="96"/>
      <c r="Q255" s="98"/>
      <c r="R255" s="98"/>
      <c r="S255" s="98"/>
      <c r="T255" s="98"/>
      <c r="U255" s="98"/>
      <c r="V255" s="98"/>
      <c r="W255" s="83"/>
      <c r="X255" s="83"/>
      <c r="Y255" s="84"/>
      <c r="Z255" s="84"/>
      <c r="AA255" s="84"/>
      <c r="AB255" s="84"/>
      <c r="AC255" s="84"/>
      <c r="AD255" s="81"/>
      <c r="AE255" s="85">
        <f>SUM(AE256:AE259)</f>
        <v>107000000</v>
      </c>
      <c r="AF255" s="85">
        <f>SUM(AF256:AF259)</f>
        <v>107000000</v>
      </c>
      <c r="AG255" s="85">
        <f t="shared" ref="AG255:DO255" si="163">SUM(AG256:AG259)</f>
        <v>52352000</v>
      </c>
      <c r="AH255" s="85">
        <f t="shared" si="163"/>
        <v>52352000</v>
      </c>
      <c r="AI255" s="85">
        <f t="shared" si="163"/>
        <v>0</v>
      </c>
      <c r="AJ255" s="85">
        <f t="shared" si="163"/>
        <v>0</v>
      </c>
      <c r="AK255" s="85">
        <f>SUM(AK256:AK259)</f>
        <v>0</v>
      </c>
      <c r="AL255" s="85">
        <f t="shared" si="163"/>
        <v>0</v>
      </c>
      <c r="AM255" s="85">
        <f t="shared" si="163"/>
        <v>0</v>
      </c>
      <c r="AN255" s="85">
        <f t="shared" si="163"/>
        <v>0</v>
      </c>
      <c r="AO255" s="85">
        <f t="shared" si="163"/>
        <v>0</v>
      </c>
      <c r="AP255" s="85">
        <f t="shared" si="163"/>
        <v>0</v>
      </c>
      <c r="AQ255" s="85">
        <f t="shared" si="163"/>
        <v>0</v>
      </c>
      <c r="AR255" s="85">
        <f t="shared" si="163"/>
        <v>0</v>
      </c>
      <c r="AS255" s="85">
        <f t="shared" si="163"/>
        <v>0</v>
      </c>
      <c r="AT255" s="85">
        <f t="shared" si="163"/>
        <v>0</v>
      </c>
      <c r="AU255" s="85">
        <f>SUM(AU256:AU259)</f>
        <v>0</v>
      </c>
      <c r="AV255" s="85">
        <f t="shared" si="163"/>
        <v>0</v>
      </c>
      <c r="AW255" s="85">
        <f t="shared" si="163"/>
        <v>0</v>
      </c>
      <c r="AX255" s="85">
        <f t="shared" si="163"/>
        <v>0</v>
      </c>
      <c r="AY255" s="85">
        <f t="shared" si="163"/>
        <v>0</v>
      </c>
      <c r="AZ255" s="85">
        <f t="shared" si="163"/>
        <v>0</v>
      </c>
      <c r="BA255" s="85">
        <f t="shared" si="163"/>
        <v>0</v>
      </c>
      <c r="BB255" s="85">
        <f t="shared" si="163"/>
        <v>0</v>
      </c>
      <c r="BC255" s="85">
        <f t="shared" si="163"/>
        <v>0</v>
      </c>
      <c r="BD255" s="85">
        <f t="shared" si="163"/>
        <v>0</v>
      </c>
      <c r="BE255" s="85">
        <f>SUM(BE256:BE259)</f>
        <v>0</v>
      </c>
      <c r="BF255" s="85">
        <f t="shared" si="163"/>
        <v>0</v>
      </c>
      <c r="BG255" s="85">
        <f t="shared" si="163"/>
        <v>0</v>
      </c>
      <c r="BH255" s="85">
        <f t="shared" si="163"/>
        <v>0</v>
      </c>
      <c r="BI255" s="85">
        <f t="shared" si="163"/>
        <v>0</v>
      </c>
      <c r="BJ255" s="85">
        <f t="shared" si="163"/>
        <v>0</v>
      </c>
      <c r="BK255" s="85">
        <f t="shared" si="163"/>
        <v>0</v>
      </c>
      <c r="BL255" s="85">
        <f t="shared" si="163"/>
        <v>0</v>
      </c>
      <c r="BM255" s="85">
        <f t="shared" si="163"/>
        <v>0</v>
      </c>
      <c r="BN255" s="85">
        <f t="shared" si="163"/>
        <v>0</v>
      </c>
      <c r="BO255" s="85">
        <f>SUM(BO256:BO259)</f>
        <v>0</v>
      </c>
      <c r="BP255" s="85">
        <f t="shared" si="163"/>
        <v>0</v>
      </c>
      <c r="BQ255" s="85">
        <f t="shared" si="163"/>
        <v>0</v>
      </c>
      <c r="BR255" s="85">
        <f t="shared" si="163"/>
        <v>0</v>
      </c>
      <c r="BS255" s="85">
        <f t="shared" si="163"/>
        <v>0</v>
      </c>
      <c r="BT255" s="85">
        <f t="shared" si="163"/>
        <v>0</v>
      </c>
      <c r="BU255" s="85">
        <f t="shared" si="163"/>
        <v>0</v>
      </c>
      <c r="BV255" s="85">
        <f t="shared" si="163"/>
        <v>0</v>
      </c>
      <c r="BW255" s="85">
        <f t="shared" si="163"/>
        <v>0</v>
      </c>
      <c r="BX255" s="85">
        <f t="shared" si="163"/>
        <v>0</v>
      </c>
      <c r="BY255" s="85">
        <f>SUM(BY256:BY259)</f>
        <v>0</v>
      </c>
      <c r="BZ255" s="85">
        <f t="shared" si="163"/>
        <v>0</v>
      </c>
      <c r="CA255" s="85">
        <f t="shared" si="163"/>
        <v>0</v>
      </c>
      <c r="CB255" s="85">
        <f t="shared" si="163"/>
        <v>0</v>
      </c>
      <c r="CC255" s="85">
        <f t="shared" si="163"/>
        <v>107000000</v>
      </c>
      <c r="CD255" s="85">
        <f t="shared" si="163"/>
        <v>107000000</v>
      </c>
      <c r="CE255" s="85">
        <f t="shared" si="163"/>
        <v>52352000</v>
      </c>
      <c r="CF255" s="85">
        <f t="shared" si="163"/>
        <v>52352000</v>
      </c>
      <c r="CG255" s="85">
        <f t="shared" si="163"/>
        <v>0</v>
      </c>
      <c r="CH255" s="85">
        <f t="shared" si="163"/>
        <v>110210000</v>
      </c>
      <c r="CI255" s="85">
        <f t="shared" si="163"/>
        <v>0</v>
      </c>
      <c r="CJ255" s="85">
        <f t="shared" si="163"/>
        <v>0</v>
      </c>
      <c r="CK255" s="85">
        <f t="shared" si="163"/>
        <v>0</v>
      </c>
      <c r="CL255" s="85">
        <f t="shared" si="163"/>
        <v>0</v>
      </c>
      <c r="CM255" s="85">
        <f t="shared" si="163"/>
        <v>0</v>
      </c>
      <c r="CN255" s="85">
        <f t="shared" si="163"/>
        <v>0</v>
      </c>
      <c r="CO255" s="85">
        <f t="shared" si="163"/>
        <v>0</v>
      </c>
      <c r="CP255" s="85">
        <f t="shared" si="163"/>
        <v>0</v>
      </c>
      <c r="CQ255" s="85">
        <f t="shared" si="163"/>
        <v>0</v>
      </c>
      <c r="CR255" s="85">
        <f t="shared" si="163"/>
        <v>110210000</v>
      </c>
      <c r="CS255" s="85">
        <f t="shared" si="163"/>
        <v>113516300</v>
      </c>
      <c r="CT255" s="85">
        <f t="shared" si="163"/>
        <v>0</v>
      </c>
      <c r="CU255" s="85">
        <f t="shared" si="163"/>
        <v>0</v>
      </c>
      <c r="CV255" s="85">
        <f t="shared" si="163"/>
        <v>0</v>
      </c>
      <c r="CW255" s="85">
        <f t="shared" si="163"/>
        <v>0</v>
      </c>
      <c r="CX255" s="85">
        <f t="shared" si="163"/>
        <v>0</v>
      </c>
      <c r="CY255" s="85">
        <f t="shared" si="163"/>
        <v>0</v>
      </c>
      <c r="CZ255" s="85">
        <f t="shared" si="163"/>
        <v>0</v>
      </c>
      <c r="DA255" s="85">
        <f t="shared" si="163"/>
        <v>0</v>
      </c>
      <c r="DB255" s="85">
        <f t="shared" si="163"/>
        <v>0</v>
      </c>
      <c r="DC255" s="85">
        <f t="shared" si="163"/>
        <v>113516300</v>
      </c>
      <c r="DD255" s="85">
        <f t="shared" si="163"/>
        <v>116921789</v>
      </c>
      <c r="DE255" s="85">
        <f t="shared" si="163"/>
        <v>0</v>
      </c>
      <c r="DF255" s="85">
        <f t="shared" si="163"/>
        <v>0</v>
      </c>
      <c r="DG255" s="85">
        <f t="shared" si="163"/>
        <v>0</v>
      </c>
      <c r="DH255" s="85">
        <f t="shared" si="163"/>
        <v>0</v>
      </c>
      <c r="DI255" s="85">
        <f t="shared" si="163"/>
        <v>0</v>
      </c>
      <c r="DJ255" s="85">
        <f t="shared" si="163"/>
        <v>0</v>
      </c>
      <c r="DK255" s="85">
        <f t="shared" si="163"/>
        <v>0</v>
      </c>
      <c r="DL255" s="85">
        <f t="shared" si="163"/>
        <v>0</v>
      </c>
      <c r="DM255" s="85">
        <f t="shared" si="163"/>
        <v>0</v>
      </c>
      <c r="DN255" s="86">
        <f t="shared" si="163"/>
        <v>116921789</v>
      </c>
      <c r="DO255" s="85">
        <f t="shared" si="163"/>
        <v>447648089</v>
      </c>
    </row>
    <row r="256" spans="1:123" s="225" customFormat="1" ht="126" customHeight="1" x14ac:dyDescent="0.2">
      <c r="A256" s="64">
        <v>3</v>
      </c>
      <c r="B256" s="256" t="s">
        <v>41</v>
      </c>
      <c r="C256" s="59" t="s">
        <v>924</v>
      </c>
      <c r="D256" s="59" t="s">
        <v>1595</v>
      </c>
      <c r="E256" s="125" t="s">
        <v>1596</v>
      </c>
      <c r="F256" s="13" t="s">
        <v>1010</v>
      </c>
      <c r="G256" s="59" t="s">
        <v>925</v>
      </c>
      <c r="H256" s="55" t="s">
        <v>1597</v>
      </c>
      <c r="I256" s="13">
        <v>24</v>
      </c>
      <c r="J256" s="13" t="s">
        <v>912</v>
      </c>
      <c r="K256" s="50">
        <v>9</v>
      </c>
      <c r="L256" s="13" t="s">
        <v>912</v>
      </c>
      <c r="M256" s="244">
        <v>19</v>
      </c>
      <c r="N256" s="244">
        <v>2409</v>
      </c>
      <c r="O256" s="245" t="s">
        <v>299</v>
      </c>
      <c r="P256" s="13" t="s">
        <v>926</v>
      </c>
      <c r="Q256" s="13" t="s">
        <v>77</v>
      </c>
      <c r="R256" s="13">
        <v>2409009</v>
      </c>
      <c r="S256" s="59" t="s">
        <v>300</v>
      </c>
      <c r="T256" s="13" t="s">
        <v>927</v>
      </c>
      <c r="U256" s="13" t="s">
        <v>77</v>
      </c>
      <c r="V256" s="13">
        <v>240900900</v>
      </c>
      <c r="W256" s="87" t="s">
        <v>928</v>
      </c>
      <c r="X256" s="13" t="s">
        <v>8</v>
      </c>
      <c r="Y256" s="13">
        <v>1</v>
      </c>
      <c r="Z256" s="13">
        <v>1</v>
      </c>
      <c r="AA256" s="13">
        <v>0.92</v>
      </c>
      <c r="AB256" s="13">
        <v>1</v>
      </c>
      <c r="AC256" s="13">
        <v>1</v>
      </c>
      <c r="AD256" s="13">
        <v>1</v>
      </c>
      <c r="AE256" s="89">
        <f t="shared" ref="AE256:AF259" si="164">AJ256+AO256+AT256+AY256+BD256+BI256+BN256+BS256+BX256+CC256</f>
        <v>26400000</v>
      </c>
      <c r="AF256" s="89">
        <f t="shared" si="164"/>
        <v>26400000</v>
      </c>
      <c r="AG256" s="89">
        <f>AL256+AQ256+AV256+BA256+BF256+BK256+BP256+BU256+BZ256+CE256</f>
        <v>25052000</v>
      </c>
      <c r="AH256" s="89">
        <f t="shared" ref="AH256:AI259" si="165">AM256+AR256+AW256+BB256+BG256+BL256+BQ256+BV256+CA256+CF256</f>
        <v>25052000</v>
      </c>
      <c r="AI256" s="89">
        <f t="shared" si="165"/>
        <v>0</v>
      </c>
      <c r="AJ256" s="91"/>
      <c r="AK256" s="91"/>
      <c r="AL256" s="91"/>
      <c r="AM256" s="91"/>
      <c r="AN256" s="91"/>
      <c r="AO256" s="91"/>
      <c r="AP256" s="91"/>
      <c r="AQ256" s="91"/>
      <c r="AR256" s="91"/>
      <c r="AS256" s="91"/>
      <c r="AT256" s="91"/>
      <c r="AU256" s="91"/>
      <c r="AV256" s="91"/>
      <c r="AW256" s="91"/>
      <c r="AX256" s="91"/>
      <c r="AY256" s="91"/>
      <c r="AZ256" s="91"/>
      <c r="BA256" s="91"/>
      <c r="BB256" s="91"/>
      <c r="BC256" s="91"/>
      <c r="BD256" s="91"/>
      <c r="BE256" s="91"/>
      <c r="BF256" s="91"/>
      <c r="BG256" s="91"/>
      <c r="BH256" s="91"/>
      <c r="BI256" s="91"/>
      <c r="BJ256" s="91"/>
      <c r="BK256" s="91"/>
      <c r="BL256" s="91"/>
      <c r="BM256" s="91"/>
      <c r="BN256" s="91"/>
      <c r="BO256" s="91"/>
      <c r="BP256" s="91"/>
      <c r="BQ256" s="91"/>
      <c r="BR256" s="91"/>
      <c r="BS256" s="91"/>
      <c r="BT256" s="91"/>
      <c r="BU256" s="91"/>
      <c r="BV256" s="91"/>
      <c r="BW256" s="91"/>
      <c r="BX256" s="91"/>
      <c r="BY256" s="91"/>
      <c r="BZ256" s="91"/>
      <c r="CA256" s="91"/>
      <c r="CB256" s="91"/>
      <c r="CC256" s="91">
        <v>26400000</v>
      </c>
      <c r="CD256" s="91">
        <v>26400000</v>
      </c>
      <c r="CE256" s="11">
        <v>25052000</v>
      </c>
      <c r="CF256" s="11">
        <f>CE256</f>
        <v>25052000</v>
      </c>
      <c r="CG256" s="11"/>
      <c r="CH256" s="91">
        <f t="shared" si="157"/>
        <v>27192000</v>
      </c>
      <c r="CI256" s="91"/>
      <c r="CJ256" s="91"/>
      <c r="CK256" s="91"/>
      <c r="CL256" s="91"/>
      <c r="CM256" s="91"/>
      <c r="CN256" s="91"/>
      <c r="CO256" s="91"/>
      <c r="CP256" s="91"/>
      <c r="CQ256" s="91"/>
      <c r="CR256" s="91">
        <v>27192000</v>
      </c>
      <c r="CS256" s="91">
        <f>CT256+CU256+CV256+CW256+CX256+CY256+CZ256+DA256+DB256+DC256</f>
        <v>28007760</v>
      </c>
      <c r="CT256" s="91"/>
      <c r="CU256" s="91"/>
      <c r="CV256" s="91"/>
      <c r="CW256" s="91"/>
      <c r="CX256" s="91"/>
      <c r="CY256" s="91"/>
      <c r="CZ256" s="91"/>
      <c r="DA256" s="91"/>
      <c r="DB256" s="91"/>
      <c r="DC256" s="91">
        <v>28007760</v>
      </c>
      <c r="DD256" s="91">
        <f>DE256+DF256+DG256+DH256+DI256+DJ256+DK256+DL256+DM256+DN256</f>
        <v>28847992.800000001</v>
      </c>
      <c r="DE256" s="91"/>
      <c r="DF256" s="91"/>
      <c r="DG256" s="91"/>
      <c r="DH256" s="91"/>
      <c r="DI256" s="91"/>
      <c r="DJ256" s="91"/>
      <c r="DK256" s="91"/>
      <c r="DL256" s="91"/>
      <c r="DM256" s="91"/>
      <c r="DN256" s="92">
        <v>28847992.800000001</v>
      </c>
      <c r="DO256" s="93">
        <f>AE256+CH256+CS256+DD256</f>
        <v>110447752.8</v>
      </c>
    </row>
    <row r="257" spans="1:119" s="225" customFormat="1" ht="126" customHeight="1" x14ac:dyDescent="0.2">
      <c r="A257" s="64">
        <v>3</v>
      </c>
      <c r="B257" s="256" t="s">
        <v>41</v>
      </c>
      <c r="C257" s="59" t="s">
        <v>924</v>
      </c>
      <c r="D257" s="59" t="s">
        <v>1595</v>
      </c>
      <c r="E257" s="125" t="s">
        <v>1596</v>
      </c>
      <c r="F257" s="13" t="s">
        <v>1010</v>
      </c>
      <c r="G257" s="59" t="s">
        <v>925</v>
      </c>
      <c r="H257" s="55" t="s">
        <v>1597</v>
      </c>
      <c r="I257" s="13">
        <v>24</v>
      </c>
      <c r="J257" s="13" t="s">
        <v>912</v>
      </c>
      <c r="K257" s="50">
        <v>9</v>
      </c>
      <c r="L257" s="13" t="s">
        <v>912</v>
      </c>
      <c r="M257" s="244">
        <v>19</v>
      </c>
      <c r="N257" s="244">
        <v>2409</v>
      </c>
      <c r="O257" s="245" t="s">
        <v>299</v>
      </c>
      <c r="P257" s="13" t="s">
        <v>929</v>
      </c>
      <c r="Q257" s="13" t="s">
        <v>77</v>
      </c>
      <c r="R257" s="13">
        <v>2409022</v>
      </c>
      <c r="S257" s="59" t="s">
        <v>1575</v>
      </c>
      <c r="T257" s="13" t="s">
        <v>930</v>
      </c>
      <c r="U257" s="13" t="s">
        <v>77</v>
      </c>
      <c r="V257" s="13">
        <v>240902202</v>
      </c>
      <c r="W257" s="87" t="s">
        <v>931</v>
      </c>
      <c r="X257" s="13" t="s">
        <v>8</v>
      </c>
      <c r="Y257" s="13">
        <v>1</v>
      </c>
      <c r="Z257" s="13">
        <v>1</v>
      </c>
      <c r="AA257" s="13">
        <v>0.4</v>
      </c>
      <c r="AB257" s="13">
        <v>1</v>
      </c>
      <c r="AC257" s="13">
        <v>1</v>
      </c>
      <c r="AD257" s="13">
        <v>1</v>
      </c>
      <c r="AE257" s="89">
        <f t="shared" si="164"/>
        <v>8400000</v>
      </c>
      <c r="AF257" s="89">
        <f t="shared" si="164"/>
        <v>8400000</v>
      </c>
      <c r="AG257" s="89">
        <f>AL257+AQ257+AV257+BA257+BF257+BK257+BP257+BU257+BZ257+CE257</f>
        <v>4590000</v>
      </c>
      <c r="AH257" s="89">
        <f t="shared" si="165"/>
        <v>4590000</v>
      </c>
      <c r="AI257" s="89">
        <f t="shared" si="165"/>
        <v>0</v>
      </c>
      <c r="AJ257" s="91"/>
      <c r="AK257" s="91"/>
      <c r="AL257" s="91"/>
      <c r="AM257" s="91"/>
      <c r="AN257" s="91"/>
      <c r="AO257" s="91"/>
      <c r="AP257" s="91"/>
      <c r="AQ257" s="91"/>
      <c r="AR257" s="91"/>
      <c r="AS257" s="91"/>
      <c r="AT257" s="91"/>
      <c r="AU257" s="91"/>
      <c r="AV257" s="91"/>
      <c r="AW257" s="91"/>
      <c r="AX257" s="91"/>
      <c r="AY257" s="91"/>
      <c r="AZ257" s="91"/>
      <c r="BA257" s="91"/>
      <c r="BB257" s="91"/>
      <c r="BC257" s="91"/>
      <c r="BD257" s="91"/>
      <c r="BE257" s="91"/>
      <c r="BF257" s="91"/>
      <c r="BG257" s="91"/>
      <c r="BH257" s="91"/>
      <c r="BI257" s="91"/>
      <c r="BJ257" s="91"/>
      <c r="BK257" s="91"/>
      <c r="BL257" s="91"/>
      <c r="BM257" s="91"/>
      <c r="BN257" s="91"/>
      <c r="BO257" s="91"/>
      <c r="BP257" s="91"/>
      <c r="BQ257" s="91"/>
      <c r="BR257" s="91"/>
      <c r="BS257" s="91"/>
      <c r="BT257" s="91"/>
      <c r="BU257" s="91"/>
      <c r="BV257" s="91"/>
      <c r="BW257" s="91"/>
      <c r="BX257" s="91"/>
      <c r="BY257" s="91"/>
      <c r="BZ257" s="91"/>
      <c r="CA257" s="91"/>
      <c r="CB257" s="91"/>
      <c r="CC257" s="91">
        <v>8400000</v>
      </c>
      <c r="CD257" s="91">
        <v>8400000</v>
      </c>
      <c r="CE257" s="91">
        <v>4590000</v>
      </c>
      <c r="CF257" s="91">
        <v>4590000</v>
      </c>
      <c r="CG257" s="91"/>
      <c r="CH257" s="91">
        <f t="shared" si="157"/>
        <v>8652000</v>
      </c>
      <c r="CI257" s="91"/>
      <c r="CJ257" s="91"/>
      <c r="CK257" s="91"/>
      <c r="CL257" s="91"/>
      <c r="CM257" s="91"/>
      <c r="CN257" s="91"/>
      <c r="CO257" s="91"/>
      <c r="CP257" s="91"/>
      <c r="CQ257" s="91"/>
      <c r="CR257" s="91">
        <v>8652000</v>
      </c>
      <c r="CS257" s="91">
        <f>CT257+CU257+CV257+CW257+CX257+CY257+CZ257+DA257+DB257+DC257</f>
        <v>8911560</v>
      </c>
      <c r="CT257" s="91"/>
      <c r="CU257" s="91"/>
      <c r="CV257" s="91"/>
      <c r="CW257" s="91"/>
      <c r="CX257" s="91"/>
      <c r="CY257" s="91"/>
      <c r="CZ257" s="91"/>
      <c r="DA257" s="91"/>
      <c r="DB257" s="91"/>
      <c r="DC257" s="91">
        <v>8911560</v>
      </c>
      <c r="DD257" s="91">
        <f>DE257+DF257+DG257+DH257+DI257+DJ257+DK257+DL257+DM257+DN257</f>
        <v>9178906.8000000007</v>
      </c>
      <c r="DE257" s="91"/>
      <c r="DF257" s="91"/>
      <c r="DG257" s="91"/>
      <c r="DH257" s="91"/>
      <c r="DI257" s="91"/>
      <c r="DJ257" s="91"/>
      <c r="DK257" s="91"/>
      <c r="DL257" s="91"/>
      <c r="DM257" s="91"/>
      <c r="DN257" s="92">
        <v>9178906.8000000007</v>
      </c>
      <c r="DO257" s="93">
        <f>AE257+CH257+CS257+DD257</f>
        <v>35142466.799999997</v>
      </c>
    </row>
    <row r="258" spans="1:119" s="225" customFormat="1" ht="126" customHeight="1" x14ac:dyDescent="0.2">
      <c r="A258" s="64">
        <v>3</v>
      </c>
      <c r="B258" s="256" t="s">
        <v>41</v>
      </c>
      <c r="C258" s="59" t="s">
        <v>924</v>
      </c>
      <c r="D258" s="59" t="s">
        <v>1595</v>
      </c>
      <c r="E258" s="125" t="s">
        <v>1596</v>
      </c>
      <c r="F258" s="13" t="s">
        <v>1010</v>
      </c>
      <c r="G258" s="59" t="s">
        <v>925</v>
      </c>
      <c r="H258" s="55" t="s">
        <v>1597</v>
      </c>
      <c r="I258" s="13">
        <v>24</v>
      </c>
      <c r="J258" s="13" t="s">
        <v>912</v>
      </c>
      <c r="K258" s="50">
        <v>9</v>
      </c>
      <c r="L258" s="13" t="s">
        <v>912</v>
      </c>
      <c r="M258" s="244">
        <v>19</v>
      </c>
      <c r="N258" s="244">
        <v>2409</v>
      </c>
      <c r="O258" s="245" t="s">
        <v>299</v>
      </c>
      <c r="P258" s="13" t="s">
        <v>932</v>
      </c>
      <c r="Q258" s="13" t="s">
        <v>77</v>
      </c>
      <c r="R258" s="13">
        <v>2409014</v>
      </c>
      <c r="S258" s="59" t="s">
        <v>301</v>
      </c>
      <c r="T258" s="13" t="s">
        <v>933</v>
      </c>
      <c r="U258" s="13" t="s">
        <v>77</v>
      </c>
      <c r="V258" s="13">
        <v>240901400</v>
      </c>
      <c r="W258" s="87" t="s">
        <v>934</v>
      </c>
      <c r="X258" s="13" t="s">
        <v>8</v>
      </c>
      <c r="Y258" s="13">
        <v>1</v>
      </c>
      <c r="Z258" s="13">
        <v>1</v>
      </c>
      <c r="AA258" s="13">
        <v>0.92</v>
      </c>
      <c r="AB258" s="13">
        <v>1</v>
      </c>
      <c r="AC258" s="13">
        <v>1</v>
      </c>
      <c r="AD258" s="13">
        <v>1</v>
      </c>
      <c r="AE258" s="89">
        <f t="shared" si="164"/>
        <v>25200000</v>
      </c>
      <c r="AF258" s="89">
        <f t="shared" si="164"/>
        <v>25200000</v>
      </c>
      <c r="AG258" s="89">
        <f>AL258+AQ258+AV258+BA258+BF258+BK258+BP258+BU258+BZ258+CE258</f>
        <v>14346000</v>
      </c>
      <c r="AH258" s="89">
        <f t="shared" si="165"/>
        <v>14346000</v>
      </c>
      <c r="AI258" s="89">
        <f t="shared" si="165"/>
        <v>0</v>
      </c>
      <c r="AJ258" s="91"/>
      <c r="AK258" s="91"/>
      <c r="AL258" s="91"/>
      <c r="AM258" s="91"/>
      <c r="AN258" s="91"/>
      <c r="AO258" s="91"/>
      <c r="AP258" s="91"/>
      <c r="AQ258" s="91"/>
      <c r="AR258" s="91"/>
      <c r="AS258" s="91"/>
      <c r="AT258" s="91"/>
      <c r="AU258" s="91"/>
      <c r="AV258" s="91"/>
      <c r="AW258" s="91"/>
      <c r="AX258" s="91"/>
      <c r="AY258" s="91"/>
      <c r="AZ258" s="91"/>
      <c r="BA258" s="91"/>
      <c r="BB258" s="91"/>
      <c r="BC258" s="91"/>
      <c r="BD258" s="91"/>
      <c r="BE258" s="91"/>
      <c r="BF258" s="91"/>
      <c r="BG258" s="91"/>
      <c r="BH258" s="91"/>
      <c r="BI258" s="91"/>
      <c r="BJ258" s="91"/>
      <c r="BK258" s="91"/>
      <c r="BL258" s="91"/>
      <c r="BM258" s="91"/>
      <c r="BN258" s="91"/>
      <c r="BO258" s="91"/>
      <c r="BP258" s="91"/>
      <c r="BQ258" s="91"/>
      <c r="BR258" s="91"/>
      <c r="BS258" s="91"/>
      <c r="BT258" s="91"/>
      <c r="BU258" s="91"/>
      <c r="BV258" s="91"/>
      <c r="BW258" s="91"/>
      <c r="BX258" s="91"/>
      <c r="BY258" s="91"/>
      <c r="BZ258" s="91"/>
      <c r="CA258" s="91"/>
      <c r="CB258" s="91"/>
      <c r="CC258" s="91">
        <v>25200000</v>
      </c>
      <c r="CD258" s="91">
        <v>25200000</v>
      </c>
      <c r="CE258" s="91">
        <v>14346000</v>
      </c>
      <c r="CF258" s="91">
        <v>14346000</v>
      </c>
      <c r="CG258" s="91"/>
      <c r="CH258" s="91">
        <f t="shared" si="157"/>
        <v>25956000</v>
      </c>
      <c r="CI258" s="91"/>
      <c r="CJ258" s="91"/>
      <c r="CK258" s="91"/>
      <c r="CL258" s="91"/>
      <c r="CM258" s="91"/>
      <c r="CN258" s="91"/>
      <c r="CO258" s="91"/>
      <c r="CP258" s="91"/>
      <c r="CQ258" s="91"/>
      <c r="CR258" s="91">
        <v>25956000</v>
      </c>
      <c r="CS258" s="91">
        <f>CT258+CU258+CV258+CW258+CX258+CY258+CZ258+DA258+DB258+DC258</f>
        <v>26734680</v>
      </c>
      <c r="CT258" s="91"/>
      <c r="CU258" s="91"/>
      <c r="CV258" s="91"/>
      <c r="CW258" s="91"/>
      <c r="CX258" s="91"/>
      <c r="CY258" s="91"/>
      <c r="CZ258" s="91"/>
      <c r="DA258" s="91"/>
      <c r="DB258" s="91"/>
      <c r="DC258" s="91">
        <v>26734680</v>
      </c>
      <c r="DD258" s="91">
        <f>DE258+DF258+DG258+DH258+DI258+DJ258+DK258+DL258+DM258+DN258</f>
        <v>27536720.399999999</v>
      </c>
      <c r="DE258" s="91"/>
      <c r="DF258" s="91"/>
      <c r="DG258" s="91"/>
      <c r="DH258" s="91"/>
      <c r="DI258" s="91"/>
      <c r="DJ258" s="91"/>
      <c r="DK258" s="91"/>
      <c r="DL258" s="91"/>
      <c r="DM258" s="91"/>
      <c r="DN258" s="92">
        <v>27536720.399999999</v>
      </c>
      <c r="DO258" s="93">
        <f>AE258+CH258+CS258+DD258</f>
        <v>105427400.40000001</v>
      </c>
    </row>
    <row r="259" spans="1:119" s="225" customFormat="1" ht="173.25" customHeight="1" x14ac:dyDescent="0.2">
      <c r="A259" s="64">
        <v>3</v>
      </c>
      <c r="B259" s="256" t="s">
        <v>41</v>
      </c>
      <c r="C259" s="59" t="s">
        <v>924</v>
      </c>
      <c r="D259" s="59" t="s">
        <v>1595</v>
      </c>
      <c r="E259" s="125" t="s">
        <v>1596</v>
      </c>
      <c r="F259" s="13" t="s">
        <v>1010</v>
      </c>
      <c r="G259" s="59" t="s">
        <v>925</v>
      </c>
      <c r="H259" s="55" t="s">
        <v>1597</v>
      </c>
      <c r="I259" s="13">
        <v>24</v>
      </c>
      <c r="J259" s="13" t="s">
        <v>912</v>
      </c>
      <c r="K259" s="50">
        <v>9</v>
      </c>
      <c r="L259" s="13" t="s">
        <v>912</v>
      </c>
      <c r="M259" s="244">
        <v>19</v>
      </c>
      <c r="N259" s="244">
        <v>2409</v>
      </c>
      <c r="O259" s="245" t="s">
        <v>299</v>
      </c>
      <c r="P259" s="13" t="s">
        <v>935</v>
      </c>
      <c r="Q259" s="13" t="s">
        <v>77</v>
      </c>
      <c r="R259" s="13">
        <v>2409039</v>
      </c>
      <c r="S259" s="59" t="s">
        <v>1576</v>
      </c>
      <c r="T259" s="13" t="s">
        <v>936</v>
      </c>
      <c r="U259" s="13" t="s">
        <v>77</v>
      </c>
      <c r="V259" s="13">
        <v>240903905</v>
      </c>
      <c r="W259" s="87" t="s">
        <v>937</v>
      </c>
      <c r="X259" s="13" t="s">
        <v>8</v>
      </c>
      <c r="Y259" s="13">
        <v>1</v>
      </c>
      <c r="Z259" s="13">
        <v>1</v>
      </c>
      <c r="AA259" s="13" t="s">
        <v>1715</v>
      </c>
      <c r="AB259" s="13">
        <v>1</v>
      </c>
      <c r="AC259" s="13">
        <v>1</v>
      </c>
      <c r="AD259" s="13">
        <v>1</v>
      </c>
      <c r="AE259" s="89">
        <f t="shared" si="164"/>
        <v>47000000</v>
      </c>
      <c r="AF259" s="89">
        <f t="shared" si="164"/>
        <v>47000000</v>
      </c>
      <c r="AG259" s="89">
        <f>AL259+AQ259+AV259+BA259+BF259+BK259+BP259+BU259+BZ259+CE259</f>
        <v>8364000</v>
      </c>
      <c r="AH259" s="89">
        <f t="shared" si="165"/>
        <v>8364000</v>
      </c>
      <c r="AI259" s="89">
        <f t="shared" si="165"/>
        <v>0</v>
      </c>
      <c r="AJ259" s="91"/>
      <c r="AK259" s="91"/>
      <c r="AL259" s="91"/>
      <c r="AM259" s="91"/>
      <c r="AN259" s="91"/>
      <c r="AO259" s="91"/>
      <c r="AP259" s="91"/>
      <c r="AQ259" s="91"/>
      <c r="AR259" s="91"/>
      <c r="AS259" s="91"/>
      <c r="AT259" s="91"/>
      <c r="AU259" s="91"/>
      <c r="AV259" s="91"/>
      <c r="AW259" s="91"/>
      <c r="AX259" s="91"/>
      <c r="AY259" s="91"/>
      <c r="AZ259" s="91"/>
      <c r="BA259" s="91"/>
      <c r="BB259" s="91"/>
      <c r="BC259" s="91"/>
      <c r="BD259" s="91"/>
      <c r="BE259" s="91"/>
      <c r="BF259" s="91"/>
      <c r="BG259" s="91"/>
      <c r="BH259" s="91"/>
      <c r="BI259" s="91"/>
      <c r="BJ259" s="91"/>
      <c r="BK259" s="91"/>
      <c r="BL259" s="91"/>
      <c r="BM259" s="91"/>
      <c r="BN259" s="91"/>
      <c r="BO259" s="91"/>
      <c r="BP259" s="91"/>
      <c r="BQ259" s="91"/>
      <c r="BR259" s="91"/>
      <c r="BS259" s="91"/>
      <c r="BT259" s="91"/>
      <c r="BU259" s="91"/>
      <c r="BV259" s="91"/>
      <c r="BW259" s="91"/>
      <c r="BX259" s="91"/>
      <c r="BY259" s="91"/>
      <c r="BZ259" s="91"/>
      <c r="CA259" s="91"/>
      <c r="CB259" s="91"/>
      <c r="CC259" s="91">
        <v>47000000</v>
      </c>
      <c r="CD259" s="91">
        <v>47000000</v>
      </c>
      <c r="CE259" s="91">
        <v>8364000</v>
      </c>
      <c r="CF259" s="91">
        <v>8364000</v>
      </c>
      <c r="CG259" s="91"/>
      <c r="CH259" s="91">
        <f t="shared" si="157"/>
        <v>48410000</v>
      </c>
      <c r="CI259" s="91"/>
      <c r="CJ259" s="91"/>
      <c r="CK259" s="91"/>
      <c r="CL259" s="91"/>
      <c r="CM259" s="91"/>
      <c r="CN259" s="91"/>
      <c r="CO259" s="91"/>
      <c r="CP259" s="91"/>
      <c r="CQ259" s="91"/>
      <c r="CR259" s="91">
        <v>48410000</v>
      </c>
      <c r="CS259" s="91">
        <f>CT259+CU259+CV259+CW259+CX259+CY259+CZ259+DA259+DB259+DC259</f>
        <v>49862300</v>
      </c>
      <c r="CT259" s="91"/>
      <c r="CU259" s="91"/>
      <c r="CV259" s="91"/>
      <c r="CW259" s="91"/>
      <c r="CX259" s="91"/>
      <c r="CY259" s="91"/>
      <c r="CZ259" s="91"/>
      <c r="DA259" s="91"/>
      <c r="DB259" s="91"/>
      <c r="DC259" s="91">
        <v>49862300</v>
      </c>
      <c r="DD259" s="91">
        <f>DE259+DF259+DG259+DH259+DI259+DJ259+DK259+DL259+DM259+DN259</f>
        <v>51358169</v>
      </c>
      <c r="DE259" s="91"/>
      <c r="DF259" s="91"/>
      <c r="DG259" s="91"/>
      <c r="DH259" s="91"/>
      <c r="DI259" s="91"/>
      <c r="DJ259" s="91"/>
      <c r="DK259" s="91"/>
      <c r="DL259" s="91"/>
      <c r="DM259" s="91"/>
      <c r="DN259" s="92">
        <v>51358169</v>
      </c>
      <c r="DO259" s="93">
        <f>AE259+CH259+CS259+DD259</f>
        <v>196630469</v>
      </c>
    </row>
    <row r="260" spans="1:119" ht="25.5" customHeight="1" x14ac:dyDescent="0.2">
      <c r="A260" s="64"/>
      <c r="B260" s="255"/>
      <c r="C260" s="74"/>
      <c r="D260" s="74"/>
      <c r="E260" s="77"/>
      <c r="F260" s="74"/>
      <c r="G260" s="74"/>
      <c r="H260" s="77"/>
      <c r="I260" s="74"/>
      <c r="J260" s="74"/>
      <c r="K260" s="74"/>
      <c r="L260" s="74"/>
      <c r="M260" s="96">
        <v>20</v>
      </c>
      <c r="N260" s="96" t="s">
        <v>135</v>
      </c>
      <c r="O260" s="97" t="s">
        <v>136</v>
      </c>
      <c r="P260" s="96"/>
      <c r="Q260" s="98"/>
      <c r="R260" s="98"/>
      <c r="S260" s="98"/>
      <c r="T260" s="98"/>
      <c r="U260" s="98"/>
      <c r="V260" s="98"/>
      <c r="W260" s="83"/>
      <c r="X260" s="83"/>
      <c r="Y260" s="84"/>
      <c r="Z260" s="84"/>
      <c r="AA260" s="84"/>
      <c r="AB260" s="84"/>
      <c r="AC260" s="84"/>
      <c r="AD260" s="81"/>
      <c r="AE260" s="85">
        <f>SUM(AE261:AE262)</f>
        <v>40000000</v>
      </c>
      <c r="AF260" s="85">
        <f>SUM(AF261:AF262)</f>
        <v>40000000</v>
      </c>
      <c r="AG260" s="85">
        <f t="shared" ref="AG260:DO260" si="166">SUM(AG261:AG262)</f>
        <v>17400000</v>
      </c>
      <c r="AH260" s="85">
        <f t="shared" si="166"/>
        <v>17400000</v>
      </c>
      <c r="AI260" s="85">
        <f t="shared" si="166"/>
        <v>0</v>
      </c>
      <c r="AJ260" s="85">
        <f t="shared" si="166"/>
        <v>40000000</v>
      </c>
      <c r="AK260" s="85">
        <f>SUM(AK261:AK262)</f>
        <v>40000000</v>
      </c>
      <c r="AL260" s="85">
        <f t="shared" si="166"/>
        <v>17400000</v>
      </c>
      <c r="AM260" s="85">
        <f t="shared" si="166"/>
        <v>17400000</v>
      </c>
      <c r="AN260" s="85">
        <f t="shared" si="166"/>
        <v>0</v>
      </c>
      <c r="AO260" s="85">
        <f t="shared" si="166"/>
        <v>0</v>
      </c>
      <c r="AP260" s="85">
        <f t="shared" si="166"/>
        <v>0</v>
      </c>
      <c r="AQ260" s="85">
        <f t="shared" si="166"/>
        <v>0</v>
      </c>
      <c r="AR260" s="85">
        <f t="shared" si="166"/>
        <v>0</v>
      </c>
      <c r="AS260" s="85">
        <f t="shared" si="166"/>
        <v>0</v>
      </c>
      <c r="AT260" s="85">
        <f t="shared" si="166"/>
        <v>0</v>
      </c>
      <c r="AU260" s="85">
        <f>SUM(AU261:AU262)</f>
        <v>0</v>
      </c>
      <c r="AV260" s="85">
        <f t="shared" si="166"/>
        <v>0</v>
      </c>
      <c r="AW260" s="85">
        <f t="shared" si="166"/>
        <v>0</v>
      </c>
      <c r="AX260" s="85">
        <f t="shared" si="166"/>
        <v>0</v>
      </c>
      <c r="AY260" s="85">
        <f t="shared" si="166"/>
        <v>0</v>
      </c>
      <c r="AZ260" s="85">
        <f t="shared" si="166"/>
        <v>0</v>
      </c>
      <c r="BA260" s="85">
        <f t="shared" si="166"/>
        <v>0</v>
      </c>
      <c r="BB260" s="85">
        <f t="shared" si="166"/>
        <v>0</v>
      </c>
      <c r="BC260" s="85">
        <f t="shared" si="166"/>
        <v>0</v>
      </c>
      <c r="BD260" s="85">
        <f t="shared" si="166"/>
        <v>0</v>
      </c>
      <c r="BE260" s="85">
        <f>SUM(BE261:BE262)</f>
        <v>0</v>
      </c>
      <c r="BF260" s="85">
        <f t="shared" si="166"/>
        <v>0</v>
      </c>
      <c r="BG260" s="85">
        <f t="shared" si="166"/>
        <v>0</v>
      </c>
      <c r="BH260" s="85">
        <f t="shared" si="166"/>
        <v>0</v>
      </c>
      <c r="BI260" s="85">
        <f t="shared" si="166"/>
        <v>0</v>
      </c>
      <c r="BJ260" s="85">
        <f t="shared" si="166"/>
        <v>0</v>
      </c>
      <c r="BK260" s="85">
        <f t="shared" si="166"/>
        <v>0</v>
      </c>
      <c r="BL260" s="85">
        <f t="shared" si="166"/>
        <v>0</v>
      </c>
      <c r="BM260" s="85">
        <f t="shared" si="166"/>
        <v>0</v>
      </c>
      <c r="BN260" s="85">
        <f t="shared" si="166"/>
        <v>0</v>
      </c>
      <c r="BO260" s="85">
        <f>SUM(BO261:BO262)</f>
        <v>0</v>
      </c>
      <c r="BP260" s="85">
        <f t="shared" si="166"/>
        <v>0</v>
      </c>
      <c r="BQ260" s="85">
        <f t="shared" si="166"/>
        <v>0</v>
      </c>
      <c r="BR260" s="85">
        <f t="shared" si="166"/>
        <v>0</v>
      </c>
      <c r="BS260" s="85">
        <f t="shared" si="166"/>
        <v>0</v>
      </c>
      <c r="BT260" s="85">
        <f t="shared" si="166"/>
        <v>0</v>
      </c>
      <c r="BU260" s="85">
        <f t="shared" si="166"/>
        <v>0</v>
      </c>
      <c r="BV260" s="85">
        <f t="shared" si="166"/>
        <v>0</v>
      </c>
      <c r="BW260" s="85">
        <f t="shared" si="166"/>
        <v>0</v>
      </c>
      <c r="BX260" s="85">
        <f t="shared" si="166"/>
        <v>0</v>
      </c>
      <c r="BY260" s="85">
        <f>SUM(BY261:BY262)</f>
        <v>0</v>
      </c>
      <c r="BZ260" s="85">
        <f t="shared" si="166"/>
        <v>0</v>
      </c>
      <c r="CA260" s="85">
        <f t="shared" si="166"/>
        <v>0</v>
      </c>
      <c r="CB260" s="85">
        <f t="shared" si="166"/>
        <v>0</v>
      </c>
      <c r="CC260" s="85">
        <f t="shared" si="166"/>
        <v>0</v>
      </c>
      <c r="CD260" s="85">
        <f t="shared" si="166"/>
        <v>0</v>
      </c>
      <c r="CE260" s="85">
        <f t="shared" si="166"/>
        <v>0</v>
      </c>
      <c r="CF260" s="85">
        <f t="shared" si="166"/>
        <v>0</v>
      </c>
      <c r="CG260" s="85">
        <f t="shared" si="166"/>
        <v>0</v>
      </c>
      <c r="CH260" s="85">
        <f t="shared" si="166"/>
        <v>82361200</v>
      </c>
      <c r="CI260" s="85">
        <f t="shared" si="166"/>
        <v>82361200</v>
      </c>
      <c r="CJ260" s="85">
        <f t="shared" si="166"/>
        <v>0</v>
      </c>
      <c r="CK260" s="85">
        <f t="shared" si="166"/>
        <v>0</v>
      </c>
      <c r="CL260" s="85">
        <f t="shared" si="166"/>
        <v>0</v>
      </c>
      <c r="CM260" s="85">
        <f t="shared" si="166"/>
        <v>0</v>
      </c>
      <c r="CN260" s="85">
        <f t="shared" si="166"/>
        <v>0</v>
      </c>
      <c r="CO260" s="85">
        <f t="shared" si="166"/>
        <v>0</v>
      </c>
      <c r="CP260" s="85">
        <f t="shared" si="166"/>
        <v>0</v>
      </c>
      <c r="CQ260" s="85">
        <f t="shared" si="166"/>
        <v>0</v>
      </c>
      <c r="CR260" s="85">
        <f t="shared" si="166"/>
        <v>0</v>
      </c>
      <c r="CS260" s="85">
        <f t="shared" si="166"/>
        <v>99328092</v>
      </c>
      <c r="CT260" s="85">
        <f t="shared" si="166"/>
        <v>99328092</v>
      </c>
      <c r="CU260" s="85">
        <f t="shared" si="166"/>
        <v>0</v>
      </c>
      <c r="CV260" s="85">
        <f t="shared" si="166"/>
        <v>0</v>
      </c>
      <c r="CW260" s="85">
        <f t="shared" si="166"/>
        <v>0</v>
      </c>
      <c r="CX260" s="85">
        <f t="shared" si="166"/>
        <v>0</v>
      </c>
      <c r="CY260" s="85">
        <f t="shared" si="166"/>
        <v>0</v>
      </c>
      <c r="CZ260" s="85">
        <f t="shared" si="166"/>
        <v>0</v>
      </c>
      <c r="DA260" s="85">
        <f t="shared" si="166"/>
        <v>0</v>
      </c>
      <c r="DB260" s="85">
        <f t="shared" si="166"/>
        <v>0</v>
      </c>
      <c r="DC260" s="85">
        <f t="shared" si="166"/>
        <v>0</v>
      </c>
      <c r="DD260" s="85">
        <f t="shared" si="166"/>
        <v>223859000</v>
      </c>
      <c r="DE260" s="85">
        <f t="shared" si="166"/>
        <v>223859000</v>
      </c>
      <c r="DF260" s="85">
        <f t="shared" si="166"/>
        <v>0</v>
      </c>
      <c r="DG260" s="85">
        <f t="shared" si="166"/>
        <v>0</v>
      </c>
      <c r="DH260" s="85">
        <f t="shared" si="166"/>
        <v>0</v>
      </c>
      <c r="DI260" s="85">
        <f t="shared" si="166"/>
        <v>0</v>
      </c>
      <c r="DJ260" s="85">
        <f t="shared" si="166"/>
        <v>0</v>
      </c>
      <c r="DK260" s="85">
        <f t="shared" si="166"/>
        <v>0</v>
      </c>
      <c r="DL260" s="85">
        <f t="shared" si="166"/>
        <v>0</v>
      </c>
      <c r="DM260" s="85">
        <f t="shared" si="166"/>
        <v>0</v>
      </c>
      <c r="DN260" s="86">
        <f t="shared" si="166"/>
        <v>0</v>
      </c>
      <c r="DO260" s="85">
        <f t="shared" si="166"/>
        <v>445548292</v>
      </c>
    </row>
    <row r="261" spans="1:119" s="225" customFormat="1" ht="78.75" customHeight="1" x14ac:dyDescent="0.2">
      <c r="A261" s="64">
        <v>3</v>
      </c>
      <c r="B261" s="256" t="s">
        <v>41</v>
      </c>
      <c r="C261" s="59" t="s">
        <v>1345</v>
      </c>
      <c r="D261" s="59" t="s">
        <v>45</v>
      </c>
      <c r="E261" s="151">
        <v>0.25</v>
      </c>
      <c r="F261" s="13">
        <v>2018</v>
      </c>
      <c r="G261" s="59" t="s">
        <v>1346</v>
      </c>
      <c r="H261" s="119">
        <v>0.28000000000000003</v>
      </c>
      <c r="I261" s="13">
        <v>32</v>
      </c>
      <c r="J261" s="13" t="s">
        <v>943</v>
      </c>
      <c r="K261" s="50">
        <v>10</v>
      </c>
      <c r="L261" s="13" t="s">
        <v>1347</v>
      </c>
      <c r="M261" s="244">
        <v>20</v>
      </c>
      <c r="N261" s="244" t="s">
        <v>135</v>
      </c>
      <c r="O261" s="252" t="s">
        <v>136</v>
      </c>
      <c r="P261" s="13" t="s">
        <v>1348</v>
      </c>
      <c r="Q261" s="48" t="s">
        <v>1349</v>
      </c>
      <c r="R261" s="48" t="s">
        <v>1349</v>
      </c>
      <c r="S261" s="59" t="s">
        <v>1577</v>
      </c>
      <c r="T261" s="13" t="s">
        <v>1350</v>
      </c>
      <c r="U261" s="48" t="s">
        <v>1351</v>
      </c>
      <c r="V261" s="48" t="s">
        <v>1351</v>
      </c>
      <c r="W261" s="87" t="s">
        <v>1352</v>
      </c>
      <c r="X261" s="13" t="s">
        <v>9</v>
      </c>
      <c r="Y261" s="13">
        <v>8</v>
      </c>
      <c r="Z261" s="13">
        <v>0</v>
      </c>
      <c r="AA261" s="13"/>
      <c r="AB261" s="13">
        <v>2</v>
      </c>
      <c r="AC261" s="13">
        <v>3</v>
      </c>
      <c r="AD261" s="13">
        <v>3</v>
      </c>
      <c r="AE261" s="89">
        <f t="shared" ref="AE261:AI262" si="167">AJ261+AO261+AT261+AY261+BD261+BI261+BN261+BS261+BX261+CC261</f>
        <v>0</v>
      </c>
      <c r="AF261" s="89">
        <f t="shared" si="167"/>
        <v>0</v>
      </c>
      <c r="AG261" s="89">
        <f t="shared" si="167"/>
        <v>0</v>
      </c>
      <c r="AH261" s="89">
        <f t="shared" si="167"/>
        <v>0</v>
      </c>
      <c r="AI261" s="89">
        <f t="shared" si="167"/>
        <v>0</v>
      </c>
      <c r="AJ261" s="91"/>
      <c r="AK261" s="91"/>
      <c r="AL261" s="91"/>
      <c r="AM261" s="91"/>
      <c r="AN261" s="91"/>
      <c r="AO261" s="91"/>
      <c r="AP261" s="91"/>
      <c r="AQ261" s="91"/>
      <c r="AR261" s="91"/>
      <c r="AS261" s="91"/>
      <c r="AT261" s="91"/>
      <c r="AU261" s="91"/>
      <c r="AV261" s="91"/>
      <c r="AW261" s="91"/>
      <c r="AX261" s="91"/>
      <c r="AY261" s="91"/>
      <c r="AZ261" s="91"/>
      <c r="BA261" s="91"/>
      <c r="BB261" s="91"/>
      <c r="BC261" s="91"/>
      <c r="BD261" s="91"/>
      <c r="BE261" s="91"/>
      <c r="BF261" s="91"/>
      <c r="BG261" s="91"/>
      <c r="BH261" s="91"/>
      <c r="BI261" s="91"/>
      <c r="BJ261" s="91"/>
      <c r="BK261" s="91"/>
      <c r="BL261" s="91"/>
      <c r="BM261" s="91"/>
      <c r="BN261" s="91"/>
      <c r="BO261" s="91"/>
      <c r="BP261" s="91"/>
      <c r="BQ261" s="91"/>
      <c r="BR261" s="91"/>
      <c r="BS261" s="91"/>
      <c r="BT261" s="91"/>
      <c r="BU261" s="91"/>
      <c r="BV261" s="91"/>
      <c r="BW261" s="91"/>
      <c r="BX261" s="91"/>
      <c r="BY261" s="91"/>
      <c r="BZ261" s="91"/>
      <c r="CA261" s="91"/>
      <c r="CB261" s="91"/>
      <c r="CC261" s="91"/>
      <c r="CD261" s="91"/>
      <c r="CE261" s="91"/>
      <c r="CF261" s="91"/>
      <c r="CG261" s="91"/>
      <c r="CH261" s="91">
        <f t="shared" si="157"/>
        <v>50000000</v>
      </c>
      <c r="CI261" s="91">
        <v>50000000</v>
      </c>
      <c r="CJ261" s="91"/>
      <c r="CK261" s="91"/>
      <c r="CL261" s="91"/>
      <c r="CM261" s="91"/>
      <c r="CN261" s="91"/>
      <c r="CO261" s="91"/>
      <c r="CP261" s="91"/>
      <c r="CQ261" s="91"/>
      <c r="CR261" s="91"/>
      <c r="CS261" s="91">
        <f>CT261+CU261+CV261+CW261+CX261+CY261+CZ261+DA261+DB261+DC261</f>
        <v>59360000</v>
      </c>
      <c r="CT261" s="91">
        <v>59360000</v>
      </c>
      <c r="CU261" s="91"/>
      <c r="CV261" s="91"/>
      <c r="CW261" s="91"/>
      <c r="CX261" s="91"/>
      <c r="CY261" s="91"/>
      <c r="CZ261" s="91"/>
      <c r="DA261" s="91"/>
      <c r="DB261" s="91"/>
      <c r="DC261" s="91"/>
      <c r="DD261" s="91">
        <f>DE261+DF261+DG261+DH261+DI261+DJ261+DK261+DL261+DM261+DN261</f>
        <v>126859000</v>
      </c>
      <c r="DE261" s="91">
        <v>126859000</v>
      </c>
      <c r="DF261" s="91"/>
      <c r="DG261" s="91"/>
      <c r="DH261" s="91"/>
      <c r="DI261" s="91"/>
      <c r="DJ261" s="91"/>
      <c r="DK261" s="91"/>
      <c r="DL261" s="91"/>
      <c r="DM261" s="91"/>
      <c r="DN261" s="92"/>
      <c r="DO261" s="93">
        <f>AE261+CH261+CS261+DD261</f>
        <v>236219000</v>
      </c>
    </row>
    <row r="262" spans="1:119" s="225" customFormat="1" ht="157.5" customHeight="1" x14ac:dyDescent="0.2">
      <c r="A262" s="64">
        <v>3</v>
      </c>
      <c r="B262" s="256" t="s">
        <v>41</v>
      </c>
      <c r="C262" s="59" t="s">
        <v>1345</v>
      </c>
      <c r="D262" s="59" t="s">
        <v>45</v>
      </c>
      <c r="E262" s="151">
        <v>0.25</v>
      </c>
      <c r="F262" s="13">
        <v>2018</v>
      </c>
      <c r="G262" s="59" t="s">
        <v>1346</v>
      </c>
      <c r="H262" s="119">
        <v>0.28000000000000003</v>
      </c>
      <c r="I262" s="13">
        <v>32</v>
      </c>
      <c r="J262" s="13" t="s">
        <v>943</v>
      </c>
      <c r="K262" s="50">
        <v>10</v>
      </c>
      <c r="L262" s="13" t="s">
        <v>1347</v>
      </c>
      <c r="M262" s="244">
        <v>20</v>
      </c>
      <c r="N262" s="244" t="s">
        <v>135</v>
      </c>
      <c r="O262" s="252" t="s">
        <v>136</v>
      </c>
      <c r="P262" s="13" t="s">
        <v>1353</v>
      </c>
      <c r="Q262" s="48" t="s">
        <v>1354</v>
      </c>
      <c r="R262" s="48" t="s">
        <v>1354</v>
      </c>
      <c r="S262" s="59" t="s">
        <v>137</v>
      </c>
      <c r="T262" s="13" t="s">
        <v>1355</v>
      </c>
      <c r="U262" s="48" t="s">
        <v>1356</v>
      </c>
      <c r="V262" s="48" t="s">
        <v>1356</v>
      </c>
      <c r="W262" s="87" t="s">
        <v>1635</v>
      </c>
      <c r="X262" s="13" t="s">
        <v>9</v>
      </c>
      <c r="Y262" s="13">
        <v>4</v>
      </c>
      <c r="Z262" s="13">
        <v>1</v>
      </c>
      <c r="AA262" s="13">
        <v>1</v>
      </c>
      <c r="AB262" s="13">
        <v>1</v>
      </c>
      <c r="AC262" s="13">
        <v>1</v>
      </c>
      <c r="AD262" s="13">
        <v>1</v>
      </c>
      <c r="AE262" s="89">
        <f t="shared" si="167"/>
        <v>40000000</v>
      </c>
      <c r="AF262" s="89">
        <f t="shared" si="167"/>
        <v>40000000</v>
      </c>
      <c r="AG262" s="89">
        <f t="shared" si="167"/>
        <v>17400000</v>
      </c>
      <c r="AH262" s="89">
        <f t="shared" si="167"/>
        <v>17400000</v>
      </c>
      <c r="AI262" s="89">
        <f t="shared" si="167"/>
        <v>0</v>
      </c>
      <c r="AJ262" s="91">
        <v>40000000</v>
      </c>
      <c r="AK262" s="91">
        <v>40000000</v>
      </c>
      <c r="AL262" s="91">
        <v>17400000</v>
      </c>
      <c r="AM262" s="91">
        <v>17400000</v>
      </c>
      <c r="AN262" s="91"/>
      <c r="AO262" s="91"/>
      <c r="AP262" s="91"/>
      <c r="AQ262" s="91"/>
      <c r="AR262" s="91"/>
      <c r="AS262" s="91"/>
      <c r="AT262" s="91"/>
      <c r="AU262" s="91"/>
      <c r="AV262" s="91"/>
      <c r="AW262" s="91"/>
      <c r="AX262" s="91"/>
      <c r="AY262" s="91"/>
      <c r="AZ262" s="91"/>
      <c r="BA262" s="91"/>
      <c r="BB262" s="91"/>
      <c r="BC262" s="91"/>
      <c r="BD262" s="91"/>
      <c r="BE262" s="91"/>
      <c r="BF262" s="91"/>
      <c r="BG262" s="91"/>
      <c r="BH262" s="91"/>
      <c r="BI262" s="91"/>
      <c r="BJ262" s="91"/>
      <c r="BK262" s="91"/>
      <c r="BL262" s="91"/>
      <c r="BM262" s="91"/>
      <c r="BN262" s="91"/>
      <c r="BO262" s="91"/>
      <c r="BP262" s="91"/>
      <c r="BQ262" s="91"/>
      <c r="BR262" s="91"/>
      <c r="BS262" s="91"/>
      <c r="BT262" s="91"/>
      <c r="BU262" s="91"/>
      <c r="BV262" s="91"/>
      <c r="BW262" s="91"/>
      <c r="BX262" s="91"/>
      <c r="BY262" s="91"/>
      <c r="BZ262" s="91"/>
      <c r="CA262" s="91"/>
      <c r="CB262" s="91"/>
      <c r="CC262" s="91"/>
      <c r="CD262" s="91"/>
      <c r="CE262" s="91"/>
      <c r="CF262" s="91"/>
      <c r="CG262" s="91"/>
      <c r="CH262" s="91">
        <f t="shared" si="157"/>
        <v>32361200</v>
      </c>
      <c r="CI262" s="91">
        <v>32361200</v>
      </c>
      <c r="CJ262" s="91"/>
      <c r="CK262" s="91"/>
      <c r="CL262" s="91"/>
      <c r="CM262" s="91"/>
      <c r="CN262" s="91"/>
      <c r="CO262" s="91"/>
      <c r="CP262" s="91"/>
      <c r="CQ262" s="91"/>
      <c r="CR262" s="91"/>
      <c r="CS262" s="91">
        <f>CT262+CU262+CV262+CW262+CX262+CY262+CZ262+DA262+DB262+DC262</f>
        <v>39968092</v>
      </c>
      <c r="CT262" s="91">
        <v>39968092</v>
      </c>
      <c r="CU262" s="91"/>
      <c r="CV262" s="91"/>
      <c r="CW262" s="91"/>
      <c r="CX262" s="91"/>
      <c r="CY262" s="91"/>
      <c r="CZ262" s="91"/>
      <c r="DA262" s="91"/>
      <c r="DB262" s="91"/>
      <c r="DC262" s="91"/>
      <c r="DD262" s="91">
        <f>DE262+DF262+DG262+DH262+DI262+DJ262+DK262+DL262+DM262+DN262</f>
        <v>97000000</v>
      </c>
      <c r="DE262" s="91">
        <v>97000000</v>
      </c>
      <c r="DF262" s="91"/>
      <c r="DG262" s="91"/>
      <c r="DH262" s="91"/>
      <c r="DI262" s="91"/>
      <c r="DJ262" s="91"/>
      <c r="DK262" s="91"/>
      <c r="DL262" s="91"/>
      <c r="DM262" s="91"/>
      <c r="DN262" s="92"/>
      <c r="DO262" s="93">
        <f>AE262+CH262+CS262+DD262</f>
        <v>209329292</v>
      </c>
    </row>
    <row r="263" spans="1:119" ht="24.75" customHeight="1" x14ac:dyDescent="0.2">
      <c r="A263" s="64"/>
      <c r="B263" s="255"/>
      <c r="C263" s="74"/>
      <c r="D263" s="74"/>
      <c r="E263" s="77"/>
      <c r="F263" s="74"/>
      <c r="G263" s="74"/>
      <c r="H263" s="77"/>
      <c r="I263" s="74"/>
      <c r="J263" s="74"/>
      <c r="K263" s="74"/>
      <c r="L263" s="74"/>
      <c r="M263" s="96">
        <v>21</v>
      </c>
      <c r="N263" s="96" t="s">
        <v>43</v>
      </c>
      <c r="O263" s="97" t="s">
        <v>44</v>
      </c>
      <c r="P263" s="96"/>
      <c r="Q263" s="98"/>
      <c r="R263" s="98"/>
      <c r="S263" s="98"/>
      <c r="T263" s="98"/>
      <c r="U263" s="98"/>
      <c r="V263" s="98"/>
      <c r="W263" s="83"/>
      <c r="X263" s="83"/>
      <c r="Y263" s="84"/>
      <c r="Z263" s="84"/>
      <c r="AA263" s="84"/>
      <c r="AB263" s="84"/>
      <c r="AC263" s="84"/>
      <c r="AD263" s="81"/>
      <c r="AE263" s="85">
        <f>SUM(AE264:AE270)</f>
        <v>12791267069.25</v>
      </c>
      <c r="AF263" s="85">
        <f>SUM(AF264:AF270)</f>
        <v>11024083662</v>
      </c>
      <c r="AG263" s="85">
        <f t="shared" ref="AG263:DO263" si="168">SUM(AG264:AG270)</f>
        <v>472118329</v>
      </c>
      <c r="AH263" s="85">
        <f t="shared" si="168"/>
        <v>387918329</v>
      </c>
      <c r="AI263" s="85">
        <f t="shared" si="168"/>
        <v>500844480</v>
      </c>
      <c r="AJ263" s="85">
        <f t="shared" si="168"/>
        <v>279662000</v>
      </c>
      <c r="AK263" s="85">
        <f>SUM(AK264:AK270)</f>
        <v>601049867</v>
      </c>
      <c r="AL263" s="85">
        <f t="shared" si="168"/>
        <v>248918329</v>
      </c>
      <c r="AM263" s="85">
        <f t="shared" si="168"/>
        <v>239118329</v>
      </c>
      <c r="AN263" s="85">
        <f t="shared" si="168"/>
        <v>500844480</v>
      </c>
      <c r="AO263" s="85">
        <f t="shared" si="168"/>
        <v>1114208927.25</v>
      </c>
      <c r="AP263" s="85">
        <f t="shared" si="168"/>
        <v>0</v>
      </c>
      <c r="AQ263" s="85">
        <f t="shared" si="168"/>
        <v>0</v>
      </c>
      <c r="AR263" s="85">
        <f t="shared" si="168"/>
        <v>0</v>
      </c>
      <c r="AS263" s="85">
        <f t="shared" si="168"/>
        <v>0</v>
      </c>
      <c r="AT263" s="85">
        <f t="shared" si="168"/>
        <v>0</v>
      </c>
      <c r="AU263" s="85">
        <f>SUM(AU264:AU270)</f>
        <v>0</v>
      </c>
      <c r="AV263" s="85">
        <f t="shared" si="168"/>
        <v>0</v>
      </c>
      <c r="AW263" s="85">
        <f t="shared" si="168"/>
        <v>0</v>
      </c>
      <c r="AX263" s="85">
        <f t="shared" si="168"/>
        <v>0</v>
      </c>
      <c r="AY263" s="85">
        <f t="shared" si="168"/>
        <v>0</v>
      </c>
      <c r="AZ263" s="85">
        <f t="shared" si="168"/>
        <v>0</v>
      </c>
      <c r="BA263" s="85">
        <f t="shared" si="168"/>
        <v>0</v>
      </c>
      <c r="BB263" s="85">
        <f t="shared" si="168"/>
        <v>0</v>
      </c>
      <c r="BC263" s="85">
        <f t="shared" si="168"/>
        <v>0</v>
      </c>
      <c r="BD263" s="85">
        <f t="shared" si="168"/>
        <v>0</v>
      </c>
      <c r="BE263" s="85">
        <f>SUM(BE264:BE270)</f>
        <v>0</v>
      </c>
      <c r="BF263" s="85">
        <f t="shared" si="168"/>
        <v>0</v>
      </c>
      <c r="BG263" s="85">
        <f t="shared" si="168"/>
        <v>0</v>
      </c>
      <c r="BH263" s="85">
        <f t="shared" si="168"/>
        <v>0</v>
      </c>
      <c r="BI263" s="85">
        <f t="shared" si="168"/>
        <v>0</v>
      </c>
      <c r="BJ263" s="85">
        <f t="shared" si="168"/>
        <v>0</v>
      </c>
      <c r="BK263" s="85">
        <f t="shared" si="168"/>
        <v>0</v>
      </c>
      <c r="BL263" s="85">
        <f t="shared" si="168"/>
        <v>0</v>
      </c>
      <c r="BM263" s="85">
        <f t="shared" si="168"/>
        <v>0</v>
      </c>
      <c r="BN263" s="85">
        <f t="shared" si="168"/>
        <v>11397396142</v>
      </c>
      <c r="BO263" s="85">
        <f>SUM(BO264:BO270)</f>
        <v>10423033795</v>
      </c>
      <c r="BP263" s="85">
        <f t="shared" si="168"/>
        <v>223200000</v>
      </c>
      <c r="BQ263" s="85">
        <f t="shared" si="168"/>
        <v>148800000</v>
      </c>
      <c r="BR263" s="85">
        <f t="shared" si="168"/>
        <v>0</v>
      </c>
      <c r="BS263" s="85">
        <f t="shared" si="168"/>
        <v>0</v>
      </c>
      <c r="BT263" s="85">
        <f t="shared" si="168"/>
        <v>0</v>
      </c>
      <c r="BU263" s="85">
        <f t="shared" si="168"/>
        <v>0</v>
      </c>
      <c r="BV263" s="85">
        <f t="shared" si="168"/>
        <v>0</v>
      </c>
      <c r="BW263" s="85">
        <f t="shared" si="168"/>
        <v>0</v>
      </c>
      <c r="BX263" s="85">
        <f t="shared" si="168"/>
        <v>0</v>
      </c>
      <c r="BY263" s="85">
        <f>SUM(BY264:BY270)</f>
        <v>0</v>
      </c>
      <c r="BZ263" s="85">
        <f t="shared" si="168"/>
        <v>0</v>
      </c>
      <c r="CA263" s="85">
        <f t="shared" si="168"/>
        <v>0</v>
      </c>
      <c r="CB263" s="85">
        <f t="shared" si="168"/>
        <v>0</v>
      </c>
      <c r="CC263" s="85">
        <f t="shared" si="168"/>
        <v>0</v>
      </c>
      <c r="CD263" s="85">
        <f t="shared" si="168"/>
        <v>0</v>
      </c>
      <c r="CE263" s="85">
        <f t="shared" si="168"/>
        <v>0</v>
      </c>
      <c r="CF263" s="85">
        <f t="shared" si="168"/>
        <v>0</v>
      </c>
      <c r="CG263" s="85">
        <f t="shared" si="168"/>
        <v>0</v>
      </c>
      <c r="CH263" s="85">
        <f t="shared" si="168"/>
        <v>786811734.78999996</v>
      </c>
      <c r="CI263" s="85">
        <f t="shared" si="168"/>
        <v>105959777.78999999</v>
      </c>
      <c r="CJ263" s="85">
        <f t="shared" si="168"/>
        <v>680851957</v>
      </c>
      <c r="CK263" s="85">
        <f t="shared" si="168"/>
        <v>0</v>
      </c>
      <c r="CL263" s="85">
        <f t="shared" si="168"/>
        <v>0</v>
      </c>
      <c r="CM263" s="85">
        <f t="shared" si="168"/>
        <v>0</v>
      </c>
      <c r="CN263" s="85">
        <f t="shared" si="168"/>
        <v>0</v>
      </c>
      <c r="CO263" s="85">
        <f t="shared" si="168"/>
        <v>0</v>
      </c>
      <c r="CP263" s="85">
        <f t="shared" si="168"/>
        <v>0</v>
      </c>
      <c r="CQ263" s="85">
        <f t="shared" si="168"/>
        <v>0</v>
      </c>
      <c r="CR263" s="85">
        <f t="shared" si="168"/>
        <v>0</v>
      </c>
      <c r="CS263" s="85">
        <f t="shared" si="168"/>
        <v>899834129</v>
      </c>
      <c r="CT263" s="85">
        <f t="shared" si="168"/>
        <v>112965040</v>
      </c>
      <c r="CU263" s="85">
        <f t="shared" si="168"/>
        <v>786869089</v>
      </c>
      <c r="CV263" s="85">
        <f t="shared" si="168"/>
        <v>0</v>
      </c>
      <c r="CW263" s="85">
        <f t="shared" si="168"/>
        <v>0</v>
      </c>
      <c r="CX263" s="85">
        <f t="shared" si="168"/>
        <v>0</v>
      </c>
      <c r="CY263" s="85">
        <f t="shared" si="168"/>
        <v>0</v>
      </c>
      <c r="CZ263" s="85">
        <f t="shared" si="168"/>
        <v>0</v>
      </c>
      <c r="DA263" s="85">
        <f t="shared" si="168"/>
        <v>0</v>
      </c>
      <c r="DB263" s="85">
        <f t="shared" si="168"/>
        <v>0</v>
      </c>
      <c r="DC263" s="85">
        <f t="shared" si="168"/>
        <v>0</v>
      </c>
      <c r="DD263" s="85">
        <f t="shared" si="168"/>
        <v>1173065954.3924</v>
      </c>
      <c r="DE263" s="85">
        <f t="shared" si="168"/>
        <v>274431471.39240003</v>
      </c>
      <c r="DF263" s="85">
        <f t="shared" si="168"/>
        <v>898634483</v>
      </c>
      <c r="DG263" s="85">
        <f t="shared" si="168"/>
        <v>0</v>
      </c>
      <c r="DH263" s="85">
        <f t="shared" si="168"/>
        <v>0</v>
      </c>
      <c r="DI263" s="85">
        <f t="shared" si="168"/>
        <v>0</v>
      </c>
      <c r="DJ263" s="85">
        <f t="shared" si="168"/>
        <v>0</v>
      </c>
      <c r="DK263" s="85">
        <f t="shared" si="168"/>
        <v>0</v>
      </c>
      <c r="DL263" s="85">
        <f t="shared" si="168"/>
        <v>0</v>
      </c>
      <c r="DM263" s="85">
        <f t="shared" si="168"/>
        <v>0</v>
      </c>
      <c r="DN263" s="86">
        <f t="shared" si="168"/>
        <v>0</v>
      </c>
      <c r="DO263" s="85">
        <f t="shared" si="168"/>
        <v>15650978887.4324</v>
      </c>
    </row>
    <row r="264" spans="1:119" s="225" customFormat="1" ht="78.75" customHeight="1" x14ac:dyDescent="0.2">
      <c r="A264" s="64">
        <v>3</v>
      </c>
      <c r="B264" s="256" t="s">
        <v>41</v>
      </c>
      <c r="C264" s="59" t="s">
        <v>1345</v>
      </c>
      <c r="D264" s="59" t="s">
        <v>45</v>
      </c>
      <c r="E264" s="167">
        <v>0.25</v>
      </c>
      <c r="F264" s="13">
        <v>2018</v>
      </c>
      <c r="G264" s="59" t="s">
        <v>1346</v>
      </c>
      <c r="H264" s="119">
        <v>0.28000000000000003</v>
      </c>
      <c r="I264" s="13">
        <v>32</v>
      </c>
      <c r="J264" s="13" t="s">
        <v>943</v>
      </c>
      <c r="K264" s="50">
        <v>10</v>
      </c>
      <c r="L264" s="13" t="s">
        <v>1347</v>
      </c>
      <c r="M264" s="244">
        <v>21</v>
      </c>
      <c r="N264" s="247" t="s">
        <v>43</v>
      </c>
      <c r="O264" s="245" t="s">
        <v>44</v>
      </c>
      <c r="P264" s="13" t="s">
        <v>1357</v>
      </c>
      <c r="Q264" s="48" t="s">
        <v>1358</v>
      </c>
      <c r="R264" s="48" t="s">
        <v>1358</v>
      </c>
      <c r="S264" s="59" t="s">
        <v>1359</v>
      </c>
      <c r="T264" s="13" t="s">
        <v>1360</v>
      </c>
      <c r="U264" s="48" t="s">
        <v>1361</v>
      </c>
      <c r="V264" s="48" t="s">
        <v>1361</v>
      </c>
      <c r="W264" s="87" t="s">
        <v>1362</v>
      </c>
      <c r="X264" s="13" t="s">
        <v>9</v>
      </c>
      <c r="Y264" s="13">
        <v>1073</v>
      </c>
      <c r="Z264" s="13">
        <v>0</v>
      </c>
      <c r="AA264" s="13"/>
      <c r="AB264" s="13">
        <v>600</v>
      </c>
      <c r="AC264" s="13">
        <v>400</v>
      </c>
      <c r="AD264" s="13">
        <v>73</v>
      </c>
      <c r="AE264" s="89">
        <f t="shared" ref="AE264:AI270" si="169">AJ264+AO264+AT264+AY264+BD264+BI264+BN264+BS264+BX264+CC264</f>
        <v>9916141142</v>
      </c>
      <c r="AF264" s="89">
        <f t="shared" si="169"/>
        <v>8941778795</v>
      </c>
      <c r="AG264" s="89">
        <f t="shared" si="169"/>
        <v>0</v>
      </c>
      <c r="AH264" s="89">
        <f t="shared" si="169"/>
        <v>0</v>
      </c>
      <c r="AI264" s="89">
        <f t="shared" si="169"/>
        <v>0</v>
      </c>
      <c r="AJ264" s="91"/>
      <c r="AK264" s="91"/>
      <c r="AL264" s="91"/>
      <c r="AM264" s="91"/>
      <c r="AN264" s="91"/>
      <c r="AO264" s="91"/>
      <c r="AP264" s="91"/>
      <c r="AQ264" s="91"/>
      <c r="AR264" s="91"/>
      <c r="AS264" s="91"/>
      <c r="AT264" s="91"/>
      <c r="AU264" s="91"/>
      <c r="AV264" s="91"/>
      <c r="AW264" s="91"/>
      <c r="AX264" s="91"/>
      <c r="AY264" s="91"/>
      <c r="AZ264" s="91"/>
      <c r="BA264" s="91"/>
      <c r="BB264" s="91"/>
      <c r="BC264" s="91"/>
      <c r="BD264" s="91"/>
      <c r="BE264" s="91"/>
      <c r="BF264" s="91"/>
      <c r="BG264" s="91"/>
      <c r="BH264" s="91"/>
      <c r="BI264" s="91"/>
      <c r="BJ264" s="91"/>
      <c r="BK264" s="91"/>
      <c r="BL264" s="91"/>
      <c r="BM264" s="91"/>
      <c r="BN264" s="91">
        <v>9916141142</v>
      </c>
      <c r="BO264" s="91">
        <v>8941778795</v>
      </c>
      <c r="BP264" s="91"/>
      <c r="BQ264" s="91"/>
      <c r="BR264" s="91"/>
      <c r="BS264" s="91"/>
      <c r="BT264" s="91"/>
      <c r="BU264" s="91"/>
      <c r="BV264" s="91"/>
      <c r="BW264" s="91"/>
      <c r="BX264" s="91"/>
      <c r="BY264" s="91"/>
      <c r="BZ264" s="91"/>
      <c r="CA264" s="91"/>
      <c r="CB264" s="91"/>
      <c r="CC264" s="91"/>
      <c r="CD264" s="91"/>
      <c r="CE264" s="91"/>
      <c r="CF264" s="91"/>
      <c r="CG264" s="91"/>
      <c r="CH264" s="91">
        <f t="shared" si="157"/>
        <v>200000000</v>
      </c>
      <c r="CI264" s="91"/>
      <c r="CJ264" s="91">
        <v>200000000</v>
      </c>
      <c r="CK264" s="91"/>
      <c r="CL264" s="91"/>
      <c r="CM264" s="91"/>
      <c r="CN264" s="91"/>
      <c r="CO264" s="91"/>
      <c r="CP264" s="91"/>
      <c r="CQ264" s="91"/>
      <c r="CR264" s="91"/>
      <c r="CS264" s="91">
        <f t="shared" ref="CS264:CS270" si="170">CT264+CU264+CV264+CW264+CX264+CY264+CZ264+DA264+DB264+DC264</f>
        <v>180000000</v>
      </c>
      <c r="CT264" s="91"/>
      <c r="CU264" s="91">
        <v>180000000</v>
      </c>
      <c r="CV264" s="91"/>
      <c r="CW264" s="91"/>
      <c r="CX264" s="91"/>
      <c r="CY264" s="91"/>
      <c r="CZ264" s="91"/>
      <c r="DA264" s="91"/>
      <c r="DB264" s="91"/>
      <c r="DC264" s="91"/>
      <c r="DD264" s="91">
        <f t="shared" ref="DD264:DD270" si="171">DE264+DF264+DG264+DH264+DI264+DJ264+DK264+DL264+DM264+DN264</f>
        <v>100000000</v>
      </c>
      <c r="DE264" s="91"/>
      <c r="DF264" s="91">
        <v>100000000</v>
      </c>
      <c r="DG264" s="91"/>
      <c r="DH264" s="91"/>
      <c r="DI264" s="91"/>
      <c r="DJ264" s="91"/>
      <c r="DK264" s="91"/>
      <c r="DL264" s="91"/>
      <c r="DM264" s="91"/>
      <c r="DN264" s="92"/>
      <c r="DO264" s="93">
        <f t="shared" ref="DO264:DO270" si="172">AE264+CH264+CS264+DD264</f>
        <v>10396141142</v>
      </c>
    </row>
    <row r="265" spans="1:119" s="225" customFormat="1" ht="94.5" customHeight="1" x14ac:dyDescent="0.2">
      <c r="A265" s="64">
        <v>3</v>
      </c>
      <c r="B265" s="256" t="s">
        <v>41</v>
      </c>
      <c r="C265" s="59" t="s">
        <v>1345</v>
      </c>
      <c r="D265" s="59" t="s">
        <v>45</v>
      </c>
      <c r="E265" s="167">
        <v>0.25</v>
      </c>
      <c r="F265" s="13">
        <v>2018</v>
      </c>
      <c r="G265" s="59" t="s">
        <v>1346</v>
      </c>
      <c r="H265" s="119">
        <v>0.28000000000000003</v>
      </c>
      <c r="I265" s="13">
        <v>32</v>
      </c>
      <c r="J265" s="13" t="s">
        <v>943</v>
      </c>
      <c r="K265" s="50">
        <v>10</v>
      </c>
      <c r="L265" s="13" t="s">
        <v>1347</v>
      </c>
      <c r="M265" s="244">
        <v>21</v>
      </c>
      <c r="N265" s="247" t="s">
        <v>43</v>
      </c>
      <c r="O265" s="245" t="s">
        <v>44</v>
      </c>
      <c r="P265" s="13" t="s">
        <v>1363</v>
      </c>
      <c r="Q265" s="48">
        <v>3202017</v>
      </c>
      <c r="R265" s="48" t="s">
        <v>1679</v>
      </c>
      <c r="S265" s="59" t="s">
        <v>1364</v>
      </c>
      <c r="T265" s="13" t="s">
        <v>1365</v>
      </c>
      <c r="U265" s="48" t="s">
        <v>1366</v>
      </c>
      <c r="V265" s="48">
        <v>320204300</v>
      </c>
      <c r="W265" s="87" t="s">
        <v>1367</v>
      </c>
      <c r="X265" s="13" t="s">
        <v>8</v>
      </c>
      <c r="Y265" s="120">
        <v>1</v>
      </c>
      <c r="Z265" s="120">
        <v>1</v>
      </c>
      <c r="AA265" s="120">
        <v>1</v>
      </c>
      <c r="AB265" s="120">
        <v>1</v>
      </c>
      <c r="AC265" s="120">
        <v>1</v>
      </c>
      <c r="AD265" s="120">
        <v>1</v>
      </c>
      <c r="AE265" s="89">
        <f t="shared" si="169"/>
        <v>1561255000</v>
      </c>
      <c r="AF265" s="89">
        <f t="shared" si="169"/>
        <v>1561255000</v>
      </c>
      <c r="AG265" s="89">
        <f t="shared" si="169"/>
        <v>272332666</v>
      </c>
      <c r="AH265" s="89">
        <f t="shared" si="169"/>
        <v>197932666</v>
      </c>
      <c r="AI265" s="89">
        <f t="shared" si="169"/>
        <v>0</v>
      </c>
      <c r="AJ265" s="91">
        <f>130000000-50000000</f>
        <v>80000000</v>
      </c>
      <c r="AK265" s="91">
        <v>80000000</v>
      </c>
      <c r="AL265" s="91">
        <v>49132666</v>
      </c>
      <c r="AM265" s="91">
        <v>49132666</v>
      </c>
      <c r="AN265" s="91"/>
      <c r="AO265" s="91"/>
      <c r="AP265" s="91"/>
      <c r="AQ265" s="91"/>
      <c r="AR265" s="91"/>
      <c r="AS265" s="91"/>
      <c r="AT265" s="91"/>
      <c r="AU265" s="91"/>
      <c r="AV265" s="91"/>
      <c r="AW265" s="91"/>
      <c r="AX265" s="91"/>
      <c r="AY265" s="91"/>
      <c r="AZ265" s="91"/>
      <c r="BA265" s="91"/>
      <c r="BB265" s="91"/>
      <c r="BC265" s="91"/>
      <c r="BD265" s="91"/>
      <c r="BE265" s="91"/>
      <c r="BF265" s="91"/>
      <c r="BG265" s="91"/>
      <c r="BH265" s="91"/>
      <c r="BI265" s="91"/>
      <c r="BJ265" s="91"/>
      <c r="BK265" s="91"/>
      <c r="BL265" s="91"/>
      <c r="BM265" s="91"/>
      <c r="BN265" s="91">
        <v>1481255000</v>
      </c>
      <c r="BO265" s="91">
        <v>1481255000</v>
      </c>
      <c r="BP265" s="91">
        <v>223200000</v>
      </c>
      <c r="BQ265" s="91">
        <v>148800000</v>
      </c>
      <c r="BR265" s="91"/>
      <c r="BS265" s="91"/>
      <c r="BT265" s="91"/>
      <c r="BU265" s="91"/>
      <c r="BV265" s="91"/>
      <c r="BW265" s="91"/>
      <c r="BX265" s="91"/>
      <c r="BY265" s="91"/>
      <c r="BZ265" s="91"/>
      <c r="CA265" s="91"/>
      <c r="CB265" s="91"/>
      <c r="CC265" s="91"/>
      <c r="CD265" s="91"/>
      <c r="CE265" s="91"/>
      <c r="CF265" s="91"/>
      <c r="CG265" s="91"/>
      <c r="CH265" s="91">
        <f t="shared" si="157"/>
        <v>100000000</v>
      </c>
      <c r="CI265" s="91"/>
      <c r="CJ265" s="91">
        <v>100000000</v>
      </c>
      <c r="CK265" s="91"/>
      <c r="CL265" s="91"/>
      <c r="CM265" s="91"/>
      <c r="CN265" s="91"/>
      <c r="CO265" s="91"/>
      <c r="CP265" s="91"/>
      <c r="CQ265" s="91"/>
      <c r="CR265" s="91"/>
      <c r="CS265" s="91">
        <f t="shared" si="170"/>
        <v>100000000</v>
      </c>
      <c r="CT265" s="91"/>
      <c r="CU265" s="91">
        <v>100000000</v>
      </c>
      <c r="CV265" s="91"/>
      <c r="CW265" s="91"/>
      <c r="CX265" s="91"/>
      <c r="CY265" s="91"/>
      <c r="CZ265" s="91"/>
      <c r="DA265" s="91"/>
      <c r="DB265" s="91"/>
      <c r="DC265" s="91"/>
      <c r="DD265" s="91">
        <f t="shared" si="171"/>
        <v>100000000</v>
      </c>
      <c r="DE265" s="91"/>
      <c r="DF265" s="91">
        <v>100000000</v>
      </c>
      <c r="DG265" s="91"/>
      <c r="DH265" s="91"/>
      <c r="DI265" s="91"/>
      <c r="DJ265" s="91"/>
      <c r="DK265" s="91"/>
      <c r="DL265" s="91"/>
      <c r="DM265" s="91"/>
      <c r="DN265" s="92"/>
      <c r="DO265" s="93">
        <f t="shared" si="172"/>
        <v>1861255000</v>
      </c>
    </row>
    <row r="266" spans="1:119" s="225" customFormat="1" ht="63" customHeight="1" x14ac:dyDescent="0.2">
      <c r="A266" s="64">
        <v>3</v>
      </c>
      <c r="B266" s="256" t="s">
        <v>41</v>
      </c>
      <c r="C266" s="94" t="s">
        <v>910</v>
      </c>
      <c r="D266" s="59" t="s">
        <v>45</v>
      </c>
      <c r="E266" s="118">
        <v>25</v>
      </c>
      <c r="F266" s="48">
        <v>2018</v>
      </c>
      <c r="G266" s="94" t="s">
        <v>1385</v>
      </c>
      <c r="H266" s="118">
        <v>28</v>
      </c>
      <c r="I266" s="13">
        <v>32</v>
      </c>
      <c r="J266" s="13" t="s">
        <v>943</v>
      </c>
      <c r="K266" s="50">
        <v>13</v>
      </c>
      <c r="L266" s="13" t="s">
        <v>346</v>
      </c>
      <c r="M266" s="244">
        <v>21</v>
      </c>
      <c r="N266" s="247" t="s">
        <v>43</v>
      </c>
      <c r="O266" s="245" t="s">
        <v>44</v>
      </c>
      <c r="P266" s="13" t="s">
        <v>1386</v>
      </c>
      <c r="Q266" s="48">
        <v>3202033</v>
      </c>
      <c r="R266" s="48">
        <v>3202033</v>
      </c>
      <c r="S266" s="94" t="s">
        <v>46</v>
      </c>
      <c r="T266" s="13" t="s">
        <v>1387</v>
      </c>
      <c r="U266" s="48">
        <v>320203300</v>
      </c>
      <c r="V266" s="48">
        <v>320203300</v>
      </c>
      <c r="W266" s="95" t="s">
        <v>46</v>
      </c>
      <c r="X266" s="48" t="s">
        <v>9</v>
      </c>
      <c r="Y266" s="48">
        <v>1</v>
      </c>
      <c r="Z266" s="48">
        <v>0.1</v>
      </c>
      <c r="AA266" s="48">
        <v>0</v>
      </c>
      <c r="AB266" s="48">
        <v>0.3</v>
      </c>
      <c r="AC266" s="48">
        <v>0.3</v>
      </c>
      <c r="AD266" s="48">
        <v>0.3</v>
      </c>
      <c r="AE266" s="89">
        <f t="shared" si="169"/>
        <v>1000000</v>
      </c>
      <c r="AF266" s="89">
        <f t="shared" si="169"/>
        <v>1000000</v>
      </c>
      <c r="AG266" s="89">
        <f t="shared" si="169"/>
        <v>0</v>
      </c>
      <c r="AH266" s="89">
        <f t="shared" si="169"/>
        <v>0</v>
      </c>
      <c r="AI266" s="89">
        <f t="shared" si="169"/>
        <v>0</v>
      </c>
      <c r="AJ266" s="91">
        <v>1000000</v>
      </c>
      <c r="AK266" s="91">
        <v>1000000</v>
      </c>
      <c r="AL266" s="91"/>
      <c r="AM266" s="91"/>
      <c r="AN266" s="91"/>
      <c r="AO266" s="91"/>
      <c r="AP266" s="91"/>
      <c r="AQ266" s="91"/>
      <c r="AR266" s="91"/>
      <c r="AS266" s="91"/>
      <c r="AT266" s="91"/>
      <c r="AU266" s="91"/>
      <c r="AV266" s="91"/>
      <c r="AW266" s="91"/>
      <c r="AX266" s="91"/>
      <c r="AY266" s="91"/>
      <c r="AZ266" s="91"/>
      <c r="BA266" s="91"/>
      <c r="BB266" s="91"/>
      <c r="BC266" s="91"/>
      <c r="BD266" s="91"/>
      <c r="BE266" s="91"/>
      <c r="BF266" s="91"/>
      <c r="BG266" s="91"/>
      <c r="BH266" s="91"/>
      <c r="BI266" s="91"/>
      <c r="BJ266" s="91"/>
      <c r="BK266" s="91"/>
      <c r="BL266" s="91"/>
      <c r="BM266" s="91"/>
      <c r="BN266" s="91"/>
      <c r="BO266" s="91"/>
      <c r="BP266" s="91"/>
      <c r="BQ266" s="91"/>
      <c r="BR266" s="91"/>
      <c r="BS266" s="91"/>
      <c r="BT266" s="91"/>
      <c r="BU266" s="91"/>
      <c r="BV266" s="91"/>
      <c r="BW266" s="91"/>
      <c r="BX266" s="91"/>
      <c r="BY266" s="91"/>
      <c r="BZ266" s="91"/>
      <c r="CA266" s="91"/>
      <c r="CB266" s="91"/>
      <c r="CC266" s="91"/>
      <c r="CD266" s="91"/>
      <c r="CE266" s="91"/>
      <c r="CF266" s="91"/>
      <c r="CG266" s="91"/>
      <c r="CH266" s="91">
        <f t="shared" si="157"/>
        <v>3800000</v>
      </c>
      <c r="CI266" s="91">
        <v>3800000</v>
      </c>
      <c r="CJ266" s="91"/>
      <c r="CK266" s="91"/>
      <c r="CL266" s="91"/>
      <c r="CM266" s="91"/>
      <c r="CN266" s="91"/>
      <c r="CO266" s="91"/>
      <c r="CP266" s="91"/>
      <c r="CQ266" s="91"/>
      <c r="CR266" s="91"/>
      <c r="CS266" s="91">
        <f t="shared" si="170"/>
        <v>19302000</v>
      </c>
      <c r="CT266" s="91">
        <v>19302000</v>
      </c>
      <c r="CU266" s="91"/>
      <c r="CV266" s="91"/>
      <c r="CW266" s="91"/>
      <c r="CX266" s="91"/>
      <c r="CY266" s="91"/>
      <c r="CZ266" s="91"/>
      <c r="DA266" s="91"/>
      <c r="DB266" s="91"/>
      <c r="DC266" s="91"/>
      <c r="DD266" s="91">
        <f t="shared" si="171"/>
        <v>23825145.962400001</v>
      </c>
      <c r="DE266" s="91">
        <v>23825145.962400001</v>
      </c>
      <c r="DF266" s="91"/>
      <c r="DG266" s="91"/>
      <c r="DH266" s="91"/>
      <c r="DI266" s="91"/>
      <c r="DJ266" s="91"/>
      <c r="DK266" s="91"/>
      <c r="DL266" s="91"/>
      <c r="DM266" s="91"/>
      <c r="DN266" s="92"/>
      <c r="DO266" s="93">
        <f t="shared" si="172"/>
        <v>47927145.962400004</v>
      </c>
    </row>
    <row r="267" spans="1:119" s="225" customFormat="1" ht="78.75" customHeight="1" x14ac:dyDescent="0.2">
      <c r="A267" s="64">
        <v>3</v>
      </c>
      <c r="B267" s="256" t="s">
        <v>41</v>
      </c>
      <c r="C267" s="59" t="s">
        <v>1345</v>
      </c>
      <c r="D267" s="59" t="s">
        <v>45</v>
      </c>
      <c r="E267" s="151">
        <v>0.25</v>
      </c>
      <c r="F267" s="13">
        <v>2018</v>
      </c>
      <c r="G267" s="59" t="s">
        <v>1346</v>
      </c>
      <c r="H267" s="119">
        <v>0.28000000000000003</v>
      </c>
      <c r="I267" s="13">
        <v>32</v>
      </c>
      <c r="J267" s="13" t="s">
        <v>943</v>
      </c>
      <c r="K267" s="50">
        <v>10</v>
      </c>
      <c r="L267" s="13" t="s">
        <v>1347</v>
      </c>
      <c r="M267" s="244">
        <v>21</v>
      </c>
      <c r="N267" s="247" t="s">
        <v>43</v>
      </c>
      <c r="O267" s="245" t="s">
        <v>44</v>
      </c>
      <c r="P267" s="13" t="s">
        <v>1368</v>
      </c>
      <c r="Q267" s="48" t="s">
        <v>1369</v>
      </c>
      <c r="R267" s="48">
        <v>3202037</v>
      </c>
      <c r="S267" s="59" t="s">
        <v>138</v>
      </c>
      <c r="T267" s="13" t="s">
        <v>1370</v>
      </c>
      <c r="U267" s="48" t="s">
        <v>1371</v>
      </c>
      <c r="V267" s="48" t="s">
        <v>1371</v>
      </c>
      <c r="W267" s="87" t="s">
        <v>1372</v>
      </c>
      <c r="X267" s="13" t="s">
        <v>9</v>
      </c>
      <c r="Y267" s="120">
        <v>200</v>
      </c>
      <c r="Z267" s="13">
        <v>30</v>
      </c>
      <c r="AA267" s="13">
        <v>21</v>
      </c>
      <c r="AB267" s="13">
        <v>40</v>
      </c>
      <c r="AC267" s="13">
        <v>90</v>
      </c>
      <c r="AD267" s="13">
        <v>40</v>
      </c>
      <c r="AE267" s="89">
        <f t="shared" si="169"/>
        <v>128662000</v>
      </c>
      <c r="AF267" s="89">
        <f t="shared" si="169"/>
        <v>101466666</v>
      </c>
      <c r="AG267" s="89">
        <f t="shared" si="169"/>
        <v>48666666</v>
      </c>
      <c r="AH267" s="89">
        <f t="shared" si="169"/>
        <v>48666666</v>
      </c>
      <c r="AI267" s="89">
        <f t="shared" si="169"/>
        <v>0</v>
      </c>
      <c r="AJ267" s="91">
        <f>530045201-401383201</f>
        <v>128662000</v>
      </c>
      <c r="AK267" s="91">
        <v>101466666</v>
      </c>
      <c r="AL267" s="91">
        <v>48666666</v>
      </c>
      <c r="AM267" s="91">
        <v>48666666</v>
      </c>
      <c r="AN267" s="91"/>
      <c r="AO267" s="91"/>
      <c r="AP267" s="91"/>
      <c r="AQ267" s="91"/>
      <c r="AR267" s="91"/>
      <c r="AS267" s="91"/>
      <c r="AT267" s="91"/>
      <c r="AU267" s="91"/>
      <c r="AV267" s="91"/>
      <c r="AW267" s="91"/>
      <c r="AX267" s="91"/>
      <c r="AY267" s="91"/>
      <c r="AZ267" s="91"/>
      <c r="BA267" s="91"/>
      <c r="BB267" s="91"/>
      <c r="BC267" s="91"/>
      <c r="BD267" s="91"/>
      <c r="BE267" s="91"/>
      <c r="BF267" s="91"/>
      <c r="BG267" s="91"/>
      <c r="BH267" s="91"/>
      <c r="BI267" s="91"/>
      <c r="BJ267" s="91"/>
      <c r="BK267" s="91"/>
      <c r="BL267" s="91"/>
      <c r="BM267" s="91"/>
      <c r="BN267" s="91"/>
      <c r="BO267" s="91"/>
      <c r="BP267" s="91"/>
      <c r="BQ267" s="91"/>
      <c r="BR267" s="91"/>
      <c r="BS267" s="91"/>
      <c r="BT267" s="91"/>
      <c r="BU267" s="91"/>
      <c r="BV267" s="91"/>
      <c r="BW267" s="91"/>
      <c r="BX267" s="91"/>
      <c r="BY267" s="91"/>
      <c r="BZ267" s="91"/>
      <c r="CA267" s="91"/>
      <c r="CB267" s="91"/>
      <c r="CC267" s="91"/>
      <c r="CD267" s="91"/>
      <c r="CE267" s="91"/>
      <c r="CF267" s="91"/>
      <c r="CG267" s="91"/>
      <c r="CH267" s="91">
        <f t="shared" si="157"/>
        <v>80851957</v>
      </c>
      <c r="CI267" s="91"/>
      <c r="CJ267" s="91">
        <v>80851957</v>
      </c>
      <c r="CK267" s="91"/>
      <c r="CL267" s="91"/>
      <c r="CM267" s="91"/>
      <c r="CN267" s="91"/>
      <c r="CO267" s="91"/>
      <c r="CP267" s="91"/>
      <c r="CQ267" s="91"/>
      <c r="CR267" s="91"/>
      <c r="CS267" s="91">
        <f t="shared" si="170"/>
        <v>100000000</v>
      </c>
      <c r="CT267" s="91"/>
      <c r="CU267" s="91">
        <v>100000000</v>
      </c>
      <c r="CV267" s="91"/>
      <c r="CW267" s="91"/>
      <c r="CX267" s="91"/>
      <c r="CY267" s="91"/>
      <c r="CZ267" s="91"/>
      <c r="DA267" s="91"/>
      <c r="DB267" s="91"/>
      <c r="DC267" s="91"/>
      <c r="DD267" s="91">
        <f t="shared" si="171"/>
        <v>200000000</v>
      </c>
      <c r="DE267" s="91"/>
      <c r="DF267" s="91">
        <v>200000000</v>
      </c>
      <c r="DG267" s="91"/>
      <c r="DH267" s="91"/>
      <c r="DI267" s="91"/>
      <c r="DJ267" s="91"/>
      <c r="DK267" s="91"/>
      <c r="DL267" s="91"/>
      <c r="DM267" s="91"/>
      <c r="DN267" s="92"/>
      <c r="DO267" s="93">
        <f t="shared" si="172"/>
        <v>509513957</v>
      </c>
    </row>
    <row r="268" spans="1:119" s="225" customFormat="1" ht="126" customHeight="1" x14ac:dyDescent="0.2">
      <c r="A268" s="64">
        <v>3</v>
      </c>
      <c r="B268" s="256" t="s">
        <v>41</v>
      </c>
      <c r="C268" s="59" t="s">
        <v>1345</v>
      </c>
      <c r="D268" s="59" t="s">
        <v>45</v>
      </c>
      <c r="E268" s="151">
        <v>0.25</v>
      </c>
      <c r="F268" s="13">
        <v>2018</v>
      </c>
      <c r="G268" s="59" t="s">
        <v>1346</v>
      </c>
      <c r="H268" s="119">
        <v>0.28000000000000003</v>
      </c>
      <c r="I268" s="13">
        <v>32</v>
      </c>
      <c r="J268" s="13" t="s">
        <v>943</v>
      </c>
      <c r="K268" s="50">
        <v>10</v>
      </c>
      <c r="L268" s="13" t="s">
        <v>1347</v>
      </c>
      <c r="M268" s="244">
        <v>21</v>
      </c>
      <c r="N268" s="247" t="s">
        <v>43</v>
      </c>
      <c r="O268" s="245" t="s">
        <v>44</v>
      </c>
      <c r="P268" s="13" t="s">
        <v>1373</v>
      </c>
      <c r="Q268" s="13" t="s">
        <v>77</v>
      </c>
      <c r="R268" s="13">
        <v>3202014</v>
      </c>
      <c r="S268" s="59" t="s">
        <v>1374</v>
      </c>
      <c r="T268" s="13" t="s">
        <v>1375</v>
      </c>
      <c r="U268" s="13" t="s">
        <v>77</v>
      </c>
      <c r="V268" s="13">
        <v>320201402</v>
      </c>
      <c r="W268" s="87" t="s">
        <v>1376</v>
      </c>
      <c r="X268" s="13" t="s">
        <v>8</v>
      </c>
      <c r="Y268" s="120">
        <v>1</v>
      </c>
      <c r="Z268" s="120">
        <v>1</v>
      </c>
      <c r="AA268" s="120">
        <v>1</v>
      </c>
      <c r="AB268" s="120">
        <v>1</v>
      </c>
      <c r="AC268" s="120">
        <v>1</v>
      </c>
      <c r="AD268" s="120">
        <v>1</v>
      </c>
      <c r="AE268" s="89">
        <f t="shared" si="169"/>
        <v>30000000</v>
      </c>
      <c r="AF268" s="89">
        <f t="shared" si="169"/>
        <v>30000000</v>
      </c>
      <c r="AG268" s="89">
        <f t="shared" si="169"/>
        <v>18914999</v>
      </c>
      <c r="AH268" s="89">
        <f t="shared" si="169"/>
        <v>18914999</v>
      </c>
      <c r="AI268" s="89">
        <f t="shared" si="169"/>
        <v>0</v>
      </c>
      <c r="AJ268" s="91">
        <v>30000000</v>
      </c>
      <c r="AK268" s="91">
        <v>30000000</v>
      </c>
      <c r="AL268" s="91">
        <v>18914999</v>
      </c>
      <c r="AM268" s="91">
        <v>18914999</v>
      </c>
      <c r="AN268" s="91"/>
      <c r="AO268" s="91"/>
      <c r="AP268" s="91"/>
      <c r="AQ268" s="91"/>
      <c r="AR268" s="91"/>
      <c r="AS268" s="91"/>
      <c r="AT268" s="91"/>
      <c r="AU268" s="91"/>
      <c r="AV268" s="91"/>
      <c r="AW268" s="91"/>
      <c r="AX268" s="91"/>
      <c r="AY268" s="91"/>
      <c r="AZ268" s="91"/>
      <c r="BA268" s="91"/>
      <c r="BB268" s="91"/>
      <c r="BC268" s="91"/>
      <c r="BD268" s="91"/>
      <c r="BE268" s="91"/>
      <c r="BF268" s="91"/>
      <c r="BG268" s="91"/>
      <c r="BH268" s="91"/>
      <c r="BI268" s="91"/>
      <c r="BJ268" s="91"/>
      <c r="BK268" s="91"/>
      <c r="BL268" s="91"/>
      <c r="BM268" s="91"/>
      <c r="BN268" s="91"/>
      <c r="BO268" s="91"/>
      <c r="BP268" s="91"/>
      <c r="BQ268" s="91"/>
      <c r="BR268" s="91"/>
      <c r="BS268" s="91"/>
      <c r="BT268" s="91"/>
      <c r="BU268" s="91"/>
      <c r="BV268" s="91"/>
      <c r="BW268" s="91"/>
      <c r="BX268" s="91"/>
      <c r="BY268" s="91"/>
      <c r="BZ268" s="91"/>
      <c r="CA268" s="91"/>
      <c r="CB268" s="91"/>
      <c r="CC268" s="91"/>
      <c r="CD268" s="91"/>
      <c r="CE268" s="91"/>
      <c r="CF268" s="91"/>
      <c r="CG268" s="91"/>
      <c r="CH268" s="91">
        <f t="shared" si="157"/>
        <v>47522000</v>
      </c>
      <c r="CI268" s="91">
        <v>47522000</v>
      </c>
      <c r="CJ268" s="91"/>
      <c r="CK268" s="91"/>
      <c r="CL268" s="91"/>
      <c r="CM268" s="91"/>
      <c r="CN268" s="91"/>
      <c r="CO268" s="91"/>
      <c r="CP268" s="91"/>
      <c r="CQ268" s="91"/>
      <c r="CR268" s="91"/>
      <c r="CS268" s="91">
        <f t="shared" si="170"/>
        <v>46359040</v>
      </c>
      <c r="CT268" s="91">
        <v>46359040</v>
      </c>
      <c r="CU268" s="91"/>
      <c r="CV268" s="91"/>
      <c r="CW268" s="91"/>
      <c r="CX268" s="91"/>
      <c r="CY268" s="91"/>
      <c r="CZ268" s="91"/>
      <c r="DA268" s="91"/>
      <c r="DB268" s="91"/>
      <c r="DC268" s="91"/>
      <c r="DD268" s="91">
        <f t="shared" si="171"/>
        <v>120606325.43000001</v>
      </c>
      <c r="DE268" s="91">
        <v>120606325.43000001</v>
      </c>
      <c r="DF268" s="91"/>
      <c r="DG268" s="91"/>
      <c r="DH268" s="91"/>
      <c r="DI268" s="91"/>
      <c r="DJ268" s="91"/>
      <c r="DK268" s="91"/>
      <c r="DL268" s="91"/>
      <c r="DM268" s="91"/>
      <c r="DN268" s="92"/>
      <c r="DO268" s="93">
        <f t="shared" si="172"/>
        <v>244487365.43000001</v>
      </c>
    </row>
    <row r="269" spans="1:119" s="225" customFormat="1" ht="126" customHeight="1" x14ac:dyDescent="0.2">
      <c r="A269" s="64">
        <v>3</v>
      </c>
      <c r="B269" s="256" t="s">
        <v>41</v>
      </c>
      <c r="C269" s="59" t="s">
        <v>1345</v>
      </c>
      <c r="D269" s="59" t="s">
        <v>45</v>
      </c>
      <c r="E269" s="151">
        <v>0.25</v>
      </c>
      <c r="F269" s="13">
        <v>2018</v>
      </c>
      <c r="G269" s="59" t="s">
        <v>1346</v>
      </c>
      <c r="H269" s="119">
        <v>0.28000000000000003</v>
      </c>
      <c r="I269" s="13">
        <v>32</v>
      </c>
      <c r="J269" s="13" t="s">
        <v>943</v>
      </c>
      <c r="K269" s="50">
        <v>10</v>
      </c>
      <c r="L269" s="13" t="s">
        <v>1347</v>
      </c>
      <c r="M269" s="244">
        <v>21</v>
      </c>
      <c r="N269" s="247" t="s">
        <v>43</v>
      </c>
      <c r="O269" s="245" t="s">
        <v>44</v>
      </c>
      <c r="P269" s="13" t="s">
        <v>1377</v>
      </c>
      <c r="Q269" s="13" t="s">
        <v>77</v>
      </c>
      <c r="R269" s="13">
        <v>3202014</v>
      </c>
      <c r="S269" s="59" t="s">
        <v>1378</v>
      </c>
      <c r="T269" s="13" t="s">
        <v>1379</v>
      </c>
      <c r="U269" s="13" t="s">
        <v>77</v>
      </c>
      <c r="V269" s="13">
        <v>320201402</v>
      </c>
      <c r="W269" s="87" t="s">
        <v>1380</v>
      </c>
      <c r="X269" s="13" t="s">
        <v>9</v>
      </c>
      <c r="Y269" s="120">
        <v>4</v>
      </c>
      <c r="Z269" s="120">
        <v>1</v>
      </c>
      <c r="AA269" s="120">
        <v>1</v>
      </c>
      <c r="AB269" s="120">
        <v>1</v>
      </c>
      <c r="AC269" s="120">
        <v>1</v>
      </c>
      <c r="AD269" s="120">
        <v>1</v>
      </c>
      <c r="AE269" s="89">
        <f t="shared" si="169"/>
        <v>40000000</v>
      </c>
      <c r="AF269" s="89">
        <f t="shared" si="169"/>
        <v>40000000</v>
      </c>
      <c r="AG269" s="89">
        <f t="shared" si="169"/>
        <v>21204000</v>
      </c>
      <c r="AH269" s="89">
        <f t="shared" si="169"/>
        <v>21204000</v>
      </c>
      <c r="AI269" s="89">
        <f t="shared" si="169"/>
        <v>0</v>
      </c>
      <c r="AJ269" s="91">
        <v>40000000</v>
      </c>
      <c r="AK269" s="91">
        <v>40000000</v>
      </c>
      <c r="AL269" s="91">
        <v>21204000</v>
      </c>
      <c r="AM269" s="91">
        <v>21204000</v>
      </c>
      <c r="AN269" s="91"/>
      <c r="AO269" s="91"/>
      <c r="AP269" s="91"/>
      <c r="AQ269" s="91"/>
      <c r="AR269" s="91"/>
      <c r="AS269" s="91"/>
      <c r="AT269" s="91"/>
      <c r="AU269" s="91"/>
      <c r="AV269" s="91"/>
      <c r="AW269" s="91"/>
      <c r="AX269" s="91"/>
      <c r="AY269" s="91"/>
      <c r="AZ269" s="91"/>
      <c r="BA269" s="91"/>
      <c r="BB269" s="91"/>
      <c r="BC269" s="91"/>
      <c r="BD269" s="91"/>
      <c r="BE269" s="91"/>
      <c r="BF269" s="91"/>
      <c r="BG269" s="91"/>
      <c r="BH269" s="91"/>
      <c r="BI269" s="91"/>
      <c r="BJ269" s="91"/>
      <c r="BK269" s="91"/>
      <c r="BL269" s="91"/>
      <c r="BM269" s="91"/>
      <c r="BN269" s="91"/>
      <c r="BO269" s="91"/>
      <c r="BP269" s="91"/>
      <c r="BQ269" s="91"/>
      <c r="BR269" s="91"/>
      <c r="BS269" s="91"/>
      <c r="BT269" s="91"/>
      <c r="BU269" s="91"/>
      <c r="BV269" s="91"/>
      <c r="BW269" s="91"/>
      <c r="BX269" s="91"/>
      <c r="BY269" s="91"/>
      <c r="BZ269" s="91"/>
      <c r="CA269" s="91"/>
      <c r="CB269" s="91"/>
      <c r="CC269" s="91"/>
      <c r="CD269" s="91"/>
      <c r="CE269" s="91"/>
      <c r="CF269" s="91"/>
      <c r="CG269" s="91"/>
      <c r="CH269" s="91">
        <f t="shared" si="157"/>
        <v>54637777.789999999</v>
      </c>
      <c r="CI269" s="91">
        <v>54637777.789999999</v>
      </c>
      <c r="CJ269" s="91"/>
      <c r="CK269" s="91"/>
      <c r="CL269" s="91"/>
      <c r="CM269" s="91"/>
      <c r="CN269" s="91"/>
      <c r="CO269" s="91"/>
      <c r="CP269" s="91"/>
      <c r="CQ269" s="91"/>
      <c r="CR269" s="91"/>
      <c r="CS269" s="91">
        <f t="shared" si="170"/>
        <v>47304000</v>
      </c>
      <c r="CT269" s="91">
        <v>47304000</v>
      </c>
      <c r="CU269" s="91"/>
      <c r="CV269" s="91"/>
      <c r="CW269" s="91"/>
      <c r="CX269" s="91"/>
      <c r="CY269" s="91"/>
      <c r="CZ269" s="91"/>
      <c r="DA269" s="91"/>
      <c r="DB269" s="91"/>
      <c r="DC269" s="91"/>
      <c r="DD269" s="91">
        <f t="shared" si="171"/>
        <v>130000000</v>
      </c>
      <c r="DE269" s="91">
        <v>130000000</v>
      </c>
      <c r="DF269" s="91"/>
      <c r="DG269" s="91"/>
      <c r="DH269" s="91"/>
      <c r="DI269" s="91"/>
      <c r="DJ269" s="91"/>
      <c r="DK269" s="91"/>
      <c r="DL269" s="91"/>
      <c r="DM269" s="91"/>
      <c r="DN269" s="92"/>
      <c r="DO269" s="93">
        <f t="shared" si="172"/>
        <v>271941777.78999996</v>
      </c>
    </row>
    <row r="270" spans="1:119" s="225" customFormat="1" ht="126" customHeight="1" x14ac:dyDescent="0.2">
      <c r="A270" s="64">
        <v>3</v>
      </c>
      <c r="B270" s="256" t="s">
        <v>41</v>
      </c>
      <c r="C270" s="59" t="s">
        <v>1345</v>
      </c>
      <c r="D270" s="59" t="s">
        <v>45</v>
      </c>
      <c r="E270" s="151">
        <v>0.25</v>
      </c>
      <c r="F270" s="13">
        <v>2018</v>
      </c>
      <c r="G270" s="59" t="s">
        <v>1346</v>
      </c>
      <c r="H270" s="119">
        <v>0.28000000000000003</v>
      </c>
      <c r="I270" s="13">
        <v>32</v>
      </c>
      <c r="J270" s="13" t="s">
        <v>943</v>
      </c>
      <c r="K270" s="50">
        <v>10</v>
      </c>
      <c r="L270" s="13" t="s">
        <v>1347</v>
      </c>
      <c r="M270" s="244">
        <v>21</v>
      </c>
      <c r="N270" s="247" t="s">
        <v>43</v>
      </c>
      <c r="O270" s="245" t="s">
        <v>44</v>
      </c>
      <c r="P270" s="13" t="s">
        <v>1381</v>
      </c>
      <c r="Q270" s="13" t="s">
        <v>77</v>
      </c>
      <c r="R270" s="13">
        <v>3202037</v>
      </c>
      <c r="S270" s="59" t="s">
        <v>1382</v>
      </c>
      <c r="T270" s="13" t="s">
        <v>1383</v>
      </c>
      <c r="U270" s="13" t="s">
        <v>77</v>
      </c>
      <c r="V270" s="13">
        <v>320203700</v>
      </c>
      <c r="W270" s="87" t="s">
        <v>1384</v>
      </c>
      <c r="X270" s="13" t="s">
        <v>9</v>
      </c>
      <c r="Y270" s="120">
        <v>200</v>
      </c>
      <c r="Z270" s="13">
        <v>20</v>
      </c>
      <c r="AA270" s="13">
        <v>20</v>
      </c>
      <c r="AB270" s="13">
        <v>60</v>
      </c>
      <c r="AC270" s="13">
        <v>60</v>
      </c>
      <c r="AD270" s="13">
        <v>60</v>
      </c>
      <c r="AE270" s="89">
        <f t="shared" si="169"/>
        <v>1114208927.25</v>
      </c>
      <c r="AF270" s="89">
        <f t="shared" si="169"/>
        <v>348583201</v>
      </c>
      <c r="AG270" s="89">
        <f t="shared" si="169"/>
        <v>110999998</v>
      </c>
      <c r="AH270" s="89">
        <f t="shared" si="169"/>
        <v>101199998</v>
      </c>
      <c r="AI270" s="89">
        <f t="shared" si="169"/>
        <v>500844480</v>
      </c>
      <c r="AJ270" s="91"/>
      <c r="AK270" s="91">
        <v>348583201</v>
      </c>
      <c r="AL270" s="91">
        <v>110999998</v>
      </c>
      <c r="AM270" s="91">
        <v>101199998</v>
      </c>
      <c r="AN270" s="91">
        <v>500844480</v>
      </c>
      <c r="AO270" s="91">
        <f>712825726.25+401383201</f>
        <v>1114208927.25</v>
      </c>
      <c r="AP270" s="91"/>
      <c r="AQ270" s="91"/>
      <c r="AR270" s="91"/>
      <c r="AS270" s="91"/>
      <c r="AT270" s="91"/>
      <c r="AU270" s="91"/>
      <c r="AV270" s="91"/>
      <c r="AW270" s="91"/>
      <c r="AX270" s="91"/>
      <c r="AY270" s="91"/>
      <c r="AZ270" s="91"/>
      <c r="BA270" s="91"/>
      <c r="BB270" s="91"/>
      <c r="BC270" s="91"/>
      <c r="BD270" s="91"/>
      <c r="BE270" s="91"/>
      <c r="BF270" s="91"/>
      <c r="BG270" s="91"/>
      <c r="BH270" s="91"/>
      <c r="BI270" s="91"/>
      <c r="BJ270" s="91"/>
      <c r="BK270" s="91"/>
      <c r="BL270" s="91"/>
      <c r="BM270" s="91"/>
      <c r="BN270" s="91"/>
      <c r="BO270" s="91"/>
      <c r="BP270" s="91"/>
      <c r="BQ270" s="91"/>
      <c r="BR270" s="91"/>
      <c r="BS270" s="91"/>
      <c r="BT270" s="91"/>
      <c r="BU270" s="91"/>
      <c r="BV270" s="91"/>
      <c r="BW270" s="91"/>
      <c r="BX270" s="91"/>
      <c r="BY270" s="91"/>
      <c r="BZ270" s="91"/>
      <c r="CA270" s="91"/>
      <c r="CB270" s="91"/>
      <c r="CC270" s="91"/>
      <c r="CD270" s="91"/>
      <c r="CE270" s="91"/>
      <c r="CF270" s="91"/>
      <c r="CG270" s="91"/>
      <c r="CH270" s="91">
        <f t="shared" si="157"/>
        <v>300000000</v>
      </c>
      <c r="CI270" s="91"/>
      <c r="CJ270" s="91">
        <v>300000000</v>
      </c>
      <c r="CK270" s="91"/>
      <c r="CL270" s="91"/>
      <c r="CM270" s="91"/>
      <c r="CN270" s="91"/>
      <c r="CO270" s="91"/>
      <c r="CP270" s="91"/>
      <c r="CQ270" s="91"/>
      <c r="CR270" s="91"/>
      <c r="CS270" s="91">
        <f t="shared" si="170"/>
        <v>406869089</v>
      </c>
      <c r="CT270" s="91"/>
      <c r="CU270" s="91">
        <v>406869089</v>
      </c>
      <c r="CV270" s="91"/>
      <c r="CW270" s="91"/>
      <c r="CX270" s="91"/>
      <c r="CY270" s="91"/>
      <c r="CZ270" s="91"/>
      <c r="DA270" s="91"/>
      <c r="DB270" s="91"/>
      <c r="DC270" s="91"/>
      <c r="DD270" s="91">
        <f t="shared" si="171"/>
        <v>498634483</v>
      </c>
      <c r="DE270" s="91"/>
      <c r="DF270" s="91">
        <v>498634483</v>
      </c>
      <c r="DG270" s="91"/>
      <c r="DH270" s="91"/>
      <c r="DI270" s="91"/>
      <c r="DJ270" s="91"/>
      <c r="DK270" s="91"/>
      <c r="DL270" s="91"/>
      <c r="DM270" s="91"/>
      <c r="DN270" s="92"/>
      <c r="DO270" s="93">
        <f t="shared" si="172"/>
        <v>2319712499.25</v>
      </c>
    </row>
    <row r="271" spans="1:119" ht="28.5" customHeight="1" x14ac:dyDescent="0.2">
      <c r="A271" s="64"/>
      <c r="B271" s="255"/>
      <c r="C271" s="74"/>
      <c r="D271" s="74"/>
      <c r="E271" s="77"/>
      <c r="F271" s="74"/>
      <c r="G271" s="74"/>
      <c r="H271" s="77"/>
      <c r="I271" s="74"/>
      <c r="J271" s="74"/>
      <c r="K271" s="74"/>
      <c r="L271" s="74"/>
      <c r="M271" s="147">
        <v>22</v>
      </c>
      <c r="N271" s="96" t="s">
        <v>139</v>
      </c>
      <c r="O271" s="97" t="s">
        <v>140</v>
      </c>
      <c r="P271" s="96"/>
      <c r="Q271" s="98"/>
      <c r="R271" s="98"/>
      <c r="S271" s="98"/>
      <c r="T271" s="98"/>
      <c r="U271" s="98"/>
      <c r="V271" s="98"/>
      <c r="W271" s="83"/>
      <c r="X271" s="83"/>
      <c r="Y271" s="84"/>
      <c r="Z271" s="84"/>
      <c r="AA271" s="84"/>
      <c r="AB271" s="84"/>
      <c r="AC271" s="84"/>
      <c r="AD271" s="81"/>
      <c r="AE271" s="85">
        <f>SUM(AE272:AE273)</f>
        <v>1540232727</v>
      </c>
      <c r="AF271" s="85">
        <f>SUM(AF272:AF273)</f>
        <v>1082857957</v>
      </c>
      <c r="AG271" s="85">
        <f t="shared" ref="AG271:DO271" si="173">SUM(AG272:AG273)</f>
        <v>1055672250</v>
      </c>
      <c r="AH271" s="85">
        <f t="shared" si="173"/>
        <v>697934207</v>
      </c>
      <c r="AI271" s="85">
        <f t="shared" si="173"/>
        <v>0</v>
      </c>
      <c r="AJ271" s="85">
        <f t="shared" si="173"/>
        <v>26000000</v>
      </c>
      <c r="AK271" s="85">
        <f>SUM(AK272:AK273)</f>
        <v>26000000</v>
      </c>
      <c r="AL271" s="85">
        <f t="shared" si="173"/>
        <v>14933333</v>
      </c>
      <c r="AM271" s="85">
        <f t="shared" si="173"/>
        <v>14933333</v>
      </c>
      <c r="AN271" s="85">
        <f t="shared" si="173"/>
        <v>0</v>
      </c>
      <c r="AO271" s="85">
        <f t="shared" si="173"/>
        <v>0</v>
      </c>
      <c r="AP271" s="85">
        <f t="shared" si="173"/>
        <v>0</v>
      </c>
      <c r="AQ271" s="85">
        <f t="shared" si="173"/>
        <v>0</v>
      </c>
      <c r="AR271" s="85">
        <f t="shared" si="173"/>
        <v>0</v>
      </c>
      <c r="AS271" s="85">
        <f t="shared" si="173"/>
        <v>0</v>
      </c>
      <c r="AT271" s="85">
        <f t="shared" si="173"/>
        <v>0</v>
      </c>
      <c r="AU271" s="85">
        <f>SUM(AU272:AU273)</f>
        <v>0</v>
      </c>
      <c r="AV271" s="85">
        <f t="shared" si="173"/>
        <v>0</v>
      </c>
      <c r="AW271" s="85">
        <f t="shared" si="173"/>
        <v>0</v>
      </c>
      <c r="AX271" s="85">
        <f t="shared" si="173"/>
        <v>0</v>
      </c>
      <c r="AY271" s="85">
        <f t="shared" si="173"/>
        <v>0</v>
      </c>
      <c r="AZ271" s="85">
        <f t="shared" si="173"/>
        <v>0</v>
      </c>
      <c r="BA271" s="85">
        <f t="shared" si="173"/>
        <v>0</v>
      </c>
      <c r="BB271" s="85">
        <f t="shared" si="173"/>
        <v>0</v>
      </c>
      <c r="BC271" s="85">
        <f t="shared" si="173"/>
        <v>0</v>
      </c>
      <c r="BD271" s="85">
        <f t="shared" si="173"/>
        <v>0</v>
      </c>
      <c r="BE271" s="85">
        <f>SUM(BE272:BE273)</f>
        <v>0</v>
      </c>
      <c r="BF271" s="85">
        <f t="shared" si="173"/>
        <v>0</v>
      </c>
      <c r="BG271" s="85">
        <f t="shared" si="173"/>
        <v>0</v>
      </c>
      <c r="BH271" s="85">
        <f t="shared" si="173"/>
        <v>0</v>
      </c>
      <c r="BI271" s="85">
        <f t="shared" si="173"/>
        <v>0</v>
      </c>
      <c r="BJ271" s="85">
        <f t="shared" si="173"/>
        <v>0</v>
      </c>
      <c r="BK271" s="85">
        <f t="shared" si="173"/>
        <v>0</v>
      </c>
      <c r="BL271" s="85">
        <f t="shared" si="173"/>
        <v>0</v>
      </c>
      <c r="BM271" s="85">
        <f t="shared" si="173"/>
        <v>0</v>
      </c>
      <c r="BN271" s="85">
        <f t="shared" si="173"/>
        <v>1514232727</v>
      </c>
      <c r="BO271" s="85">
        <f>SUM(BO272:BO273)</f>
        <v>1056857957</v>
      </c>
      <c r="BP271" s="85">
        <f t="shared" si="173"/>
        <v>1040738917</v>
      </c>
      <c r="BQ271" s="85">
        <f t="shared" si="173"/>
        <v>683000874</v>
      </c>
      <c r="BR271" s="85">
        <f t="shared" si="173"/>
        <v>0</v>
      </c>
      <c r="BS271" s="85">
        <f t="shared" si="173"/>
        <v>0</v>
      </c>
      <c r="BT271" s="85">
        <f t="shared" si="173"/>
        <v>0</v>
      </c>
      <c r="BU271" s="85">
        <f t="shared" si="173"/>
        <v>0</v>
      </c>
      <c r="BV271" s="85">
        <f t="shared" si="173"/>
        <v>0</v>
      </c>
      <c r="BW271" s="85">
        <f t="shared" si="173"/>
        <v>0</v>
      </c>
      <c r="BX271" s="85">
        <f t="shared" si="173"/>
        <v>0</v>
      </c>
      <c r="BY271" s="85">
        <f>SUM(BY272:BY273)</f>
        <v>0</v>
      </c>
      <c r="BZ271" s="85">
        <f t="shared" si="173"/>
        <v>0</v>
      </c>
      <c r="CA271" s="85">
        <f t="shared" si="173"/>
        <v>0</v>
      </c>
      <c r="CB271" s="85">
        <f t="shared" si="173"/>
        <v>0</v>
      </c>
      <c r="CC271" s="85">
        <f t="shared" si="173"/>
        <v>0</v>
      </c>
      <c r="CD271" s="85">
        <f t="shared" si="173"/>
        <v>0</v>
      </c>
      <c r="CE271" s="85">
        <f t="shared" si="173"/>
        <v>0</v>
      </c>
      <c r="CF271" s="85">
        <f t="shared" si="173"/>
        <v>0</v>
      </c>
      <c r="CG271" s="85">
        <f t="shared" si="173"/>
        <v>0</v>
      </c>
      <c r="CH271" s="85">
        <f t="shared" si="173"/>
        <v>132298900</v>
      </c>
      <c r="CI271" s="85">
        <f t="shared" si="173"/>
        <v>132298900</v>
      </c>
      <c r="CJ271" s="85">
        <f t="shared" si="173"/>
        <v>0</v>
      </c>
      <c r="CK271" s="85">
        <f t="shared" si="173"/>
        <v>0</v>
      </c>
      <c r="CL271" s="85">
        <f t="shared" si="173"/>
        <v>0</v>
      </c>
      <c r="CM271" s="85">
        <f t="shared" si="173"/>
        <v>0</v>
      </c>
      <c r="CN271" s="85">
        <f t="shared" si="173"/>
        <v>0</v>
      </c>
      <c r="CO271" s="85">
        <f t="shared" si="173"/>
        <v>0</v>
      </c>
      <c r="CP271" s="85">
        <f t="shared" si="173"/>
        <v>0</v>
      </c>
      <c r="CQ271" s="85">
        <f t="shared" si="173"/>
        <v>0</v>
      </c>
      <c r="CR271" s="85">
        <f t="shared" si="173"/>
        <v>0</v>
      </c>
      <c r="CS271" s="85">
        <f t="shared" si="173"/>
        <v>225580543.80000001</v>
      </c>
      <c r="CT271" s="85">
        <f t="shared" si="173"/>
        <v>225580543.80000001</v>
      </c>
      <c r="CU271" s="85">
        <f t="shared" si="173"/>
        <v>0</v>
      </c>
      <c r="CV271" s="85">
        <f t="shared" si="173"/>
        <v>0</v>
      </c>
      <c r="CW271" s="85">
        <f t="shared" si="173"/>
        <v>0</v>
      </c>
      <c r="CX271" s="85">
        <f t="shared" si="173"/>
        <v>0</v>
      </c>
      <c r="CY271" s="85">
        <f t="shared" si="173"/>
        <v>0</v>
      </c>
      <c r="CZ271" s="85">
        <f t="shared" si="173"/>
        <v>0</v>
      </c>
      <c r="DA271" s="85">
        <f t="shared" si="173"/>
        <v>0</v>
      </c>
      <c r="DB271" s="85">
        <f t="shared" si="173"/>
        <v>0</v>
      </c>
      <c r="DC271" s="85">
        <f t="shared" si="173"/>
        <v>0</v>
      </c>
      <c r="DD271" s="85">
        <f t="shared" si="173"/>
        <v>324827195.39999998</v>
      </c>
      <c r="DE271" s="85">
        <f t="shared" si="173"/>
        <v>324827195.39999998</v>
      </c>
      <c r="DF271" s="85">
        <f t="shared" si="173"/>
        <v>0</v>
      </c>
      <c r="DG271" s="85">
        <f t="shared" si="173"/>
        <v>0</v>
      </c>
      <c r="DH271" s="85">
        <f t="shared" si="173"/>
        <v>0</v>
      </c>
      <c r="DI271" s="85">
        <f t="shared" si="173"/>
        <v>0</v>
      </c>
      <c r="DJ271" s="85">
        <f t="shared" si="173"/>
        <v>0</v>
      </c>
      <c r="DK271" s="85">
        <f t="shared" si="173"/>
        <v>0</v>
      </c>
      <c r="DL271" s="85">
        <f t="shared" si="173"/>
        <v>0</v>
      </c>
      <c r="DM271" s="85">
        <f t="shared" si="173"/>
        <v>0</v>
      </c>
      <c r="DN271" s="86">
        <f t="shared" si="173"/>
        <v>0</v>
      </c>
      <c r="DO271" s="85">
        <f t="shared" si="173"/>
        <v>2222939366.1999998</v>
      </c>
    </row>
    <row r="272" spans="1:119" s="225" customFormat="1" ht="78.75" customHeight="1" x14ac:dyDescent="0.2">
      <c r="A272" s="64">
        <v>3</v>
      </c>
      <c r="B272" s="256" t="s">
        <v>41</v>
      </c>
      <c r="C272" s="59" t="s">
        <v>1345</v>
      </c>
      <c r="D272" s="59" t="s">
        <v>45</v>
      </c>
      <c r="E272" s="167">
        <v>0.25</v>
      </c>
      <c r="F272" s="13">
        <v>2018</v>
      </c>
      <c r="G272" s="59" t="s">
        <v>1346</v>
      </c>
      <c r="H272" s="119">
        <v>0.28000000000000003</v>
      </c>
      <c r="I272" s="13">
        <v>32</v>
      </c>
      <c r="J272" s="13" t="s">
        <v>943</v>
      </c>
      <c r="K272" s="50">
        <v>10</v>
      </c>
      <c r="L272" s="13" t="s">
        <v>1347</v>
      </c>
      <c r="M272" s="244">
        <v>22</v>
      </c>
      <c r="N272" s="247" t="s">
        <v>139</v>
      </c>
      <c r="O272" s="245" t="s">
        <v>140</v>
      </c>
      <c r="P272" s="13" t="s">
        <v>1388</v>
      </c>
      <c r="Q272" s="48" t="s">
        <v>1389</v>
      </c>
      <c r="R272" s="48" t="s">
        <v>1389</v>
      </c>
      <c r="S272" s="59" t="s">
        <v>141</v>
      </c>
      <c r="T272" s="13" t="s">
        <v>1390</v>
      </c>
      <c r="U272" s="48" t="s">
        <v>1391</v>
      </c>
      <c r="V272" s="48" t="s">
        <v>1391</v>
      </c>
      <c r="W272" s="87" t="s">
        <v>1392</v>
      </c>
      <c r="X272" s="13" t="s">
        <v>9</v>
      </c>
      <c r="Y272" s="120">
        <v>12</v>
      </c>
      <c r="Z272" s="13">
        <v>1</v>
      </c>
      <c r="AA272" s="13">
        <v>1</v>
      </c>
      <c r="AB272" s="13">
        <v>2</v>
      </c>
      <c r="AC272" s="13">
        <v>4</v>
      </c>
      <c r="AD272" s="13">
        <v>5</v>
      </c>
      <c r="AE272" s="89">
        <f t="shared" ref="AE272:AI273" si="174">AJ272+AO272+AT272+AY272+BD272+BI272+BN272+BS272+BX272+CC272</f>
        <v>533894765</v>
      </c>
      <c r="AF272" s="89">
        <f t="shared" si="174"/>
        <v>76519995</v>
      </c>
      <c r="AG272" s="89">
        <f t="shared" si="174"/>
        <v>58134288</v>
      </c>
      <c r="AH272" s="89">
        <f t="shared" si="174"/>
        <v>43553333</v>
      </c>
      <c r="AI272" s="89">
        <f t="shared" si="174"/>
        <v>0</v>
      </c>
      <c r="AJ272" s="91">
        <v>26000000</v>
      </c>
      <c r="AK272" s="91">
        <v>26000000</v>
      </c>
      <c r="AL272" s="91">
        <v>14933333</v>
      </c>
      <c r="AM272" s="91">
        <v>14933333</v>
      </c>
      <c r="AN272" s="91"/>
      <c r="AO272" s="91"/>
      <c r="AP272" s="91"/>
      <c r="AQ272" s="91"/>
      <c r="AR272" s="91"/>
      <c r="AS272" s="91"/>
      <c r="AT272" s="91"/>
      <c r="AU272" s="91"/>
      <c r="AV272" s="91"/>
      <c r="AW272" s="91"/>
      <c r="AX272" s="91"/>
      <c r="AY272" s="91"/>
      <c r="AZ272" s="91"/>
      <c r="BA272" s="91"/>
      <c r="BB272" s="91"/>
      <c r="BC272" s="91"/>
      <c r="BD272" s="91"/>
      <c r="BE272" s="91"/>
      <c r="BF272" s="91"/>
      <c r="BG272" s="91"/>
      <c r="BH272" s="91"/>
      <c r="BI272" s="91"/>
      <c r="BJ272" s="91"/>
      <c r="BK272" s="91"/>
      <c r="BL272" s="91"/>
      <c r="BM272" s="91"/>
      <c r="BN272" s="91">
        <v>507894765</v>
      </c>
      <c r="BO272" s="91">
        <v>50519995</v>
      </c>
      <c r="BP272" s="91">
        <v>43200955</v>
      </c>
      <c r="BQ272" s="91">
        <v>28620000</v>
      </c>
      <c r="BR272" s="91"/>
      <c r="BS272" s="91"/>
      <c r="BT272" s="91"/>
      <c r="BU272" s="91"/>
      <c r="BV272" s="91"/>
      <c r="BW272" s="91"/>
      <c r="BX272" s="91"/>
      <c r="BY272" s="91"/>
      <c r="BZ272" s="91"/>
      <c r="CA272" s="91"/>
      <c r="CB272" s="91"/>
      <c r="CC272" s="91"/>
      <c r="CD272" s="91"/>
      <c r="CE272" s="91"/>
      <c r="CF272" s="91"/>
      <c r="CG272" s="91"/>
      <c r="CH272" s="91">
        <f t="shared" si="157"/>
        <v>115298900</v>
      </c>
      <c r="CI272" s="91">
        <v>115298900</v>
      </c>
      <c r="CJ272" s="91"/>
      <c r="CK272" s="91"/>
      <c r="CL272" s="91"/>
      <c r="CM272" s="91"/>
      <c r="CN272" s="91"/>
      <c r="CO272" s="91"/>
      <c r="CP272" s="91"/>
      <c r="CQ272" s="91"/>
      <c r="CR272" s="91"/>
      <c r="CS272" s="91">
        <f>CT272+CU272+CV272+CW272+CX272+CY272+CZ272+DA272+DB272+DC272</f>
        <v>145580543.80000001</v>
      </c>
      <c r="CT272" s="91">
        <v>145580543.80000001</v>
      </c>
      <c r="CU272" s="91"/>
      <c r="CV272" s="91"/>
      <c r="CW272" s="91"/>
      <c r="CX272" s="91"/>
      <c r="CY272" s="91"/>
      <c r="CZ272" s="91"/>
      <c r="DA272" s="91"/>
      <c r="DB272" s="91"/>
      <c r="DC272" s="91"/>
      <c r="DD272" s="91">
        <f>DE272+DF272+DG272+DH272+DI272+DJ272+DK272+DL272+DM272+DN272</f>
        <v>153738000</v>
      </c>
      <c r="DE272" s="91">
        <v>153738000</v>
      </c>
      <c r="DF272" s="91"/>
      <c r="DG272" s="91"/>
      <c r="DH272" s="91"/>
      <c r="DI272" s="91"/>
      <c r="DJ272" s="91"/>
      <c r="DK272" s="91"/>
      <c r="DL272" s="91"/>
      <c r="DM272" s="91"/>
      <c r="DN272" s="92"/>
      <c r="DO272" s="93">
        <f>AE272+CH272+CS272+DD272</f>
        <v>948512208.79999995</v>
      </c>
    </row>
    <row r="273" spans="1:119" s="225" customFormat="1" ht="78.75" customHeight="1" x14ac:dyDescent="0.2">
      <c r="A273" s="64">
        <v>3</v>
      </c>
      <c r="B273" s="256" t="s">
        <v>41</v>
      </c>
      <c r="C273" s="59" t="s">
        <v>1345</v>
      </c>
      <c r="D273" s="59" t="s">
        <v>45</v>
      </c>
      <c r="E273" s="167">
        <v>0.25</v>
      </c>
      <c r="F273" s="13">
        <v>2018</v>
      </c>
      <c r="G273" s="59" t="s">
        <v>1346</v>
      </c>
      <c r="H273" s="119">
        <v>0.28000000000000003</v>
      </c>
      <c r="I273" s="13">
        <v>32</v>
      </c>
      <c r="J273" s="13" t="s">
        <v>943</v>
      </c>
      <c r="K273" s="50">
        <v>10</v>
      </c>
      <c r="L273" s="13" t="s">
        <v>1347</v>
      </c>
      <c r="M273" s="244">
        <v>22</v>
      </c>
      <c r="N273" s="247" t="s">
        <v>139</v>
      </c>
      <c r="O273" s="245" t="s">
        <v>140</v>
      </c>
      <c r="P273" s="13" t="s">
        <v>1393</v>
      </c>
      <c r="Q273" s="48" t="s">
        <v>1394</v>
      </c>
      <c r="R273" s="48" t="s">
        <v>1394</v>
      </c>
      <c r="S273" s="59" t="s">
        <v>1395</v>
      </c>
      <c r="T273" s="13" t="s">
        <v>1396</v>
      </c>
      <c r="U273" s="48" t="s">
        <v>1397</v>
      </c>
      <c r="V273" s="48" t="s">
        <v>1397</v>
      </c>
      <c r="W273" s="87" t="s">
        <v>1398</v>
      </c>
      <c r="X273" s="13" t="s">
        <v>8</v>
      </c>
      <c r="Y273" s="120">
        <v>15</v>
      </c>
      <c r="Z273" s="13">
        <v>0</v>
      </c>
      <c r="AA273" s="13"/>
      <c r="AB273" s="13">
        <v>15</v>
      </c>
      <c r="AC273" s="13">
        <v>15</v>
      </c>
      <c r="AD273" s="13">
        <v>15</v>
      </c>
      <c r="AE273" s="89">
        <f t="shared" si="174"/>
        <v>1006337962</v>
      </c>
      <c r="AF273" s="89">
        <f t="shared" si="174"/>
        <v>1006337962</v>
      </c>
      <c r="AG273" s="89">
        <f t="shared" si="174"/>
        <v>997537962</v>
      </c>
      <c r="AH273" s="89">
        <f t="shared" si="174"/>
        <v>654380874</v>
      </c>
      <c r="AI273" s="89">
        <f t="shared" si="174"/>
        <v>0</v>
      </c>
      <c r="AJ273" s="91"/>
      <c r="AK273" s="91"/>
      <c r="AL273" s="91"/>
      <c r="AM273" s="91"/>
      <c r="AN273" s="91"/>
      <c r="AO273" s="91"/>
      <c r="AP273" s="91"/>
      <c r="AQ273" s="91"/>
      <c r="AR273" s="91"/>
      <c r="AS273" s="91"/>
      <c r="AT273" s="91"/>
      <c r="AU273" s="91"/>
      <c r="AV273" s="91"/>
      <c r="AW273" s="91"/>
      <c r="AX273" s="91"/>
      <c r="AY273" s="91"/>
      <c r="AZ273" s="91"/>
      <c r="BA273" s="91"/>
      <c r="BB273" s="91"/>
      <c r="BC273" s="91"/>
      <c r="BD273" s="91"/>
      <c r="BE273" s="91"/>
      <c r="BF273" s="91"/>
      <c r="BG273" s="91"/>
      <c r="BH273" s="91"/>
      <c r="BI273" s="91"/>
      <c r="BJ273" s="91"/>
      <c r="BK273" s="91"/>
      <c r="BL273" s="91"/>
      <c r="BM273" s="91"/>
      <c r="BN273" s="91">
        <v>1006337962</v>
      </c>
      <c r="BO273" s="91">
        <v>1006337962</v>
      </c>
      <c r="BP273" s="91">
        <v>997537962</v>
      </c>
      <c r="BQ273" s="91">
        <v>654380874</v>
      </c>
      <c r="BR273" s="91"/>
      <c r="BS273" s="91"/>
      <c r="BT273" s="91"/>
      <c r="BU273" s="91"/>
      <c r="BV273" s="91"/>
      <c r="BW273" s="91"/>
      <c r="BX273" s="91"/>
      <c r="BY273" s="91"/>
      <c r="BZ273" s="91"/>
      <c r="CA273" s="91"/>
      <c r="CB273" s="91"/>
      <c r="CC273" s="91"/>
      <c r="CD273" s="91"/>
      <c r="CE273" s="91"/>
      <c r="CF273" s="91"/>
      <c r="CG273" s="91"/>
      <c r="CH273" s="91">
        <f t="shared" si="157"/>
        <v>17000000</v>
      </c>
      <c r="CI273" s="91">
        <v>17000000</v>
      </c>
      <c r="CJ273" s="91"/>
      <c r="CK273" s="91"/>
      <c r="CL273" s="91"/>
      <c r="CM273" s="91"/>
      <c r="CN273" s="91"/>
      <c r="CO273" s="91"/>
      <c r="CP273" s="91"/>
      <c r="CQ273" s="91"/>
      <c r="CR273" s="91"/>
      <c r="CS273" s="91">
        <f>CT273+CU273+CV273+CW273+CX273+CY273+CZ273+DA273+DB273+DC273</f>
        <v>80000000</v>
      </c>
      <c r="CT273" s="91">
        <v>80000000</v>
      </c>
      <c r="CU273" s="91"/>
      <c r="CV273" s="91"/>
      <c r="CW273" s="91"/>
      <c r="CX273" s="91"/>
      <c r="CY273" s="91"/>
      <c r="CZ273" s="91"/>
      <c r="DA273" s="91"/>
      <c r="DB273" s="91"/>
      <c r="DC273" s="91"/>
      <c r="DD273" s="91">
        <f>DE273+DF273+DG273+DH273+DI273+DJ273+DK273+DL273+DM273+DN273</f>
        <v>171089195.40000001</v>
      </c>
      <c r="DE273" s="91">
        <v>171089195.40000001</v>
      </c>
      <c r="DF273" s="91"/>
      <c r="DG273" s="91"/>
      <c r="DH273" s="91"/>
      <c r="DI273" s="91"/>
      <c r="DJ273" s="91"/>
      <c r="DK273" s="91"/>
      <c r="DL273" s="91"/>
      <c r="DM273" s="91"/>
      <c r="DN273" s="92"/>
      <c r="DO273" s="93">
        <f>AE273+CH273+CS273+DD273</f>
        <v>1274427157.4000001</v>
      </c>
    </row>
    <row r="274" spans="1:119" ht="29.25" customHeight="1" x14ac:dyDescent="0.2">
      <c r="A274" s="64"/>
      <c r="B274" s="255"/>
      <c r="C274" s="74"/>
      <c r="D274" s="74"/>
      <c r="E274" s="77"/>
      <c r="F274" s="74"/>
      <c r="G274" s="74"/>
      <c r="H274" s="77"/>
      <c r="I274" s="74"/>
      <c r="J274" s="74"/>
      <c r="K274" s="74"/>
      <c r="L274" s="74"/>
      <c r="M274" s="147">
        <v>23</v>
      </c>
      <c r="N274" s="96">
        <v>3205</v>
      </c>
      <c r="O274" s="97" t="s">
        <v>47</v>
      </c>
      <c r="P274" s="96"/>
      <c r="Q274" s="98"/>
      <c r="R274" s="98"/>
      <c r="S274" s="98"/>
      <c r="T274" s="98"/>
      <c r="U274" s="98"/>
      <c r="V274" s="98"/>
      <c r="W274" s="83"/>
      <c r="X274" s="83"/>
      <c r="Y274" s="84"/>
      <c r="Z274" s="84"/>
      <c r="AA274" s="84"/>
      <c r="AB274" s="84"/>
      <c r="AC274" s="84"/>
      <c r="AD274" s="81"/>
      <c r="AE274" s="85">
        <f t="shared" ref="AE274:BJ274" si="175">SUM(AE275:AE279)</f>
        <v>17957133409.360001</v>
      </c>
      <c r="AF274" s="85">
        <f t="shared" si="175"/>
        <v>32240356093</v>
      </c>
      <c r="AG274" s="85">
        <f t="shared" si="175"/>
        <v>13150653513</v>
      </c>
      <c r="AH274" s="85">
        <f t="shared" si="175"/>
        <v>5502435281</v>
      </c>
      <c r="AI274" s="85">
        <f t="shared" si="175"/>
        <v>0</v>
      </c>
      <c r="AJ274" s="85">
        <f t="shared" si="175"/>
        <v>238063334.30000001</v>
      </c>
      <c r="AK274" s="85">
        <f t="shared" si="175"/>
        <v>258063334</v>
      </c>
      <c r="AL274" s="85">
        <f t="shared" si="175"/>
        <v>54237317</v>
      </c>
      <c r="AM274" s="85">
        <f t="shared" si="175"/>
        <v>54237317</v>
      </c>
      <c r="AN274" s="85">
        <f t="shared" si="175"/>
        <v>0</v>
      </c>
      <c r="AO274" s="85">
        <f t="shared" si="175"/>
        <v>479436488.06</v>
      </c>
      <c r="AP274" s="85">
        <f t="shared" si="175"/>
        <v>0</v>
      </c>
      <c r="AQ274" s="85">
        <f t="shared" si="175"/>
        <v>0</v>
      </c>
      <c r="AR274" s="85">
        <f t="shared" si="175"/>
        <v>0</v>
      </c>
      <c r="AS274" s="85">
        <f t="shared" si="175"/>
        <v>0</v>
      </c>
      <c r="AT274" s="85">
        <f t="shared" si="175"/>
        <v>0</v>
      </c>
      <c r="AU274" s="85">
        <f t="shared" si="175"/>
        <v>0</v>
      </c>
      <c r="AV274" s="85">
        <f t="shared" si="175"/>
        <v>0</v>
      </c>
      <c r="AW274" s="85">
        <f t="shared" si="175"/>
        <v>0</v>
      </c>
      <c r="AX274" s="85">
        <f t="shared" si="175"/>
        <v>0</v>
      </c>
      <c r="AY274" s="85">
        <f t="shared" si="175"/>
        <v>0</v>
      </c>
      <c r="AZ274" s="85">
        <f t="shared" si="175"/>
        <v>0</v>
      </c>
      <c r="BA274" s="85">
        <f t="shared" si="175"/>
        <v>0</v>
      </c>
      <c r="BB274" s="85">
        <f t="shared" si="175"/>
        <v>0</v>
      </c>
      <c r="BC274" s="85">
        <f t="shared" si="175"/>
        <v>0</v>
      </c>
      <c r="BD274" s="85">
        <f t="shared" si="175"/>
        <v>0</v>
      </c>
      <c r="BE274" s="85">
        <f t="shared" si="175"/>
        <v>0</v>
      </c>
      <c r="BF274" s="85">
        <f t="shared" si="175"/>
        <v>0</v>
      </c>
      <c r="BG274" s="85">
        <f t="shared" si="175"/>
        <v>0</v>
      </c>
      <c r="BH274" s="85">
        <f t="shared" si="175"/>
        <v>0</v>
      </c>
      <c r="BI274" s="85">
        <f t="shared" si="175"/>
        <v>0</v>
      </c>
      <c r="BJ274" s="85">
        <f t="shared" si="175"/>
        <v>0</v>
      </c>
      <c r="BK274" s="85">
        <f t="shared" ref="BK274:CP274" si="176">SUM(BK275:BK279)</f>
        <v>0</v>
      </c>
      <c r="BL274" s="85">
        <f t="shared" si="176"/>
        <v>0</v>
      </c>
      <c r="BM274" s="85">
        <f t="shared" si="176"/>
        <v>0</v>
      </c>
      <c r="BN274" s="85">
        <f t="shared" si="176"/>
        <v>17239633587</v>
      </c>
      <c r="BO274" s="85">
        <f t="shared" si="176"/>
        <v>31982292759</v>
      </c>
      <c r="BP274" s="85">
        <f t="shared" si="176"/>
        <v>13096416196</v>
      </c>
      <c r="BQ274" s="85">
        <f t="shared" si="176"/>
        <v>5448197964</v>
      </c>
      <c r="BR274" s="85">
        <f t="shared" si="176"/>
        <v>0</v>
      </c>
      <c r="BS274" s="85">
        <f t="shared" si="176"/>
        <v>0</v>
      </c>
      <c r="BT274" s="85">
        <f t="shared" si="176"/>
        <v>0</v>
      </c>
      <c r="BU274" s="85">
        <f t="shared" si="176"/>
        <v>0</v>
      </c>
      <c r="BV274" s="85">
        <f t="shared" si="176"/>
        <v>0</v>
      </c>
      <c r="BW274" s="85">
        <f t="shared" si="176"/>
        <v>0</v>
      </c>
      <c r="BX274" s="85">
        <f t="shared" si="176"/>
        <v>0</v>
      </c>
      <c r="BY274" s="85">
        <f t="shared" si="176"/>
        <v>0</v>
      </c>
      <c r="BZ274" s="85">
        <f t="shared" si="176"/>
        <v>0</v>
      </c>
      <c r="CA274" s="85">
        <f t="shared" si="176"/>
        <v>0</v>
      </c>
      <c r="CB274" s="85">
        <f t="shared" si="176"/>
        <v>0</v>
      </c>
      <c r="CC274" s="85">
        <f t="shared" si="176"/>
        <v>0</v>
      </c>
      <c r="CD274" s="85">
        <f t="shared" si="176"/>
        <v>0</v>
      </c>
      <c r="CE274" s="85">
        <f t="shared" si="176"/>
        <v>0</v>
      </c>
      <c r="CF274" s="85">
        <f t="shared" si="176"/>
        <v>0</v>
      </c>
      <c r="CG274" s="85">
        <f t="shared" si="176"/>
        <v>0</v>
      </c>
      <c r="CH274" s="85">
        <f t="shared" si="176"/>
        <v>866556419.70000005</v>
      </c>
      <c r="CI274" s="85">
        <f t="shared" si="176"/>
        <v>88894031.700000003</v>
      </c>
      <c r="CJ274" s="85">
        <f t="shared" si="176"/>
        <v>777662388</v>
      </c>
      <c r="CK274" s="85">
        <f t="shared" si="176"/>
        <v>0</v>
      </c>
      <c r="CL274" s="85">
        <f t="shared" si="176"/>
        <v>0</v>
      </c>
      <c r="CM274" s="85">
        <f t="shared" si="176"/>
        <v>0</v>
      </c>
      <c r="CN274" s="85">
        <f t="shared" si="176"/>
        <v>0</v>
      </c>
      <c r="CO274" s="85">
        <f t="shared" si="176"/>
        <v>0</v>
      </c>
      <c r="CP274" s="85">
        <f t="shared" si="176"/>
        <v>0</v>
      </c>
      <c r="CQ274" s="85">
        <f t="shared" ref="CQ274:DO274" si="177">SUM(CQ275:CQ279)</f>
        <v>0</v>
      </c>
      <c r="CR274" s="85">
        <f t="shared" si="177"/>
        <v>0</v>
      </c>
      <c r="CS274" s="85">
        <f t="shared" si="177"/>
        <v>651010205.93000007</v>
      </c>
      <c r="CT274" s="85">
        <f t="shared" si="177"/>
        <v>201010205.93000001</v>
      </c>
      <c r="CU274" s="85">
        <f t="shared" si="177"/>
        <v>450000000</v>
      </c>
      <c r="CV274" s="85">
        <f t="shared" si="177"/>
        <v>0</v>
      </c>
      <c r="CW274" s="85">
        <f t="shared" si="177"/>
        <v>0</v>
      </c>
      <c r="CX274" s="85">
        <f t="shared" si="177"/>
        <v>0</v>
      </c>
      <c r="CY274" s="85">
        <f t="shared" si="177"/>
        <v>0</v>
      </c>
      <c r="CZ274" s="85">
        <f t="shared" si="177"/>
        <v>0</v>
      </c>
      <c r="DA274" s="85">
        <f t="shared" si="177"/>
        <v>0</v>
      </c>
      <c r="DB274" s="85">
        <f t="shared" si="177"/>
        <v>0</v>
      </c>
      <c r="DC274" s="85">
        <f t="shared" si="177"/>
        <v>0</v>
      </c>
      <c r="DD274" s="85">
        <f t="shared" si="177"/>
        <v>1093713000</v>
      </c>
      <c r="DE274" s="85">
        <f t="shared" si="177"/>
        <v>593713000</v>
      </c>
      <c r="DF274" s="85">
        <f t="shared" si="177"/>
        <v>500000000</v>
      </c>
      <c r="DG274" s="85">
        <f t="shared" si="177"/>
        <v>0</v>
      </c>
      <c r="DH274" s="85">
        <f t="shared" si="177"/>
        <v>0</v>
      </c>
      <c r="DI274" s="85">
        <f t="shared" si="177"/>
        <v>0</v>
      </c>
      <c r="DJ274" s="85">
        <f t="shared" si="177"/>
        <v>0</v>
      </c>
      <c r="DK274" s="85">
        <f t="shared" si="177"/>
        <v>0</v>
      </c>
      <c r="DL274" s="85">
        <f t="shared" si="177"/>
        <v>0</v>
      </c>
      <c r="DM274" s="85">
        <f t="shared" si="177"/>
        <v>0</v>
      </c>
      <c r="DN274" s="86">
        <f t="shared" si="177"/>
        <v>0</v>
      </c>
      <c r="DO274" s="85">
        <f t="shared" si="177"/>
        <v>20568413034.990002</v>
      </c>
    </row>
    <row r="275" spans="1:119" s="225" customFormat="1" ht="141.75" customHeight="1" x14ac:dyDescent="0.2">
      <c r="A275" s="64">
        <v>3</v>
      </c>
      <c r="B275" s="256" t="s">
        <v>41</v>
      </c>
      <c r="C275" s="59" t="s">
        <v>938</v>
      </c>
      <c r="D275" s="59" t="s">
        <v>1633</v>
      </c>
      <c r="E275" s="119">
        <v>1</v>
      </c>
      <c r="F275" s="13">
        <v>2019</v>
      </c>
      <c r="G275" s="59" t="s">
        <v>1588</v>
      </c>
      <c r="H275" s="119">
        <v>1</v>
      </c>
      <c r="I275" s="13">
        <v>32</v>
      </c>
      <c r="J275" s="137" t="s">
        <v>943</v>
      </c>
      <c r="K275" s="50">
        <v>12</v>
      </c>
      <c r="L275" s="137" t="s">
        <v>944</v>
      </c>
      <c r="M275" s="244">
        <v>23</v>
      </c>
      <c r="N275" s="244">
        <v>3205</v>
      </c>
      <c r="O275" s="245" t="s">
        <v>47</v>
      </c>
      <c r="P275" s="13" t="s">
        <v>945</v>
      </c>
      <c r="Q275" s="13">
        <v>3205002</v>
      </c>
      <c r="R275" s="13">
        <v>3205002</v>
      </c>
      <c r="S275" s="59" t="s">
        <v>84</v>
      </c>
      <c r="T275" s="13" t="s">
        <v>946</v>
      </c>
      <c r="U275" s="13">
        <v>320500200</v>
      </c>
      <c r="V275" s="13">
        <v>320500200</v>
      </c>
      <c r="W275" s="87" t="s">
        <v>947</v>
      </c>
      <c r="X275" s="13" t="s">
        <v>9</v>
      </c>
      <c r="Y275" s="13">
        <v>10</v>
      </c>
      <c r="Z275" s="13">
        <v>1</v>
      </c>
      <c r="AA275" s="13">
        <v>1</v>
      </c>
      <c r="AB275" s="13">
        <v>3</v>
      </c>
      <c r="AC275" s="13">
        <v>3</v>
      </c>
      <c r="AD275" s="13">
        <v>3</v>
      </c>
      <c r="AE275" s="89">
        <f t="shared" ref="AE275:AI279" si="178">AJ275+AO275+AT275+AY275+BD275+BI275+BN275+BS275+BX275+CC275</f>
        <v>17252500255</v>
      </c>
      <c r="AF275" s="89">
        <f t="shared" si="178"/>
        <v>7772500255</v>
      </c>
      <c r="AG275" s="89">
        <f t="shared" si="178"/>
        <v>6842760639</v>
      </c>
      <c r="AH275" s="89">
        <f t="shared" si="178"/>
        <v>24186668</v>
      </c>
      <c r="AI275" s="89">
        <f t="shared" si="178"/>
        <v>0</v>
      </c>
      <c r="AJ275" s="91">
        <v>12866668</v>
      </c>
      <c r="AK275" s="91">
        <v>32866668</v>
      </c>
      <c r="AL275" s="91">
        <v>24186668</v>
      </c>
      <c r="AM275" s="91">
        <v>24186668</v>
      </c>
      <c r="AN275" s="91"/>
      <c r="AO275" s="91"/>
      <c r="AP275" s="91"/>
      <c r="AQ275" s="91"/>
      <c r="AR275" s="91"/>
      <c r="AS275" s="91"/>
      <c r="AT275" s="91"/>
      <c r="AU275" s="91"/>
      <c r="AV275" s="91"/>
      <c r="AW275" s="91"/>
      <c r="AX275" s="91"/>
      <c r="AY275" s="91"/>
      <c r="AZ275" s="91"/>
      <c r="BA275" s="91"/>
      <c r="BB275" s="91"/>
      <c r="BC275" s="91"/>
      <c r="BD275" s="91"/>
      <c r="BE275" s="91"/>
      <c r="BF275" s="91"/>
      <c r="BG275" s="91"/>
      <c r="BH275" s="91"/>
      <c r="BI275" s="91"/>
      <c r="BJ275" s="91"/>
      <c r="BK275" s="91"/>
      <c r="BL275" s="91"/>
      <c r="BM275" s="91"/>
      <c r="BN275" s="91">
        <f>7739633587+9500000000</f>
        <v>17239633587</v>
      </c>
      <c r="BO275" s="91">
        <v>7739633587</v>
      </c>
      <c r="BP275" s="91">
        <v>6818573971</v>
      </c>
      <c r="BQ275" s="91"/>
      <c r="BR275" s="91"/>
      <c r="BS275" s="91"/>
      <c r="BT275" s="91"/>
      <c r="BU275" s="91"/>
      <c r="BV275" s="91"/>
      <c r="BW275" s="91"/>
      <c r="BX275" s="91"/>
      <c r="BY275" s="91"/>
      <c r="BZ275" s="91"/>
      <c r="CA275" s="91"/>
      <c r="CB275" s="91"/>
      <c r="CC275" s="91"/>
      <c r="CD275" s="91"/>
      <c r="CE275" s="91"/>
      <c r="CF275" s="91"/>
      <c r="CG275" s="91"/>
      <c r="CH275" s="91">
        <f t="shared" si="157"/>
        <v>11581532.699999999</v>
      </c>
      <c r="CI275" s="91">
        <v>11581532.699999999</v>
      </c>
      <c r="CJ275" s="91"/>
      <c r="CK275" s="91"/>
      <c r="CL275" s="91"/>
      <c r="CM275" s="91"/>
      <c r="CN275" s="91"/>
      <c r="CO275" s="91"/>
      <c r="CP275" s="91"/>
      <c r="CQ275" s="91"/>
      <c r="CR275" s="91"/>
      <c r="CS275" s="91">
        <f>CT275+CU275+CV275+CW275+CX275+CY275+CZ275+DA275+DB275+DC275</f>
        <v>31848843.93</v>
      </c>
      <c r="CT275" s="91">
        <f>11848843.93+20000000</f>
        <v>31848843.93</v>
      </c>
      <c r="CU275" s="91"/>
      <c r="CV275" s="91"/>
      <c r="CW275" s="91"/>
      <c r="CX275" s="91"/>
      <c r="CY275" s="91"/>
      <c r="CZ275" s="91"/>
      <c r="DA275" s="91"/>
      <c r="DB275" s="91"/>
      <c r="DC275" s="91"/>
      <c r="DD275" s="91">
        <f>DE275+DF275+DG275+DH275+DI275+DJ275+DK275+DL275+DM275+DN275</f>
        <v>100000000</v>
      </c>
      <c r="DE275" s="91">
        <v>100000000</v>
      </c>
      <c r="DF275" s="91"/>
      <c r="DG275" s="91"/>
      <c r="DH275" s="91"/>
      <c r="DI275" s="91"/>
      <c r="DJ275" s="91"/>
      <c r="DK275" s="91"/>
      <c r="DL275" s="91"/>
      <c r="DM275" s="91"/>
      <c r="DN275" s="92"/>
      <c r="DO275" s="93">
        <f>AE275+CH275+CS275+DD275</f>
        <v>17395930631.630001</v>
      </c>
    </row>
    <row r="276" spans="1:119" s="225" customFormat="1" ht="78.75" customHeight="1" x14ac:dyDescent="0.2">
      <c r="A276" s="64">
        <v>3</v>
      </c>
      <c r="B276" s="256" t="s">
        <v>41</v>
      </c>
      <c r="C276" s="59" t="s">
        <v>1345</v>
      </c>
      <c r="D276" s="59" t="s">
        <v>45</v>
      </c>
      <c r="E276" s="167">
        <v>0.25</v>
      </c>
      <c r="F276" s="13">
        <v>2018</v>
      </c>
      <c r="G276" s="59" t="s">
        <v>1346</v>
      </c>
      <c r="H276" s="119">
        <v>0.28000000000000003</v>
      </c>
      <c r="I276" s="13">
        <v>32</v>
      </c>
      <c r="J276" s="13" t="s">
        <v>943</v>
      </c>
      <c r="K276" s="50">
        <v>10</v>
      </c>
      <c r="L276" s="13" t="s">
        <v>1347</v>
      </c>
      <c r="M276" s="244">
        <v>23</v>
      </c>
      <c r="N276" s="247">
        <v>3205</v>
      </c>
      <c r="O276" s="245" t="s">
        <v>47</v>
      </c>
      <c r="P276" s="13" t="s">
        <v>1399</v>
      </c>
      <c r="Q276" s="48" t="s">
        <v>1400</v>
      </c>
      <c r="R276" s="48" t="s">
        <v>1400</v>
      </c>
      <c r="S276" s="59" t="s">
        <v>1401</v>
      </c>
      <c r="T276" s="13" t="s">
        <v>1402</v>
      </c>
      <c r="U276" s="48" t="s">
        <v>1403</v>
      </c>
      <c r="V276" s="48" t="s">
        <v>1403</v>
      </c>
      <c r="W276" s="87" t="s">
        <v>1404</v>
      </c>
      <c r="X276" s="13" t="s">
        <v>1580</v>
      </c>
      <c r="Y276" s="120">
        <v>700</v>
      </c>
      <c r="Z276" s="13"/>
      <c r="AA276" s="13"/>
      <c r="AB276" s="13">
        <v>200</v>
      </c>
      <c r="AC276" s="13">
        <v>200</v>
      </c>
      <c r="AD276" s="13">
        <v>300</v>
      </c>
      <c r="AE276" s="89">
        <f t="shared" si="178"/>
        <v>0</v>
      </c>
      <c r="AF276" s="89">
        <f t="shared" si="178"/>
        <v>974362347</v>
      </c>
      <c r="AG276" s="89">
        <f t="shared" si="178"/>
        <v>0</v>
      </c>
      <c r="AH276" s="89">
        <f t="shared" si="178"/>
        <v>0</v>
      </c>
      <c r="AI276" s="89">
        <f t="shared" si="178"/>
        <v>0</v>
      </c>
      <c r="AJ276" s="91"/>
      <c r="AK276" s="91"/>
      <c r="AL276" s="91"/>
      <c r="AM276" s="91"/>
      <c r="AN276" s="91"/>
      <c r="AO276" s="91"/>
      <c r="AP276" s="91"/>
      <c r="AQ276" s="91"/>
      <c r="AR276" s="91"/>
      <c r="AS276" s="91"/>
      <c r="AT276" s="91"/>
      <c r="AU276" s="91"/>
      <c r="AV276" s="91"/>
      <c r="AW276" s="91"/>
      <c r="AX276" s="91"/>
      <c r="AY276" s="91"/>
      <c r="AZ276" s="91"/>
      <c r="BA276" s="91"/>
      <c r="BB276" s="91"/>
      <c r="BC276" s="91"/>
      <c r="BD276" s="91"/>
      <c r="BE276" s="91"/>
      <c r="BF276" s="91"/>
      <c r="BG276" s="91"/>
      <c r="BH276" s="91"/>
      <c r="BI276" s="91"/>
      <c r="BJ276" s="91"/>
      <c r="BK276" s="91"/>
      <c r="BL276" s="91"/>
      <c r="BM276" s="91"/>
      <c r="BN276" s="91"/>
      <c r="BO276" s="91">
        <v>974362347</v>
      </c>
      <c r="BP276" s="91"/>
      <c r="BQ276" s="91"/>
      <c r="BR276" s="91"/>
      <c r="BS276" s="91"/>
      <c r="BT276" s="91"/>
      <c r="BU276" s="91"/>
      <c r="BV276" s="91"/>
      <c r="BW276" s="91"/>
      <c r="BX276" s="91"/>
      <c r="BY276" s="91"/>
      <c r="BZ276" s="91"/>
      <c r="CA276" s="91"/>
      <c r="CB276" s="91"/>
      <c r="CC276" s="91"/>
      <c r="CD276" s="91"/>
      <c r="CE276" s="91"/>
      <c r="CF276" s="91"/>
      <c r="CG276" s="91"/>
      <c r="CH276" s="91">
        <f t="shared" si="157"/>
        <v>20000000</v>
      </c>
      <c r="CI276" s="91">
        <v>20000000</v>
      </c>
      <c r="CJ276" s="91"/>
      <c r="CK276" s="91"/>
      <c r="CL276" s="91"/>
      <c r="CM276" s="91"/>
      <c r="CN276" s="91"/>
      <c r="CO276" s="91"/>
      <c r="CP276" s="91"/>
      <c r="CQ276" s="91"/>
      <c r="CR276" s="91"/>
      <c r="CS276" s="91">
        <f>CT276+CU276+CV276+CW276+CX276+CY276+CZ276+DA276+DB276+DC276</f>
        <v>47795363</v>
      </c>
      <c r="CT276" s="91">
        <v>47795363</v>
      </c>
      <c r="CU276" s="91"/>
      <c r="CV276" s="91"/>
      <c r="CW276" s="91"/>
      <c r="CX276" s="91"/>
      <c r="CY276" s="91"/>
      <c r="CZ276" s="91"/>
      <c r="DA276" s="91"/>
      <c r="DB276" s="91"/>
      <c r="DC276" s="91"/>
      <c r="DD276" s="91">
        <f>DE276+DF276+DG276+DH276+DI276+DJ276+DK276+DL276+DM276+DN276</f>
        <v>118519000</v>
      </c>
      <c r="DE276" s="91">
        <v>118519000</v>
      </c>
      <c r="DF276" s="91"/>
      <c r="DG276" s="91"/>
      <c r="DH276" s="91"/>
      <c r="DI276" s="91"/>
      <c r="DJ276" s="91"/>
      <c r="DK276" s="91"/>
      <c r="DL276" s="91"/>
      <c r="DM276" s="91"/>
      <c r="DN276" s="92"/>
      <c r="DO276" s="93">
        <f>AE276+CH276+CS276+DD276</f>
        <v>186314363</v>
      </c>
    </row>
    <row r="277" spans="1:119" s="225" customFormat="1" ht="94.5" customHeight="1" x14ac:dyDescent="0.2">
      <c r="A277" s="64">
        <v>3</v>
      </c>
      <c r="B277" s="256" t="s">
        <v>41</v>
      </c>
      <c r="C277" s="59" t="s">
        <v>1345</v>
      </c>
      <c r="D277" s="59" t="s">
        <v>45</v>
      </c>
      <c r="E277" s="167">
        <v>0.25</v>
      </c>
      <c r="F277" s="13">
        <v>2018</v>
      </c>
      <c r="G277" s="59" t="s">
        <v>1346</v>
      </c>
      <c r="H277" s="119">
        <v>0.28000000000000003</v>
      </c>
      <c r="I277" s="158">
        <v>32</v>
      </c>
      <c r="J277" s="137" t="s">
        <v>943</v>
      </c>
      <c r="K277" s="168" t="s">
        <v>1701</v>
      </c>
      <c r="L277" s="137" t="s">
        <v>1702</v>
      </c>
      <c r="M277" s="244">
        <v>23</v>
      </c>
      <c r="N277" s="247">
        <v>3205</v>
      </c>
      <c r="O277" s="245" t="s">
        <v>47</v>
      </c>
      <c r="P277" s="13" t="s">
        <v>1405</v>
      </c>
      <c r="Q277" s="48">
        <v>3205010</v>
      </c>
      <c r="R277" s="48">
        <v>3205010</v>
      </c>
      <c r="S277" s="59" t="s">
        <v>48</v>
      </c>
      <c r="T277" s="13" t="s">
        <v>1406</v>
      </c>
      <c r="U277" s="48" t="s">
        <v>1407</v>
      </c>
      <c r="V277" s="48" t="s">
        <v>1407</v>
      </c>
      <c r="W277" s="87" t="s">
        <v>1408</v>
      </c>
      <c r="X277" s="13" t="s">
        <v>9</v>
      </c>
      <c r="Y277" s="120">
        <f>8+4</f>
        <v>12</v>
      </c>
      <c r="Z277" s="13">
        <v>1</v>
      </c>
      <c r="AA277" s="13">
        <v>1</v>
      </c>
      <c r="AB277" s="13">
        <f>1+2</f>
        <v>3</v>
      </c>
      <c r="AC277" s="13">
        <f>1+3</f>
        <v>4</v>
      </c>
      <c r="AD277" s="13">
        <f>1+3</f>
        <v>4</v>
      </c>
      <c r="AE277" s="89">
        <f t="shared" si="178"/>
        <v>50000000</v>
      </c>
      <c r="AF277" s="89">
        <f t="shared" si="178"/>
        <v>3155294006</v>
      </c>
      <c r="AG277" s="89">
        <f t="shared" si="178"/>
        <v>3082325862</v>
      </c>
      <c r="AH277" s="89">
        <f t="shared" si="178"/>
        <v>2645386292</v>
      </c>
      <c r="AI277" s="89">
        <f t="shared" si="178"/>
        <v>0</v>
      </c>
      <c r="AJ277" s="91">
        <v>50000000</v>
      </c>
      <c r="AK277" s="91">
        <v>50000000</v>
      </c>
      <c r="AL277" s="91">
        <v>26717317</v>
      </c>
      <c r="AM277" s="91">
        <v>26717317</v>
      </c>
      <c r="AN277" s="91"/>
      <c r="AO277" s="91"/>
      <c r="AP277" s="91"/>
      <c r="AQ277" s="91"/>
      <c r="AR277" s="91"/>
      <c r="AS277" s="91"/>
      <c r="AT277" s="91"/>
      <c r="AU277" s="91"/>
      <c r="AV277" s="91"/>
      <c r="AW277" s="91"/>
      <c r="AX277" s="91"/>
      <c r="AY277" s="91"/>
      <c r="AZ277" s="91"/>
      <c r="BA277" s="91"/>
      <c r="BB277" s="91"/>
      <c r="BC277" s="91"/>
      <c r="BD277" s="91"/>
      <c r="BE277" s="91"/>
      <c r="BF277" s="91"/>
      <c r="BG277" s="91"/>
      <c r="BH277" s="91"/>
      <c r="BI277" s="91"/>
      <c r="BJ277" s="91"/>
      <c r="BK277" s="91"/>
      <c r="BL277" s="91"/>
      <c r="BM277" s="91"/>
      <c r="BN277" s="91"/>
      <c r="BO277" s="91">
        <v>3105294006</v>
      </c>
      <c r="BP277" s="91">
        <v>3055608545</v>
      </c>
      <c r="BQ277" s="91">
        <v>2618668975</v>
      </c>
      <c r="BR277" s="91"/>
      <c r="BS277" s="91"/>
      <c r="BT277" s="91"/>
      <c r="BU277" s="91"/>
      <c r="BV277" s="91"/>
      <c r="BW277" s="91"/>
      <c r="BX277" s="91"/>
      <c r="BY277" s="91"/>
      <c r="BZ277" s="91"/>
      <c r="CA277" s="91"/>
      <c r="CB277" s="91"/>
      <c r="CC277" s="91"/>
      <c r="CD277" s="91"/>
      <c r="CE277" s="91"/>
      <c r="CF277" s="91"/>
      <c r="CG277" s="91"/>
      <c r="CH277" s="91">
        <f t="shared" si="157"/>
        <v>430907694</v>
      </c>
      <c r="CI277" s="91">
        <v>42076500</v>
      </c>
      <c r="CJ277" s="91">
        <v>388831194</v>
      </c>
      <c r="CK277" s="91"/>
      <c r="CL277" s="91"/>
      <c r="CM277" s="91"/>
      <c r="CN277" s="91"/>
      <c r="CO277" s="91"/>
      <c r="CP277" s="91"/>
      <c r="CQ277" s="91"/>
      <c r="CR277" s="91"/>
      <c r="CS277" s="91">
        <f>CT277+CU277+CV277+CW277+CX277+CY277+CZ277+DA277+DB277+DC277</f>
        <v>306130000</v>
      </c>
      <c r="CT277" s="91">
        <v>56130000</v>
      </c>
      <c r="CU277" s="91">
        <v>250000000</v>
      </c>
      <c r="CV277" s="91"/>
      <c r="CW277" s="91"/>
      <c r="CX277" s="91"/>
      <c r="CY277" s="91"/>
      <c r="CZ277" s="91"/>
      <c r="DA277" s="91"/>
      <c r="DB277" s="91"/>
      <c r="DC277" s="91"/>
      <c r="DD277" s="91">
        <f>DE277+DF277+DG277+DH277+DI277+DJ277+DK277+DL277+DM277+DN277</f>
        <v>350000000</v>
      </c>
      <c r="DE277" s="91">
        <v>150000000</v>
      </c>
      <c r="DF277" s="91">
        <v>200000000</v>
      </c>
      <c r="DG277" s="91"/>
      <c r="DH277" s="91"/>
      <c r="DI277" s="91"/>
      <c r="DJ277" s="91"/>
      <c r="DK277" s="91"/>
      <c r="DL277" s="91"/>
      <c r="DM277" s="91"/>
      <c r="DN277" s="92"/>
      <c r="DO277" s="93">
        <f>AE277+CH277+CS277+DD277</f>
        <v>1137037694</v>
      </c>
    </row>
    <row r="278" spans="1:119" s="225" customFormat="1" ht="78.75" customHeight="1" x14ac:dyDescent="0.2">
      <c r="A278" s="64">
        <v>3</v>
      </c>
      <c r="B278" s="256" t="s">
        <v>41</v>
      </c>
      <c r="C278" s="59" t="s">
        <v>1345</v>
      </c>
      <c r="D278" s="59" t="s">
        <v>45</v>
      </c>
      <c r="E278" s="167">
        <v>0.25</v>
      </c>
      <c r="F278" s="13">
        <v>2018</v>
      </c>
      <c r="G278" s="59" t="s">
        <v>1346</v>
      </c>
      <c r="H278" s="119">
        <v>0.28000000000000003</v>
      </c>
      <c r="I278" s="158">
        <v>32</v>
      </c>
      <c r="J278" s="137" t="s">
        <v>943</v>
      </c>
      <c r="K278" s="50">
        <v>10</v>
      </c>
      <c r="L278" s="137" t="s">
        <v>1347</v>
      </c>
      <c r="M278" s="244">
        <v>23</v>
      </c>
      <c r="N278" s="247">
        <v>3205</v>
      </c>
      <c r="O278" s="245" t="s">
        <v>47</v>
      </c>
      <c r="P278" s="13" t="s">
        <v>1409</v>
      </c>
      <c r="Q278" s="48">
        <v>3205014</v>
      </c>
      <c r="R278" s="48">
        <v>3205014</v>
      </c>
      <c r="S278" s="59" t="s">
        <v>1410</v>
      </c>
      <c r="T278" s="48" t="s">
        <v>1411</v>
      </c>
      <c r="U278" s="48" t="s">
        <v>1412</v>
      </c>
      <c r="V278" s="48" t="s">
        <v>1412</v>
      </c>
      <c r="W278" s="87" t="s">
        <v>1413</v>
      </c>
      <c r="X278" s="13" t="s">
        <v>9</v>
      </c>
      <c r="Y278" s="120">
        <v>50</v>
      </c>
      <c r="Z278" s="13"/>
      <c r="AA278" s="13"/>
      <c r="AB278" s="13">
        <v>10</v>
      </c>
      <c r="AC278" s="13">
        <v>20</v>
      </c>
      <c r="AD278" s="13">
        <v>20</v>
      </c>
      <c r="AE278" s="89">
        <f t="shared" si="178"/>
        <v>0</v>
      </c>
      <c r="AF278" s="89">
        <f t="shared" si="178"/>
        <v>0</v>
      </c>
      <c r="AG278" s="89">
        <f t="shared" si="178"/>
        <v>0</v>
      </c>
      <c r="AH278" s="89">
        <f t="shared" si="178"/>
        <v>0</v>
      </c>
      <c r="AI278" s="89">
        <f t="shared" si="178"/>
        <v>0</v>
      </c>
      <c r="AJ278" s="91"/>
      <c r="AK278" s="91"/>
      <c r="AL278" s="91"/>
      <c r="AM278" s="91"/>
      <c r="AN278" s="91"/>
      <c r="AO278" s="91"/>
      <c r="AP278" s="91"/>
      <c r="AQ278" s="91"/>
      <c r="AR278" s="91"/>
      <c r="AS278" s="91"/>
      <c r="AT278" s="91"/>
      <c r="AU278" s="91"/>
      <c r="AV278" s="91"/>
      <c r="AW278" s="91"/>
      <c r="AX278" s="91"/>
      <c r="AY278" s="91"/>
      <c r="AZ278" s="91"/>
      <c r="BA278" s="91"/>
      <c r="BB278" s="91"/>
      <c r="BC278" s="91"/>
      <c r="BD278" s="91"/>
      <c r="BE278" s="91"/>
      <c r="BF278" s="91"/>
      <c r="BG278" s="91"/>
      <c r="BH278" s="91"/>
      <c r="BI278" s="91"/>
      <c r="BJ278" s="91"/>
      <c r="BK278" s="91"/>
      <c r="BL278" s="91"/>
      <c r="BM278" s="91"/>
      <c r="BN278" s="91"/>
      <c r="BO278" s="91"/>
      <c r="BP278" s="91"/>
      <c r="BQ278" s="91"/>
      <c r="BR278" s="91"/>
      <c r="BS278" s="91"/>
      <c r="BT278" s="91"/>
      <c r="BU278" s="91"/>
      <c r="BV278" s="91"/>
      <c r="BW278" s="91"/>
      <c r="BX278" s="91"/>
      <c r="BY278" s="91"/>
      <c r="BZ278" s="91"/>
      <c r="CA278" s="91"/>
      <c r="CB278" s="91"/>
      <c r="CC278" s="91"/>
      <c r="CD278" s="91"/>
      <c r="CE278" s="91"/>
      <c r="CF278" s="91"/>
      <c r="CG278" s="91"/>
      <c r="CH278" s="91">
        <f t="shared" si="157"/>
        <v>10000000</v>
      </c>
      <c r="CI278" s="91">
        <v>10000000</v>
      </c>
      <c r="CJ278" s="91"/>
      <c r="CK278" s="91"/>
      <c r="CL278" s="91"/>
      <c r="CM278" s="91"/>
      <c r="CN278" s="91"/>
      <c r="CO278" s="91"/>
      <c r="CP278" s="91"/>
      <c r="CQ278" s="91"/>
      <c r="CR278" s="91"/>
      <c r="CS278" s="91">
        <f>CT278+CU278+CV278+CW278+CX278+CY278+CZ278+DA278+DB278+DC278</f>
        <v>40000000</v>
      </c>
      <c r="CT278" s="91">
        <v>40000000</v>
      </c>
      <c r="CU278" s="91"/>
      <c r="CV278" s="91"/>
      <c r="CW278" s="91"/>
      <c r="CX278" s="91"/>
      <c r="CY278" s="91"/>
      <c r="CZ278" s="91"/>
      <c r="DA278" s="91"/>
      <c r="DB278" s="91"/>
      <c r="DC278" s="91"/>
      <c r="DD278" s="91">
        <f>DE278+DF278+DG278+DH278+DI278+DJ278+DK278+DL278+DM278+DN278</f>
        <v>150000000</v>
      </c>
      <c r="DE278" s="91">
        <v>150000000</v>
      </c>
      <c r="DF278" s="91"/>
      <c r="DG278" s="91"/>
      <c r="DH278" s="91"/>
      <c r="DI278" s="91"/>
      <c r="DJ278" s="91"/>
      <c r="DK278" s="91"/>
      <c r="DL278" s="91"/>
      <c r="DM278" s="91"/>
      <c r="DN278" s="92"/>
      <c r="DO278" s="93">
        <f>AE278+CH278+CS278+DD278</f>
        <v>200000000</v>
      </c>
    </row>
    <row r="279" spans="1:119" s="225" customFormat="1" ht="110.25" customHeight="1" x14ac:dyDescent="0.2">
      <c r="A279" s="64">
        <v>3</v>
      </c>
      <c r="B279" s="256" t="s">
        <v>41</v>
      </c>
      <c r="C279" s="59" t="s">
        <v>938</v>
      </c>
      <c r="D279" s="59" t="s">
        <v>1632</v>
      </c>
      <c r="E279" s="119" t="s">
        <v>939</v>
      </c>
      <c r="F279" s="13" t="s">
        <v>940</v>
      </c>
      <c r="G279" s="59" t="s">
        <v>941</v>
      </c>
      <c r="H279" s="55" t="s">
        <v>942</v>
      </c>
      <c r="I279" s="13">
        <v>32</v>
      </c>
      <c r="J279" s="137" t="s">
        <v>943</v>
      </c>
      <c r="K279" s="50" t="s">
        <v>1578</v>
      </c>
      <c r="L279" s="137" t="s">
        <v>1703</v>
      </c>
      <c r="M279" s="244">
        <v>23</v>
      </c>
      <c r="N279" s="244">
        <v>3205</v>
      </c>
      <c r="O279" s="245" t="s">
        <v>47</v>
      </c>
      <c r="P279" s="13" t="s">
        <v>948</v>
      </c>
      <c r="Q279" s="13">
        <v>3205021</v>
      </c>
      <c r="R279" s="13">
        <v>3205021</v>
      </c>
      <c r="S279" s="59" t="s">
        <v>49</v>
      </c>
      <c r="T279" s="13" t="s">
        <v>949</v>
      </c>
      <c r="U279" s="13">
        <v>320502100</v>
      </c>
      <c r="V279" s="13">
        <v>320502100</v>
      </c>
      <c r="W279" s="87" t="s">
        <v>950</v>
      </c>
      <c r="X279" s="13" t="s">
        <v>9</v>
      </c>
      <c r="Y279" s="13">
        <f>8+4</f>
        <v>12</v>
      </c>
      <c r="Z279" s="13">
        <f>1+1</f>
        <v>2</v>
      </c>
      <c r="AA279" s="13">
        <f>1</f>
        <v>1</v>
      </c>
      <c r="AB279" s="13">
        <f>2+1</f>
        <v>3</v>
      </c>
      <c r="AC279" s="13">
        <f>2+1</f>
        <v>3</v>
      </c>
      <c r="AD279" s="13">
        <f>3+1</f>
        <v>4</v>
      </c>
      <c r="AE279" s="89">
        <f t="shared" si="178"/>
        <v>654633154.36000001</v>
      </c>
      <c r="AF279" s="89">
        <f t="shared" si="178"/>
        <v>20338199485</v>
      </c>
      <c r="AG279" s="89">
        <f t="shared" si="178"/>
        <v>3225567012</v>
      </c>
      <c r="AH279" s="89">
        <f t="shared" si="178"/>
        <v>2832862321</v>
      </c>
      <c r="AI279" s="89">
        <f t="shared" si="178"/>
        <v>0</v>
      </c>
      <c r="AJ279" s="91">
        <f>4835998.3+170360668</f>
        <v>175196666.30000001</v>
      </c>
      <c r="AK279" s="91">
        <f>4835998+170360668</f>
        <v>175196666</v>
      </c>
      <c r="AL279" s="91">
        <v>3333332</v>
      </c>
      <c r="AM279" s="91">
        <v>3333332</v>
      </c>
      <c r="AN279" s="91"/>
      <c r="AO279" s="91">
        <v>479436488.06</v>
      </c>
      <c r="AP279" s="91"/>
      <c r="AQ279" s="91"/>
      <c r="AR279" s="91"/>
      <c r="AS279" s="91"/>
      <c r="AT279" s="91"/>
      <c r="AU279" s="91"/>
      <c r="AV279" s="91"/>
      <c r="AW279" s="91"/>
      <c r="AX279" s="91"/>
      <c r="AY279" s="91"/>
      <c r="AZ279" s="91"/>
      <c r="BA279" s="91"/>
      <c r="BB279" s="91"/>
      <c r="BC279" s="91"/>
      <c r="BD279" s="91"/>
      <c r="BE279" s="91"/>
      <c r="BF279" s="91"/>
      <c r="BG279" s="91"/>
      <c r="BH279" s="91"/>
      <c r="BI279" s="91"/>
      <c r="BJ279" s="91"/>
      <c r="BK279" s="91"/>
      <c r="BL279" s="91"/>
      <c r="BM279" s="91"/>
      <c r="BN279" s="91"/>
      <c r="BO279" s="91">
        <v>20163002819</v>
      </c>
      <c r="BP279" s="91">
        <v>3222233680</v>
      </c>
      <c r="BQ279" s="91">
        <v>2829528989</v>
      </c>
      <c r="BR279" s="91"/>
      <c r="BS279" s="91"/>
      <c r="BT279" s="91"/>
      <c r="BU279" s="91"/>
      <c r="BV279" s="91"/>
      <c r="BW279" s="91"/>
      <c r="BX279" s="91"/>
      <c r="BY279" s="91"/>
      <c r="BZ279" s="91"/>
      <c r="CA279" s="91"/>
      <c r="CB279" s="91"/>
      <c r="CC279" s="91"/>
      <c r="CD279" s="91"/>
      <c r="CE279" s="91"/>
      <c r="CF279" s="91"/>
      <c r="CG279" s="91"/>
      <c r="CH279" s="91">
        <f t="shared" si="157"/>
        <v>394067193</v>
      </c>
      <c r="CI279" s="91">
        <v>5235999</v>
      </c>
      <c r="CJ279" s="91">
        <v>388831194</v>
      </c>
      <c r="CK279" s="91"/>
      <c r="CL279" s="91"/>
      <c r="CM279" s="91"/>
      <c r="CN279" s="91"/>
      <c r="CO279" s="91"/>
      <c r="CP279" s="91"/>
      <c r="CQ279" s="91"/>
      <c r="CR279" s="91"/>
      <c r="CS279" s="91">
        <f>CT279+CU279+CV279+CW279+CX279+CY279+CZ279+DA279+DB279+DC279</f>
        <v>225235999</v>
      </c>
      <c r="CT279" s="91">
        <v>25235999</v>
      </c>
      <c r="CU279" s="91">
        <v>200000000</v>
      </c>
      <c r="CV279" s="91"/>
      <c r="CW279" s="91"/>
      <c r="CX279" s="91"/>
      <c r="CY279" s="91"/>
      <c r="CZ279" s="91"/>
      <c r="DA279" s="91"/>
      <c r="DB279" s="91"/>
      <c r="DC279" s="91"/>
      <c r="DD279" s="91">
        <f>DE279+DF279+DG279+DH279+DI279+DJ279+DK279+DL279+DM279+DN279</f>
        <v>375194000</v>
      </c>
      <c r="DE279" s="91">
        <v>75194000</v>
      </c>
      <c r="DF279" s="91">
        <v>300000000</v>
      </c>
      <c r="DG279" s="91"/>
      <c r="DH279" s="91"/>
      <c r="DI279" s="91"/>
      <c r="DJ279" s="91"/>
      <c r="DK279" s="91"/>
      <c r="DL279" s="91"/>
      <c r="DM279" s="91"/>
      <c r="DN279" s="92"/>
      <c r="DO279" s="93">
        <f>AE279+CH279+CS279+DD279</f>
        <v>1649130346.3600001</v>
      </c>
    </row>
    <row r="280" spans="1:119" ht="21.75" customHeight="1" x14ac:dyDescent="0.2">
      <c r="A280" s="64"/>
      <c r="B280" s="255"/>
      <c r="C280" s="74"/>
      <c r="D280" s="74"/>
      <c r="E280" s="77"/>
      <c r="F280" s="74"/>
      <c r="G280" s="74"/>
      <c r="H280" s="77"/>
      <c r="I280" s="74"/>
      <c r="J280" s="74"/>
      <c r="K280" s="74"/>
      <c r="L280" s="74"/>
      <c r="M280" s="147">
        <v>24</v>
      </c>
      <c r="N280" s="96" t="s">
        <v>142</v>
      </c>
      <c r="O280" s="97" t="s">
        <v>143</v>
      </c>
      <c r="P280" s="96"/>
      <c r="Q280" s="98"/>
      <c r="R280" s="98"/>
      <c r="S280" s="98"/>
      <c r="T280" s="98"/>
      <c r="U280" s="98"/>
      <c r="V280" s="98"/>
      <c r="W280" s="83"/>
      <c r="X280" s="83"/>
      <c r="Y280" s="84"/>
      <c r="Z280" s="84"/>
      <c r="AA280" s="84"/>
      <c r="AB280" s="84"/>
      <c r="AC280" s="84"/>
      <c r="AD280" s="81"/>
      <c r="AE280" s="85">
        <f>SUM(AE281:AE283)</f>
        <v>2462120721</v>
      </c>
      <c r="AF280" s="85">
        <f t="shared" ref="AF280:CQ280" si="179">SUM(AF281:AF283)</f>
        <v>2390025863</v>
      </c>
      <c r="AG280" s="85">
        <f t="shared" si="179"/>
        <v>1760064796</v>
      </c>
      <c r="AH280" s="85">
        <f t="shared" si="179"/>
        <v>304238580</v>
      </c>
      <c r="AI280" s="85">
        <f t="shared" si="179"/>
        <v>0</v>
      </c>
      <c r="AJ280" s="85">
        <f t="shared" si="179"/>
        <v>20000000</v>
      </c>
      <c r="AK280" s="85">
        <f t="shared" si="179"/>
        <v>20000000</v>
      </c>
      <c r="AL280" s="85">
        <f t="shared" si="179"/>
        <v>20000000</v>
      </c>
      <c r="AM280" s="85">
        <f t="shared" si="179"/>
        <v>20000000</v>
      </c>
      <c r="AN280" s="85">
        <f t="shared" si="179"/>
        <v>0</v>
      </c>
      <c r="AO280" s="85">
        <f t="shared" si="179"/>
        <v>0</v>
      </c>
      <c r="AP280" s="85">
        <f t="shared" si="179"/>
        <v>0</v>
      </c>
      <c r="AQ280" s="85">
        <f t="shared" si="179"/>
        <v>0</v>
      </c>
      <c r="AR280" s="85">
        <f t="shared" si="179"/>
        <v>0</v>
      </c>
      <c r="AS280" s="85">
        <f t="shared" si="179"/>
        <v>0</v>
      </c>
      <c r="AT280" s="85">
        <f t="shared" si="179"/>
        <v>0</v>
      </c>
      <c r="AU280" s="85">
        <f t="shared" si="179"/>
        <v>0</v>
      </c>
      <c r="AV280" s="85">
        <f t="shared" si="179"/>
        <v>0</v>
      </c>
      <c r="AW280" s="85">
        <f t="shared" si="179"/>
        <v>0</v>
      </c>
      <c r="AX280" s="85">
        <f t="shared" si="179"/>
        <v>0</v>
      </c>
      <c r="AY280" s="85">
        <f t="shared" si="179"/>
        <v>0</v>
      </c>
      <c r="AZ280" s="85">
        <f t="shared" si="179"/>
        <v>0</v>
      </c>
      <c r="BA280" s="85">
        <f t="shared" si="179"/>
        <v>0</v>
      </c>
      <c r="BB280" s="85">
        <f t="shared" si="179"/>
        <v>0</v>
      </c>
      <c r="BC280" s="85">
        <f t="shared" si="179"/>
        <v>0</v>
      </c>
      <c r="BD280" s="85">
        <f t="shared" si="179"/>
        <v>0</v>
      </c>
      <c r="BE280" s="85">
        <f t="shared" si="179"/>
        <v>0</v>
      </c>
      <c r="BF280" s="85">
        <f t="shared" si="179"/>
        <v>0</v>
      </c>
      <c r="BG280" s="85">
        <f t="shared" si="179"/>
        <v>0</v>
      </c>
      <c r="BH280" s="85">
        <f t="shared" si="179"/>
        <v>0</v>
      </c>
      <c r="BI280" s="85">
        <f t="shared" si="179"/>
        <v>0</v>
      </c>
      <c r="BJ280" s="85">
        <f t="shared" si="179"/>
        <v>0</v>
      </c>
      <c r="BK280" s="85">
        <f t="shared" si="179"/>
        <v>0</v>
      </c>
      <c r="BL280" s="85">
        <f t="shared" si="179"/>
        <v>0</v>
      </c>
      <c r="BM280" s="85">
        <f t="shared" si="179"/>
        <v>0</v>
      </c>
      <c r="BN280" s="85">
        <f t="shared" si="179"/>
        <v>2442120721</v>
      </c>
      <c r="BO280" s="85">
        <f t="shared" si="179"/>
        <v>2370025863</v>
      </c>
      <c r="BP280" s="85">
        <f t="shared" si="179"/>
        <v>1740064796</v>
      </c>
      <c r="BQ280" s="85">
        <f t="shared" si="179"/>
        <v>284238580</v>
      </c>
      <c r="BR280" s="85">
        <f t="shared" si="179"/>
        <v>0</v>
      </c>
      <c r="BS280" s="85">
        <f t="shared" si="179"/>
        <v>0</v>
      </c>
      <c r="BT280" s="85">
        <f t="shared" si="179"/>
        <v>0</v>
      </c>
      <c r="BU280" s="85">
        <f t="shared" si="179"/>
        <v>0</v>
      </c>
      <c r="BV280" s="85">
        <f t="shared" si="179"/>
        <v>0</v>
      </c>
      <c r="BW280" s="85">
        <f t="shared" si="179"/>
        <v>0</v>
      </c>
      <c r="BX280" s="85">
        <f t="shared" si="179"/>
        <v>0</v>
      </c>
      <c r="BY280" s="85">
        <f t="shared" si="179"/>
        <v>0</v>
      </c>
      <c r="BZ280" s="85">
        <f t="shared" si="179"/>
        <v>0</v>
      </c>
      <c r="CA280" s="85">
        <f t="shared" si="179"/>
        <v>0</v>
      </c>
      <c r="CB280" s="85">
        <f t="shared" si="179"/>
        <v>0</v>
      </c>
      <c r="CC280" s="85">
        <f t="shared" si="179"/>
        <v>0</v>
      </c>
      <c r="CD280" s="85">
        <f t="shared" si="179"/>
        <v>0</v>
      </c>
      <c r="CE280" s="85">
        <f t="shared" si="179"/>
        <v>0</v>
      </c>
      <c r="CF280" s="85">
        <f t="shared" si="179"/>
        <v>0</v>
      </c>
      <c r="CG280" s="85">
        <f t="shared" si="179"/>
        <v>0</v>
      </c>
      <c r="CH280" s="85">
        <f t="shared" si="179"/>
        <v>119720254.95</v>
      </c>
      <c r="CI280" s="85">
        <f t="shared" si="179"/>
        <v>119720254.95</v>
      </c>
      <c r="CJ280" s="85">
        <f t="shared" si="179"/>
        <v>0</v>
      </c>
      <c r="CK280" s="85">
        <f t="shared" si="179"/>
        <v>0</v>
      </c>
      <c r="CL280" s="85">
        <f t="shared" si="179"/>
        <v>0</v>
      </c>
      <c r="CM280" s="85">
        <f t="shared" si="179"/>
        <v>0</v>
      </c>
      <c r="CN280" s="85">
        <f t="shared" si="179"/>
        <v>0</v>
      </c>
      <c r="CO280" s="85">
        <f t="shared" si="179"/>
        <v>0</v>
      </c>
      <c r="CP280" s="85">
        <f t="shared" si="179"/>
        <v>0</v>
      </c>
      <c r="CQ280" s="85">
        <f t="shared" si="179"/>
        <v>0</v>
      </c>
      <c r="CR280" s="85">
        <f t="shared" ref="CR280:DO280" si="180">SUM(CR281:CR283)</f>
        <v>0</v>
      </c>
      <c r="CS280" s="85">
        <f t="shared" si="180"/>
        <v>198810600</v>
      </c>
      <c r="CT280" s="85">
        <f t="shared" si="180"/>
        <v>198810600</v>
      </c>
      <c r="CU280" s="85">
        <f t="shared" si="180"/>
        <v>0</v>
      </c>
      <c r="CV280" s="85">
        <f t="shared" si="180"/>
        <v>0</v>
      </c>
      <c r="CW280" s="85">
        <f t="shared" si="180"/>
        <v>0</v>
      </c>
      <c r="CX280" s="85">
        <f t="shared" si="180"/>
        <v>0</v>
      </c>
      <c r="CY280" s="85">
        <f t="shared" si="180"/>
        <v>0</v>
      </c>
      <c r="CZ280" s="85">
        <f t="shared" si="180"/>
        <v>0</v>
      </c>
      <c r="DA280" s="85">
        <f t="shared" si="180"/>
        <v>0</v>
      </c>
      <c r="DB280" s="85">
        <f t="shared" si="180"/>
        <v>0</v>
      </c>
      <c r="DC280" s="85">
        <f t="shared" si="180"/>
        <v>0</v>
      </c>
      <c r="DD280" s="85">
        <f t="shared" si="180"/>
        <v>437985000</v>
      </c>
      <c r="DE280" s="85">
        <f t="shared" si="180"/>
        <v>437985000</v>
      </c>
      <c r="DF280" s="85">
        <f t="shared" si="180"/>
        <v>0</v>
      </c>
      <c r="DG280" s="85">
        <f t="shared" si="180"/>
        <v>0</v>
      </c>
      <c r="DH280" s="85">
        <f t="shared" si="180"/>
        <v>0</v>
      </c>
      <c r="DI280" s="85">
        <f t="shared" si="180"/>
        <v>0</v>
      </c>
      <c r="DJ280" s="85">
        <f t="shared" si="180"/>
        <v>0</v>
      </c>
      <c r="DK280" s="85">
        <f t="shared" si="180"/>
        <v>0</v>
      </c>
      <c r="DL280" s="85">
        <f t="shared" si="180"/>
        <v>0</v>
      </c>
      <c r="DM280" s="85">
        <f t="shared" si="180"/>
        <v>0</v>
      </c>
      <c r="DN280" s="85">
        <f t="shared" si="180"/>
        <v>0</v>
      </c>
      <c r="DO280" s="85">
        <f t="shared" si="180"/>
        <v>3218636575.9499998</v>
      </c>
    </row>
    <row r="281" spans="1:119" s="225" customFormat="1" ht="110.25" customHeight="1" x14ac:dyDescent="0.2">
      <c r="A281" s="64">
        <v>3</v>
      </c>
      <c r="B281" s="256" t="s">
        <v>41</v>
      </c>
      <c r="C281" s="59" t="s">
        <v>1345</v>
      </c>
      <c r="D281" s="59" t="s">
        <v>45</v>
      </c>
      <c r="E281" s="167">
        <v>0.25</v>
      </c>
      <c r="F281" s="13">
        <v>2018</v>
      </c>
      <c r="G281" s="59" t="s">
        <v>1346</v>
      </c>
      <c r="H281" s="119">
        <v>0.28000000000000003</v>
      </c>
      <c r="I281" s="158">
        <v>32</v>
      </c>
      <c r="J281" s="137" t="s">
        <v>943</v>
      </c>
      <c r="K281" s="50">
        <v>10</v>
      </c>
      <c r="L281" s="137" t="s">
        <v>1347</v>
      </c>
      <c r="M281" s="13"/>
      <c r="N281" s="48"/>
      <c r="O281" s="59"/>
      <c r="P281" s="13" t="s">
        <v>1414</v>
      </c>
      <c r="Q281" s="48" t="s">
        <v>1415</v>
      </c>
      <c r="R281" s="48" t="s">
        <v>1415</v>
      </c>
      <c r="S281" s="59" t="s">
        <v>1416</v>
      </c>
      <c r="T281" s="13" t="s">
        <v>1417</v>
      </c>
      <c r="U281" s="48" t="s">
        <v>1418</v>
      </c>
      <c r="V281" s="48" t="s">
        <v>1418</v>
      </c>
      <c r="W281" s="87" t="s">
        <v>1419</v>
      </c>
      <c r="X281" s="13" t="s">
        <v>9</v>
      </c>
      <c r="Y281" s="120">
        <v>16</v>
      </c>
      <c r="Z281" s="13">
        <v>2</v>
      </c>
      <c r="AA281" s="13"/>
      <c r="AB281" s="13">
        <v>6</v>
      </c>
      <c r="AC281" s="13">
        <v>4</v>
      </c>
      <c r="AD281" s="13">
        <v>4</v>
      </c>
      <c r="AE281" s="89">
        <f t="shared" ref="AE281:AF283" si="181">AJ281+AO281+AT281+AY281+BD281+BI281+BN281+BS281+BX281+CC281</f>
        <v>2442120721</v>
      </c>
      <c r="AF281" s="89">
        <f t="shared" si="181"/>
        <v>2370025863</v>
      </c>
      <c r="AG281" s="89">
        <f>AL281+AQ281+AV281+BA281+BF281+BK281+BP281+BU281+BZ281+CE281</f>
        <v>1740064796</v>
      </c>
      <c r="AH281" s="89">
        <f t="shared" ref="AH281:AI283" si="182">AM281+AR281+AW281+BB281+BG281+BL281+BQ281+BV281+CA281+CF281</f>
        <v>284238580</v>
      </c>
      <c r="AI281" s="89">
        <f t="shared" si="182"/>
        <v>0</v>
      </c>
      <c r="AJ281" s="91"/>
      <c r="AK281" s="91"/>
      <c r="AL281" s="91"/>
      <c r="AM281" s="91"/>
      <c r="AN281" s="91"/>
      <c r="AO281" s="91"/>
      <c r="AP281" s="91"/>
      <c r="AQ281" s="91"/>
      <c r="AR281" s="91"/>
      <c r="AS281" s="91"/>
      <c r="AT281" s="91"/>
      <c r="AU281" s="91"/>
      <c r="AV281" s="91"/>
      <c r="AW281" s="91"/>
      <c r="AX281" s="91"/>
      <c r="AY281" s="91"/>
      <c r="AZ281" s="91"/>
      <c r="BA281" s="91"/>
      <c r="BB281" s="91"/>
      <c r="BC281" s="91"/>
      <c r="BD281" s="91"/>
      <c r="BE281" s="91"/>
      <c r="BF281" s="91"/>
      <c r="BG281" s="91"/>
      <c r="BH281" s="91"/>
      <c r="BI281" s="91"/>
      <c r="BJ281" s="91"/>
      <c r="BK281" s="91"/>
      <c r="BL281" s="91"/>
      <c r="BM281" s="91"/>
      <c r="BN281" s="91">
        <v>2442120721</v>
      </c>
      <c r="BO281" s="91">
        <v>2370025863</v>
      </c>
      <c r="BP281" s="91">
        <v>1740064796</v>
      </c>
      <c r="BQ281" s="91">
        <v>284238580</v>
      </c>
      <c r="BR281" s="91"/>
      <c r="BS281" s="91"/>
      <c r="BT281" s="91"/>
      <c r="BU281" s="91"/>
      <c r="BV281" s="91"/>
      <c r="BW281" s="91"/>
      <c r="BX281" s="91"/>
      <c r="BY281" s="91"/>
      <c r="BZ281" s="91"/>
      <c r="CA281" s="91"/>
      <c r="CB281" s="91"/>
      <c r="CC281" s="91"/>
      <c r="CD281" s="91"/>
      <c r="CE281" s="91"/>
      <c r="CF281" s="91"/>
      <c r="CG281" s="91"/>
      <c r="CH281" s="91">
        <f t="shared" si="157"/>
        <v>23843400</v>
      </c>
      <c r="CI281" s="91">
        <v>23843400</v>
      </c>
      <c r="CJ281" s="91"/>
      <c r="CK281" s="91"/>
      <c r="CL281" s="91"/>
      <c r="CM281" s="91"/>
      <c r="CN281" s="91"/>
      <c r="CO281" s="91"/>
      <c r="CP281" s="91"/>
      <c r="CQ281" s="91"/>
      <c r="CR281" s="91"/>
      <c r="CS281" s="91">
        <f>CT281+CU281+CV281+CW281+CX281+CY281+CZ281+DA281+DB281+DC281</f>
        <v>50000000</v>
      </c>
      <c r="CT281" s="91">
        <v>50000000</v>
      </c>
      <c r="CU281" s="91"/>
      <c r="CV281" s="91"/>
      <c r="CW281" s="91"/>
      <c r="CX281" s="91"/>
      <c r="CY281" s="91"/>
      <c r="CZ281" s="91"/>
      <c r="DA281" s="91"/>
      <c r="DB281" s="91"/>
      <c r="DC281" s="91"/>
      <c r="DD281" s="91">
        <f>DE281+DF281+DG281+DH281+DI281+DJ281+DK281+DL281+DM281+DN281</f>
        <v>137985000</v>
      </c>
      <c r="DE281" s="91">
        <v>137985000</v>
      </c>
      <c r="DF281" s="91"/>
      <c r="DG281" s="91"/>
      <c r="DH281" s="91"/>
      <c r="DI281" s="91"/>
      <c r="DJ281" s="91"/>
      <c r="DK281" s="91"/>
      <c r="DL281" s="91"/>
      <c r="DM281" s="91"/>
      <c r="DN281" s="92"/>
      <c r="DO281" s="93">
        <f>AE281+CH281+CS281+DD281</f>
        <v>2653949121</v>
      </c>
    </row>
    <row r="282" spans="1:119" s="225" customFormat="1" ht="78.75" customHeight="1" x14ac:dyDescent="0.2">
      <c r="A282" s="64">
        <v>3</v>
      </c>
      <c r="B282" s="256" t="s">
        <v>41</v>
      </c>
      <c r="C282" s="59" t="s">
        <v>1345</v>
      </c>
      <c r="D282" s="59" t="s">
        <v>45</v>
      </c>
      <c r="E282" s="167">
        <v>0.25</v>
      </c>
      <c r="F282" s="13">
        <v>2018</v>
      </c>
      <c r="G282" s="59" t="s">
        <v>1346</v>
      </c>
      <c r="H282" s="119">
        <v>0.28000000000000003</v>
      </c>
      <c r="I282" s="158">
        <v>32</v>
      </c>
      <c r="J282" s="137" t="s">
        <v>943</v>
      </c>
      <c r="K282" s="50">
        <v>10</v>
      </c>
      <c r="L282" s="137" t="s">
        <v>1347</v>
      </c>
      <c r="M282" s="13"/>
      <c r="N282" s="48"/>
      <c r="O282" s="59"/>
      <c r="P282" s="13" t="s">
        <v>1420</v>
      </c>
      <c r="Q282" s="48" t="s">
        <v>1421</v>
      </c>
      <c r="R282" s="48" t="s">
        <v>1421</v>
      </c>
      <c r="S282" s="59" t="s">
        <v>144</v>
      </c>
      <c r="T282" s="13" t="s">
        <v>1422</v>
      </c>
      <c r="U282" s="48" t="s">
        <v>1423</v>
      </c>
      <c r="V282" s="48" t="s">
        <v>1423</v>
      </c>
      <c r="W282" s="87" t="s">
        <v>1424</v>
      </c>
      <c r="X282" s="13" t="s">
        <v>9</v>
      </c>
      <c r="Y282" s="120">
        <v>6000</v>
      </c>
      <c r="Z282" s="13">
        <v>50</v>
      </c>
      <c r="AA282" s="13">
        <v>50</v>
      </c>
      <c r="AB282" s="13">
        <v>1950</v>
      </c>
      <c r="AC282" s="13">
        <v>2000</v>
      </c>
      <c r="AD282" s="13">
        <v>2000</v>
      </c>
      <c r="AE282" s="89">
        <f t="shared" si="181"/>
        <v>20000000</v>
      </c>
      <c r="AF282" s="89">
        <f t="shared" si="181"/>
        <v>20000000</v>
      </c>
      <c r="AG282" s="89">
        <f>AL282+AQ282+AV282+BA282+BF282+BK282+BP282+BU282+BZ282+CE282</f>
        <v>20000000</v>
      </c>
      <c r="AH282" s="89">
        <f t="shared" si="182"/>
        <v>20000000</v>
      </c>
      <c r="AI282" s="89">
        <f t="shared" si="182"/>
        <v>0</v>
      </c>
      <c r="AJ282" s="91">
        <v>20000000</v>
      </c>
      <c r="AK282" s="91">
        <v>20000000</v>
      </c>
      <c r="AL282" s="91">
        <v>20000000</v>
      </c>
      <c r="AM282" s="91">
        <v>20000000</v>
      </c>
      <c r="AN282" s="91"/>
      <c r="AO282" s="91"/>
      <c r="AP282" s="91"/>
      <c r="AQ282" s="91"/>
      <c r="AR282" s="91"/>
      <c r="AS282" s="91"/>
      <c r="AT282" s="91"/>
      <c r="AU282" s="91"/>
      <c r="AV282" s="91"/>
      <c r="AW282" s="91"/>
      <c r="AX282" s="91"/>
      <c r="AY282" s="91"/>
      <c r="AZ282" s="91"/>
      <c r="BA282" s="91"/>
      <c r="BB282" s="91"/>
      <c r="BC282" s="91"/>
      <c r="BD282" s="91"/>
      <c r="BE282" s="91"/>
      <c r="BF282" s="91"/>
      <c r="BG282" s="91"/>
      <c r="BH282" s="91"/>
      <c r="BI282" s="91"/>
      <c r="BJ282" s="91"/>
      <c r="BK282" s="91"/>
      <c r="BL282" s="91"/>
      <c r="BM282" s="91"/>
      <c r="BN282" s="91"/>
      <c r="BO282" s="91"/>
      <c r="BP282" s="91"/>
      <c r="BQ282" s="91"/>
      <c r="BR282" s="91"/>
      <c r="BS282" s="91"/>
      <c r="BT282" s="91"/>
      <c r="BU282" s="91"/>
      <c r="BV282" s="91"/>
      <c r="BW282" s="91"/>
      <c r="BX282" s="91"/>
      <c r="BY282" s="91"/>
      <c r="BZ282" s="91"/>
      <c r="CA282" s="91"/>
      <c r="CB282" s="91"/>
      <c r="CC282" s="91"/>
      <c r="CD282" s="91"/>
      <c r="CE282" s="91"/>
      <c r="CF282" s="91"/>
      <c r="CG282" s="91"/>
      <c r="CH282" s="91">
        <f t="shared" si="157"/>
        <v>18348000</v>
      </c>
      <c r="CI282" s="91">
        <v>18348000</v>
      </c>
      <c r="CJ282" s="91"/>
      <c r="CK282" s="91"/>
      <c r="CL282" s="91"/>
      <c r="CM282" s="91"/>
      <c r="CN282" s="91"/>
      <c r="CO282" s="91"/>
      <c r="CP282" s="91"/>
      <c r="CQ282" s="91"/>
      <c r="CR282" s="91"/>
      <c r="CS282" s="91">
        <f>CT282+CU282+CV282+CW282+CX282+CY282+CZ282+DA282+DB282+DC282</f>
        <v>56000000</v>
      </c>
      <c r="CT282" s="91">
        <v>56000000</v>
      </c>
      <c r="CU282" s="91"/>
      <c r="CV282" s="91"/>
      <c r="CW282" s="91"/>
      <c r="CX282" s="91"/>
      <c r="CY282" s="91"/>
      <c r="CZ282" s="91"/>
      <c r="DA282" s="91"/>
      <c r="DB282" s="91"/>
      <c r="DC282" s="91"/>
      <c r="DD282" s="91">
        <f>DE282+DF282+DG282+DH282+DI282+DJ282+DK282+DL282+DM282+DN282</f>
        <v>150000000</v>
      </c>
      <c r="DE282" s="91">
        <v>150000000</v>
      </c>
      <c r="DF282" s="91"/>
      <c r="DG282" s="91"/>
      <c r="DH282" s="91"/>
      <c r="DI282" s="91"/>
      <c r="DJ282" s="91"/>
      <c r="DK282" s="91"/>
      <c r="DL282" s="91"/>
      <c r="DM282" s="91"/>
      <c r="DN282" s="92"/>
      <c r="DO282" s="93">
        <f>AE282+CH282+CS282+DD282</f>
        <v>244348000</v>
      </c>
    </row>
    <row r="283" spans="1:119" s="225" customFormat="1" ht="78.75" customHeight="1" x14ac:dyDescent="0.2">
      <c r="A283" s="64">
        <v>3</v>
      </c>
      <c r="B283" s="256" t="s">
        <v>41</v>
      </c>
      <c r="C283" s="59" t="s">
        <v>1345</v>
      </c>
      <c r="D283" s="59" t="s">
        <v>45</v>
      </c>
      <c r="E283" s="167">
        <v>0.25</v>
      </c>
      <c r="F283" s="13">
        <v>2018</v>
      </c>
      <c r="G283" s="59" t="s">
        <v>1346</v>
      </c>
      <c r="H283" s="119">
        <v>0.28000000000000003</v>
      </c>
      <c r="I283" s="158">
        <v>32</v>
      </c>
      <c r="J283" s="137" t="s">
        <v>943</v>
      </c>
      <c r="K283" s="50">
        <v>10</v>
      </c>
      <c r="L283" s="137" t="s">
        <v>1347</v>
      </c>
      <c r="M283" s="13"/>
      <c r="N283" s="48"/>
      <c r="O283" s="59"/>
      <c r="P283" s="13" t="s">
        <v>1425</v>
      </c>
      <c r="Q283" s="48" t="s">
        <v>1426</v>
      </c>
      <c r="R283" s="48" t="s">
        <v>1426</v>
      </c>
      <c r="S283" s="59" t="s">
        <v>1427</v>
      </c>
      <c r="T283" s="13" t="s">
        <v>1428</v>
      </c>
      <c r="U283" s="48" t="s">
        <v>1429</v>
      </c>
      <c r="V283" s="48" t="s">
        <v>1429</v>
      </c>
      <c r="W283" s="87" t="s">
        <v>1430</v>
      </c>
      <c r="X283" s="13" t="s">
        <v>9</v>
      </c>
      <c r="Y283" s="120">
        <v>100</v>
      </c>
      <c r="Z283" s="13">
        <v>0</v>
      </c>
      <c r="AA283" s="13"/>
      <c r="AB283" s="13">
        <v>20</v>
      </c>
      <c r="AC283" s="13">
        <v>30</v>
      </c>
      <c r="AD283" s="13">
        <v>50</v>
      </c>
      <c r="AE283" s="89">
        <f t="shared" si="181"/>
        <v>0</v>
      </c>
      <c r="AF283" s="89">
        <f t="shared" si="181"/>
        <v>0</v>
      </c>
      <c r="AG283" s="89">
        <f>AL283+AQ283+AV283+BA283+BF283+BK283+BP283+BU283+BZ283+CE283</f>
        <v>0</v>
      </c>
      <c r="AH283" s="89">
        <f t="shared" si="182"/>
        <v>0</v>
      </c>
      <c r="AI283" s="89">
        <f t="shared" si="182"/>
        <v>0</v>
      </c>
      <c r="AJ283" s="91"/>
      <c r="AK283" s="91"/>
      <c r="AL283" s="91"/>
      <c r="AM283" s="91"/>
      <c r="AN283" s="91"/>
      <c r="AO283" s="91"/>
      <c r="AP283" s="91"/>
      <c r="AQ283" s="91"/>
      <c r="AR283" s="91"/>
      <c r="AS283" s="91"/>
      <c r="AT283" s="91"/>
      <c r="AU283" s="91"/>
      <c r="AV283" s="91"/>
      <c r="AW283" s="91"/>
      <c r="AX283" s="91"/>
      <c r="AY283" s="91"/>
      <c r="AZ283" s="91"/>
      <c r="BA283" s="91"/>
      <c r="BB283" s="91"/>
      <c r="BC283" s="91"/>
      <c r="BD283" s="91"/>
      <c r="BE283" s="91"/>
      <c r="BF283" s="91"/>
      <c r="BG283" s="91"/>
      <c r="BH283" s="91"/>
      <c r="BI283" s="91"/>
      <c r="BJ283" s="91"/>
      <c r="BK283" s="91"/>
      <c r="BL283" s="91"/>
      <c r="BM283" s="91"/>
      <c r="BN283" s="91"/>
      <c r="BO283" s="91"/>
      <c r="BP283" s="91"/>
      <c r="BQ283" s="91"/>
      <c r="BR283" s="91"/>
      <c r="BS283" s="91"/>
      <c r="BT283" s="91"/>
      <c r="BU283" s="91"/>
      <c r="BV283" s="91"/>
      <c r="BW283" s="91"/>
      <c r="BX283" s="91"/>
      <c r="BY283" s="91"/>
      <c r="BZ283" s="91"/>
      <c r="CA283" s="91"/>
      <c r="CB283" s="91"/>
      <c r="CC283" s="91"/>
      <c r="CD283" s="91"/>
      <c r="CE283" s="91"/>
      <c r="CF283" s="91"/>
      <c r="CG283" s="91"/>
      <c r="CH283" s="91">
        <f t="shared" si="157"/>
        <v>77528854.950000003</v>
      </c>
      <c r="CI283" s="91">
        <v>77528854.950000003</v>
      </c>
      <c r="CJ283" s="91"/>
      <c r="CK283" s="91"/>
      <c r="CL283" s="91"/>
      <c r="CM283" s="91"/>
      <c r="CN283" s="91"/>
      <c r="CO283" s="91"/>
      <c r="CP283" s="91"/>
      <c r="CQ283" s="91"/>
      <c r="CR283" s="91"/>
      <c r="CS283" s="91">
        <f>CT283+CU283+CV283+CW283+CX283+CY283+CZ283+DA283+DB283+DC283</f>
        <v>92810600</v>
      </c>
      <c r="CT283" s="91">
        <v>92810600</v>
      </c>
      <c r="CU283" s="91"/>
      <c r="CV283" s="91"/>
      <c r="CW283" s="91"/>
      <c r="CX283" s="91"/>
      <c r="CY283" s="91"/>
      <c r="CZ283" s="91"/>
      <c r="DA283" s="91"/>
      <c r="DB283" s="91"/>
      <c r="DC283" s="91"/>
      <c r="DD283" s="91">
        <f>DE283+DF283+DG283+DH283+DI283+DJ283+DK283+DL283+DM283+DN283</f>
        <v>150000000</v>
      </c>
      <c r="DE283" s="91">
        <v>150000000</v>
      </c>
      <c r="DF283" s="91"/>
      <c r="DG283" s="91"/>
      <c r="DH283" s="91"/>
      <c r="DI283" s="91"/>
      <c r="DJ283" s="91"/>
      <c r="DK283" s="91"/>
      <c r="DL283" s="91"/>
      <c r="DM283" s="91"/>
      <c r="DN283" s="92"/>
      <c r="DO283" s="93">
        <f>AE283+CH283+CS283+DD283</f>
        <v>320339454.94999999</v>
      </c>
    </row>
    <row r="284" spans="1:119" ht="27" customHeight="1" x14ac:dyDescent="0.2">
      <c r="A284" s="64"/>
      <c r="B284" s="255"/>
      <c r="C284" s="74"/>
      <c r="D284" s="74"/>
      <c r="E284" s="77"/>
      <c r="F284" s="74"/>
      <c r="G284" s="74"/>
      <c r="H284" s="77"/>
      <c r="I284" s="74"/>
      <c r="J284" s="74"/>
      <c r="K284" s="74"/>
      <c r="L284" s="74"/>
      <c r="M284" s="147">
        <v>33</v>
      </c>
      <c r="N284" s="147" t="s">
        <v>1452</v>
      </c>
      <c r="O284" s="97" t="s">
        <v>50</v>
      </c>
      <c r="P284" s="96"/>
      <c r="Q284" s="98"/>
      <c r="R284" s="98"/>
      <c r="S284" s="98"/>
      <c r="T284" s="98"/>
      <c r="U284" s="98"/>
      <c r="V284" s="98"/>
      <c r="W284" s="83"/>
      <c r="X284" s="83"/>
      <c r="Y284" s="84"/>
      <c r="Z284" s="84"/>
      <c r="AA284" s="84"/>
      <c r="AB284" s="84"/>
      <c r="AC284" s="84"/>
      <c r="AD284" s="81"/>
      <c r="AE284" s="85">
        <f>SUM(AE285:AE291)</f>
        <v>1264291609</v>
      </c>
      <c r="AF284" s="85">
        <f t="shared" ref="AF284:CQ284" si="183">SUM(AF285:AF291)</f>
        <v>540091726.37</v>
      </c>
      <c r="AG284" s="85">
        <f t="shared" si="183"/>
        <v>356783841.48000002</v>
      </c>
      <c r="AH284" s="85">
        <f t="shared" si="183"/>
        <v>356783841.48000002</v>
      </c>
      <c r="AI284" s="85">
        <f t="shared" si="183"/>
        <v>0</v>
      </c>
      <c r="AJ284" s="85">
        <f t="shared" si="183"/>
        <v>0</v>
      </c>
      <c r="AK284" s="85">
        <f t="shared" si="183"/>
        <v>129129296.87</v>
      </c>
      <c r="AL284" s="85">
        <f t="shared" si="183"/>
        <v>36850621</v>
      </c>
      <c r="AM284" s="85">
        <f t="shared" si="183"/>
        <v>36850621</v>
      </c>
      <c r="AN284" s="85">
        <f t="shared" si="183"/>
        <v>0</v>
      </c>
      <c r="AO284" s="85">
        <f t="shared" si="183"/>
        <v>1075115609</v>
      </c>
      <c r="AP284" s="85">
        <f t="shared" si="183"/>
        <v>0</v>
      </c>
      <c r="AQ284" s="85">
        <f t="shared" si="183"/>
        <v>0</v>
      </c>
      <c r="AR284" s="85">
        <f t="shared" si="183"/>
        <v>0</v>
      </c>
      <c r="AS284" s="85">
        <f t="shared" si="183"/>
        <v>0</v>
      </c>
      <c r="AT284" s="85">
        <f t="shared" si="183"/>
        <v>0</v>
      </c>
      <c r="AU284" s="85">
        <f t="shared" si="183"/>
        <v>0</v>
      </c>
      <c r="AV284" s="85">
        <f t="shared" si="183"/>
        <v>0</v>
      </c>
      <c r="AW284" s="85">
        <f t="shared" si="183"/>
        <v>0</v>
      </c>
      <c r="AX284" s="85">
        <f t="shared" si="183"/>
        <v>0</v>
      </c>
      <c r="AY284" s="85">
        <f t="shared" si="183"/>
        <v>0</v>
      </c>
      <c r="AZ284" s="85">
        <f t="shared" si="183"/>
        <v>0</v>
      </c>
      <c r="BA284" s="85">
        <f t="shared" si="183"/>
        <v>0</v>
      </c>
      <c r="BB284" s="85">
        <f t="shared" si="183"/>
        <v>0</v>
      </c>
      <c r="BC284" s="85">
        <f t="shared" si="183"/>
        <v>0</v>
      </c>
      <c r="BD284" s="85">
        <f t="shared" si="183"/>
        <v>0</v>
      </c>
      <c r="BE284" s="85">
        <f t="shared" si="183"/>
        <v>0</v>
      </c>
      <c r="BF284" s="85">
        <f t="shared" si="183"/>
        <v>0</v>
      </c>
      <c r="BG284" s="85">
        <f t="shared" si="183"/>
        <v>0</v>
      </c>
      <c r="BH284" s="85">
        <f t="shared" si="183"/>
        <v>0</v>
      </c>
      <c r="BI284" s="85">
        <f t="shared" si="183"/>
        <v>0</v>
      </c>
      <c r="BJ284" s="85">
        <f t="shared" si="183"/>
        <v>0</v>
      </c>
      <c r="BK284" s="85">
        <f t="shared" si="183"/>
        <v>0</v>
      </c>
      <c r="BL284" s="85">
        <f t="shared" si="183"/>
        <v>0</v>
      </c>
      <c r="BM284" s="85">
        <f t="shared" si="183"/>
        <v>0</v>
      </c>
      <c r="BN284" s="85">
        <f t="shared" si="183"/>
        <v>0</v>
      </c>
      <c r="BO284" s="85">
        <f t="shared" si="183"/>
        <v>0</v>
      </c>
      <c r="BP284" s="85">
        <f t="shared" si="183"/>
        <v>0</v>
      </c>
      <c r="BQ284" s="85">
        <f t="shared" si="183"/>
        <v>0</v>
      </c>
      <c r="BR284" s="85">
        <f t="shared" si="183"/>
        <v>0</v>
      </c>
      <c r="BS284" s="85">
        <f t="shared" si="183"/>
        <v>0</v>
      </c>
      <c r="BT284" s="85">
        <f t="shared" si="183"/>
        <v>0</v>
      </c>
      <c r="BU284" s="85">
        <f t="shared" si="183"/>
        <v>0</v>
      </c>
      <c r="BV284" s="85">
        <f t="shared" si="183"/>
        <v>0</v>
      </c>
      <c r="BW284" s="85">
        <f t="shared" si="183"/>
        <v>0</v>
      </c>
      <c r="BX284" s="85">
        <f t="shared" si="183"/>
        <v>0</v>
      </c>
      <c r="BY284" s="85">
        <f t="shared" si="183"/>
        <v>0</v>
      </c>
      <c r="BZ284" s="85">
        <f t="shared" si="183"/>
        <v>0</v>
      </c>
      <c r="CA284" s="85">
        <f t="shared" si="183"/>
        <v>0</v>
      </c>
      <c r="CB284" s="85">
        <f t="shared" si="183"/>
        <v>0</v>
      </c>
      <c r="CC284" s="85">
        <f t="shared" si="183"/>
        <v>189176000</v>
      </c>
      <c r="CD284" s="85">
        <f t="shared" si="183"/>
        <v>410962429.5</v>
      </c>
      <c r="CE284" s="85">
        <f t="shared" si="183"/>
        <v>319933220.48000002</v>
      </c>
      <c r="CF284" s="85">
        <f t="shared" si="183"/>
        <v>319933220.48000002</v>
      </c>
      <c r="CG284" s="85">
        <f t="shared" si="183"/>
        <v>0</v>
      </c>
      <c r="CH284" s="85">
        <f t="shared" si="183"/>
        <v>581819959.90184903</v>
      </c>
      <c r="CI284" s="85">
        <f t="shared" si="183"/>
        <v>0</v>
      </c>
      <c r="CJ284" s="85">
        <f t="shared" si="183"/>
        <v>581819959.90184903</v>
      </c>
      <c r="CK284" s="85">
        <f t="shared" si="183"/>
        <v>0</v>
      </c>
      <c r="CL284" s="85">
        <f t="shared" si="183"/>
        <v>0</v>
      </c>
      <c r="CM284" s="85">
        <f t="shared" si="183"/>
        <v>0</v>
      </c>
      <c r="CN284" s="85">
        <f t="shared" si="183"/>
        <v>0</v>
      </c>
      <c r="CO284" s="85">
        <f t="shared" si="183"/>
        <v>0</v>
      </c>
      <c r="CP284" s="85">
        <f t="shared" si="183"/>
        <v>0</v>
      </c>
      <c r="CQ284" s="85">
        <f t="shared" si="183"/>
        <v>0</v>
      </c>
      <c r="CR284" s="85">
        <f t="shared" ref="CR284:DO284" si="184">SUM(CR285:CR291)</f>
        <v>0</v>
      </c>
      <c r="CS284" s="85">
        <f t="shared" si="184"/>
        <v>674183878.407408</v>
      </c>
      <c r="CT284" s="85">
        <f t="shared" si="184"/>
        <v>0</v>
      </c>
      <c r="CU284" s="85">
        <f t="shared" si="184"/>
        <v>674183878.407408</v>
      </c>
      <c r="CV284" s="85">
        <f t="shared" si="184"/>
        <v>0</v>
      </c>
      <c r="CW284" s="85">
        <f t="shared" si="184"/>
        <v>0</v>
      </c>
      <c r="CX284" s="85">
        <f t="shared" si="184"/>
        <v>0</v>
      </c>
      <c r="CY284" s="85">
        <f t="shared" si="184"/>
        <v>0</v>
      </c>
      <c r="CZ284" s="85">
        <f t="shared" si="184"/>
        <v>0</v>
      </c>
      <c r="DA284" s="85">
        <f t="shared" si="184"/>
        <v>0</v>
      </c>
      <c r="DB284" s="85">
        <f t="shared" si="184"/>
        <v>0</v>
      </c>
      <c r="DC284" s="85">
        <f t="shared" si="184"/>
        <v>0</v>
      </c>
      <c r="DD284" s="85">
        <f t="shared" si="184"/>
        <v>771565994.05555606</v>
      </c>
      <c r="DE284" s="85">
        <f t="shared" si="184"/>
        <v>0</v>
      </c>
      <c r="DF284" s="85">
        <f t="shared" si="184"/>
        <v>771565994.05555606</v>
      </c>
      <c r="DG284" s="85">
        <f t="shared" si="184"/>
        <v>0</v>
      </c>
      <c r="DH284" s="85">
        <f t="shared" si="184"/>
        <v>0</v>
      </c>
      <c r="DI284" s="85">
        <f t="shared" si="184"/>
        <v>0</v>
      </c>
      <c r="DJ284" s="85">
        <f t="shared" si="184"/>
        <v>0</v>
      </c>
      <c r="DK284" s="85">
        <f t="shared" si="184"/>
        <v>0</v>
      </c>
      <c r="DL284" s="85">
        <f t="shared" si="184"/>
        <v>0</v>
      </c>
      <c r="DM284" s="85">
        <f t="shared" si="184"/>
        <v>0</v>
      </c>
      <c r="DN284" s="85">
        <f t="shared" si="184"/>
        <v>0</v>
      </c>
      <c r="DO284" s="85">
        <f t="shared" si="184"/>
        <v>3291861441.3648129</v>
      </c>
    </row>
    <row r="285" spans="1:119" s="225" customFormat="1" ht="78.75" customHeight="1" x14ac:dyDescent="0.2">
      <c r="A285" s="64">
        <v>3</v>
      </c>
      <c r="B285" s="256" t="s">
        <v>41</v>
      </c>
      <c r="C285" s="59" t="s">
        <v>924</v>
      </c>
      <c r="D285" s="59" t="s">
        <v>297</v>
      </c>
      <c r="E285" s="55" t="s">
        <v>1093</v>
      </c>
      <c r="F285" s="13">
        <v>2018</v>
      </c>
      <c r="G285" s="59" t="s">
        <v>1094</v>
      </c>
      <c r="H285" s="125">
        <v>0.14630000000000001</v>
      </c>
      <c r="I285" s="13">
        <v>40</v>
      </c>
      <c r="J285" s="13" t="s">
        <v>1712</v>
      </c>
      <c r="K285" s="50">
        <v>7</v>
      </c>
      <c r="L285" s="13" t="s">
        <v>1104</v>
      </c>
      <c r="M285" s="244">
        <v>23</v>
      </c>
      <c r="N285" s="248">
        <v>4001</v>
      </c>
      <c r="O285" s="245" t="s">
        <v>50</v>
      </c>
      <c r="P285" s="13" t="s">
        <v>1453</v>
      </c>
      <c r="Q285" s="13" t="s">
        <v>1454</v>
      </c>
      <c r="R285" s="13" t="s">
        <v>1454</v>
      </c>
      <c r="S285" s="59" t="s">
        <v>1455</v>
      </c>
      <c r="T285" s="13" t="s">
        <v>1456</v>
      </c>
      <c r="U285" s="13" t="s">
        <v>1457</v>
      </c>
      <c r="V285" s="13" t="s">
        <v>1457</v>
      </c>
      <c r="W285" s="87" t="s">
        <v>1458</v>
      </c>
      <c r="X285" s="13" t="s">
        <v>9</v>
      </c>
      <c r="Y285" s="13">
        <v>12</v>
      </c>
      <c r="Z285" s="13">
        <v>3</v>
      </c>
      <c r="AA285" s="13">
        <v>3</v>
      </c>
      <c r="AB285" s="13">
        <v>3</v>
      </c>
      <c r="AC285" s="13">
        <v>3</v>
      </c>
      <c r="AD285" s="13">
        <v>3</v>
      </c>
      <c r="AE285" s="89">
        <f t="shared" ref="AE285:AI291" si="185">AJ285+AO285+AT285+AY285+BD285+BI285+BN285+BS285+BX285+CC285</f>
        <v>89176000</v>
      </c>
      <c r="AF285" s="89">
        <f t="shared" si="185"/>
        <v>89176000</v>
      </c>
      <c r="AG285" s="89">
        <f t="shared" si="185"/>
        <v>74970308.149999991</v>
      </c>
      <c r="AH285" s="89">
        <f t="shared" si="185"/>
        <v>74970308.149999991</v>
      </c>
      <c r="AI285" s="89">
        <f t="shared" si="185"/>
        <v>0</v>
      </c>
      <c r="AJ285" s="91"/>
      <c r="AK285" s="91"/>
      <c r="AL285" s="91"/>
      <c r="AM285" s="91"/>
      <c r="AN285" s="91"/>
      <c r="AO285" s="91"/>
      <c r="AP285" s="91"/>
      <c r="AQ285" s="91"/>
      <c r="AR285" s="91"/>
      <c r="AS285" s="91"/>
      <c r="AT285" s="91"/>
      <c r="AU285" s="91"/>
      <c r="AV285" s="91"/>
      <c r="AW285" s="91"/>
      <c r="AX285" s="91"/>
      <c r="AY285" s="91"/>
      <c r="AZ285" s="91"/>
      <c r="BA285" s="91"/>
      <c r="BB285" s="91"/>
      <c r="BC285" s="91"/>
      <c r="BD285" s="91"/>
      <c r="BE285" s="91"/>
      <c r="BF285" s="91"/>
      <c r="BG285" s="91"/>
      <c r="BH285" s="91"/>
      <c r="BI285" s="91"/>
      <c r="BJ285" s="91"/>
      <c r="BK285" s="91"/>
      <c r="BL285" s="91"/>
      <c r="BM285" s="91"/>
      <c r="BN285" s="91"/>
      <c r="BO285" s="91"/>
      <c r="BP285" s="91"/>
      <c r="BQ285" s="91"/>
      <c r="BR285" s="91"/>
      <c r="BS285" s="91"/>
      <c r="BT285" s="91"/>
      <c r="BU285" s="91"/>
      <c r="BV285" s="91"/>
      <c r="BW285" s="91"/>
      <c r="BX285" s="91"/>
      <c r="BY285" s="91"/>
      <c r="BZ285" s="91"/>
      <c r="CA285" s="91"/>
      <c r="CB285" s="91"/>
      <c r="CC285" s="91">
        <v>89176000</v>
      </c>
      <c r="CD285" s="91">
        <v>89176000</v>
      </c>
      <c r="CE285" s="91">
        <v>74970308.149999991</v>
      </c>
      <c r="CF285" s="91">
        <v>74970308.149999991</v>
      </c>
      <c r="CG285" s="91"/>
      <c r="CH285" s="91">
        <f t="shared" si="157"/>
        <v>11382603.517037001</v>
      </c>
      <c r="CI285" s="91"/>
      <c r="CJ285" s="91">
        <v>11382603.517037001</v>
      </c>
      <c r="CK285" s="91"/>
      <c r="CL285" s="91"/>
      <c r="CM285" s="91"/>
      <c r="CN285" s="91"/>
      <c r="CO285" s="91"/>
      <c r="CP285" s="91"/>
      <c r="CQ285" s="91"/>
      <c r="CR285" s="91"/>
      <c r="CS285" s="91">
        <f t="shared" ref="CS285:CS291" si="186">CT285+CU285+CV285+CW285+CX285+CY285+CZ285+DA285+DB285+DC285</f>
        <v>0</v>
      </c>
      <c r="CT285" s="91"/>
      <c r="CU285" s="91"/>
      <c r="CV285" s="91"/>
      <c r="CW285" s="91"/>
      <c r="CX285" s="91"/>
      <c r="CY285" s="91"/>
      <c r="CZ285" s="91"/>
      <c r="DA285" s="91"/>
      <c r="DB285" s="91"/>
      <c r="DC285" s="91"/>
      <c r="DD285" s="91">
        <f t="shared" ref="DD285:DD291" si="187">DE285+DF285+DG285+DH285+DI285+DJ285+DK285+DL285+DM285+DN285</f>
        <v>0</v>
      </c>
      <c r="DE285" s="91"/>
      <c r="DF285" s="91"/>
      <c r="DG285" s="91"/>
      <c r="DH285" s="91"/>
      <c r="DI285" s="91"/>
      <c r="DJ285" s="91"/>
      <c r="DK285" s="91"/>
      <c r="DL285" s="91"/>
      <c r="DM285" s="91"/>
      <c r="DN285" s="92"/>
      <c r="DO285" s="93">
        <f t="shared" ref="DO285:DO291" si="188">AE285+CH285+CS285+DD285</f>
        <v>100558603.517037</v>
      </c>
    </row>
    <row r="286" spans="1:119" s="225" customFormat="1" ht="78.75" customHeight="1" x14ac:dyDescent="0.2">
      <c r="A286" s="64">
        <v>3</v>
      </c>
      <c r="B286" s="256" t="s">
        <v>41</v>
      </c>
      <c r="C286" s="59" t="s">
        <v>924</v>
      </c>
      <c r="D286" s="59" t="s">
        <v>298</v>
      </c>
      <c r="E286" s="55" t="s">
        <v>1459</v>
      </c>
      <c r="F286" s="13">
        <v>2018</v>
      </c>
      <c r="G286" s="59" t="s">
        <v>1094</v>
      </c>
      <c r="H286" s="125">
        <v>4.9799999999999997E-2</v>
      </c>
      <c r="I286" s="13">
        <v>40</v>
      </c>
      <c r="J286" s="13" t="s">
        <v>1712</v>
      </c>
      <c r="K286" s="50">
        <v>7</v>
      </c>
      <c r="L286" s="13" t="s">
        <v>1104</v>
      </c>
      <c r="M286" s="244">
        <v>23</v>
      </c>
      <c r="N286" s="248">
        <v>4001</v>
      </c>
      <c r="O286" s="245" t="s">
        <v>50</v>
      </c>
      <c r="P286" s="13" t="s">
        <v>1460</v>
      </c>
      <c r="Q286" s="13" t="s">
        <v>1461</v>
      </c>
      <c r="R286" s="13" t="s">
        <v>1461</v>
      </c>
      <c r="S286" s="59" t="s">
        <v>1462</v>
      </c>
      <c r="T286" s="13" t="s">
        <v>1463</v>
      </c>
      <c r="U286" s="13" t="s">
        <v>1464</v>
      </c>
      <c r="V286" s="13" t="s">
        <v>1464</v>
      </c>
      <c r="W286" s="87" t="s">
        <v>1462</v>
      </c>
      <c r="X286" s="13" t="s">
        <v>9</v>
      </c>
      <c r="Y286" s="13">
        <v>100</v>
      </c>
      <c r="Z286" s="13"/>
      <c r="AA286" s="13"/>
      <c r="AB286" s="13">
        <v>35</v>
      </c>
      <c r="AC286" s="13">
        <v>35</v>
      </c>
      <c r="AD286" s="13">
        <v>30</v>
      </c>
      <c r="AE286" s="89">
        <f t="shared" si="185"/>
        <v>0</v>
      </c>
      <c r="AF286" s="89">
        <f t="shared" si="185"/>
        <v>0</v>
      </c>
      <c r="AG286" s="89">
        <f t="shared" si="185"/>
        <v>0</v>
      </c>
      <c r="AH286" s="89">
        <f t="shared" si="185"/>
        <v>0</v>
      </c>
      <c r="AI286" s="89">
        <f t="shared" si="185"/>
        <v>0</v>
      </c>
      <c r="AJ286" s="91"/>
      <c r="AK286" s="91"/>
      <c r="AL286" s="91"/>
      <c r="AM286" s="91"/>
      <c r="AN286" s="91"/>
      <c r="AO286" s="91"/>
      <c r="AP286" s="91"/>
      <c r="AQ286" s="91"/>
      <c r="AR286" s="91"/>
      <c r="AS286" s="91"/>
      <c r="AT286" s="91"/>
      <c r="AU286" s="91"/>
      <c r="AV286" s="91"/>
      <c r="AW286" s="91"/>
      <c r="AX286" s="91"/>
      <c r="AY286" s="91"/>
      <c r="AZ286" s="91"/>
      <c r="BA286" s="91"/>
      <c r="BB286" s="91"/>
      <c r="BC286" s="91"/>
      <c r="BD286" s="91"/>
      <c r="BE286" s="91"/>
      <c r="BF286" s="91"/>
      <c r="BG286" s="91"/>
      <c r="BH286" s="91"/>
      <c r="BI286" s="91"/>
      <c r="BJ286" s="91"/>
      <c r="BK286" s="91"/>
      <c r="BL286" s="91"/>
      <c r="BM286" s="91"/>
      <c r="BN286" s="91"/>
      <c r="BO286" s="91"/>
      <c r="BP286" s="91"/>
      <c r="BQ286" s="91"/>
      <c r="BR286" s="91"/>
      <c r="BS286" s="91"/>
      <c r="BT286" s="91"/>
      <c r="BU286" s="91"/>
      <c r="BV286" s="91"/>
      <c r="BW286" s="91"/>
      <c r="BX286" s="91"/>
      <c r="BY286" s="91"/>
      <c r="BZ286" s="91"/>
      <c r="CA286" s="91"/>
      <c r="CB286" s="91"/>
      <c r="CC286" s="91"/>
      <c r="CD286" s="91"/>
      <c r="CE286" s="91"/>
      <c r="CF286" s="91"/>
      <c r="CG286" s="91"/>
      <c r="CH286" s="91">
        <f t="shared" si="157"/>
        <v>0</v>
      </c>
      <c r="CI286" s="91"/>
      <c r="CJ286" s="91"/>
      <c r="CK286" s="91"/>
      <c r="CL286" s="91"/>
      <c r="CM286" s="91"/>
      <c r="CN286" s="91"/>
      <c r="CO286" s="91"/>
      <c r="CP286" s="91"/>
      <c r="CQ286" s="91"/>
      <c r="CR286" s="91"/>
      <c r="CS286" s="91">
        <f t="shared" si="186"/>
        <v>0</v>
      </c>
      <c r="CT286" s="91"/>
      <c r="CU286" s="91"/>
      <c r="CV286" s="91"/>
      <c r="CW286" s="91"/>
      <c r="CX286" s="91"/>
      <c r="CY286" s="91"/>
      <c r="CZ286" s="91"/>
      <c r="DA286" s="91"/>
      <c r="DB286" s="91"/>
      <c r="DC286" s="91"/>
      <c r="DD286" s="91">
        <f t="shared" si="187"/>
        <v>300000000</v>
      </c>
      <c r="DE286" s="91"/>
      <c r="DF286" s="91">
        <v>300000000</v>
      </c>
      <c r="DG286" s="91"/>
      <c r="DH286" s="91"/>
      <c r="DI286" s="91"/>
      <c r="DJ286" s="91"/>
      <c r="DK286" s="91"/>
      <c r="DL286" s="91"/>
      <c r="DM286" s="91"/>
      <c r="DN286" s="92"/>
      <c r="DO286" s="93">
        <f t="shared" si="188"/>
        <v>300000000</v>
      </c>
    </row>
    <row r="287" spans="1:119" s="225" customFormat="1" ht="78.75" customHeight="1" x14ac:dyDescent="0.2">
      <c r="A287" s="64">
        <v>3</v>
      </c>
      <c r="B287" s="256" t="s">
        <v>41</v>
      </c>
      <c r="C287" s="59" t="s">
        <v>924</v>
      </c>
      <c r="D287" s="59" t="s">
        <v>51</v>
      </c>
      <c r="E287" s="55" t="s">
        <v>1093</v>
      </c>
      <c r="F287" s="13">
        <v>2018</v>
      </c>
      <c r="G287" s="59" t="s">
        <v>1094</v>
      </c>
      <c r="H287" s="125">
        <v>0.14630000000000001</v>
      </c>
      <c r="I287" s="13">
        <v>40</v>
      </c>
      <c r="J287" s="13" t="s">
        <v>1712</v>
      </c>
      <c r="K287" s="50">
        <v>7</v>
      </c>
      <c r="L287" s="13" t="s">
        <v>1104</v>
      </c>
      <c r="M287" s="244">
        <v>23</v>
      </c>
      <c r="N287" s="248">
        <v>4001</v>
      </c>
      <c r="O287" s="245" t="s">
        <v>50</v>
      </c>
      <c r="P287" s="13" t="s">
        <v>1465</v>
      </c>
      <c r="Q287" s="13" t="s">
        <v>1466</v>
      </c>
      <c r="R287" s="13" t="s">
        <v>1466</v>
      </c>
      <c r="S287" s="59" t="s">
        <v>1467</v>
      </c>
      <c r="T287" s="13" t="s">
        <v>1468</v>
      </c>
      <c r="U287" s="13" t="s">
        <v>1469</v>
      </c>
      <c r="V287" s="13" t="s">
        <v>1469</v>
      </c>
      <c r="W287" s="87" t="s">
        <v>1467</v>
      </c>
      <c r="X287" s="13" t="s">
        <v>9</v>
      </c>
      <c r="Y287" s="13">
        <v>300</v>
      </c>
      <c r="Z287" s="13">
        <v>10</v>
      </c>
      <c r="AA287" s="13">
        <v>0</v>
      </c>
      <c r="AB287" s="13">
        <v>50</v>
      </c>
      <c r="AC287" s="13">
        <v>120</v>
      </c>
      <c r="AD287" s="13">
        <v>120</v>
      </c>
      <c r="AE287" s="89">
        <f t="shared" si="185"/>
        <v>702546165</v>
      </c>
      <c r="AF287" s="89">
        <f t="shared" si="185"/>
        <v>129129296.87</v>
      </c>
      <c r="AG287" s="89">
        <f t="shared" si="185"/>
        <v>36850621</v>
      </c>
      <c r="AH287" s="89">
        <f t="shared" si="185"/>
        <v>36850621</v>
      </c>
      <c r="AI287" s="89">
        <f t="shared" si="185"/>
        <v>0</v>
      </c>
      <c r="AJ287" s="91"/>
      <c r="AK287" s="91">
        <v>129129296.87</v>
      </c>
      <c r="AL287" s="91">
        <v>36850621</v>
      </c>
      <c r="AM287" s="91">
        <v>36850621</v>
      </c>
      <c r="AN287" s="91"/>
      <c r="AO287" s="91">
        <v>702546165</v>
      </c>
      <c r="AP287" s="91"/>
      <c r="AQ287" s="91"/>
      <c r="AR287" s="91"/>
      <c r="AS287" s="91"/>
      <c r="AT287" s="91"/>
      <c r="AU287" s="91"/>
      <c r="AV287" s="91"/>
      <c r="AW287" s="91"/>
      <c r="AX287" s="91"/>
      <c r="AY287" s="91"/>
      <c r="AZ287" s="91"/>
      <c r="BA287" s="91"/>
      <c r="BB287" s="91"/>
      <c r="BC287" s="91"/>
      <c r="BD287" s="91"/>
      <c r="BE287" s="91"/>
      <c r="BF287" s="91"/>
      <c r="BG287" s="91"/>
      <c r="BH287" s="91"/>
      <c r="BI287" s="91"/>
      <c r="BJ287" s="91"/>
      <c r="BK287" s="91"/>
      <c r="BL287" s="91"/>
      <c r="BM287" s="91"/>
      <c r="BN287" s="91"/>
      <c r="BO287" s="91"/>
      <c r="BP287" s="91"/>
      <c r="BQ287" s="91"/>
      <c r="BR287" s="91"/>
      <c r="BS287" s="91"/>
      <c r="BT287" s="91"/>
      <c r="BU287" s="91"/>
      <c r="BV287" s="91"/>
      <c r="BW287" s="91"/>
      <c r="BX287" s="91"/>
      <c r="BY287" s="91"/>
      <c r="BZ287" s="91"/>
      <c r="CA287" s="91"/>
      <c r="CB287" s="91"/>
      <c r="CC287" s="91"/>
      <c r="CD287" s="91"/>
      <c r="CE287" s="91"/>
      <c r="CF287" s="91"/>
      <c r="CG287" s="91"/>
      <c r="CH287" s="91">
        <f t="shared" si="157"/>
        <v>175041140.24074101</v>
      </c>
      <c r="CI287" s="91"/>
      <c r="CJ287" s="91">
        <v>175041140.24074101</v>
      </c>
      <c r="CK287" s="91"/>
      <c r="CL287" s="91"/>
      <c r="CM287" s="91"/>
      <c r="CN287" s="91"/>
      <c r="CO287" s="91"/>
      <c r="CP287" s="91"/>
      <c r="CQ287" s="91"/>
      <c r="CR287" s="91"/>
      <c r="CS287" s="91">
        <f t="shared" si="186"/>
        <v>205774169.74074101</v>
      </c>
      <c r="CT287" s="91"/>
      <c r="CU287" s="91">
        <v>205774169.74074101</v>
      </c>
      <c r="CV287" s="91"/>
      <c r="CW287" s="91"/>
      <c r="CX287" s="91"/>
      <c r="CY287" s="91"/>
      <c r="CZ287" s="91"/>
      <c r="DA287" s="91"/>
      <c r="DB287" s="91"/>
      <c r="DC287" s="91"/>
      <c r="DD287" s="91">
        <f t="shared" si="187"/>
        <v>0</v>
      </c>
      <c r="DE287" s="91"/>
      <c r="DF287" s="91"/>
      <c r="DG287" s="91"/>
      <c r="DH287" s="91"/>
      <c r="DI287" s="91"/>
      <c r="DJ287" s="91"/>
      <c r="DK287" s="91"/>
      <c r="DL287" s="91"/>
      <c r="DM287" s="91"/>
      <c r="DN287" s="92"/>
      <c r="DO287" s="93">
        <f t="shared" si="188"/>
        <v>1083361474.981482</v>
      </c>
    </row>
    <row r="288" spans="1:119" s="225" customFormat="1" ht="78.75" customHeight="1" x14ac:dyDescent="0.2">
      <c r="A288" s="64">
        <v>3</v>
      </c>
      <c r="B288" s="256" t="s">
        <v>41</v>
      </c>
      <c r="C288" s="59" t="s">
        <v>924</v>
      </c>
      <c r="D288" s="59" t="s">
        <v>298</v>
      </c>
      <c r="E288" s="55" t="s">
        <v>1459</v>
      </c>
      <c r="F288" s="13">
        <v>2018</v>
      </c>
      <c r="G288" s="59" t="s">
        <v>1094</v>
      </c>
      <c r="H288" s="125">
        <v>4.9799999999999997E-2</v>
      </c>
      <c r="I288" s="13">
        <v>40</v>
      </c>
      <c r="J288" s="13" t="s">
        <v>1712</v>
      </c>
      <c r="K288" s="50">
        <v>7</v>
      </c>
      <c r="L288" s="13" t="s">
        <v>1104</v>
      </c>
      <c r="M288" s="244">
        <v>23</v>
      </c>
      <c r="N288" s="248">
        <v>4001</v>
      </c>
      <c r="O288" s="245" t="s">
        <v>50</v>
      </c>
      <c r="P288" s="13" t="s">
        <v>1470</v>
      </c>
      <c r="Q288" s="13" t="s">
        <v>1471</v>
      </c>
      <c r="R288" s="13">
        <v>4001017</v>
      </c>
      <c r="S288" s="59" t="s">
        <v>1472</v>
      </c>
      <c r="T288" s="13" t="s">
        <v>1473</v>
      </c>
      <c r="U288" s="13" t="s">
        <v>1474</v>
      </c>
      <c r="V288" s="13" t="s">
        <v>1474</v>
      </c>
      <c r="W288" s="87" t="s">
        <v>1472</v>
      </c>
      <c r="X288" s="13" t="s">
        <v>9</v>
      </c>
      <c r="Y288" s="13">
        <v>100</v>
      </c>
      <c r="Z288" s="13">
        <v>25</v>
      </c>
      <c r="AA288" s="13">
        <v>0</v>
      </c>
      <c r="AB288" s="13">
        <v>25</v>
      </c>
      <c r="AC288" s="13">
        <v>25</v>
      </c>
      <c r="AD288" s="13">
        <v>25</v>
      </c>
      <c r="AE288" s="89">
        <f t="shared" si="185"/>
        <v>100000000</v>
      </c>
      <c r="AF288" s="89">
        <f t="shared" si="185"/>
        <v>100000000</v>
      </c>
      <c r="AG288" s="89">
        <f t="shared" si="185"/>
        <v>42921579</v>
      </c>
      <c r="AH288" s="89">
        <f t="shared" si="185"/>
        <v>42921579</v>
      </c>
      <c r="AI288" s="89">
        <f t="shared" si="185"/>
        <v>0</v>
      </c>
      <c r="AJ288" s="91"/>
      <c r="AK288" s="91"/>
      <c r="AL288" s="91"/>
      <c r="AM288" s="91"/>
      <c r="AN288" s="91"/>
      <c r="AO288" s="91"/>
      <c r="AP288" s="91"/>
      <c r="AQ288" s="91"/>
      <c r="AR288" s="91"/>
      <c r="AS288" s="91"/>
      <c r="AT288" s="91"/>
      <c r="AU288" s="91"/>
      <c r="AV288" s="91"/>
      <c r="AW288" s="91"/>
      <c r="AX288" s="91"/>
      <c r="AY288" s="91"/>
      <c r="AZ288" s="91"/>
      <c r="BA288" s="91"/>
      <c r="BB288" s="91"/>
      <c r="BC288" s="91"/>
      <c r="BD288" s="91"/>
      <c r="BE288" s="91"/>
      <c r="BF288" s="91"/>
      <c r="BG288" s="91"/>
      <c r="BH288" s="91"/>
      <c r="BI288" s="91"/>
      <c r="BJ288" s="91"/>
      <c r="BK288" s="91"/>
      <c r="BL288" s="91"/>
      <c r="BM288" s="91"/>
      <c r="BN288" s="91"/>
      <c r="BO288" s="91"/>
      <c r="BP288" s="91"/>
      <c r="BQ288" s="91"/>
      <c r="BR288" s="91"/>
      <c r="BS288" s="91"/>
      <c r="BT288" s="91"/>
      <c r="BU288" s="91"/>
      <c r="BV288" s="91"/>
      <c r="BW288" s="91"/>
      <c r="BX288" s="91"/>
      <c r="BY288" s="91"/>
      <c r="BZ288" s="91"/>
      <c r="CA288" s="91"/>
      <c r="CB288" s="91"/>
      <c r="CC288" s="91">
        <v>100000000</v>
      </c>
      <c r="CD288" s="91">
        <v>100000000</v>
      </c>
      <c r="CE288" s="91">
        <v>42921579</v>
      </c>
      <c r="CF288" s="91">
        <v>42921579</v>
      </c>
      <c r="CG288" s="91"/>
      <c r="CH288" s="91">
        <f t="shared" si="157"/>
        <v>0</v>
      </c>
      <c r="CI288" s="91"/>
      <c r="CJ288" s="91"/>
      <c r="CK288" s="91"/>
      <c r="CL288" s="91"/>
      <c r="CM288" s="91"/>
      <c r="CN288" s="91"/>
      <c r="CO288" s="91"/>
      <c r="CP288" s="91"/>
      <c r="CQ288" s="91"/>
      <c r="CR288" s="91"/>
      <c r="CS288" s="91">
        <f t="shared" si="186"/>
        <v>358165728.66666698</v>
      </c>
      <c r="CT288" s="91"/>
      <c r="CU288" s="91">
        <v>358165728.66666698</v>
      </c>
      <c r="CV288" s="91"/>
      <c r="CW288" s="91"/>
      <c r="CX288" s="91"/>
      <c r="CY288" s="91"/>
      <c r="CZ288" s="91"/>
      <c r="DA288" s="91"/>
      <c r="DB288" s="91"/>
      <c r="DC288" s="91"/>
      <c r="DD288" s="91">
        <f t="shared" si="187"/>
        <v>224344807</v>
      </c>
      <c r="DE288" s="91"/>
      <c r="DF288" s="91">
        <v>224344807</v>
      </c>
      <c r="DG288" s="91"/>
      <c r="DH288" s="91"/>
      <c r="DI288" s="91"/>
      <c r="DJ288" s="91"/>
      <c r="DK288" s="91"/>
      <c r="DL288" s="91"/>
      <c r="DM288" s="91"/>
      <c r="DN288" s="92"/>
      <c r="DO288" s="93">
        <f t="shared" si="188"/>
        <v>682510535.66666698</v>
      </c>
    </row>
    <row r="289" spans="1:123" s="225" customFormat="1" ht="78.75" customHeight="1" x14ac:dyDescent="0.2">
      <c r="A289" s="64">
        <v>3</v>
      </c>
      <c r="B289" s="256" t="s">
        <v>41</v>
      </c>
      <c r="C289" s="59" t="s">
        <v>924</v>
      </c>
      <c r="D289" s="59" t="s">
        <v>297</v>
      </c>
      <c r="E289" s="55" t="s">
        <v>1093</v>
      </c>
      <c r="F289" s="13">
        <v>2018</v>
      </c>
      <c r="G289" s="59" t="s">
        <v>1094</v>
      </c>
      <c r="H289" s="125">
        <v>0.14630000000000001</v>
      </c>
      <c r="I289" s="13">
        <v>40</v>
      </c>
      <c r="J289" s="13" t="s">
        <v>1712</v>
      </c>
      <c r="K289" s="50">
        <v>7</v>
      </c>
      <c r="L289" s="13" t="s">
        <v>1104</v>
      </c>
      <c r="M289" s="244">
        <v>23</v>
      </c>
      <c r="N289" s="248">
        <v>4001</v>
      </c>
      <c r="O289" s="245" t="s">
        <v>50</v>
      </c>
      <c r="P289" s="13" t="s">
        <v>1475</v>
      </c>
      <c r="Q289" s="13" t="s">
        <v>1476</v>
      </c>
      <c r="R289" s="13" t="s">
        <v>1476</v>
      </c>
      <c r="S289" s="59" t="s">
        <v>1477</v>
      </c>
      <c r="T289" s="13" t="s">
        <v>1478</v>
      </c>
      <c r="U289" s="13" t="s">
        <v>1479</v>
      </c>
      <c r="V289" s="13" t="s">
        <v>1479</v>
      </c>
      <c r="W289" s="87" t="s">
        <v>1477</v>
      </c>
      <c r="X289" s="13" t="s">
        <v>9</v>
      </c>
      <c r="Y289" s="13">
        <v>300</v>
      </c>
      <c r="Z289" s="13">
        <v>75</v>
      </c>
      <c r="AA289" s="13">
        <v>52</v>
      </c>
      <c r="AB289" s="13">
        <v>75</v>
      </c>
      <c r="AC289" s="13">
        <v>75</v>
      </c>
      <c r="AD289" s="13">
        <v>75</v>
      </c>
      <c r="AE289" s="89">
        <f t="shared" si="185"/>
        <v>172569444</v>
      </c>
      <c r="AF289" s="89">
        <f t="shared" si="185"/>
        <v>170814443.5</v>
      </c>
      <c r="AG289" s="89">
        <f t="shared" si="185"/>
        <v>170041333.33000001</v>
      </c>
      <c r="AH289" s="89">
        <f t="shared" si="185"/>
        <v>170041333.33000001</v>
      </c>
      <c r="AI289" s="89">
        <f t="shared" si="185"/>
        <v>0</v>
      </c>
      <c r="AJ289" s="91"/>
      <c r="AK289" s="91"/>
      <c r="AL289" s="91"/>
      <c r="AM289" s="91"/>
      <c r="AN289" s="91"/>
      <c r="AO289" s="91">
        <v>172569444</v>
      </c>
      <c r="AP289" s="91"/>
      <c r="AQ289" s="91"/>
      <c r="AR289" s="91"/>
      <c r="AS289" s="91"/>
      <c r="AT289" s="91"/>
      <c r="AU289" s="91"/>
      <c r="AV289" s="91"/>
      <c r="AW289" s="91"/>
      <c r="AX289" s="91"/>
      <c r="AY289" s="91"/>
      <c r="AZ289" s="91"/>
      <c r="BA289" s="91"/>
      <c r="BB289" s="91"/>
      <c r="BC289" s="91"/>
      <c r="BD289" s="91"/>
      <c r="BE289" s="91"/>
      <c r="BF289" s="91"/>
      <c r="BG289" s="91"/>
      <c r="BH289" s="91"/>
      <c r="BI289" s="91"/>
      <c r="BJ289" s="91"/>
      <c r="BK289" s="91"/>
      <c r="BL289" s="91"/>
      <c r="BM289" s="91"/>
      <c r="BN289" s="91"/>
      <c r="BO289" s="91"/>
      <c r="BP289" s="91"/>
      <c r="BQ289" s="91"/>
      <c r="BR289" s="91"/>
      <c r="BS289" s="91"/>
      <c r="BT289" s="91"/>
      <c r="BU289" s="91"/>
      <c r="BV289" s="91"/>
      <c r="BW289" s="91"/>
      <c r="BX289" s="91"/>
      <c r="BY289" s="91"/>
      <c r="BZ289" s="91"/>
      <c r="CA289" s="91"/>
      <c r="CB289" s="91"/>
      <c r="CC289" s="91"/>
      <c r="CD289" s="91">
        <v>170814443.5</v>
      </c>
      <c r="CE289" s="91">
        <v>170041333.33000001</v>
      </c>
      <c r="CF289" s="91">
        <v>170041333.33000001</v>
      </c>
      <c r="CG289" s="91"/>
      <c r="CH289" s="91">
        <f t="shared" si="157"/>
        <v>195396216.14407101</v>
      </c>
      <c r="CI289" s="91"/>
      <c r="CJ289" s="91">
        <v>195396216.14407101</v>
      </c>
      <c r="CK289" s="91"/>
      <c r="CL289" s="91"/>
      <c r="CM289" s="91"/>
      <c r="CN289" s="91"/>
      <c r="CO289" s="91"/>
      <c r="CP289" s="91"/>
      <c r="CQ289" s="91"/>
      <c r="CR289" s="91"/>
      <c r="CS289" s="91">
        <f t="shared" si="186"/>
        <v>0</v>
      </c>
      <c r="CT289" s="91"/>
      <c r="CU289" s="91"/>
      <c r="CV289" s="91"/>
      <c r="CW289" s="91"/>
      <c r="CX289" s="91"/>
      <c r="CY289" s="91"/>
      <c r="CZ289" s="91"/>
      <c r="DA289" s="91"/>
      <c r="DB289" s="91"/>
      <c r="DC289" s="91"/>
      <c r="DD289" s="91">
        <f t="shared" si="187"/>
        <v>247221187.055556</v>
      </c>
      <c r="DE289" s="91"/>
      <c r="DF289" s="91">
        <v>247221187.055556</v>
      </c>
      <c r="DG289" s="91"/>
      <c r="DH289" s="91"/>
      <c r="DI289" s="91"/>
      <c r="DJ289" s="91"/>
      <c r="DK289" s="91"/>
      <c r="DL289" s="91"/>
      <c r="DM289" s="91"/>
      <c r="DN289" s="92"/>
      <c r="DO289" s="93">
        <f t="shared" si="188"/>
        <v>615186847.19962692</v>
      </c>
    </row>
    <row r="290" spans="1:123" s="225" customFormat="1" ht="78.75" customHeight="1" x14ac:dyDescent="0.2">
      <c r="A290" s="64">
        <v>3</v>
      </c>
      <c r="B290" s="256" t="s">
        <v>41</v>
      </c>
      <c r="C290" s="59" t="s">
        <v>924</v>
      </c>
      <c r="D290" s="59" t="s">
        <v>297</v>
      </c>
      <c r="E290" s="55" t="s">
        <v>1093</v>
      </c>
      <c r="F290" s="13">
        <v>2018</v>
      </c>
      <c r="G290" s="59" t="s">
        <v>1094</v>
      </c>
      <c r="H290" s="125">
        <v>0.14630000000000001</v>
      </c>
      <c r="I290" s="13">
        <v>40</v>
      </c>
      <c r="J290" s="13" t="s">
        <v>1712</v>
      </c>
      <c r="K290" s="50">
        <v>7</v>
      </c>
      <c r="L290" s="13" t="s">
        <v>1104</v>
      </c>
      <c r="M290" s="244">
        <v>23</v>
      </c>
      <c r="N290" s="248">
        <v>4001</v>
      </c>
      <c r="O290" s="245" t="s">
        <v>50</v>
      </c>
      <c r="P290" s="13" t="s">
        <v>1480</v>
      </c>
      <c r="Q290" s="13" t="s">
        <v>1481</v>
      </c>
      <c r="R290" s="13" t="s">
        <v>1481</v>
      </c>
      <c r="S290" s="59" t="s">
        <v>59</v>
      </c>
      <c r="T290" s="13" t="s">
        <v>1482</v>
      </c>
      <c r="U290" s="13" t="s">
        <v>1483</v>
      </c>
      <c r="V290" s="13" t="s">
        <v>1483</v>
      </c>
      <c r="W290" s="87" t="s">
        <v>1122</v>
      </c>
      <c r="X290" s="13" t="s">
        <v>9</v>
      </c>
      <c r="Y290" s="13">
        <v>12</v>
      </c>
      <c r="Z290" s="13">
        <v>3</v>
      </c>
      <c r="AA290" s="13">
        <v>0</v>
      </c>
      <c r="AB290" s="13">
        <v>3</v>
      </c>
      <c r="AC290" s="13">
        <v>3</v>
      </c>
      <c r="AD290" s="13">
        <v>3</v>
      </c>
      <c r="AE290" s="89">
        <f t="shared" si="185"/>
        <v>200000000</v>
      </c>
      <c r="AF290" s="89">
        <f t="shared" si="185"/>
        <v>50971986</v>
      </c>
      <c r="AG290" s="89">
        <f t="shared" si="185"/>
        <v>32000000</v>
      </c>
      <c r="AH290" s="89">
        <f t="shared" si="185"/>
        <v>32000000</v>
      </c>
      <c r="AI290" s="89">
        <f t="shared" si="185"/>
        <v>0</v>
      </c>
      <c r="AJ290" s="91"/>
      <c r="AK290" s="91"/>
      <c r="AL290" s="91"/>
      <c r="AM290" s="91"/>
      <c r="AN290" s="91"/>
      <c r="AO290" s="91">
        <v>200000000</v>
      </c>
      <c r="AP290" s="91"/>
      <c r="AQ290" s="91"/>
      <c r="AR290" s="91"/>
      <c r="AS290" s="91"/>
      <c r="AT290" s="91"/>
      <c r="AU290" s="91"/>
      <c r="AV290" s="91"/>
      <c r="AW290" s="91"/>
      <c r="AX290" s="91"/>
      <c r="AY290" s="91"/>
      <c r="AZ290" s="91"/>
      <c r="BA290" s="91"/>
      <c r="BB290" s="91"/>
      <c r="BC290" s="91"/>
      <c r="BD290" s="91"/>
      <c r="BE290" s="91"/>
      <c r="BF290" s="91"/>
      <c r="BG290" s="91"/>
      <c r="BH290" s="91"/>
      <c r="BI290" s="91"/>
      <c r="BJ290" s="91"/>
      <c r="BK290" s="91"/>
      <c r="BL290" s="91"/>
      <c r="BM290" s="91"/>
      <c r="BN290" s="91"/>
      <c r="BO290" s="91"/>
      <c r="BP290" s="91"/>
      <c r="BQ290" s="91"/>
      <c r="BR290" s="91"/>
      <c r="BS290" s="91"/>
      <c r="BT290" s="91"/>
      <c r="BU290" s="91"/>
      <c r="BV290" s="91"/>
      <c r="BW290" s="91"/>
      <c r="BX290" s="91"/>
      <c r="BY290" s="91"/>
      <c r="BZ290" s="91"/>
      <c r="CA290" s="91"/>
      <c r="CB290" s="91"/>
      <c r="CC290" s="91"/>
      <c r="CD290" s="91">
        <v>50971986</v>
      </c>
      <c r="CE290" s="91">
        <v>32000000</v>
      </c>
      <c r="CF290" s="91">
        <v>32000000</v>
      </c>
      <c r="CG290" s="91"/>
      <c r="CH290" s="91">
        <f t="shared" si="157"/>
        <v>200000000</v>
      </c>
      <c r="CI290" s="91"/>
      <c r="CJ290" s="91">
        <v>200000000</v>
      </c>
      <c r="CK290" s="91"/>
      <c r="CL290" s="91"/>
      <c r="CM290" s="91"/>
      <c r="CN290" s="91"/>
      <c r="CO290" s="91"/>
      <c r="CP290" s="91"/>
      <c r="CQ290" s="91"/>
      <c r="CR290" s="91"/>
      <c r="CS290" s="91">
        <f t="shared" si="186"/>
        <v>0</v>
      </c>
      <c r="CT290" s="91"/>
      <c r="CU290" s="91"/>
      <c r="CV290" s="91"/>
      <c r="CW290" s="91"/>
      <c r="CX290" s="91"/>
      <c r="CY290" s="91"/>
      <c r="CZ290" s="91"/>
      <c r="DA290" s="91"/>
      <c r="DB290" s="91"/>
      <c r="DC290" s="91"/>
      <c r="DD290" s="91">
        <f t="shared" si="187"/>
        <v>0</v>
      </c>
      <c r="DE290" s="91"/>
      <c r="DF290" s="91"/>
      <c r="DG290" s="91"/>
      <c r="DH290" s="91"/>
      <c r="DI290" s="91"/>
      <c r="DJ290" s="91"/>
      <c r="DK290" s="91"/>
      <c r="DL290" s="91"/>
      <c r="DM290" s="91"/>
      <c r="DN290" s="92"/>
      <c r="DO290" s="93">
        <f t="shared" si="188"/>
        <v>400000000</v>
      </c>
    </row>
    <row r="291" spans="1:123" s="225" customFormat="1" ht="78.75" customHeight="1" x14ac:dyDescent="0.2">
      <c r="A291" s="64">
        <v>3</v>
      </c>
      <c r="B291" s="256" t="s">
        <v>41</v>
      </c>
      <c r="C291" s="59" t="s">
        <v>924</v>
      </c>
      <c r="D291" s="59" t="s">
        <v>297</v>
      </c>
      <c r="E291" s="55" t="s">
        <v>1093</v>
      </c>
      <c r="F291" s="13">
        <v>2018</v>
      </c>
      <c r="G291" s="59" t="s">
        <v>1094</v>
      </c>
      <c r="H291" s="125">
        <v>0.14630000000000001</v>
      </c>
      <c r="I291" s="13">
        <v>40</v>
      </c>
      <c r="J291" s="13" t="s">
        <v>1712</v>
      </c>
      <c r="K291" s="50">
        <v>7</v>
      </c>
      <c r="L291" s="13" t="s">
        <v>1104</v>
      </c>
      <c r="M291" s="244">
        <v>23</v>
      </c>
      <c r="N291" s="248">
        <v>4001</v>
      </c>
      <c r="O291" s="245" t="s">
        <v>50</v>
      </c>
      <c r="P291" s="13" t="s">
        <v>1095</v>
      </c>
      <c r="Q291" s="13" t="s">
        <v>1096</v>
      </c>
      <c r="R291" s="13" t="s">
        <v>1096</v>
      </c>
      <c r="S291" s="59" t="s">
        <v>1097</v>
      </c>
      <c r="T291" s="13" t="s">
        <v>1098</v>
      </c>
      <c r="U291" s="13" t="s">
        <v>1099</v>
      </c>
      <c r="V291" s="13" t="s">
        <v>1099</v>
      </c>
      <c r="W291" s="87" t="s">
        <v>1100</v>
      </c>
      <c r="X291" s="13" t="s">
        <v>1613</v>
      </c>
      <c r="Y291" s="13">
        <v>24</v>
      </c>
      <c r="Z291" s="13"/>
      <c r="AA291" s="13"/>
      <c r="AB291" s="13">
        <v>8</v>
      </c>
      <c r="AC291" s="13">
        <v>8</v>
      </c>
      <c r="AD291" s="13">
        <v>8</v>
      </c>
      <c r="AE291" s="89">
        <f t="shared" si="185"/>
        <v>0</v>
      </c>
      <c r="AF291" s="89">
        <f t="shared" si="185"/>
        <v>0</v>
      </c>
      <c r="AG291" s="89">
        <f t="shared" si="185"/>
        <v>0</v>
      </c>
      <c r="AH291" s="89">
        <f t="shared" si="185"/>
        <v>0</v>
      </c>
      <c r="AI291" s="89">
        <f t="shared" si="185"/>
        <v>0</v>
      </c>
      <c r="AJ291" s="91"/>
      <c r="AK291" s="91"/>
      <c r="AL291" s="91"/>
      <c r="AM291" s="91"/>
      <c r="AN291" s="91"/>
      <c r="AO291" s="91"/>
      <c r="AP291" s="91"/>
      <c r="AQ291" s="91"/>
      <c r="AR291" s="91"/>
      <c r="AS291" s="91"/>
      <c r="AT291" s="91"/>
      <c r="AU291" s="91"/>
      <c r="AV291" s="91"/>
      <c r="AW291" s="91"/>
      <c r="AX291" s="91"/>
      <c r="AY291" s="91"/>
      <c r="AZ291" s="91"/>
      <c r="BA291" s="91"/>
      <c r="BB291" s="91"/>
      <c r="BC291" s="91"/>
      <c r="BD291" s="91"/>
      <c r="BE291" s="91"/>
      <c r="BF291" s="91"/>
      <c r="BG291" s="91"/>
      <c r="BH291" s="91"/>
      <c r="BI291" s="91"/>
      <c r="BJ291" s="91"/>
      <c r="BK291" s="91"/>
      <c r="BL291" s="91"/>
      <c r="BM291" s="91"/>
      <c r="BN291" s="91"/>
      <c r="BO291" s="91"/>
      <c r="BP291" s="91"/>
      <c r="BQ291" s="91"/>
      <c r="BR291" s="91"/>
      <c r="BS291" s="91"/>
      <c r="BT291" s="91"/>
      <c r="BU291" s="91"/>
      <c r="BV291" s="91"/>
      <c r="BW291" s="91"/>
      <c r="BX291" s="91"/>
      <c r="BY291" s="91"/>
      <c r="BZ291" s="91"/>
      <c r="CA291" s="91"/>
      <c r="CB291" s="91"/>
      <c r="CC291" s="91"/>
      <c r="CD291" s="91"/>
      <c r="CE291" s="91"/>
      <c r="CF291" s="91"/>
      <c r="CG291" s="91"/>
      <c r="CH291" s="91">
        <f t="shared" si="157"/>
        <v>0</v>
      </c>
      <c r="CI291" s="91"/>
      <c r="CJ291" s="91"/>
      <c r="CK291" s="91"/>
      <c r="CL291" s="91"/>
      <c r="CM291" s="91"/>
      <c r="CN291" s="91"/>
      <c r="CO291" s="91"/>
      <c r="CP291" s="91"/>
      <c r="CQ291" s="91"/>
      <c r="CR291" s="91"/>
      <c r="CS291" s="91">
        <f t="shared" si="186"/>
        <v>110243980</v>
      </c>
      <c r="CT291" s="91"/>
      <c r="CU291" s="91">
        <v>110243980</v>
      </c>
      <c r="CV291" s="91"/>
      <c r="CW291" s="91"/>
      <c r="CX291" s="91"/>
      <c r="CY291" s="91"/>
      <c r="CZ291" s="91"/>
      <c r="DA291" s="91"/>
      <c r="DB291" s="91"/>
      <c r="DC291" s="91"/>
      <c r="DD291" s="91">
        <f t="shared" si="187"/>
        <v>0</v>
      </c>
      <c r="DE291" s="91"/>
      <c r="DF291" s="91"/>
      <c r="DG291" s="91"/>
      <c r="DH291" s="91"/>
      <c r="DI291" s="91"/>
      <c r="DJ291" s="91"/>
      <c r="DK291" s="91"/>
      <c r="DL291" s="91"/>
      <c r="DM291" s="91"/>
      <c r="DN291" s="92"/>
      <c r="DO291" s="93">
        <f t="shared" si="188"/>
        <v>110243980</v>
      </c>
    </row>
    <row r="292" spans="1:123" ht="25.5" customHeight="1" x14ac:dyDescent="0.2">
      <c r="A292" s="64"/>
      <c r="B292" s="255"/>
      <c r="C292" s="74"/>
      <c r="D292" s="74"/>
      <c r="E292" s="77"/>
      <c r="F292" s="74"/>
      <c r="G292" s="74"/>
      <c r="H292" s="77"/>
      <c r="I292" s="74"/>
      <c r="J292" s="74"/>
      <c r="K292" s="74"/>
      <c r="L292" s="74"/>
      <c r="M292" s="96">
        <v>34</v>
      </c>
      <c r="N292" s="96">
        <v>4003</v>
      </c>
      <c r="O292" s="97" t="s">
        <v>52</v>
      </c>
      <c r="P292" s="96"/>
      <c r="Q292" s="98"/>
      <c r="R292" s="98"/>
      <c r="S292" s="98"/>
      <c r="T292" s="98"/>
      <c r="U292" s="98"/>
      <c r="V292" s="98"/>
      <c r="W292" s="83"/>
      <c r="X292" s="83"/>
      <c r="Y292" s="84"/>
      <c r="Z292" s="84"/>
      <c r="AA292" s="84"/>
      <c r="AB292" s="84"/>
      <c r="AC292" s="84"/>
      <c r="AD292" s="81"/>
      <c r="AE292" s="85">
        <f>SUM(AE293:AE298)</f>
        <v>7192702877.1199999</v>
      </c>
      <c r="AF292" s="85">
        <f t="shared" ref="AF292:CQ292" si="189">SUM(AF293:AF298)</f>
        <v>2885729741.0500002</v>
      </c>
      <c r="AG292" s="85">
        <f t="shared" si="189"/>
        <v>2766983630</v>
      </c>
      <c r="AH292" s="85">
        <f t="shared" si="189"/>
        <v>2766983630</v>
      </c>
      <c r="AI292" s="85">
        <f t="shared" si="189"/>
        <v>32878079</v>
      </c>
      <c r="AJ292" s="85">
        <f t="shared" si="189"/>
        <v>30000000</v>
      </c>
      <c r="AK292" s="85">
        <f t="shared" si="189"/>
        <v>105293233.93000001</v>
      </c>
      <c r="AL292" s="85">
        <f t="shared" si="189"/>
        <v>0</v>
      </c>
      <c r="AM292" s="85">
        <f t="shared" si="189"/>
        <v>0</v>
      </c>
      <c r="AN292" s="85">
        <f t="shared" si="189"/>
        <v>32878079</v>
      </c>
      <c r="AO292" s="85">
        <f t="shared" si="189"/>
        <v>476050000</v>
      </c>
      <c r="AP292" s="85">
        <f t="shared" si="189"/>
        <v>0</v>
      </c>
      <c r="AQ292" s="85">
        <f t="shared" si="189"/>
        <v>0</v>
      </c>
      <c r="AR292" s="85">
        <f t="shared" si="189"/>
        <v>0</v>
      </c>
      <c r="AS292" s="85">
        <f t="shared" si="189"/>
        <v>0</v>
      </c>
      <c r="AT292" s="85">
        <f t="shared" si="189"/>
        <v>0</v>
      </c>
      <c r="AU292" s="85">
        <f t="shared" si="189"/>
        <v>0</v>
      </c>
      <c r="AV292" s="85">
        <f t="shared" si="189"/>
        <v>0</v>
      </c>
      <c r="AW292" s="85">
        <f t="shared" si="189"/>
        <v>0</v>
      </c>
      <c r="AX292" s="85">
        <f t="shared" si="189"/>
        <v>0</v>
      </c>
      <c r="AY292" s="85">
        <f t="shared" si="189"/>
        <v>0</v>
      </c>
      <c r="AZ292" s="85">
        <f t="shared" si="189"/>
        <v>0</v>
      </c>
      <c r="BA292" s="85">
        <f t="shared" si="189"/>
        <v>0</v>
      </c>
      <c r="BB292" s="85">
        <f t="shared" si="189"/>
        <v>0</v>
      </c>
      <c r="BC292" s="85">
        <f t="shared" si="189"/>
        <v>0</v>
      </c>
      <c r="BD292" s="85">
        <f t="shared" si="189"/>
        <v>2686652877.1199999</v>
      </c>
      <c r="BE292" s="85">
        <f t="shared" si="189"/>
        <v>2780436507.1199999</v>
      </c>
      <c r="BF292" s="85">
        <f t="shared" si="189"/>
        <v>2766983630</v>
      </c>
      <c r="BG292" s="85">
        <f t="shared" si="189"/>
        <v>2766983630</v>
      </c>
      <c r="BH292" s="85">
        <f t="shared" si="189"/>
        <v>0</v>
      </c>
      <c r="BI292" s="85">
        <f t="shared" si="189"/>
        <v>0</v>
      </c>
      <c r="BJ292" s="85">
        <f t="shared" si="189"/>
        <v>0</v>
      </c>
      <c r="BK292" s="85">
        <f t="shared" si="189"/>
        <v>0</v>
      </c>
      <c r="BL292" s="85">
        <f t="shared" si="189"/>
        <v>0</v>
      </c>
      <c r="BM292" s="85">
        <f t="shared" si="189"/>
        <v>0</v>
      </c>
      <c r="BN292" s="85">
        <f t="shared" si="189"/>
        <v>4000000000</v>
      </c>
      <c r="BO292" s="85">
        <f t="shared" si="189"/>
        <v>0</v>
      </c>
      <c r="BP292" s="85">
        <f t="shared" si="189"/>
        <v>0</v>
      </c>
      <c r="BQ292" s="85">
        <f t="shared" si="189"/>
        <v>0</v>
      </c>
      <c r="BR292" s="85">
        <f t="shared" si="189"/>
        <v>0</v>
      </c>
      <c r="BS292" s="85">
        <f t="shared" si="189"/>
        <v>0</v>
      </c>
      <c r="BT292" s="85">
        <f t="shared" si="189"/>
        <v>0</v>
      </c>
      <c r="BU292" s="85">
        <f t="shared" si="189"/>
        <v>0</v>
      </c>
      <c r="BV292" s="85">
        <f t="shared" si="189"/>
        <v>0</v>
      </c>
      <c r="BW292" s="85">
        <f t="shared" si="189"/>
        <v>0</v>
      </c>
      <c r="BX292" s="85">
        <f t="shared" si="189"/>
        <v>0</v>
      </c>
      <c r="BY292" s="85">
        <f t="shared" si="189"/>
        <v>0</v>
      </c>
      <c r="BZ292" s="85">
        <f t="shared" si="189"/>
        <v>0</v>
      </c>
      <c r="CA292" s="85">
        <f t="shared" si="189"/>
        <v>0</v>
      </c>
      <c r="CB292" s="85">
        <f t="shared" si="189"/>
        <v>0</v>
      </c>
      <c r="CC292" s="85">
        <f t="shared" si="189"/>
        <v>0</v>
      </c>
      <c r="CD292" s="85">
        <f t="shared" si="189"/>
        <v>0</v>
      </c>
      <c r="CE292" s="85">
        <f t="shared" si="189"/>
        <v>0</v>
      </c>
      <c r="CF292" s="85">
        <f t="shared" si="189"/>
        <v>0</v>
      </c>
      <c r="CG292" s="85">
        <f t="shared" si="189"/>
        <v>0</v>
      </c>
      <c r="CH292" s="85">
        <f t="shared" si="189"/>
        <v>4051236459.1726003</v>
      </c>
      <c r="CI292" s="85">
        <f t="shared" si="189"/>
        <v>0</v>
      </c>
      <c r="CJ292" s="85">
        <f t="shared" si="189"/>
        <v>1300000000</v>
      </c>
      <c r="CK292" s="85">
        <f t="shared" si="189"/>
        <v>0</v>
      </c>
      <c r="CL292" s="85">
        <f t="shared" si="189"/>
        <v>0</v>
      </c>
      <c r="CM292" s="85">
        <f t="shared" si="189"/>
        <v>2751236459.1726003</v>
      </c>
      <c r="CN292" s="85">
        <f t="shared" si="189"/>
        <v>0</v>
      </c>
      <c r="CO292" s="85">
        <f t="shared" si="189"/>
        <v>0</v>
      </c>
      <c r="CP292" s="85">
        <f t="shared" si="189"/>
        <v>0</v>
      </c>
      <c r="CQ292" s="85">
        <f t="shared" si="189"/>
        <v>0</v>
      </c>
      <c r="CR292" s="85">
        <f t="shared" ref="CR292:DO292" si="190">SUM(CR293:CR298)</f>
        <v>0</v>
      </c>
      <c r="CS292" s="85">
        <f t="shared" si="190"/>
        <v>4133773552.9477782</v>
      </c>
      <c r="CT292" s="85">
        <f t="shared" si="190"/>
        <v>0</v>
      </c>
      <c r="CU292" s="85">
        <f t="shared" si="190"/>
        <v>1300000000</v>
      </c>
      <c r="CV292" s="85">
        <f t="shared" si="190"/>
        <v>0</v>
      </c>
      <c r="CW292" s="85">
        <f t="shared" si="190"/>
        <v>0</v>
      </c>
      <c r="CX292" s="85">
        <f t="shared" si="190"/>
        <v>2833773552.9477782</v>
      </c>
      <c r="CY292" s="85">
        <f t="shared" si="190"/>
        <v>0</v>
      </c>
      <c r="CZ292" s="85">
        <f t="shared" si="190"/>
        <v>0</v>
      </c>
      <c r="DA292" s="85">
        <f t="shared" si="190"/>
        <v>0</v>
      </c>
      <c r="DB292" s="85">
        <f t="shared" si="190"/>
        <v>0</v>
      </c>
      <c r="DC292" s="85">
        <f t="shared" si="190"/>
        <v>0</v>
      </c>
      <c r="DD292" s="85">
        <f t="shared" si="190"/>
        <v>4218786759.536212</v>
      </c>
      <c r="DE292" s="85">
        <f t="shared" si="190"/>
        <v>0</v>
      </c>
      <c r="DF292" s="85">
        <f t="shared" si="190"/>
        <v>1300000000</v>
      </c>
      <c r="DG292" s="85">
        <f t="shared" si="190"/>
        <v>0</v>
      </c>
      <c r="DH292" s="85">
        <f t="shared" si="190"/>
        <v>0</v>
      </c>
      <c r="DI292" s="85">
        <f t="shared" si="190"/>
        <v>2918786759.536212</v>
      </c>
      <c r="DJ292" s="85">
        <f t="shared" si="190"/>
        <v>0</v>
      </c>
      <c r="DK292" s="85">
        <f t="shared" si="190"/>
        <v>0</v>
      </c>
      <c r="DL292" s="85">
        <f t="shared" si="190"/>
        <v>0</v>
      </c>
      <c r="DM292" s="85">
        <f t="shared" si="190"/>
        <v>0</v>
      </c>
      <c r="DN292" s="85">
        <f t="shared" si="190"/>
        <v>0</v>
      </c>
      <c r="DO292" s="85">
        <f t="shared" si="190"/>
        <v>19596499648.776588</v>
      </c>
    </row>
    <row r="293" spans="1:123" s="225" customFormat="1" ht="78.75" customHeight="1" x14ac:dyDescent="0.2">
      <c r="A293" s="64">
        <v>3</v>
      </c>
      <c r="B293" s="256" t="s">
        <v>41</v>
      </c>
      <c r="C293" s="94" t="s">
        <v>910</v>
      </c>
      <c r="D293" s="94" t="s">
        <v>1639</v>
      </c>
      <c r="E293" s="151">
        <v>0.94</v>
      </c>
      <c r="F293" s="48">
        <v>2019</v>
      </c>
      <c r="G293" s="94" t="s">
        <v>1103</v>
      </c>
      <c r="H293" s="151">
        <v>1</v>
      </c>
      <c r="I293" s="13">
        <v>40</v>
      </c>
      <c r="J293" s="13" t="s">
        <v>1712</v>
      </c>
      <c r="K293" s="50">
        <v>3</v>
      </c>
      <c r="L293" s="13" t="s">
        <v>1105</v>
      </c>
      <c r="M293" s="244">
        <v>34</v>
      </c>
      <c r="N293" s="247">
        <v>4003</v>
      </c>
      <c r="O293" s="250" t="s">
        <v>52</v>
      </c>
      <c r="P293" s="13" t="s">
        <v>1106</v>
      </c>
      <c r="Q293" s="48" t="s">
        <v>53</v>
      </c>
      <c r="R293" s="48" t="s">
        <v>53</v>
      </c>
      <c r="S293" s="94" t="s">
        <v>54</v>
      </c>
      <c r="T293" s="13" t="s">
        <v>1107</v>
      </c>
      <c r="U293" s="48">
        <v>400301802</v>
      </c>
      <c r="V293" s="48">
        <v>400301802</v>
      </c>
      <c r="W293" s="95" t="s">
        <v>1108</v>
      </c>
      <c r="X293" s="48" t="s">
        <v>9</v>
      </c>
      <c r="Y293" s="48">
        <v>2</v>
      </c>
      <c r="Z293" s="48">
        <v>1</v>
      </c>
      <c r="AA293" s="48">
        <v>0</v>
      </c>
      <c r="AB293" s="48">
        <v>1</v>
      </c>
      <c r="AC293" s="48"/>
      <c r="AD293" s="48"/>
      <c r="AE293" s="89">
        <f t="shared" ref="AE293:AI298" si="191">AJ293+AO293+AT293+AY293+BD293+BI293+BN293+BS293+BX293+CC293</f>
        <v>588117000</v>
      </c>
      <c r="AF293" s="89">
        <f t="shared" si="191"/>
        <v>681900630</v>
      </c>
      <c r="AG293" s="89">
        <f t="shared" si="191"/>
        <v>681900630</v>
      </c>
      <c r="AH293" s="89">
        <f t="shared" si="191"/>
        <v>681900630</v>
      </c>
      <c r="AI293" s="89">
        <f t="shared" si="191"/>
        <v>0</v>
      </c>
      <c r="AJ293" s="91"/>
      <c r="AK293" s="91"/>
      <c r="AL293" s="91"/>
      <c r="AM293" s="91"/>
      <c r="AN293" s="91"/>
      <c r="AO293" s="91"/>
      <c r="AP293" s="91"/>
      <c r="AQ293" s="91"/>
      <c r="AR293" s="91"/>
      <c r="AS293" s="91"/>
      <c r="AT293" s="91"/>
      <c r="AU293" s="91"/>
      <c r="AV293" s="91"/>
      <c r="AW293" s="91"/>
      <c r="AX293" s="91"/>
      <c r="AY293" s="91"/>
      <c r="AZ293" s="91"/>
      <c r="BA293" s="91"/>
      <c r="BB293" s="91"/>
      <c r="BC293" s="91"/>
      <c r="BD293" s="91">
        <v>588117000</v>
      </c>
      <c r="BE293" s="91">
        <v>681900630</v>
      </c>
      <c r="BF293" s="91">
        <v>681900630</v>
      </c>
      <c r="BG293" s="91">
        <v>681900630</v>
      </c>
      <c r="BH293" s="91"/>
      <c r="BI293" s="91"/>
      <c r="BJ293" s="91"/>
      <c r="BK293" s="91"/>
      <c r="BL293" s="91"/>
      <c r="BM293" s="91"/>
      <c r="BN293" s="91"/>
      <c r="BO293" s="91"/>
      <c r="BP293" s="91"/>
      <c r="BQ293" s="91"/>
      <c r="BR293" s="91"/>
      <c r="BS293" s="91"/>
      <c r="BT293" s="91"/>
      <c r="BU293" s="91"/>
      <c r="BV293" s="91"/>
      <c r="BW293" s="91"/>
      <c r="BX293" s="91"/>
      <c r="BY293" s="91"/>
      <c r="BZ293" s="91"/>
      <c r="CA293" s="91"/>
      <c r="CB293" s="91"/>
      <c r="CC293" s="91"/>
      <c r="CD293" s="91"/>
      <c r="CE293" s="91"/>
      <c r="CF293" s="91"/>
      <c r="CG293" s="91"/>
      <c r="CH293" s="91">
        <f t="shared" si="157"/>
        <v>729000000</v>
      </c>
      <c r="CI293" s="91"/>
      <c r="CJ293" s="91"/>
      <c r="CK293" s="91"/>
      <c r="CL293" s="91"/>
      <c r="CM293" s="91">
        <v>729000000</v>
      </c>
      <c r="CN293" s="91"/>
      <c r="CO293" s="91"/>
      <c r="CP293" s="91"/>
      <c r="CQ293" s="91"/>
      <c r="CR293" s="91"/>
      <c r="CS293" s="91">
        <f t="shared" ref="CS293:CS298" si="192">CT293+CU293+CV293+CW293+CX293+CY293+CZ293+DA293+DB293+DC293</f>
        <v>0</v>
      </c>
      <c r="CT293" s="91"/>
      <c r="CU293" s="91"/>
      <c r="CV293" s="91"/>
      <c r="CW293" s="91"/>
      <c r="CX293" s="91"/>
      <c r="CY293" s="91"/>
      <c r="CZ293" s="91"/>
      <c r="DA293" s="91"/>
      <c r="DB293" s="91"/>
      <c r="DC293" s="91"/>
      <c r="DD293" s="91">
        <f t="shared" ref="DD293:DD298" si="193">DE293+DF293+DG293+DH293+DI293+DJ293+DK293+DL293+DM293+DN293</f>
        <v>0</v>
      </c>
      <c r="DE293" s="91"/>
      <c r="DF293" s="91"/>
      <c r="DG293" s="91"/>
      <c r="DH293" s="91"/>
      <c r="DI293" s="91"/>
      <c r="DJ293" s="91"/>
      <c r="DK293" s="91"/>
      <c r="DL293" s="91"/>
      <c r="DM293" s="91"/>
      <c r="DN293" s="92"/>
      <c r="DO293" s="93">
        <f t="shared" ref="DO293:DO298" si="194">AE293+CH293+CS293+DD293</f>
        <v>1317117000</v>
      </c>
    </row>
    <row r="294" spans="1:123" s="225" customFormat="1" ht="94.5" customHeight="1" x14ac:dyDescent="0.2">
      <c r="A294" s="64">
        <v>3</v>
      </c>
      <c r="B294" s="256" t="s">
        <v>41</v>
      </c>
      <c r="C294" s="94" t="s">
        <v>910</v>
      </c>
      <c r="D294" s="94" t="s">
        <v>1101</v>
      </c>
      <c r="E294" s="151" t="s">
        <v>1102</v>
      </c>
      <c r="F294" s="48" t="s">
        <v>1021</v>
      </c>
      <c r="G294" s="94" t="s">
        <v>1103</v>
      </c>
      <c r="H294" s="151">
        <v>1</v>
      </c>
      <c r="I294" s="120">
        <v>40</v>
      </c>
      <c r="J294" s="13" t="s">
        <v>1712</v>
      </c>
      <c r="K294" s="50">
        <v>3</v>
      </c>
      <c r="L294" s="13" t="s">
        <v>1105</v>
      </c>
      <c r="M294" s="244">
        <v>34</v>
      </c>
      <c r="N294" s="247">
        <v>4003</v>
      </c>
      <c r="O294" s="250" t="s">
        <v>52</v>
      </c>
      <c r="P294" s="13" t="s">
        <v>1109</v>
      </c>
      <c r="Q294" s="48" t="s">
        <v>55</v>
      </c>
      <c r="R294" s="48" t="s">
        <v>55</v>
      </c>
      <c r="S294" s="94" t="s">
        <v>56</v>
      </c>
      <c r="T294" s="13" t="s">
        <v>1110</v>
      </c>
      <c r="U294" s="48">
        <v>400302500</v>
      </c>
      <c r="V294" s="48">
        <v>400302500</v>
      </c>
      <c r="W294" s="95" t="s">
        <v>1111</v>
      </c>
      <c r="X294" s="48" t="s">
        <v>9</v>
      </c>
      <c r="Y294" s="48">
        <v>12</v>
      </c>
      <c r="Z294" s="48">
        <v>1</v>
      </c>
      <c r="AA294" s="48">
        <v>1</v>
      </c>
      <c r="AB294" s="48">
        <v>4</v>
      </c>
      <c r="AC294" s="48">
        <v>4</v>
      </c>
      <c r="AD294" s="48">
        <v>3</v>
      </c>
      <c r="AE294" s="89">
        <f t="shared" si="191"/>
        <v>1764585877.1199999</v>
      </c>
      <c r="AF294" s="89">
        <f t="shared" si="191"/>
        <v>1363829111.05</v>
      </c>
      <c r="AG294" s="89">
        <f t="shared" si="191"/>
        <v>1275083000</v>
      </c>
      <c r="AH294" s="89">
        <f t="shared" si="191"/>
        <v>1275083000</v>
      </c>
      <c r="AI294" s="89">
        <f t="shared" si="191"/>
        <v>32878079</v>
      </c>
      <c r="AJ294" s="91"/>
      <c r="AK294" s="91">
        <v>75293233.930000007</v>
      </c>
      <c r="AL294" s="91"/>
      <c r="AM294" s="91"/>
      <c r="AN294" s="91">
        <v>32878079</v>
      </c>
      <c r="AO294" s="91">
        <v>476050000</v>
      </c>
      <c r="AP294" s="91"/>
      <c r="AQ294" s="91"/>
      <c r="AR294" s="91"/>
      <c r="AS294" s="91"/>
      <c r="AT294" s="91"/>
      <c r="AU294" s="91"/>
      <c r="AV294" s="91"/>
      <c r="AW294" s="91"/>
      <c r="AX294" s="91"/>
      <c r="AY294" s="91"/>
      <c r="AZ294" s="91"/>
      <c r="BA294" s="91"/>
      <c r="BB294" s="91"/>
      <c r="BC294" s="91"/>
      <c r="BD294" s="91">
        <v>1288535877.1199999</v>
      </c>
      <c r="BE294" s="91">
        <v>1288535877.1199999</v>
      </c>
      <c r="BF294" s="91">
        <v>1275083000</v>
      </c>
      <c r="BG294" s="91">
        <v>1275083000</v>
      </c>
      <c r="BH294" s="91"/>
      <c r="BI294" s="91"/>
      <c r="BJ294" s="91"/>
      <c r="BK294" s="91"/>
      <c r="BL294" s="91"/>
      <c r="BM294" s="91"/>
      <c r="BN294" s="91"/>
      <c r="BO294" s="91"/>
      <c r="BP294" s="91"/>
      <c r="BQ294" s="91"/>
      <c r="BR294" s="91"/>
      <c r="BS294" s="91"/>
      <c r="BT294" s="91"/>
      <c r="BU294" s="91"/>
      <c r="BV294" s="91"/>
      <c r="BW294" s="91"/>
      <c r="BX294" s="91"/>
      <c r="BY294" s="91"/>
      <c r="BZ294" s="91"/>
      <c r="CA294" s="91"/>
      <c r="CB294" s="91"/>
      <c r="CC294" s="91"/>
      <c r="CD294" s="91"/>
      <c r="CE294" s="91"/>
      <c r="CF294" s="91"/>
      <c r="CG294" s="91"/>
      <c r="CH294" s="91">
        <f t="shared" si="157"/>
        <v>1529000000</v>
      </c>
      <c r="CI294" s="91"/>
      <c r="CJ294" s="91">
        <v>1300000000</v>
      </c>
      <c r="CK294" s="91"/>
      <c r="CL294" s="91"/>
      <c r="CM294" s="91">
        <v>229000000</v>
      </c>
      <c r="CN294" s="91"/>
      <c r="CO294" s="91"/>
      <c r="CP294" s="91"/>
      <c r="CQ294" s="91"/>
      <c r="CR294" s="91"/>
      <c r="CS294" s="91">
        <f t="shared" si="192"/>
        <v>2111248791.1290712</v>
      </c>
      <c r="CT294" s="91"/>
      <c r="CU294" s="91">
        <v>1300000000</v>
      </c>
      <c r="CV294" s="91"/>
      <c r="CW294" s="91"/>
      <c r="CX294" s="91">
        <v>811248791.12907124</v>
      </c>
      <c r="CY294" s="91"/>
      <c r="CZ294" s="91"/>
      <c r="DA294" s="91"/>
      <c r="DB294" s="91"/>
      <c r="DC294" s="91"/>
      <c r="DD294" s="91">
        <f t="shared" si="193"/>
        <v>2386250000</v>
      </c>
      <c r="DE294" s="91"/>
      <c r="DF294" s="91">
        <v>1300000000</v>
      </c>
      <c r="DG294" s="91"/>
      <c r="DH294" s="91"/>
      <c r="DI294" s="91">
        <v>1086250000</v>
      </c>
      <c r="DJ294" s="91"/>
      <c r="DK294" s="91"/>
      <c r="DL294" s="91"/>
      <c r="DM294" s="91"/>
      <c r="DN294" s="92"/>
      <c r="DO294" s="93">
        <f t="shared" si="194"/>
        <v>7791084668.2490711</v>
      </c>
    </row>
    <row r="295" spans="1:123" s="225" customFormat="1" ht="110.25" customHeight="1" x14ac:dyDescent="0.2">
      <c r="A295" s="64">
        <v>3</v>
      </c>
      <c r="B295" s="256" t="s">
        <v>41</v>
      </c>
      <c r="C295" s="94" t="s">
        <v>910</v>
      </c>
      <c r="D295" s="94" t="s">
        <v>1101</v>
      </c>
      <c r="E295" s="151" t="s">
        <v>1102</v>
      </c>
      <c r="F295" s="48" t="s">
        <v>1021</v>
      </c>
      <c r="G295" s="94" t="s">
        <v>1103</v>
      </c>
      <c r="H295" s="151">
        <v>1</v>
      </c>
      <c r="I295" s="120">
        <v>40</v>
      </c>
      <c r="J295" s="13" t="s">
        <v>1712</v>
      </c>
      <c r="K295" s="50">
        <v>3</v>
      </c>
      <c r="L295" s="13" t="s">
        <v>1105</v>
      </c>
      <c r="M295" s="244">
        <v>34</v>
      </c>
      <c r="N295" s="247">
        <v>4003</v>
      </c>
      <c r="O295" s="250" t="s">
        <v>52</v>
      </c>
      <c r="P295" s="13" t="s">
        <v>1112</v>
      </c>
      <c r="Q295" s="48" t="s">
        <v>1113</v>
      </c>
      <c r="R295" s="48" t="s">
        <v>1113</v>
      </c>
      <c r="S295" s="94" t="s">
        <v>1114</v>
      </c>
      <c r="T295" s="13" t="s">
        <v>1115</v>
      </c>
      <c r="U295" s="48">
        <v>400302600</v>
      </c>
      <c r="V295" s="48">
        <v>400302600</v>
      </c>
      <c r="W295" s="95" t="s">
        <v>1116</v>
      </c>
      <c r="X295" s="48" t="s">
        <v>9</v>
      </c>
      <c r="Y295" s="48">
        <v>2</v>
      </c>
      <c r="Z295" s="48">
        <v>0.1</v>
      </c>
      <c r="AA295" s="48"/>
      <c r="AB295" s="48">
        <v>1</v>
      </c>
      <c r="AC295" s="48">
        <v>0.5</v>
      </c>
      <c r="AD295" s="48">
        <v>0.4</v>
      </c>
      <c r="AE295" s="89">
        <f t="shared" si="191"/>
        <v>4000000000</v>
      </c>
      <c r="AF295" s="89">
        <f t="shared" si="191"/>
        <v>0</v>
      </c>
      <c r="AG295" s="89">
        <f t="shared" si="191"/>
        <v>0</v>
      </c>
      <c r="AH295" s="89">
        <f t="shared" si="191"/>
        <v>0</v>
      </c>
      <c r="AI295" s="89">
        <f t="shared" si="191"/>
        <v>0</v>
      </c>
      <c r="AJ295" s="91"/>
      <c r="AK295" s="91"/>
      <c r="AL295" s="91"/>
      <c r="AM295" s="91"/>
      <c r="AN295" s="91"/>
      <c r="AO295" s="91"/>
      <c r="AP295" s="91"/>
      <c r="AQ295" s="91"/>
      <c r="AR295" s="91"/>
      <c r="AS295" s="91"/>
      <c r="AT295" s="91"/>
      <c r="AU295" s="91"/>
      <c r="AV295" s="91"/>
      <c r="AW295" s="91"/>
      <c r="AX295" s="91"/>
      <c r="AY295" s="91"/>
      <c r="AZ295" s="91"/>
      <c r="BA295" s="91"/>
      <c r="BB295" s="91"/>
      <c r="BC295" s="91"/>
      <c r="BD295" s="91"/>
      <c r="BE295" s="91"/>
      <c r="BF295" s="91"/>
      <c r="BG295" s="91"/>
      <c r="BH295" s="91"/>
      <c r="BI295" s="91"/>
      <c r="BJ295" s="91"/>
      <c r="BK295" s="91"/>
      <c r="BL295" s="91"/>
      <c r="BM295" s="91"/>
      <c r="BN295" s="91">
        <v>4000000000</v>
      </c>
      <c r="BO295" s="91"/>
      <c r="BP295" s="91"/>
      <c r="BQ295" s="91"/>
      <c r="BR295" s="91"/>
      <c r="BS295" s="91"/>
      <c r="BT295" s="91"/>
      <c r="BU295" s="91"/>
      <c r="BV295" s="91"/>
      <c r="BW295" s="91"/>
      <c r="BX295" s="91"/>
      <c r="BY295" s="91"/>
      <c r="BZ295" s="91"/>
      <c r="CA295" s="91"/>
      <c r="CB295" s="91"/>
      <c r="CC295" s="91"/>
      <c r="CD295" s="91"/>
      <c r="CE295" s="91"/>
      <c r="CF295" s="91"/>
      <c r="CG295" s="91"/>
      <c r="CH295" s="91">
        <f t="shared" si="157"/>
        <v>785236459.17260015</v>
      </c>
      <c r="CI295" s="91"/>
      <c r="CJ295" s="91"/>
      <c r="CK295" s="91"/>
      <c r="CL295" s="91"/>
      <c r="CM295" s="91">
        <v>785236459.17260015</v>
      </c>
      <c r="CN295" s="91"/>
      <c r="CO295" s="91"/>
      <c r="CP295" s="91"/>
      <c r="CQ295" s="91"/>
      <c r="CR295" s="91"/>
      <c r="CS295" s="91">
        <f t="shared" si="192"/>
        <v>890024761.81870699</v>
      </c>
      <c r="CT295" s="91"/>
      <c r="CU295" s="91"/>
      <c r="CV295" s="91"/>
      <c r="CW295" s="91"/>
      <c r="CX295" s="91">
        <v>890024761.81870699</v>
      </c>
      <c r="CY295" s="91"/>
      <c r="CZ295" s="91"/>
      <c r="DA295" s="91"/>
      <c r="DB295" s="91"/>
      <c r="DC295" s="91"/>
      <c r="DD295" s="91">
        <f t="shared" si="193"/>
        <v>690036759.53621185</v>
      </c>
      <c r="DE295" s="91"/>
      <c r="DF295" s="91"/>
      <c r="DG295" s="91"/>
      <c r="DH295" s="91"/>
      <c r="DI295" s="91">
        <v>690036759.53621185</v>
      </c>
      <c r="DJ295" s="91"/>
      <c r="DK295" s="91"/>
      <c r="DL295" s="91"/>
      <c r="DM295" s="91"/>
      <c r="DN295" s="92"/>
      <c r="DO295" s="93">
        <f t="shared" si="194"/>
        <v>6365297980.5275183</v>
      </c>
    </row>
    <row r="296" spans="1:123" s="225" customFormat="1" ht="110.25" customHeight="1" x14ac:dyDescent="0.2">
      <c r="A296" s="64">
        <v>3</v>
      </c>
      <c r="B296" s="256" t="s">
        <v>41</v>
      </c>
      <c r="C296" s="94" t="s">
        <v>910</v>
      </c>
      <c r="D296" s="94" t="s">
        <v>1101</v>
      </c>
      <c r="E296" s="151" t="s">
        <v>1102</v>
      </c>
      <c r="F296" s="48" t="s">
        <v>1021</v>
      </c>
      <c r="G296" s="94" t="s">
        <v>1103</v>
      </c>
      <c r="H296" s="151">
        <v>1</v>
      </c>
      <c r="I296" s="120">
        <v>40</v>
      </c>
      <c r="J296" s="13" t="s">
        <v>1712</v>
      </c>
      <c r="K296" s="50">
        <v>3</v>
      </c>
      <c r="L296" s="13" t="s">
        <v>1105</v>
      </c>
      <c r="M296" s="244">
        <v>34</v>
      </c>
      <c r="N296" s="247">
        <v>4003</v>
      </c>
      <c r="O296" s="250" t="s">
        <v>52</v>
      </c>
      <c r="P296" s="13" t="s">
        <v>1117</v>
      </c>
      <c r="Q296" s="48" t="s">
        <v>57</v>
      </c>
      <c r="R296" s="48" t="s">
        <v>57</v>
      </c>
      <c r="S296" s="94" t="s">
        <v>58</v>
      </c>
      <c r="T296" s="13" t="s">
        <v>1118</v>
      </c>
      <c r="U296" s="48">
        <v>400302801</v>
      </c>
      <c r="V296" s="48">
        <v>400302801</v>
      </c>
      <c r="W296" s="95" t="s">
        <v>1119</v>
      </c>
      <c r="X296" s="48" t="s">
        <v>8</v>
      </c>
      <c r="Y296" s="48">
        <v>4</v>
      </c>
      <c r="Z296" s="48">
        <v>4</v>
      </c>
      <c r="AA296" s="48">
        <v>4</v>
      </c>
      <c r="AB296" s="48">
        <v>4</v>
      </c>
      <c r="AC296" s="48">
        <v>4</v>
      </c>
      <c r="AD296" s="48">
        <v>4</v>
      </c>
      <c r="AE296" s="89">
        <f t="shared" si="191"/>
        <v>125000000</v>
      </c>
      <c r="AF296" s="89">
        <f t="shared" si="191"/>
        <v>125000000</v>
      </c>
      <c r="AG296" s="89">
        <f t="shared" si="191"/>
        <v>125000000</v>
      </c>
      <c r="AH296" s="89">
        <f t="shared" si="191"/>
        <v>125000000</v>
      </c>
      <c r="AI296" s="89">
        <f t="shared" si="191"/>
        <v>0</v>
      </c>
      <c r="AJ296" s="91"/>
      <c r="AK296" s="91"/>
      <c r="AL296" s="91"/>
      <c r="AM296" s="91"/>
      <c r="AN296" s="91"/>
      <c r="AO296" s="91"/>
      <c r="AP296" s="91"/>
      <c r="AQ296" s="91"/>
      <c r="AR296" s="91"/>
      <c r="AS296" s="91"/>
      <c r="AT296" s="91"/>
      <c r="AU296" s="91"/>
      <c r="AV296" s="91"/>
      <c r="AW296" s="91"/>
      <c r="AX296" s="91"/>
      <c r="AY296" s="91"/>
      <c r="AZ296" s="91"/>
      <c r="BA296" s="91"/>
      <c r="BB296" s="91"/>
      <c r="BC296" s="91"/>
      <c r="BD296" s="91">
        <v>125000000</v>
      </c>
      <c r="BE296" s="91">
        <v>125000000</v>
      </c>
      <c r="BF296" s="91">
        <v>125000000</v>
      </c>
      <c r="BG296" s="91">
        <v>125000000</v>
      </c>
      <c r="BH296" s="91"/>
      <c r="BI296" s="91"/>
      <c r="BJ296" s="91"/>
      <c r="BK296" s="91"/>
      <c r="BL296" s="91"/>
      <c r="BM296" s="91"/>
      <c r="BN296" s="91"/>
      <c r="BO296" s="91"/>
      <c r="BP296" s="91"/>
      <c r="BQ296" s="91"/>
      <c r="BR296" s="91"/>
      <c r="BS296" s="91"/>
      <c r="BT296" s="91"/>
      <c r="BU296" s="91"/>
      <c r="BV296" s="91"/>
      <c r="BW296" s="91"/>
      <c r="BX296" s="91"/>
      <c r="BY296" s="91"/>
      <c r="BZ296" s="91"/>
      <c r="CA296" s="91"/>
      <c r="CB296" s="91"/>
      <c r="CC296" s="91"/>
      <c r="CD296" s="91"/>
      <c r="CE296" s="91"/>
      <c r="CF296" s="91"/>
      <c r="CG296" s="91"/>
      <c r="CH296" s="91">
        <f t="shared" si="157"/>
        <v>279000000</v>
      </c>
      <c r="CI296" s="91"/>
      <c r="CJ296" s="91"/>
      <c r="CK296" s="91"/>
      <c r="CL296" s="91"/>
      <c r="CM296" s="91">
        <v>279000000</v>
      </c>
      <c r="CN296" s="91"/>
      <c r="CO296" s="91"/>
      <c r="CP296" s="91"/>
      <c r="CQ296" s="91"/>
      <c r="CR296" s="91"/>
      <c r="CS296" s="91">
        <f t="shared" si="192"/>
        <v>346250000</v>
      </c>
      <c r="CT296" s="91"/>
      <c r="CU296" s="91"/>
      <c r="CV296" s="91"/>
      <c r="CW296" s="91"/>
      <c r="CX296" s="91">
        <v>346250000</v>
      </c>
      <c r="CY296" s="91"/>
      <c r="CZ296" s="91"/>
      <c r="DA296" s="91"/>
      <c r="DB296" s="91"/>
      <c r="DC296" s="91"/>
      <c r="DD296" s="91">
        <f t="shared" si="193"/>
        <v>356250000</v>
      </c>
      <c r="DE296" s="91"/>
      <c r="DF296" s="91"/>
      <c r="DG296" s="91"/>
      <c r="DH296" s="91"/>
      <c r="DI296" s="91">
        <v>356250000</v>
      </c>
      <c r="DJ296" s="91"/>
      <c r="DK296" s="91"/>
      <c r="DL296" s="91"/>
      <c r="DM296" s="91"/>
      <c r="DN296" s="92"/>
      <c r="DO296" s="93">
        <f t="shared" si="194"/>
        <v>1106500000</v>
      </c>
    </row>
    <row r="297" spans="1:123" s="225" customFormat="1" ht="63" customHeight="1" x14ac:dyDescent="0.2">
      <c r="A297" s="64">
        <v>3</v>
      </c>
      <c r="B297" s="256" t="s">
        <v>41</v>
      </c>
      <c r="C297" s="94" t="s">
        <v>910</v>
      </c>
      <c r="D297" s="94" t="s">
        <v>1101</v>
      </c>
      <c r="E297" s="151" t="s">
        <v>1102</v>
      </c>
      <c r="F297" s="48" t="s">
        <v>1021</v>
      </c>
      <c r="G297" s="94" t="s">
        <v>1103</v>
      </c>
      <c r="H297" s="151">
        <v>1</v>
      </c>
      <c r="I297" s="120">
        <v>40</v>
      </c>
      <c r="J297" s="13" t="s">
        <v>1712</v>
      </c>
      <c r="K297" s="50">
        <v>3</v>
      </c>
      <c r="L297" s="13" t="s">
        <v>1105</v>
      </c>
      <c r="M297" s="244">
        <v>34</v>
      </c>
      <c r="N297" s="247">
        <v>4003</v>
      </c>
      <c r="O297" s="250" t="s">
        <v>52</v>
      </c>
      <c r="P297" s="13" t="s">
        <v>1120</v>
      </c>
      <c r="Q297" s="48">
        <v>4003042</v>
      </c>
      <c r="R297" s="48">
        <v>4003042</v>
      </c>
      <c r="S297" s="94" t="s">
        <v>59</v>
      </c>
      <c r="T297" s="13" t="s">
        <v>1121</v>
      </c>
      <c r="U297" s="48">
        <v>400304200</v>
      </c>
      <c r="V297" s="48">
        <v>400304200</v>
      </c>
      <c r="W297" s="95" t="s">
        <v>1122</v>
      </c>
      <c r="X297" s="48" t="s">
        <v>9</v>
      </c>
      <c r="Y297" s="48">
        <v>8</v>
      </c>
      <c r="Z297" s="48">
        <v>1</v>
      </c>
      <c r="AA297" s="48">
        <v>1</v>
      </c>
      <c r="AB297" s="48">
        <v>3</v>
      </c>
      <c r="AC297" s="48">
        <v>2</v>
      </c>
      <c r="AD297" s="48">
        <v>2</v>
      </c>
      <c r="AE297" s="89">
        <f t="shared" si="191"/>
        <v>685000000</v>
      </c>
      <c r="AF297" s="89">
        <f t="shared" si="191"/>
        <v>685000000</v>
      </c>
      <c r="AG297" s="89">
        <f t="shared" si="191"/>
        <v>685000000</v>
      </c>
      <c r="AH297" s="89">
        <f t="shared" si="191"/>
        <v>685000000</v>
      </c>
      <c r="AI297" s="89">
        <f t="shared" si="191"/>
        <v>0</v>
      </c>
      <c r="AJ297" s="91"/>
      <c r="AK297" s="91"/>
      <c r="AL297" s="91"/>
      <c r="AM297" s="91"/>
      <c r="AN297" s="91"/>
      <c r="AO297" s="91"/>
      <c r="AP297" s="91"/>
      <c r="AQ297" s="91"/>
      <c r="AR297" s="91"/>
      <c r="AS297" s="91"/>
      <c r="AT297" s="91"/>
      <c r="AU297" s="91"/>
      <c r="AV297" s="91"/>
      <c r="AW297" s="91"/>
      <c r="AX297" s="91"/>
      <c r="AY297" s="91"/>
      <c r="AZ297" s="91"/>
      <c r="BA297" s="91"/>
      <c r="BB297" s="91"/>
      <c r="BC297" s="91"/>
      <c r="BD297" s="91">
        <v>685000000</v>
      </c>
      <c r="BE297" s="91">
        <v>685000000</v>
      </c>
      <c r="BF297" s="91">
        <v>685000000</v>
      </c>
      <c r="BG297" s="91">
        <v>685000000</v>
      </c>
      <c r="BH297" s="91"/>
      <c r="BI297" s="91"/>
      <c r="BJ297" s="91"/>
      <c r="BK297" s="91"/>
      <c r="BL297" s="91"/>
      <c r="BM297" s="91"/>
      <c r="BN297" s="91"/>
      <c r="BO297" s="91"/>
      <c r="BP297" s="91"/>
      <c r="BQ297" s="91"/>
      <c r="BR297" s="91"/>
      <c r="BS297" s="91"/>
      <c r="BT297" s="91"/>
      <c r="BU297" s="91"/>
      <c r="BV297" s="91"/>
      <c r="BW297" s="91"/>
      <c r="BX297" s="91"/>
      <c r="BY297" s="91"/>
      <c r="BZ297" s="91"/>
      <c r="CA297" s="91"/>
      <c r="CB297" s="91"/>
      <c r="CC297" s="91"/>
      <c r="CD297" s="91"/>
      <c r="CE297" s="91"/>
      <c r="CF297" s="91"/>
      <c r="CG297" s="91"/>
      <c r="CH297" s="91">
        <f t="shared" si="157"/>
        <v>729000000</v>
      </c>
      <c r="CI297" s="91"/>
      <c r="CJ297" s="91"/>
      <c r="CK297" s="91"/>
      <c r="CL297" s="91"/>
      <c r="CM297" s="91">
        <v>729000000</v>
      </c>
      <c r="CN297" s="91"/>
      <c r="CO297" s="91"/>
      <c r="CP297" s="91"/>
      <c r="CQ297" s="91"/>
      <c r="CR297" s="91"/>
      <c r="CS297" s="91">
        <f t="shared" si="192"/>
        <v>786250000</v>
      </c>
      <c r="CT297" s="91"/>
      <c r="CU297" s="91"/>
      <c r="CV297" s="91"/>
      <c r="CW297" s="91"/>
      <c r="CX297" s="91">
        <v>786250000</v>
      </c>
      <c r="CY297" s="91"/>
      <c r="CZ297" s="91"/>
      <c r="DA297" s="91"/>
      <c r="DB297" s="91"/>
      <c r="DC297" s="91"/>
      <c r="DD297" s="91">
        <f t="shared" si="193"/>
        <v>786250000</v>
      </c>
      <c r="DE297" s="91"/>
      <c r="DF297" s="91"/>
      <c r="DG297" s="91"/>
      <c r="DH297" s="91"/>
      <c r="DI297" s="91">
        <v>786250000</v>
      </c>
      <c r="DJ297" s="91"/>
      <c r="DK297" s="91"/>
      <c r="DL297" s="91"/>
      <c r="DM297" s="91"/>
      <c r="DN297" s="92"/>
      <c r="DO297" s="93">
        <f t="shared" si="194"/>
        <v>2986500000</v>
      </c>
    </row>
    <row r="298" spans="1:123" s="225" customFormat="1" ht="173.25" customHeight="1" x14ac:dyDescent="0.2">
      <c r="A298" s="64">
        <v>3</v>
      </c>
      <c r="B298" s="256" t="s">
        <v>41</v>
      </c>
      <c r="C298" s="94" t="s">
        <v>910</v>
      </c>
      <c r="D298" s="94" t="s">
        <v>1638</v>
      </c>
      <c r="E298" s="151" t="s">
        <v>1102</v>
      </c>
      <c r="F298" s="48" t="s">
        <v>1021</v>
      </c>
      <c r="G298" s="94" t="s">
        <v>1103</v>
      </c>
      <c r="H298" s="151">
        <v>1</v>
      </c>
      <c r="I298" s="13">
        <v>40</v>
      </c>
      <c r="J298" s="13" t="s">
        <v>1712</v>
      </c>
      <c r="K298" s="50">
        <v>3</v>
      </c>
      <c r="L298" s="13" t="s">
        <v>1105</v>
      </c>
      <c r="M298" s="244">
        <v>34</v>
      </c>
      <c r="N298" s="248">
        <v>4003</v>
      </c>
      <c r="O298" s="250" t="s">
        <v>52</v>
      </c>
      <c r="P298" s="120" t="s">
        <v>1558</v>
      </c>
      <c r="Q298" s="48" t="s">
        <v>1634</v>
      </c>
      <c r="R298" s="48">
        <v>4003006</v>
      </c>
      <c r="S298" s="59" t="s">
        <v>1559</v>
      </c>
      <c r="T298" s="120" t="s">
        <v>1560</v>
      </c>
      <c r="U298" s="120" t="s">
        <v>1634</v>
      </c>
      <c r="V298" s="48">
        <v>400300600</v>
      </c>
      <c r="W298" s="87" t="s">
        <v>1561</v>
      </c>
      <c r="X298" s="13" t="s">
        <v>8</v>
      </c>
      <c r="Y298" s="120">
        <v>1</v>
      </c>
      <c r="Z298" s="48">
        <v>1</v>
      </c>
      <c r="AA298" s="48">
        <v>0</v>
      </c>
      <c r="AB298" s="48">
        <v>1</v>
      </c>
      <c r="AC298" s="94"/>
      <c r="AD298" s="94"/>
      <c r="AE298" s="89">
        <f t="shared" si="191"/>
        <v>30000000</v>
      </c>
      <c r="AF298" s="89">
        <f t="shared" si="191"/>
        <v>30000000</v>
      </c>
      <c r="AG298" s="89">
        <f t="shared" si="191"/>
        <v>0</v>
      </c>
      <c r="AH298" s="89">
        <f t="shared" si="191"/>
        <v>0</v>
      </c>
      <c r="AI298" s="89">
        <f t="shared" si="191"/>
        <v>0</v>
      </c>
      <c r="AJ298" s="143">
        <v>30000000</v>
      </c>
      <c r="AK298" s="143">
        <v>30000000</v>
      </c>
      <c r="AL298" s="143"/>
      <c r="AM298" s="143"/>
      <c r="AN298" s="143"/>
      <c r="AO298" s="130"/>
      <c r="AP298" s="143"/>
      <c r="AQ298" s="130"/>
      <c r="AR298" s="130"/>
      <c r="AS298" s="130"/>
      <c r="AT298" s="130"/>
      <c r="AU298" s="143"/>
      <c r="AV298" s="130"/>
      <c r="AW298" s="130"/>
      <c r="AX298" s="130"/>
      <c r="AY298" s="130"/>
      <c r="AZ298" s="143"/>
      <c r="BA298" s="130"/>
      <c r="BB298" s="130"/>
      <c r="BC298" s="130"/>
      <c r="BD298" s="130"/>
      <c r="BE298" s="143"/>
      <c r="BF298" s="130"/>
      <c r="BG298" s="130"/>
      <c r="BH298" s="130"/>
      <c r="BI298" s="130"/>
      <c r="BJ298" s="143"/>
      <c r="BK298" s="130"/>
      <c r="BL298" s="130"/>
      <c r="BM298" s="130"/>
      <c r="BN298" s="169"/>
      <c r="BO298" s="143"/>
      <c r="BP298" s="169"/>
      <c r="BQ298" s="169"/>
      <c r="BR298" s="169"/>
      <c r="BS298" s="130"/>
      <c r="BT298" s="143"/>
      <c r="BU298" s="130"/>
      <c r="BV298" s="130"/>
      <c r="BW298" s="130"/>
      <c r="BX298" s="130"/>
      <c r="BY298" s="143"/>
      <c r="BZ298" s="130"/>
      <c r="CA298" s="130"/>
      <c r="CB298" s="130"/>
      <c r="CC298" s="130"/>
      <c r="CD298" s="143"/>
      <c r="CE298" s="130"/>
      <c r="CF298" s="130"/>
      <c r="CG298" s="130"/>
      <c r="CH298" s="91">
        <f t="shared" si="157"/>
        <v>0</v>
      </c>
      <c r="CI298" s="170"/>
      <c r="CJ298" s="170"/>
      <c r="CK298" s="170"/>
      <c r="CL298" s="170"/>
      <c r="CM298" s="170"/>
      <c r="CN298" s="170"/>
      <c r="CO298" s="170"/>
      <c r="CP298" s="170"/>
      <c r="CQ298" s="170"/>
      <c r="CR298" s="170"/>
      <c r="CS298" s="91">
        <f t="shared" si="192"/>
        <v>0</v>
      </c>
      <c r="CT298" s="170"/>
      <c r="CU298" s="170"/>
      <c r="CV298" s="170"/>
      <c r="CW298" s="170"/>
      <c r="CX298" s="170"/>
      <c r="CY298" s="170"/>
      <c r="CZ298" s="170"/>
      <c r="DA298" s="170"/>
      <c r="DB298" s="170"/>
      <c r="DC298" s="170"/>
      <c r="DD298" s="91">
        <f t="shared" si="193"/>
        <v>0</v>
      </c>
      <c r="DE298" s="170"/>
      <c r="DF298" s="170"/>
      <c r="DG298" s="170"/>
      <c r="DH298" s="170"/>
      <c r="DI298" s="170"/>
      <c r="DJ298" s="170"/>
      <c r="DK298" s="170"/>
      <c r="DL298" s="170"/>
      <c r="DM298" s="170"/>
      <c r="DN298" s="171"/>
      <c r="DO298" s="93">
        <f t="shared" si="194"/>
        <v>30000000</v>
      </c>
    </row>
    <row r="299" spans="1:123" ht="25.5" customHeight="1" x14ac:dyDescent="0.2">
      <c r="A299" s="64"/>
      <c r="B299" s="255"/>
      <c r="C299" s="74"/>
      <c r="D299" s="74"/>
      <c r="E299" s="77"/>
      <c r="F299" s="74"/>
      <c r="G299" s="74"/>
      <c r="H299" s="77"/>
      <c r="I299" s="74"/>
      <c r="J299" s="74"/>
      <c r="K299" s="74"/>
      <c r="L299" s="74"/>
      <c r="M299" s="96">
        <v>43</v>
      </c>
      <c r="N299" s="96">
        <v>4503</v>
      </c>
      <c r="O299" s="97" t="s">
        <v>1676</v>
      </c>
      <c r="P299" s="96"/>
      <c r="Q299" s="98"/>
      <c r="R299" s="98"/>
      <c r="S299" s="98"/>
      <c r="T299" s="98"/>
      <c r="U299" s="98"/>
      <c r="V299" s="98"/>
      <c r="W299" s="83"/>
      <c r="X299" s="83"/>
      <c r="Y299" s="84"/>
      <c r="Z299" s="84"/>
      <c r="AA299" s="84"/>
      <c r="AB299" s="84"/>
      <c r="AC299" s="84"/>
      <c r="AD299" s="81"/>
      <c r="AE299" s="85">
        <f>SUM(AE300:AE302)</f>
        <v>128229610</v>
      </c>
      <c r="AF299" s="85">
        <f t="shared" ref="AF299:CQ299" si="195">SUM(AF300:AF302)</f>
        <v>398809208.30000001</v>
      </c>
      <c r="AG299" s="85">
        <f t="shared" si="195"/>
        <v>312910427</v>
      </c>
      <c r="AH299" s="85">
        <f t="shared" si="195"/>
        <v>312910427</v>
      </c>
      <c r="AI299" s="85">
        <f t="shared" si="195"/>
        <v>0</v>
      </c>
      <c r="AJ299" s="85">
        <f t="shared" si="195"/>
        <v>128229610</v>
      </c>
      <c r="AK299" s="85">
        <f t="shared" si="195"/>
        <v>398809208.30000001</v>
      </c>
      <c r="AL299" s="85">
        <f t="shared" si="195"/>
        <v>312910427</v>
      </c>
      <c r="AM299" s="85">
        <f t="shared" si="195"/>
        <v>312910427</v>
      </c>
      <c r="AN299" s="85">
        <f t="shared" si="195"/>
        <v>0</v>
      </c>
      <c r="AO299" s="85">
        <f t="shared" si="195"/>
        <v>0</v>
      </c>
      <c r="AP299" s="85">
        <f t="shared" si="195"/>
        <v>0</v>
      </c>
      <c r="AQ299" s="85">
        <f t="shared" si="195"/>
        <v>0</v>
      </c>
      <c r="AR299" s="85">
        <f t="shared" si="195"/>
        <v>0</v>
      </c>
      <c r="AS299" s="85">
        <f t="shared" si="195"/>
        <v>0</v>
      </c>
      <c r="AT299" s="85">
        <f t="shared" si="195"/>
        <v>0</v>
      </c>
      <c r="AU299" s="85">
        <f t="shared" si="195"/>
        <v>0</v>
      </c>
      <c r="AV299" s="85">
        <f t="shared" si="195"/>
        <v>0</v>
      </c>
      <c r="AW299" s="85">
        <f t="shared" si="195"/>
        <v>0</v>
      </c>
      <c r="AX299" s="85">
        <f t="shared" si="195"/>
        <v>0</v>
      </c>
      <c r="AY299" s="85">
        <f t="shared" si="195"/>
        <v>0</v>
      </c>
      <c r="AZ299" s="85">
        <f t="shared" si="195"/>
        <v>0</v>
      </c>
      <c r="BA299" s="85">
        <f t="shared" si="195"/>
        <v>0</v>
      </c>
      <c r="BB299" s="85">
        <f t="shared" si="195"/>
        <v>0</v>
      </c>
      <c r="BC299" s="85">
        <f t="shared" si="195"/>
        <v>0</v>
      </c>
      <c r="BD299" s="85">
        <f t="shared" si="195"/>
        <v>0</v>
      </c>
      <c r="BE299" s="85">
        <f t="shared" si="195"/>
        <v>0</v>
      </c>
      <c r="BF299" s="85">
        <f t="shared" si="195"/>
        <v>0</v>
      </c>
      <c r="BG299" s="85">
        <f t="shared" si="195"/>
        <v>0</v>
      </c>
      <c r="BH299" s="85">
        <f t="shared" si="195"/>
        <v>0</v>
      </c>
      <c r="BI299" s="85">
        <f t="shared" si="195"/>
        <v>0</v>
      </c>
      <c r="BJ299" s="85">
        <f t="shared" si="195"/>
        <v>0</v>
      </c>
      <c r="BK299" s="85">
        <f t="shared" si="195"/>
        <v>0</v>
      </c>
      <c r="BL299" s="85">
        <f t="shared" si="195"/>
        <v>0</v>
      </c>
      <c r="BM299" s="85">
        <f t="shared" si="195"/>
        <v>0</v>
      </c>
      <c r="BN299" s="85">
        <f t="shared" si="195"/>
        <v>0</v>
      </c>
      <c r="BO299" s="85">
        <f t="shared" si="195"/>
        <v>0</v>
      </c>
      <c r="BP299" s="85">
        <f t="shared" si="195"/>
        <v>0</v>
      </c>
      <c r="BQ299" s="85">
        <f t="shared" si="195"/>
        <v>0</v>
      </c>
      <c r="BR299" s="85">
        <f t="shared" si="195"/>
        <v>0</v>
      </c>
      <c r="BS299" s="85">
        <f t="shared" si="195"/>
        <v>0</v>
      </c>
      <c r="BT299" s="85">
        <f t="shared" si="195"/>
        <v>0</v>
      </c>
      <c r="BU299" s="85">
        <f t="shared" si="195"/>
        <v>0</v>
      </c>
      <c r="BV299" s="85">
        <f t="shared" si="195"/>
        <v>0</v>
      </c>
      <c r="BW299" s="85">
        <f t="shared" si="195"/>
        <v>0</v>
      </c>
      <c r="BX299" s="85">
        <f t="shared" si="195"/>
        <v>0</v>
      </c>
      <c r="BY299" s="85">
        <f t="shared" si="195"/>
        <v>0</v>
      </c>
      <c r="BZ299" s="85">
        <f t="shared" si="195"/>
        <v>0</v>
      </c>
      <c r="CA299" s="85">
        <f t="shared" si="195"/>
        <v>0</v>
      </c>
      <c r="CB299" s="85">
        <f t="shared" si="195"/>
        <v>0</v>
      </c>
      <c r="CC299" s="85">
        <f t="shared" si="195"/>
        <v>0</v>
      </c>
      <c r="CD299" s="85">
        <f t="shared" si="195"/>
        <v>0</v>
      </c>
      <c r="CE299" s="85">
        <f t="shared" si="195"/>
        <v>0</v>
      </c>
      <c r="CF299" s="85">
        <f t="shared" si="195"/>
        <v>0</v>
      </c>
      <c r="CG299" s="85">
        <f t="shared" si="195"/>
        <v>0</v>
      </c>
      <c r="CH299" s="85">
        <f t="shared" si="195"/>
        <v>147250000</v>
      </c>
      <c r="CI299" s="85">
        <f t="shared" si="195"/>
        <v>147250000</v>
      </c>
      <c r="CJ299" s="85">
        <f t="shared" si="195"/>
        <v>0</v>
      </c>
      <c r="CK299" s="85">
        <f t="shared" si="195"/>
        <v>0</v>
      </c>
      <c r="CL299" s="85">
        <f t="shared" si="195"/>
        <v>0</v>
      </c>
      <c r="CM299" s="85">
        <f t="shared" si="195"/>
        <v>0</v>
      </c>
      <c r="CN299" s="85">
        <f t="shared" si="195"/>
        <v>0</v>
      </c>
      <c r="CO299" s="85">
        <f t="shared" si="195"/>
        <v>0</v>
      </c>
      <c r="CP299" s="85">
        <f t="shared" si="195"/>
        <v>0</v>
      </c>
      <c r="CQ299" s="85">
        <f t="shared" si="195"/>
        <v>0</v>
      </c>
      <c r="CR299" s="85">
        <f t="shared" ref="CR299:DO299" si="196">SUM(CR300:CR302)</f>
        <v>0</v>
      </c>
      <c r="CS299" s="85">
        <f t="shared" si="196"/>
        <v>282707396.61000001</v>
      </c>
      <c r="CT299" s="85">
        <f t="shared" si="196"/>
        <v>282707396.61000001</v>
      </c>
      <c r="CU299" s="85">
        <f t="shared" si="196"/>
        <v>0</v>
      </c>
      <c r="CV299" s="85">
        <f t="shared" si="196"/>
        <v>0</v>
      </c>
      <c r="CW299" s="85">
        <f t="shared" si="196"/>
        <v>0</v>
      </c>
      <c r="CX299" s="85">
        <f t="shared" si="196"/>
        <v>0</v>
      </c>
      <c r="CY299" s="85">
        <f t="shared" si="196"/>
        <v>0</v>
      </c>
      <c r="CZ299" s="85">
        <f t="shared" si="196"/>
        <v>0</v>
      </c>
      <c r="DA299" s="85">
        <f t="shared" si="196"/>
        <v>0</v>
      </c>
      <c r="DB299" s="85">
        <f t="shared" si="196"/>
        <v>0</v>
      </c>
      <c r="DC299" s="85">
        <f t="shared" si="196"/>
        <v>0</v>
      </c>
      <c r="DD299" s="85">
        <f t="shared" si="196"/>
        <v>633118500</v>
      </c>
      <c r="DE299" s="85">
        <f t="shared" si="196"/>
        <v>633118500</v>
      </c>
      <c r="DF299" s="85">
        <f t="shared" si="196"/>
        <v>0</v>
      </c>
      <c r="DG299" s="85">
        <f t="shared" si="196"/>
        <v>0</v>
      </c>
      <c r="DH299" s="85">
        <f t="shared" si="196"/>
        <v>0</v>
      </c>
      <c r="DI299" s="85">
        <f t="shared" si="196"/>
        <v>0</v>
      </c>
      <c r="DJ299" s="85">
        <f t="shared" si="196"/>
        <v>0</v>
      </c>
      <c r="DK299" s="85">
        <f t="shared" si="196"/>
        <v>0</v>
      </c>
      <c r="DL299" s="85">
        <f t="shared" si="196"/>
        <v>0</v>
      </c>
      <c r="DM299" s="85">
        <f t="shared" si="196"/>
        <v>0</v>
      </c>
      <c r="DN299" s="85">
        <f t="shared" si="196"/>
        <v>0</v>
      </c>
      <c r="DO299" s="85">
        <f t="shared" si="196"/>
        <v>1191305506.6100001</v>
      </c>
    </row>
    <row r="300" spans="1:123" s="225" customFormat="1" ht="78.75" customHeight="1" x14ac:dyDescent="0.2">
      <c r="A300" s="64">
        <v>3</v>
      </c>
      <c r="B300" s="256" t="s">
        <v>41</v>
      </c>
      <c r="C300" s="59" t="s">
        <v>1331</v>
      </c>
      <c r="D300" s="59" t="s">
        <v>85</v>
      </c>
      <c r="E300" s="125">
        <v>4.2900000000000001E-2</v>
      </c>
      <c r="F300" s="13">
        <v>2019</v>
      </c>
      <c r="G300" s="59" t="s">
        <v>1332</v>
      </c>
      <c r="H300" s="125">
        <v>6.8699999999999997E-2</v>
      </c>
      <c r="I300" s="13">
        <v>45</v>
      </c>
      <c r="J300" s="13" t="s">
        <v>1294</v>
      </c>
      <c r="K300" s="50">
        <v>12</v>
      </c>
      <c r="L300" s="13" t="s">
        <v>944</v>
      </c>
      <c r="M300" s="244">
        <v>43</v>
      </c>
      <c r="N300" s="244">
        <v>4503</v>
      </c>
      <c r="O300" s="245" t="s">
        <v>1676</v>
      </c>
      <c r="P300" s="13" t="s">
        <v>1333</v>
      </c>
      <c r="Q300" s="13">
        <v>4503002</v>
      </c>
      <c r="R300" s="13">
        <v>4503002</v>
      </c>
      <c r="S300" s="59" t="s">
        <v>86</v>
      </c>
      <c r="T300" s="13" t="s">
        <v>1334</v>
      </c>
      <c r="U300" s="13">
        <v>450300200</v>
      </c>
      <c r="V300" s="13">
        <v>450300200</v>
      </c>
      <c r="W300" s="87" t="s">
        <v>543</v>
      </c>
      <c r="X300" s="13" t="s">
        <v>9</v>
      </c>
      <c r="Y300" s="13">
        <v>15000</v>
      </c>
      <c r="Z300" s="13">
        <v>1000</v>
      </c>
      <c r="AA300" s="13">
        <v>1000</v>
      </c>
      <c r="AB300" s="13">
        <v>4000</v>
      </c>
      <c r="AC300" s="13">
        <v>5000</v>
      </c>
      <c r="AD300" s="13">
        <v>5000</v>
      </c>
      <c r="AE300" s="89">
        <f t="shared" ref="AE300:AF302" si="197">AJ300+AO300+AT300+AY300+BD300+BI300+BN300+BS300+BX300+CC300</f>
        <v>5000000</v>
      </c>
      <c r="AF300" s="89">
        <f t="shared" si="197"/>
        <v>41124000</v>
      </c>
      <c r="AG300" s="89">
        <f>AL300+AQ300+AV300+BA300+BF300+BK300+BP300+BU300+BZ300+CE300</f>
        <v>28124000</v>
      </c>
      <c r="AH300" s="89">
        <f t="shared" ref="AH300:AI302" si="198">AM300+AR300+AW300+BB300+BG300+BL300+BQ300+BV300+CA300+CF300</f>
        <v>28124000</v>
      </c>
      <c r="AI300" s="89">
        <f t="shared" si="198"/>
        <v>0</v>
      </c>
      <c r="AJ300" s="91">
        <v>5000000</v>
      </c>
      <c r="AK300" s="91">
        <v>41124000</v>
      </c>
      <c r="AL300" s="91">
        <v>28124000</v>
      </c>
      <c r="AM300" s="91">
        <v>28124000</v>
      </c>
      <c r="AN300" s="91"/>
      <c r="AO300" s="91"/>
      <c r="AP300" s="91"/>
      <c r="AQ300" s="91"/>
      <c r="AR300" s="91"/>
      <c r="AS300" s="91"/>
      <c r="AT300" s="91"/>
      <c r="AU300" s="91"/>
      <c r="AV300" s="91"/>
      <c r="AW300" s="91"/>
      <c r="AX300" s="91"/>
      <c r="AY300" s="91"/>
      <c r="AZ300" s="91"/>
      <c r="BA300" s="91"/>
      <c r="BB300" s="91"/>
      <c r="BC300" s="91"/>
      <c r="BD300" s="91"/>
      <c r="BE300" s="91"/>
      <c r="BF300" s="91"/>
      <c r="BG300" s="91"/>
      <c r="BH300" s="91"/>
      <c r="BI300" s="91"/>
      <c r="BJ300" s="91"/>
      <c r="BK300" s="91"/>
      <c r="BL300" s="91"/>
      <c r="BM300" s="91"/>
      <c r="BN300" s="91"/>
      <c r="BO300" s="91"/>
      <c r="BP300" s="91"/>
      <c r="BQ300" s="91"/>
      <c r="BR300" s="91"/>
      <c r="BS300" s="91"/>
      <c r="BT300" s="91"/>
      <c r="BU300" s="91"/>
      <c r="BV300" s="91"/>
      <c r="BW300" s="91"/>
      <c r="BX300" s="91"/>
      <c r="BY300" s="91"/>
      <c r="BZ300" s="91"/>
      <c r="CA300" s="91"/>
      <c r="CB300" s="91"/>
      <c r="CC300" s="91"/>
      <c r="CD300" s="91"/>
      <c r="CE300" s="91"/>
      <c r="CF300" s="91"/>
      <c r="CG300" s="91"/>
      <c r="CH300" s="91">
        <f t="shared" si="157"/>
        <v>5000000</v>
      </c>
      <c r="CI300" s="91">
        <v>5000000</v>
      </c>
      <c r="CJ300" s="91"/>
      <c r="CK300" s="91"/>
      <c r="CL300" s="91"/>
      <c r="CM300" s="91"/>
      <c r="CN300" s="91"/>
      <c r="CO300" s="91"/>
      <c r="CP300" s="91"/>
      <c r="CQ300" s="91"/>
      <c r="CR300" s="91"/>
      <c r="CS300" s="91">
        <f>CT300+CU300+CV300+CW300+CX300+CY300+CZ300+DA300+DB300+DC300</f>
        <v>30000000</v>
      </c>
      <c r="CT300" s="91">
        <f>10000000+20000000</f>
        <v>30000000</v>
      </c>
      <c r="CU300" s="91"/>
      <c r="CV300" s="91"/>
      <c r="CW300" s="91"/>
      <c r="CX300" s="91"/>
      <c r="CY300" s="91"/>
      <c r="CZ300" s="91"/>
      <c r="DA300" s="91"/>
      <c r="DB300" s="91"/>
      <c r="DC300" s="91"/>
      <c r="DD300" s="91">
        <f>DE300+DF300+DG300+DH300+DI300+DJ300+DK300+DL300+DM300+DN300</f>
        <v>50000000</v>
      </c>
      <c r="DE300" s="91">
        <v>50000000</v>
      </c>
      <c r="DF300" s="91"/>
      <c r="DG300" s="91"/>
      <c r="DH300" s="91"/>
      <c r="DI300" s="91"/>
      <c r="DJ300" s="91"/>
      <c r="DK300" s="91"/>
      <c r="DL300" s="91"/>
      <c r="DM300" s="91"/>
      <c r="DN300" s="92"/>
      <c r="DO300" s="93">
        <f>AE300+CH300+CS300+DD300</f>
        <v>90000000</v>
      </c>
    </row>
    <row r="301" spans="1:123" s="225" customFormat="1" ht="78.75" customHeight="1" x14ac:dyDescent="0.2">
      <c r="A301" s="64">
        <v>3</v>
      </c>
      <c r="B301" s="256" t="s">
        <v>41</v>
      </c>
      <c r="C301" s="59" t="s">
        <v>1331</v>
      </c>
      <c r="D301" s="59" t="s">
        <v>87</v>
      </c>
      <c r="E301" s="119">
        <v>1</v>
      </c>
      <c r="F301" s="13">
        <v>2019</v>
      </c>
      <c r="G301" s="59" t="s">
        <v>1332</v>
      </c>
      <c r="H301" s="119">
        <v>1</v>
      </c>
      <c r="I301" s="13">
        <v>45</v>
      </c>
      <c r="J301" s="13" t="s">
        <v>1294</v>
      </c>
      <c r="K301" s="50">
        <v>12</v>
      </c>
      <c r="L301" s="13" t="s">
        <v>944</v>
      </c>
      <c r="M301" s="244">
        <v>43</v>
      </c>
      <c r="N301" s="244">
        <v>4503</v>
      </c>
      <c r="O301" s="245" t="s">
        <v>1676</v>
      </c>
      <c r="P301" s="13" t="s">
        <v>1335</v>
      </c>
      <c r="Q301" s="13">
        <v>4503003</v>
      </c>
      <c r="R301" s="13">
        <v>4503003</v>
      </c>
      <c r="S301" s="59" t="s">
        <v>83</v>
      </c>
      <c r="T301" s="13" t="s">
        <v>1336</v>
      </c>
      <c r="U301" s="13">
        <v>450300300</v>
      </c>
      <c r="V301" s="13">
        <v>450300300</v>
      </c>
      <c r="W301" s="87" t="s">
        <v>1337</v>
      </c>
      <c r="X301" s="13" t="s">
        <v>8</v>
      </c>
      <c r="Y301" s="13">
        <v>12</v>
      </c>
      <c r="Z301" s="13">
        <v>12</v>
      </c>
      <c r="AA301" s="13">
        <v>12</v>
      </c>
      <c r="AB301" s="13">
        <v>12</v>
      </c>
      <c r="AC301" s="13">
        <v>12</v>
      </c>
      <c r="AD301" s="13">
        <v>12</v>
      </c>
      <c r="AE301" s="89">
        <f t="shared" si="197"/>
        <v>110000000</v>
      </c>
      <c r="AF301" s="89">
        <f t="shared" si="197"/>
        <v>284455598</v>
      </c>
      <c r="AG301" s="89">
        <f>AL301+AQ301+AV301+BA301+BF301+BK301+BP301+BU301+BZ301+CE301</f>
        <v>212238801</v>
      </c>
      <c r="AH301" s="89">
        <f t="shared" si="198"/>
        <v>212238801</v>
      </c>
      <c r="AI301" s="89">
        <f t="shared" si="198"/>
        <v>0</v>
      </c>
      <c r="AJ301" s="91">
        <f>123229610-13229610</f>
        <v>110000000</v>
      </c>
      <c r="AK301" s="91">
        <v>284455598</v>
      </c>
      <c r="AL301" s="91">
        <v>212238801</v>
      </c>
      <c r="AM301" s="91">
        <v>212238801</v>
      </c>
      <c r="AN301" s="91"/>
      <c r="AO301" s="91"/>
      <c r="AP301" s="91"/>
      <c r="AQ301" s="91"/>
      <c r="AR301" s="91"/>
      <c r="AS301" s="91"/>
      <c r="AT301" s="91"/>
      <c r="AU301" s="91"/>
      <c r="AV301" s="91"/>
      <c r="AW301" s="91"/>
      <c r="AX301" s="91"/>
      <c r="AY301" s="91"/>
      <c r="AZ301" s="91"/>
      <c r="BA301" s="91"/>
      <c r="BB301" s="91"/>
      <c r="BC301" s="91"/>
      <c r="BD301" s="91"/>
      <c r="BE301" s="91"/>
      <c r="BF301" s="91"/>
      <c r="BG301" s="91"/>
      <c r="BH301" s="91"/>
      <c r="BI301" s="91"/>
      <c r="BJ301" s="91"/>
      <c r="BK301" s="91"/>
      <c r="BL301" s="91"/>
      <c r="BM301" s="91"/>
      <c r="BN301" s="91"/>
      <c r="BO301" s="91"/>
      <c r="BP301" s="91"/>
      <c r="BQ301" s="91"/>
      <c r="BR301" s="91"/>
      <c r="BS301" s="91"/>
      <c r="BT301" s="91"/>
      <c r="BU301" s="91"/>
      <c r="BV301" s="91"/>
      <c r="BW301" s="91"/>
      <c r="BX301" s="91"/>
      <c r="BY301" s="91"/>
      <c r="BZ301" s="91"/>
      <c r="CA301" s="91"/>
      <c r="CB301" s="91"/>
      <c r="CC301" s="91"/>
      <c r="CD301" s="91"/>
      <c r="CE301" s="91"/>
      <c r="CF301" s="91"/>
      <c r="CG301" s="91"/>
      <c r="CH301" s="91">
        <f t="shared" si="157"/>
        <v>112250000</v>
      </c>
      <c r="CI301" s="91">
        <v>112250000</v>
      </c>
      <c r="CJ301" s="91"/>
      <c r="CK301" s="91"/>
      <c r="CL301" s="91"/>
      <c r="CM301" s="91"/>
      <c r="CN301" s="91"/>
      <c r="CO301" s="91"/>
      <c r="CP301" s="91"/>
      <c r="CQ301" s="91"/>
      <c r="CR301" s="91"/>
      <c r="CS301" s="91">
        <f>CT301+CU301+CV301+CW301+CX301+CY301+CZ301+DA301+DB301+DC301</f>
        <v>150743006.61000001</v>
      </c>
      <c r="CT301" s="91">
        <f>105743006.61+45000000</f>
        <v>150743006.61000001</v>
      </c>
      <c r="CU301" s="91"/>
      <c r="CV301" s="91"/>
      <c r="CW301" s="91"/>
      <c r="CX301" s="91"/>
      <c r="CY301" s="91"/>
      <c r="CZ301" s="91"/>
      <c r="DA301" s="91"/>
      <c r="DB301" s="91"/>
      <c r="DC301" s="91"/>
      <c r="DD301" s="91">
        <f>DE301+DF301+DG301+DH301+DI301+DJ301+DK301+DL301+DM301+DN301</f>
        <v>398118500</v>
      </c>
      <c r="DE301" s="91">
        <f>298118500+100000000</f>
        <v>398118500</v>
      </c>
      <c r="DF301" s="91"/>
      <c r="DG301" s="91"/>
      <c r="DH301" s="91"/>
      <c r="DI301" s="91"/>
      <c r="DJ301" s="91"/>
      <c r="DK301" s="91"/>
      <c r="DL301" s="91"/>
      <c r="DM301" s="91"/>
      <c r="DN301" s="92"/>
      <c r="DO301" s="93">
        <f>AE301+CH301+CS301+DD301</f>
        <v>771111506.61000001</v>
      </c>
    </row>
    <row r="302" spans="1:123" s="225" customFormat="1" ht="94.5" customHeight="1" x14ac:dyDescent="0.2">
      <c r="A302" s="64">
        <v>3</v>
      </c>
      <c r="B302" s="256" t="s">
        <v>41</v>
      </c>
      <c r="C302" s="59" t="s">
        <v>1331</v>
      </c>
      <c r="D302" s="59" t="s">
        <v>87</v>
      </c>
      <c r="E302" s="119">
        <v>1</v>
      </c>
      <c r="F302" s="13">
        <v>2019</v>
      </c>
      <c r="G302" s="59" t="s">
        <v>1332</v>
      </c>
      <c r="H302" s="119">
        <v>1</v>
      </c>
      <c r="I302" s="13">
        <v>45</v>
      </c>
      <c r="J302" s="13" t="s">
        <v>1294</v>
      </c>
      <c r="K302" s="50">
        <v>12</v>
      </c>
      <c r="L302" s="13" t="s">
        <v>944</v>
      </c>
      <c r="M302" s="244">
        <v>43</v>
      </c>
      <c r="N302" s="244">
        <v>4503</v>
      </c>
      <c r="O302" s="245" t="s">
        <v>1676</v>
      </c>
      <c r="P302" s="13" t="s">
        <v>1338</v>
      </c>
      <c r="Q302" s="13">
        <v>4503004</v>
      </c>
      <c r="R302" s="13">
        <v>4503016</v>
      </c>
      <c r="S302" s="59" t="s">
        <v>1678</v>
      </c>
      <c r="T302" s="13" t="s">
        <v>1339</v>
      </c>
      <c r="U302" s="13" t="s">
        <v>1634</v>
      </c>
      <c r="V302" s="13">
        <v>450301600</v>
      </c>
      <c r="W302" s="87" t="s">
        <v>1340</v>
      </c>
      <c r="X302" s="13" t="s">
        <v>8</v>
      </c>
      <c r="Y302" s="13">
        <v>1</v>
      </c>
      <c r="Z302" s="13">
        <v>1</v>
      </c>
      <c r="AA302" s="13">
        <v>1</v>
      </c>
      <c r="AB302" s="13">
        <v>1</v>
      </c>
      <c r="AC302" s="13">
        <v>1</v>
      </c>
      <c r="AD302" s="13">
        <v>1</v>
      </c>
      <c r="AE302" s="89">
        <f t="shared" si="197"/>
        <v>13229610</v>
      </c>
      <c r="AF302" s="89">
        <f t="shared" si="197"/>
        <v>73229610.299999997</v>
      </c>
      <c r="AG302" s="89">
        <f>AL302+AQ302+AV302+BA302+BF302+BK302+BP302+BU302+BZ302+CE302</f>
        <v>72547626</v>
      </c>
      <c r="AH302" s="89">
        <f t="shared" si="198"/>
        <v>72547626</v>
      </c>
      <c r="AI302" s="89"/>
      <c r="AJ302" s="91">
        <v>13229610</v>
      </c>
      <c r="AK302" s="91">
        <v>73229610.299999997</v>
      </c>
      <c r="AL302" s="91">
        <v>72547626</v>
      </c>
      <c r="AM302" s="91">
        <v>72547626</v>
      </c>
      <c r="AN302" s="91"/>
      <c r="AO302" s="91"/>
      <c r="AP302" s="91"/>
      <c r="AQ302" s="91"/>
      <c r="AR302" s="91"/>
      <c r="AS302" s="91"/>
      <c r="AT302" s="91"/>
      <c r="AU302" s="91"/>
      <c r="AV302" s="91"/>
      <c r="AW302" s="91"/>
      <c r="AX302" s="91"/>
      <c r="AY302" s="91"/>
      <c r="AZ302" s="91"/>
      <c r="BA302" s="91"/>
      <c r="BB302" s="91"/>
      <c r="BC302" s="91"/>
      <c r="BD302" s="91"/>
      <c r="BE302" s="91"/>
      <c r="BF302" s="91"/>
      <c r="BG302" s="91"/>
      <c r="BH302" s="91"/>
      <c r="BI302" s="91"/>
      <c r="BJ302" s="91"/>
      <c r="BK302" s="91"/>
      <c r="BL302" s="91"/>
      <c r="BM302" s="91"/>
      <c r="BN302" s="91"/>
      <c r="BO302" s="91"/>
      <c r="BP302" s="91"/>
      <c r="BQ302" s="91"/>
      <c r="BR302" s="91"/>
      <c r="BS302" s="91"/>
      <c r="BT302" s="91"/>
      <c r="BU302" s="91"/>
      <c r="BV302" s="91"/>
      <c r="BW302" s="91"/>
      <c r="BX302" s="91"/>
      <c r="BY302" s="91"/>
      <c r="BZ302" s="91"/>
      <c r="CA302" s="91"/>
      <c r="CB302" s="91"/>
      <c r="CC302" s="91"/>
      <c r="CD302" s="91"/>
      <c r="CE302" s="91"/>
      <c r="CF302" s="91"/>
      <c r="CG302" s="91"/>
      <c r="CH302" s="91">
        <f t="shared" si="157"/>
        <v>30000000</v>
      </c>
      <c r="CI302" s="91">
        <v>30000000</v>
      </c>
      <c r="CJ302" s="91"/>
      <c r="CK302" s="91"/>
      <c r="CL302" s="91"/>
      <c r="CM302" s="91"/>
      <c r="CN302" s="91"/>
      <c r="CO302" s="91"/>
      <c r="CP302" s="91"/>
      <c r="CQ302" s="91"/>
      <c r="CR302" s="91"/>
      <c r="CS302" s="91">
        <f>CT302+CU302+CV302+CW302+CX302+CY302+CZ302+DA302+DB302+DC302</f>
        <v>101964390</v>
      </c>
      <c r="CT302" s="91">
        <f>36964390+65000000</f>
        <v>101964390</v>
      </c>
      <c r="CU302" s="91"/>
      <c r="CV302" s="91"/>
      <c r="CW302" s="91"/>
      <c r="CX302" s="91"/>
      <c r="CY302" s="91"/>
      <c r="CZ302" s="91"/>
      <c r="DA302" s="91"/>
      <c r="DB302" s="91"/>
      <c r="DC302" s="91"/>
      <c r="DD302" s="91">
        <f>DE302+DF302+DG302+DH302+DI302+DJ302+DK302+DL302+DM302+DN302</f>
        <v>185000000</v>
      </c>
      <c r="DE302" s="91">
        <f>85000000+100000000</f>
        <v>185000000</v>
      </c>
      <c r="DF302" s="91"/>
      <c r="DG302" s="91"/>
      <c r="DH302" s="91"/>
      <c r="DI302" s="91"/>
      <c r="DJ302" s="91"/>
      <c r="DK302" s="91"/>
      <c r="DL302" s="91"/>
      <c r="DM302" s="91"/>
      <c r="DN302" s="92"/>
      <c r="DO302" s="93">
        <f>AE302+CH302+CS302+DD302</f>
        <v>330194000</v>
      </c>
    </row>
    <row r="303" spans="1:123" s="217" customFormat="1" ht="25.5" customHeight="1" x14ac:dyDescent="0.2">
      <c r="A303" s="65">
        <v>4</v>
      </c>
      <c r="B303" s="153" t="s">
        <v>6</v>
      </c>
      <c r="C303" s="65"/>
      <c r="D303" s="65"/>
      <c r="E303" s="154"/>
      <c r="F303" s="65"/>
      <c r="G303" s="65"/>
      <c r="H303" s="154"/>
      <c r="I303" s="65"/>
      <c r="J303" s="65"/>
      <c r="K303" s="65"/>
      <c r="L303" s="65"/>
      <c r="M303" s="65"/>
      <c r="N303" s="65"/>
      <c r="O303" s="65"/>
      <c r="P303" s="65"/>
      <c r="Q303" s="155"/>
      <c r="R303" s="155"/>
      <c r="S303" s="155"/>
      <c r="T303" s="155"/>
      <c r="U303" s="155"/>
      <c r="V303" s="155"/>
      <c r="W303" s="71"/>
      <c r="X303" s="71"/>
      <c r="Y303" s="68"/>
      <c r="Z303" s="68"/>
      <c r="AA303" s="68"/>
      <c r="AB303" s="68"/>
      <c r="AC303" s="68"/>
      <c r="AD303" s="72"/>
      <c r="AE303" s="73">
        <f t="shared" ref="AE303:BJ303" si="199">AE304+AE311+AE327</f>
        <v>6141996598.6400003</v>
      </c>
      <c r="AF303" s="73">
        <f t="shared" si="199"/>
        <v>5528882739.7399998</v>
      </c>
      <c r="AG303" s="73">
        <f t="shared" si="199"/>
        <v>4122279349.3299999</v>
      </c>
      <c r="AH303" s="73">
        <f t="shared" si="199"/>
        <v>4042234335.3299999</v>
      </c>
      <c r="AI303" s="73">
        <f t="shared" si="199"/>
        <v>89564580</v>
      </c>
      <c r="AJ303" s="73">
        <f t="shared" si="199"/>
        <v>5642159950.6400003</v>
      </c>
      <c r="AK303" s="73">
        <f t="shared" si="199"/>
        <v>5029046091.7399998</v>
      </c>
      <c r="AL303" s="73">
        <f t="shared" si="199"/>
        <v>3860826224.3299999</v>
      </c>
      <c r="AM303" s="73">
        <f t="shared" si="199"/>
        <v>3780781210.3299999</v>
      </c>
      <c r="AN303" s="73">
        <f t="shared" si="199"/>
        <v>89564580</v>
      </c>
      <c r="AO303" s="73">
        <f t="shared" si="199"/>
        <v>250000000</v>
      </c>
      <c r="AP303" s="73">
        <f t="shared" si="199"/>
        <v>0</v>
      </c>
      <c r="AQ303" s="73">
        <f t="shared" si="199"/>
        <v>0</v>
      </c>
      <c r="AR303" s="73">
        <f t="shared" si="199"/>
        <v>0</v>
      </c>
      <c r="AS303" s="73">
        <f t="shared" si="199"/>
        <v>0</v>
      </c>
      <c r="AT303" s="73">
        <f t="shared" si="199"/>
        <v>0</v>
      </c>
      <c r="AU303" s="73">
        <f t="shared" si="199"/>
        <v>0</v>
      </c>
      <c r="AV303" s="73">
        <f t="shared" si="199"/>
        <v>0</v>
      </c>
      <c r="AW303" s="73">
        <f t="shared" si="199"/>
        <v>0</v>
      </c>
      <c r="AX303" s="73">
        <f t="shared" si="199"/>
        <v>0</v>
      </c>
      <c r="AY303" s="73">
        <f t="shared" si="199"/>
        <v>0</v>
      </c>
      <c r="AZ303" s="73">
        <f t="shared" si="199"/>
        <v>0</v>
      </c>
      <c r="BA303" s="73">
        <f t="shared" si="199"/>
        <v>0</v>
      </c>
      <c r="BB303" s="73">
        <f t="shared" si="199"/>
        <v>0</v>
      </c>
      <c r="BC303" s="73">
        <f t="shared" si="199"/>
        <v>0</v>
      </c>
      <c r="BD303" s="73">
        <f t="shared" si="199"/>
        <v>0</v>
      </c>
      <c r="BE303" s="73">
        <f t="shared" si="199"/>
        <v>0</v>
      </c>
      <c r="BF303" s="73">
        <f t="shared" si="199"/>
        <v>0</v>
      </c>
      <c r="BG303" s="73">
        <f t="shared" si="199"/>
        <v>0</v>
      </c>
      <c r="BH303" s="73">
        <f t="shared" si="199"/>
        <v>0</v>
      </c>
      <c r="BI303" s="73">
        <f t="shared" si="199"/>
        <v>0</v>
      </c>
      <c r="BJ303" s="73">
        <f t="shared" si="199"/>
        <v>0</v>
      </c>
      <c r="BK303" s="73">
        <f t="shared" ref="BK303:CP303" si="200">BK304+BK311+BK327</f>
        <v>0</v>
      </c>
      <c r="BL303" s="73">
        <f t="shared" si="200"/>
        <v>0</v>
      </c>
      <c r="BM303" s="73">
        <f t="shared" si="200"/>
        <v>0</v>
      </c>
      <c r="BN303" s="73">
        <f t="shared" si="200"/>
        <v>0</v>
      </c>
      <c r="BO303" s="73">
        <f t="shared" si="200"/>
        <v>0</v>
      </c>
      <c r="BP303" s="73">
        <f t="shared" si="200"/>
        <v>0</v>
      </c>
      <c r="BQ303" s="73">
        <f t="shared" si="200"/>
        <v>0</v>
      </c>
      <c r="BR303" s="73">
        <f t="shared" si="200"/>
        <v>0</v>
      </c>
      <c r="BS303" s="73">
        <f t="shared" si="200"/>
        <v>0</v>
      </c>
      <c r="BT303" s="73">
        <f t="shared" si="200"/>
        <v>0</v>
      </c>
      <c r="BU303" s="73">
        <f t="shared" si="200"/>
        <v>0</v>
      </c>
      <c r="BV303" s="73">
        <f t="shared" si="200"/>
        <v>0</v>
      </c>
      <c r="BW303" s="73">
        <f t="shared" si="200"/>
        <v>0</v>
      </c>
      <c r="BX303" s="73">
        <f t="shared" si="200"/>
        <v>0</v>
      </c>
      <c r="BY303" s="73">
        <f t="shared" si="200"/>
        <v>0</v>
      </c>
      <c r="BZ303" s="73">
        <f t="shared" si="200"/>
        <v>0</v>
      </c>
      <c r="CA303" s="73">
        <f t="shared" si="200"/>
        <v>0</v>
      </c>
      <c r="CB303" s="73">
        <f t="shared" si="200"/>
        <v>0</v>
      </c>
      <c r="CC303" s="73">
        <f t="shared" si="200"/>
        <v>249836648</v>
      </c>
      <c r="CD303" s="73">
        <f t="shared" si="200"/>
        <v>499836648</v>
      </c>
      <c r="CE303" s="73">
        <f t="shared" si="200"/>
        <v>263553693</v>
      </c>
      <c r="CF303" s="73">
        <f t="shared" si="200"/>
        <v>263553693</v>
      </c>
      <c r="CG303" s="73">
        <f t="shared" si="200"/>
        <v>0</v>
      </c>
      <c r="CH303" s="73">
        <f t="shared" si="200"/>
        <v>4215762977.6452599</v>
      </c>
      <c r="CI303" s="73">
        <f t="shared" si="200"/>
        <v>3834339233.8852601</v>
      </c>
      <c r="CJ303" s="73">
        <f t="shared" si="200"/>
        <v>186423743.75999999</v>
      </c>
      <c r="CK303" s="73">
        <f t="shared" si="200"/>
        <v>0</v>
      </c>
      <c r="CL303" s="73">
        <f t="shared" si="200"/>
        <v>0</v>
      </c>
      <c r="CM303" s="73">
        <f t="shared" si="200"/>
        <v>0</v>
      </c>
      <c r="CN303" s="73">
        <f t="shared" si="200"/>
        <v>0</v>
      </c>
      <c r="CO303" s="73">
        <f t="shared" si="200"/>
        <v>195000000</v>
      </c>
      <c r="CP303" s="73">
        <f t="shared" si="200"/>
        <v>0</v>
      </c>
      <c r="CQ303" s="73">
        <f t="shared" ref="CQ303:DO303" si="201">CQ304+CQ311+CQ327</f>
        <v>0</v>
      </c>
      <c r="CR303" s="73">
        <f t="shared" si="201"/>
        <v>0</v>
      </c>
      <c r="CS303" s="73">
        <f t="shared" si="201"/>
        <v>13413163827.791836</v>
      </c>
      <c r="CT303" s="73">
        <f t="shared" si="201"/>
        <v>6002145314.8818359</v>
      </c>
      <c r="CU303" s="73">
        <f t="shared" si="201"/>
        <v>216018512.91</v>
      </c>
      <c r="CV303" s="73">
        <f t="shared" si="201"/>
        <v>0</v>
      </c>
      <c r="CW303" s="73">
        <f t="shared" si="201"/>
        <v>0</v>
      </c>
      <c r="CX303" s="73">
        <f t="shared" si="201"/>
        <v>0</v>
      </c>
      <c r="CY303" s="73">
        <f t="shared" si="201"/>
        <v>0</v>
      </c>
      <c r="CZ303" s="73">
        <f t="shared" si="201"/>
        <v>7195000000</v>
      </c>
      <c r="DA303" s="73">
        <f t="shared" si="201"/>
        <v>0</v>
      </c>
      <c r="DB303" s="73">
        <f t="shared" si="201"/>
        <v>0</v>
      </c>
      <c r="DC303" s="73">
        <f t="shared" si="201"/>
        <v>0</v>
      </c>
      <c r="DD303" s="73">
        <f t="shared" si="201"/>
        <v>25628131333.331947</v>
      </c>
      <c r="DE303" s="73">
        <f t="shared" si="201"/>
        <v>8680908526.2763901</v>
      </c>
      <c r="DF303" s="73">
        <f t="shared" si="201"/>
        <v>247221187.055556</v>
      </c>
      <c r="DG303" s="73">
        <f t="shared" si="201"/>
        <v>0</v>
      </c>
      <c r="DH303" s="73">
        <f t="shared" si="201"/>
        <v>0</v>
      </c>
      <c r="DI303" s="73">
        <f t="shared" si="201"/>
        <v>0</v>
      </c>
      <c r="DJ303" s="73">
        <f t="shared" si="201"/>
        <v>0</v>
      </c>
      <c r="DK303" s="73">
        <f t="shared" si="201"/>
        <v>16700001620</v>
      </c>
      <c r="DL303" s="73">
        <f t="shared" si="201"/>
        <v>0</v>
      </c>
      <c r="DM303" s="73">
        <f t="shared" si="201"/>
        <v>0</v>
      </c>
      <c r="DN303" s="73">
        <f t="shared" si="201"/>
        <v>0</v>
      </c>
      <c r="DO303" s="73">
        <f t="shared" si="201"/>
        <v>49399054737.40905</v>
      </c>
      <c r="DS303" s="208"/>
    </row>
    <row r="304" spans="1:123" ht="25.5" customHeight="1" x14ac:dyDescent="0.2">
      <c r="A304" s="74"/>
      <c r="B304" s="156"/>
      <c r="C304" s="74"/>
      <c r="D304" s="74"/>
      <c r="E304" s="77"/>
      <c r="F304" s="74"/>
      <c r="G304" s="74"/>
      <c r="H304" s="77"/>
      <c r="I304" s="74"/>
      <c r="J304" s="74"/>
      <c r="K304" s="74"/>
      <c r="L304" s="74"/>
      <c r="M304" s="147">
        <v>17</v>
      </c>
      <c r="N304" s="96">
        <v>2302</v>
      </c>
      <c r="O304" s="97" t="s">
        <v>282</v>
      </c>
      <c r="P304" s="96"/>
      <c r="Q304" s="98"/>
      <c r="R304" s="98"/>
      <c r="S304" s="98"/>
      <c r="T304" s="98"/>
      <c r="U304" s="98"/>
      <c r="V304" s="98"/>
      <c r="W304" s="83"/>
      <c r="X304" s="83"/>
      <c r="Y304" s="84"/>
      <c r="Z304" s="84"/>
      <c r="AA304" s="84"/>
      <c r="AB304" s="84"/>
      <c r="AC304" s="84"/>
      <c r="AD304" s="81"/>
      <c r="AE304" s="85">
        <f t="shared" ref="AE304:BJ304" si="202">SUM(AE305:AE310)</f>
        <v>203721000</v>
      </c>
      <c r="AF304" s="85">
        <f t="shared" si="202"/>
        <v>353721000</v>
      </c>
      <c r="AG304" s="85">
        <f t="shared" si="202"/>
        <v>329072188</v>
      </c>
      <c r="AH304" s="85">
        <f t="shared" si="202"/>
        <v>329072188</v>
      </c>
      <c r="AI304" s="85">
        <f t="shared" si="202"/>
        <v>0</v>
      </c>
      <c r="AJ304" s="85">
        <f t="shared" si="202"/>
        <v>203721000</v>
      </c>
      <c r="AK304" s="85">
        <f t="shared" si="202"/>
        <v>353721000</v>
      </c>
      <c r="AL304" s="85">
        <f t="shared" si="202"/>
        <v>329072188</v>
      </c>
      <c r="AM304" s="85">
        <f t="shared" si="202"/>
        <v>329072188</v>
      </c>
      <c r="AN304" s="85">
        <f t="shared" si="202"/>
        <v>0</v>
      </c>
      <c r="AO304" s="85">
        <f t="shared" si="202"/>
        <v>0</v>
      </c>
      <c r="AP304" s="85">
        <f t="shared" si="202"/>
        <v>0</v>
      </c>
      <c r="AQ304" s="85">
        <f t="shared" si="202"/>
        <v>0</v>
      </c>
      <c r="AR304" s="85">
        <f t="shared" si="202"/>
        <v>0</v>
      </c>
      <c r="AS304" s="85">
        <f t="shared" si="202"/>
        <v>0</v>
      </c>
      <c r="AT304" s="85">
        <f t="shared" si="202"/>
        <v>0</v>
      </c>
      <c r="AU304" s="85">
        <f t="shared" si="202"/>
        <v>0</v>
      </c>
      <c r="AV304" s="85">
        <f t="shared" si="202"/>
        <v>0</v>
      </c>
      <c r="AW304" s="85">
        <f t="shared" si="202"/>
        <v>0</v>
      </c>
      <c r="AX304" s="85">
        <f t="shared" si="202"/>
        <v>0</v>
      </c>
      <c r="AY304" s="85">
        <f t="shared" si="202"/>
        <v>0</v>
      </c>
      <c r="AZ304" s="85">
        <f t="shared" si="202"/>
        <v>0</v>
      </c>
      <c r="BA304" s="85">
        <f t="shared" si="202"/>
        <v>0</v>
      </c>
      <c r="BB304" s="85">
        <f t="shared" si="202"/>
        <v>0</v>
      </c>
      <c r="BC304" s="85">
        <f t="shared" si="202"/>
        <v>0</v>
      </c>
      <c r="BD304" s="85">
        <f t="shared" si="202"/>
        <v>0</v>
      </c>
      <c r="BE304" s="85">
        <f t="shared" si="202"/>
        <v>0</v>
      </c>
      <c r="BF304" s="85">
        <f t="shared" si="202"/>
        <v>0</v>
      </c>
      <c r="BG304" s="85">
        <f t="shared" si="202"/>
        <v>0</v>
      </c>
      <c r="BH304" s="85">
        <f t="shared" si="202"/>
        <v>0</v>
      </c>
      <c r="BI304" s="85">
        <f t="shared" si="202"/>
        <v>0</v>
      </c>
      <c r="BJ304" s="85">
        <f t="shared" si="202"/>
        <v>0</v>
      </c>
      <c r="BK304" s="85">
        <f t="shared" ref="BK304:CP304" si="203">SUM(BK305:BK310)</f>
        <v>0</v>
      </c>
      <c r="BL304" s="85">
        <f t="shared" si="203"/>
        <v>0</v>
      </c>
      <c r="BM304" s="85">
        <f t="shared" si="203"/>
        <v>0</v>
      </c>
      <c r="BN304" s="85">
        <f t="shared" si="203"/>
        <v>0</v>
      </c>
      <c r="BO304" s="85">
        <f t="shared" si="203"/>
        <v>0</v>
      </c>
      <c r="BP304" s="85">
        <f t="shared" si="203"/>
        <v>0</v>
      </c>
      <c r="BQ304" s="85">
        <f t="shared" si="203"/>
        <v>0</v>
      </c>
      <c r="BR304" s="85">
        <f t="shared" si="203"/>
        <v>0</v>
      </c>
      <c r="BS304" s="85">
        <f t="shared" si="203"/>
        <v>0</v>
      </c>
      <c r="BT304" s="85">
        <f t="shared" si="203"/>
        <v>0</v>
      </c>
      <c r="BU304" s="85">
        <f t="shared" si="203"/>
        <v>0</v>
      </c>
      <c r="BV304" s="85">
        <f t="shared" si="203"/>
        <v>0</v>
      </c>
      <c r="BW304" s="85">
        <f t="shared" si="203"/>
        <v>0</v>
      </c>
      <c r="BX304" s="85">
        <f t="shared" si="203"/>
        <v>0</v>
      </c>
      <c r="BY304" s="85">
        <f t="shared" si="203"/>
        <v>0</v>
      </c>
      <c r="BZ304" s="85">
        <f t="shared" si="203"/>
        <v>0</v>
      </c>
      <c r="CA304" s="85">
        <f t="shared" si="203"/>
        <v>0</v>
      </c>
      <c r="CB304" s="85">
        <f t="shared" si="203"/>
        <v>0</v>
      </c>
      <c r="CC304" s="85">
        <f t="shared" si="203"/>
        <v>0</v>
      </c>
      <c r="CD304" s="85">
        <f t="shared" si="203"/>
        <v>0</v>
      </c>
      <c r="CE304" s="85">
        <f t="shared" si="203"/>
        <v>0</v>
      </c>
      <c r="CF304" s="85">
        <f t="shared" si="203"/>
        <v>0</v>
      </c>
      <c r="CG304" s="85">
        <f t="shared" si="203"/>
        <v>0</v>
      </c>
      <c r="CH304" s="85">
        <f t="shared" si="203"/>
        <v>311475045</v>
      </c>
      <c r="CI304" s="85">
        <f t="shared" si="203"/>
        <v>116475045</v>
      </c>
      <c r="CJ304" s="85">
        <f t="shared" si="203"/>
        <v>0</v>
      </c>
      <c r="CK304" s="85">
        <f t="shared" si="203"/>
        <v>0</v>
      </c>
      <c r="CL304" s="85">
        <f t="shared" si="203"/>
        <v>0</v>
      </c>
      <c r="CM304" s="85">
        <f t="shared" si="203"/>
        <v>0</v>
      </c>
      <c r="CN304" s="85">
        <f t="shared" si="203"/>
        <v>0</v>
      </c>
      <c r="CO304" s="85">
        <f t="shared" si="203"/>
        <v>195000000</v>
      </c>
      <c r="CP304" s="85">
        <f t="shared" si="203"/>
        <v>0</v>
      </c>
      <c r="CQ304" s="85">
        <f t="shared" ref="CQ304:DO304" si="204">SUM(CQ305:CQ310)</f>
        <v>0</v>
      </c>
      <c r="CR304" s="85">
        <f t="shared" si="204"/>
        <v>0</v>
      </c>
      <c r="CS304" s="85">
        <f t="shared" si="204"/>
        <v>390760784.34873617</v>
      </c>
      <c r="CT304" s="85">
        <f t="shared" si="204"/>
        <v>195760784.3487362</v>
      </c>
      <c r="CU304" s="85">
        <f t="shared" si="204"/>
        <v>0</v>
      </c>
      <c r="CV304" s="85">
        <f t="shared" si="204"/>
        <v>0</v>
      </c>
      <c r="CW304" s="85">
        <f t="shared" si="204"/>
        <v>0</v>
      </c>
      <c r="CX304" s="85">
        <f t="shared" si="204"/>
        <v>0</v>
      </c>
      <c r="CY304" s="85">
        <f t="shared" si="204"/>
        <v>0</v>
      </c>
      <c r="CZ304" s="85">
        <f t="shared" si="204"/>
        <v>195000000</v>
      </c>
      <c r="DA304" s="85">
        <f t="shared" si="204"/>
        <v>0</v>
      </c>
      <c r="DB304" s="85">
        <f t="shared" si="204"/>
        <v>0</v>
      </c>
      <c r="DC304" s="85">
        <f t="shared" si="204"/>
        <v>0</v>
      </c>
      <c r="DD304" s="85">
        <f t="shared" si="204"/>
        <v>547788863</v>
      </c>
      <c r="DE304" s="85">
        <f t="shared" si="204"/>
        <v>222788863</v>
      </c>
      <c r="DF304" s="85">
        <f t="shared" si="204"/>
        <v>0</v>
      </c>
      <c r="DG304" s="85">
        <f t="shared" si="204"/>
        <v>0</v>
      </c>
      <c r="DH304" s="85">
        <f t="shared" si="204"/>
        <v>0</v>
      </c>
      <c r="DI304" s="85">
        <f t="shared" si="204"/>
        <v>0</v>
      </c>
      <c r="DJ304" s="85">
        <f t="shared" si="204"/>
        <v>0</v>
      </c>
      <c r="DK304" s="85">
        <f t="shared" si="204"/>
        <v>325000000</v>
      </c>
      <c r="DL304" s="85">
        <f t="shared" si="204"/>
        <v>0</v>
      </c>
      <c r="DM304" s="85">
        <f t="shared" si="204"/>
        <v>0</v>
      </c>
      <c r="DN304" s="85">
        <f t="shared" si="204"/>
        <v>0</v>
      </c>
      <c r="DO304" s="85">
        <f t="shared" si="204"/>
        <v>1453745692.3487363</v>
      </c>
    </row>
    <row r="305" spans="1:119" s="225" customFormat="1" ht="141.75" customHeight="1" x14ac:dyDescent="0.2">
      <c r="A305" s="64">
        <v>4</v>
      </c>
      <c r="B305" s="256" t="s">
        <v>6</v>
      </c>
      <c r="C305" s="59" t="s">
        <v>860</v>
      </c>
      <c r="D305" s="59" t="s">
        <v>290</v>
      </c>
      <c r="E305" s="125">
        <v>0.41870000000000002</v>
      </c>
      <c r="F305" s="13">
        <v>2018</v>
      </c>
      <c r="G305" s="59" t="s">
        <v>887</v>
      </c>
      <c r="H305" s="125">
        <v>0.72909999999999997</v>
      </c>
      <c r="I305" s="13">
        <v>23</v>
      </c>
      <c r="J305" s="59" t="s">
        <v>829</v>
      </c>
      <c r="K305" s="50">
        <v>17</v>
      </c>
      <c r="L305" s="13" t="s">
        <v>888</v>
      </c>
      <c r="M305" s="246">
        <v>17</v>
      </c>
      <c r="N305" s="244">
        <v>2302</v>
      </c>
      <c r="O305" s="245" t="s">
        <v>282</v>
      </c>
      <c r="P305" s="101" t="s">
        <v>889</v>
      </c>
      <c r="Q305" s="13">
        <v>2302003</v>
      </c>
      <c r="R305" s="13">
        <v>2302003</v>
      </c>
      <c r="S305" s="59" t="s">
        <v>291</v>
      </c>
      <c r="T305" s="101" t="s">
        <v>890</v>
      </c>
      <c r="U305" s="13">
        <v>230200300</v>
      </c>
      <c r="V305" s="13">
        <v>230200300</v>
      </c>
      <c r="W305" s="87" t="s">
        <v>891</v>
      </c>
      <c r="X305" s="13" t="s">
        <v>9</v>
      </c>
      <c r="Y305" s="13">
        <v>8</v>
      </c>
      <c r="Z305" s="13">
        <v>0</v>
      </c>
      <c r="AA305" s="13"/>
      <c r="AB305" s="13">
        <v>2</v>
      </c>
      <c r="AC305" s="13">
        <v>3</v>
      </c>
      <c r="AD305" s="13">
        <v>3</v>
      </c>
      <c r="AE305" s="89">
        <f>AJ305+AO304+AT304+AY304+BD304+BI304+BN304+BS304+BX304+CC304</f>
        <v>0</v>
      </c>
      <c r="AF305" s="89">
        <f>AK305+AP304+AU304+AZ304+BE304+BJ304+BO304+BT304+BY304+CD304</f>
        <v>0</v>
      </c>
      <c r="AG305" s="89">
        <f>AL305+AQ304+AV304+BA304+BF304+BK304+BP304+BU304+BZ304+CE304</f>
        <v>0</v>
      </c>
      <c r="AH305" s="89">
        <f>AM305+AR304+AW304+BB304+BG304+BL304+BQ304+BV304+CA304+CF304</f>
        <v>0</v>
      </c>
      <c r="AI305" s="89">
        <f>AN305+AS304+AX304+BC304+BH304+BM304+BR304+BW304+CB304+CG304</f>
        <v>0</v>
      </c>
      <c r="AJ305" s="91">
        <v>0</v>
      </c>
      <c r="AK305" s="91"/>
      <c r="AL305" s="91"/>
      <c r="AM305" s="91"/>
      <c r="AN305" s="91"/>
      <c r="AO305" s="91"/>
      <c r="AP305" s="91">
        <v>0</v>
      </c>
      <c r="AQ305" s="91"/>
      <c r="AR305" s="91"/>
      <c r="AS305" s="91"/>
      <c r="AT305" s="91"/>
      <c r="AU305" s="91">
        <v>0</v>
      </c>
      <c r="AV305" s="91"/>
      <c r="AW305" s="91"/>
      <c r="AX305" s="91"/>
      <c r="AY305" s="91"/>
      <c r="AZ305" s="91">
        <v>0</v>
      </c>
      <c r="BA305" s="91"/>
      <c r="BB305" s="91"/>
      <c r="BC305" s="91"/>
      <c r="BD305" s="91"/>
      <c r="BE305" s="91">
        <v>0</v>
      </c>
      <c r="BF305" s="91"/>
      <c r="BG305" s="91"/>
      <c r="BH305" s="91"/>
      <c r="BI305" s="91"/>
      <c r="BJ305" s="91">
        <v>0</v>
      </c>
      <c r="BK305" s="91"/>
      <c r="BL305" s="91"/>
      <c r="BM305" s="91"/>
      <c r="BN305" s="91"/>
      <c r="BO305" s="91">
        <v>0</v>
      </c>
      <c r="BP305" s="91"/>
      <c r="BQ305" s="91"/>
      <c r="BR305" s="91"/>
      <c r="BS305" s="91"/>
      <c r="BT305" s="91">
        <v>0</v>
      </c>
      <c r="BU305" s="91"/>
      <c r="BV305" s="91"/>
      <c r="BW305" s="91"/>
      <c r="BX305" s="91"/>
      <c r="BY305" s="91">
        <v>0</v>
      </c>
      <c r="BZ305" s="91"/>
      <c r="CA305" s="91"/>
      <c r="CB305" s="91"/>
      <c r="CC305" s="91"/>
      <c r="CD305" s="91">
        <v>0</v>
      </c>
      <c r="CE305" s="91"/>
      <c r="CF305" s="91"/>
      <c r="CG305" s="91"/>
      <c r="CH305" s="91">
        <f t="shared" ref="CH305:CH310" si="205">CI305+CJ305+CK305+CL305+CM305+CN305+CO305+CP305+CQ305+CR305</f>
        <v>127971586</v>
      </c>
      <c r="CI305" s="91">
        <f>28971586+24000000</f>
        <v>52971586</v>
      </c>
      <c r="CJ305" s="91"/>
      <c r="CK305" s="91"/>
      <c r="CL305" s="91"/>
      <c r="CM305" s="91"/>
      <c r="CN305" s="91"/>
      <c r="CO305" s="91">
        <v>75000000</v>
      </c>
      <c r="CP305" s="91"/>
      <c r="CQ305" s="91"/>
      <c r="CR305" s="91"/>
      <c r="CS305" s="91">
        <f t="shared" ref="CS305:CS310" si="206">CT305+CU305+CV305+CW305+CX305+CY305+CZ305+DA305+DB305+DC305</f>
        <v>160286303</v>
      </c>
      <c r="CT305" s="91">
        <f>55286303+30000000</f>
        <v>85286303</v>
      </c>
      <c r="CU305" s="91"/>
      <c r="CV305" s="91"/>
      <c r="CW305" s="91"/>
      <c r="CX305" s="91"/>
      <c r="CY305" s="91"/>
      <c r="CZ305" s="91">
        <v>75000000</v>
      </c>
      <c r="DA305" s="91"/>
      <c r="DB305" s="91"/>
      <c r="DC305" s="91"/>
      <c r="DD305" s="91">
        <f t="shared" ref="DD305:DD310" si="207">DE305+DF305+DG305+DH305+DI305+DJ305+DK305+DL305+DM305+DN305</f>
        <v>212727572</v>
      </c>
      <c r="DE305" s="91">
        <f>67727572+20000000</f>
        <v>87727572</v>
      </c>
      <c r="DF305" s="91"/>
      <c r="DG305" s="91"/>
      <c r="DH305" s="91"/>
      <c r="DI305" s="91"/>
      <c r="DJ305" s="91"/>
      <c r="DK305" s="91">
        <v>125000000</v>
      </c>
      <c r="DL305" s="91"/>
      <c r="DM305" s="91"/>
      <c r="DN305" s="92"/>
      <c r="DO305" s="93">
        <f t="shared" ref="DO305:DO310" si="208">AE305+CH305+CS305+DD305</f>
        <v>500985461</v>
      </c>
    </row>
    <row r="306" spans="1:119" s="225" customFormat="1" ht="141.75" customHeight="1" x14ac:dyDescent="0.2">
      <c r="A306" s="64">
        <v>4</v>
      </c>
      <c r="B306" s="256" t="s">
        <v>6</v>
      </c>
      <c r="C306" s="59" t="s">
        <v>860</v>
      </c>
      <c r="D306" s="59" t="s">
        <v>290</v>
      </c>
      <c r="E306" s="125">
        <v>0.41870000000000002</v>
      </c>
      <c r="F306" s="13">
        <v>2018</v>
      </c>
      <c r="G306" s="59" t="s">
        <v>887</v>
      </c>
      <c r="H306" s="55" t="s">
        <v>892</v>
      </c>
      <c r="I306" s="13">
        <v>23</v>
      </c>
      <c r="J306" s="59" t="s">
        <v>829</v>
      </c>
      <c r="K306" s="50">
        <v>13</v>
      </c>
      <c r="L306" s="50" t="s">
        <v>346</v>
      </c>
      <c r="M306" s="246">
        <v>17</v>
      </c>
      <c r="N306" s="244">
        <v>2302</v>
      </c>
      <c r="O306" s="245" t="s">
        <v>282</v>
      </c>
      <c r="P306" s="101" t="s">
        <v>893</v>
      </c>
      <c r="Q306" s="13">
        <v>2302004</v>
      </c>
      <c r="R306" s="13">
        <v>2302004</v>
      </c>
      <c r="S306" s="59" t="s">
        <v>894</v>
      </c>
      <c r="T306" s="101" t="s">
        <v>895</v>
      </c>
      <c r="U306" s="13">
        <v>230200403</v>
      </c>
      <c r="V306" s="13">
        <v>230200403</v>
      </c>
      <c r="W306" s="87" t="s">
        <v>896</v>
      </c>
      <c r="X306" s="13" t="s">
        <v>8</v>
      </c>
      <c r="Y306" s="13">
        <v>1</v>
      </c>
      <c r="Z306" s="13">
        <v>0</v>
      </c>
      <c r="AA306" s="13"/>
      <c r="AB306" s="13">
        <v>1</v>
      </c>
      <c r="AC306" s="13">
        <v>1</v>
      </c>
      <c r="AD306" s="13">
        <v>1</v>
      </c>
      <c r="AE306" s="89">
        <f t="shared" ref="AE306:AI310" si="209">AJ306+AO306+AT306+AY306+BD306+BI306+BN306+BS306+BX306+CC306</f>
        <v>0</v>
      </c>
      <c r="AF306" s="89">
        <f t="shared" si="209"/>
        <v>0</v>
      </c>
      <c r="AG306" s="89">
        <f t="shared" si="209"/>
        <v>0</v>
      </c>
      <c r="AH306" s="89">
        <f t="shared" si="209"/>
        <v>0</v>
      </c>
      <c r="AI306" s="89">
        <f t="shared" si="209"/>
        <v>0</v>
      </c>
      <c r="AJ306" s="91"/>
      <c r="AK306" s="91"/>
      <c r="AL306" s="91"/>
      <c r="AM306" s="91"/>
      <c r="AN306" s="91"/>
      <c r="AO306" s="91"/>
      <c r="AP306" s="91"/>
      <c r="AQ306" s="91"/>
      <c r="AR306" s="91"/>
      <c r="AS306" s="91"/>
      <c r="AT306" s="91"/>
      <c r="AU306" s="91"/>
      <c r="AV306" s="91"/>
      <c r="AW306" s="91"/>
      <c r="AX306" s="91"/>
      <c r="AY306" s="91"/>
      <c r="AZ306" s="91"/>
      <c r="BA306" s="91"/>
      <c r="BB306" s="91"/>
      <c r="BC306" s="91"/>
      <c r="BD306" s="91"/>
      <c r="BE306" s="91"/>
      <c r="BF306" s="91"/>
      <c r="BG306" s="91"/>
      <c r="BH306" s="91"/>
      <c r="BI306" s="91"/>
      <c r="BJ306" s="91"/>
      <c r="BK306" s="91"/>
      <c r="BL306" s="91"/>
      <c r="BM306" s="91"/>
      <c r="BN306" s="91"/>
      <c r="BO306" s="91"/>
      <c r="BP306" s="91"/>
      <c r="BQ306" s="91"/>
      <c r="BR306" s="91"/>
      <c r="BS306" s="91"/>
      <c r="BT306" s="91"/>
      <c r="BU306" s="91"/>
      <c r="BV306" s="91"/>
      <c r="BW306" s="91"/>
      <c r="BX306" s="91"/>
      <c r="BY306" s="91"/>
      <c r="BZ306" s="91"/>
      <c r="CA306" s="91"/>
      <c r="CB306" s="91"/>
      <c r="CC306" s="91"/>
      <c r="CD306" s="91"/>
      <c r="CE306" s="91"/>
      <c r="CF306" s="91"/>
      <c r="CG306" s="91"/>
      <c r="CH306" s="91">
        <f t="shared" si="205"/>
        <v>26549951</v>
      </c>
      <c r="CI306" s="91">
        <v>11549951</v>
      </c>
      <c r="CJ306" s="91"/>
      <c r="CK306" s="91"/>
      <c r="CL306" s="91"/>
      <c r="CM306" s="91"/>
      <c r="CN306" s="91"/>
      <c r="CO306" s="91">
        <v>15000000</v>
      </c>
      <c r="CP306" s="91"/>
      <c r="CQ306" s="91"/>
      <c r="CR306" s="91"/>
      <c r="CS306" s="91">
        <f t="shared" si="206"/>
        <v>40000000</v>
      </c>
      <c r="CT306" s="91">
        <v>25000000</v>
      </c>
      <c r="CU306" s="91"/>
      <c r="CV306" s="91"/>
      <c r="CW306" s="91"/>
      <c r="CX306" s="91"/>
      <c r="CY306" s="91"/>
      <c r="CZ306" s="91">
        <v>15000000</v>
      </c>
      <c r="DA306" s="91"/>
      <c r="DB306" s="91"/>
      <c r="DC306" s="91"/>
      <c r="DD306" s="91">
        <f t="shared" si="207"/>
        <v>47248932</v>
      </c>
      <c r="DE306" s="91">
        <v>22248932</v>
      </c>
      <c r="DF306" s="91"/>
      <c r="DG306" s="91"/>
      <c r="DH306" s="91"/>
      <c r="DI306" s="91"/>
      <c r="DJ306" s="91"/>
      <c r="DK306" s="91">
        <v>25000000</v>
      </c>
      <c r="DL306" s="91"/>
      <c r="DM306" s="91"/>
      <c r="DN306" s="92"/>
      <c r="DO306" s="93">
        <f t="shared" si="208"/>
        <v>113798883</v>
      </c>
    </row>
    <row r="307" spans="1:119" s="225" customFormat="1" ht="189" customHeight="1" x14ac:dyDescent="0.2">
      <c r="A307" s="64">
        <v>4</v>
      </c>
      <c r="B307" s="256" t="s">
        <v>6</v>
      </c>
      <c r="C307" s="59" t="s">
        <v>860</v>
      </c>
      <c r="D307" s="59" t="s">
        <v>290</v>
      </c>
      <c r="E307" s="125">
        <v>0.41870000000000002</v>
      </c>
      <c r="F307" s="13">
        <v>2018</v>
      </c>
      <c r="G307" s="59" t="s">
        <v>887</v>
      </c>
      <c r="H307" s="55" t="s">
        <v>892</v>
      </c>
      <c r="I307" s="13">
        <v>23</v>
      </c>
      <c r="J307" s="59" t="s">
        <v>829</v>
      </c>
      <c r="K307" s="50">
        <v>13</v>
      </c>
      <c r="L307" s="50" t="s">
        <v>346</v>
      </c>
      <c r="M307" s="244">
        <v>17</v>
      </c>
      <c r="N307" s="244">
        <v>2302</v>
      </c>
      <c r="O307" s="245" t="s">
        <v>282</v>
      </c>
      <c r="P307" s="115" t="s">
        <v>897</v>
      </c>
      <c r="Q307" s="13">
        <v>2302007</v>
      </c>
      <c r="R307" s="13">
        <v>2302007</v>
      </c>
      <c r="S307" s="59" t="s">
        <v>898</v>
      </c>
      <c r="T307" s="115" t="s">
        <v>899</v>
      </c>
      <c r="U307" s="13">
        <v>230200701</v>
      </c>
      <c r="V307" s="13">
        <v>230200701</v>
      </c>
      <c r="W307" s="87" t="s">
        <v>900</v>
      </c>
      <c r="X307" s="13" t="s">
        <v>8</v>
      </c>
      <c r="Y307" s="13">
        <v>1</v>
      </c>
      <c r="Z307" s="13">
        <v>0</v>
      </c>
      <c r="AA307" s="13"/>
      <c r="AB307" s="13">
        <v>1</v>
      </c>
      <c r="AC307" s="13">
        <v>1</v>
      </c>
      <c r="AD307" s="13">
        <v>1</v>
      </c>
      <c r="AE307" s="89">
        <f t="shared" si="209"/>
        <v>0</v>
      </c>
      <c r="AF307" s="89">
        <f t="shared" si="209"/>
        <v>0</v>
      </c>
      <c r="AG307" s="89">
        <f t="shared" si="209"/>
        <v>0</v>
      </c>
      <c r="AH307" s="89">
        <f t="shared" si="209"/>
        <v>0</v>
      </c>
      <c r="AI307" s="89">
        <f t="shared" si="209"/>
        <v>0</v>
      </c>
      <c r="AJ307" s="91"/>
      <c r="AK307" s="91"/>
      <c r="AL307" s="91"/>
      <c r="AM307" s="91"/>
      <c r="AN307" s="91"/>
      <c r="AO307" s="91"/>
      <c r="AP307" s="91"/>
      <c r="AQ307" s="91"/>
      <c r="AR307" s="91"/>
      <c r="AS307" s="91"/>
      <c r="AT307" s="91"/>
      <c r="AU307" s="91"/>
      <c r="AV307" s="91"/>
      <c r="AW307" s="91"/>
      <c r="AX307" s="91"/>
      <c r="AY307" s="91"/>
      <c r="AZ307" s="91"/>
      <c r="BA307" s="91"/>
      <c r="BB307" s="91"/>
      <c r="BC307" s="91"/>
      <c r="BD307" s="91"/>
      <c r="BE307" s="91"/>
      <c r="BF307" s="91"/>
      <c r="BG307" s="91"/>
      <c r="BH307" s="91"/>
      <c r="BI307" s="91"/>
      <c r="BJ307" s="91"/>
      <c r="BK307" s="91"/>
      <c r="BL307" s="91"/>
      <c r="BM307" s="91"/>
      <c r="BN307" s="91"/>
      <c r="BO307" s="91"/>
      <c r="BP307" s="91"/>
      <c r="BQ307" s="91"/>
      <c r="BR307" s="91"/>
      <c r="BS307" s="91"/>
      <c r="BT307" s="91"/>
      <c r="BU307" s="91"/>
      <c r="BV307" s="91"/>
      <c r="BW307" s="91"/>
      <c r="BX307" s="91"/>
      <c r="BY307" s="91"/>
      <c r="BZ307" s="91"/>
      <c r="CA307" s="91"/>
      <c r="CB307" s="91"/>
      <c r="CC307" s="91"/>
      <c r="CD307" s="91"/>
      <c r="CE307" s="91"/>
      <c r="CF307" s="91"/>
      <c r="CG307" s="91"/>
      <c r="CH307" s="91">
        <f t="shared" si="205"/>
        <v>26552204</v>
      </c>
      <c r="CI307" s="91">
        <v>11552204</v>
      </c>
      <c r="CJ307" s="91"/>
      <c r="CK307" s="91"/>
      <c r="CL307" s="91"/>
      <c r="CM307" s="91"/>
      <c r="CN307" s="91"/>
      <c r="CO307" s="91">
        <v>15000000</v>
      </c>
      <c r="CP307" s="91"/>
      <c r="CQ307" s="91"/>
      <c r="CR307" s="91"/>
      <c r="CS307" s="91">
        <f t="shared" si="206"/>
        <v>40474480.879999995</v>
      </c>
      <c r="CT307" s="91">
        <v>25474480.879999999</v>
      </c>
      <c r="CU307" s="91"/>
      <c r="CV307" s="91"/>
      <c r="CW307" s="91"/>
      <c r="CX307" s="91"/>
      <c r="CY307" s="91"/>
      <c r="CZ307" s="91">
        <v>15000000</v>
      </c>
      <c r="DA307" s="91"/>
      <c r="DB307" s="91"/>
      <c r="DC307" s="91"/>
      <c r="DD307" s="91">
        <f t="shared" si="207"/>
        <v>47254794</v>
      </c>
      <c r="DE307" s="91">
        <v>22254794</v>
      </c>
      <c r="DF307" s="91"/>
      <c r="DG307" s="91"/>
      <c r="DH307" s="91"/>
      <c r="DI307" s="91"/>
      <c r="DJ307" s="91"/>
      <c r="DK307" s="91">
        <v>25000000</v>
      </c>
      <c r="DL307" s="91"/>
      <c r="DM307" s="91"/>
      <c r="DN307" s="92"/>
      <c r="DO307" s="93">
        <f t="shared" si="208"/>
        <v>114281478.88</v>
      </c>
    </row>
    <row r="308" spans="1:119" s="225" customFormat="1" ht="141.75" customHeight="1" x14ac:dyDescent="0.2">
      <c r="A308" s="64">
        <v>4</v>
      </c>
      <c r="B308" s="256" t="s">
        <v>6</v>
      </c>
      <c r="C308" s="59" t="s">
        <v>860</v>
      </c>
      <c r="D308" s="59" t="s">
        <v>290</v>
      </c>
      <c r="E308" s="125">
        <v>0.41870000000000002</v>
      </c>
      <c r="F308" s="13">
        <v>2018</v>
      </c>
      <c r="G308" s="59" t="s">
        <v>887</v>
      </c>
      <c r="H308" s="55" t="s">
        <v>892</v>
      </c>
      <c r="I308" s="13">
        <v>23</v>
      </c>
      <c r="J308" s="59" t="s">
        <v>829</v>
      </c>
      <c r="K308" s="50">
        <v>17</v>
      </c>
      <c r="L308" s="13" t="s">
        <v>888</v>
      </c>
      <c r="M308" s="244">
        <v>17</v>
      </c>
      <c r="N308" s="244">
        <v>2302</v>
      </c>
      <c r="O308" s="245" t="s">
        <v>282</v>
      </c>
      <c r="P308" s="116" t="s">
        <v>901</v>
      </c>
      <c r="Q308" s="13">
        <v>2302033</v>
      </c>
      <c r="R308" s="13">
        <v>2302033</v>
      </c>
      <c r="S308" s="59" t="s">
        <v>902</v>
      </c>
      <c r="T308" s="116" t="s">
        <v>903</v>
      </c>
      <c r="U308" s="13">
        <v>230203300</v>
      </c>
      <c r="V308" s="13">
        <v>230203300</v>
      </c>
      <c r="W308" s="87" t="s">
        <v>904</v>
      </c>
      <c r="X308" s="13" t="s">
        <v>8</v>
      </c>
      <c r="Y308" s="13">
        <v>100</v>
      </c>
      <c r="Z308" s="13">
        <v>100</v>
      </c>
      <c r="AA308" s="13">
        <v>100</v>
      </c>
      <c r="AB308" s="13">
        <v>100</v>
      </c>
      <c r="AC308" s="13">
        <v>100</v>
      </c>
      <c r="AD308" s="13">
        <v>100</v>
      </c>
      <c r="AE308" s="89">
        <f>AJ308+AO308+AT308+AY308+BD308+BI308+BN308+BS308+BX308+CC308</f>
        <v>189401000</v>
      </c>
      <c r="AF308" s="89">
        <f>AK308+AP308+AU308+AZ308+BE308+BJ308+BO308+BT308+BY308+CD308</f>
        <v>263401000</v>
      </c>
      <c r="AG308" s="89">
        <f t="shared" si="209"/>
        <v>258494928</v>
      </c>
      <c r="AH308" s="89">
        <f t="shared" si="209"/>
        <v>258494928</v>
      </c>
      <c r="AI308" s="89">
        <f t="shared" si="209"/>
        <v>0</v>
      </c>
      <c r="AJ308" s="91">
        <f>161909132+27491868</f>
        <v>189401000</v>
      </c>
      <c r="AK308" s="91">
        <v>263401000</v>
      </c>
      <c r="AL308" s="91">
        <v>258494928</v>
      </c>
      <c r="AM308" s="91">
        <v>258494928</v>
      </c>
      <c r="AN308" s="91"/>
      <c r="AO308" s="91"/>
      <c r="AP308" s="91"/>
      <c r="AQ308" s="91"/>
      <c r="AR308" s="91"/>
      <c r="AS308" s="91"/>
      <c r="AT308" s="91"/>
      <c r="AU308" s="91"/>
      <c r="AV308" s="91"/>
      <c r="AW308" s="91"/>
      <c r="AX308" s="91"/>
      <c r="AY308" s="91"/>
      <c r="AZ308" s="91"/>
      <c r="BA308" s="91"/>
      <c r="BB308" s="91"/>
      <c r="BC308" s="91"/>
      <c r="BD308" s="91"/>
      <c r="BE308" s="91"/>
      <c r="BF308" s="91"/>
      <c r="BG308" s="91"/>
      <c r="BH308" s="91"/>
      <c r="BI308" s="91"/>
      <c r="BJ308" s="91"/>
      <c r="BK308" s="91"/>
      <c r="BL308" s="91"/>
      <c r="BM308" s="91"/>
      <c r="BN308" s="91"/>
      <c r="BO308" s="91"/>
      <c r="BP308" s="91"/>
      <c r="BQ308" s="91"/>
      <c r="BR308" s="91"/>
      <c r="BS308" s="91"/>
      <c r="BT308" s="91"/>
      <c r="BU308" s="91"/>
      <c r="BV308" s="91"/>
      <c r="BW308" s="91"/>
      <c r="BX308" s="91"/>
      <c r="BY308" s="91"/>
      <c r="BZ308" s="91"/>
      <c r="CA308" s="91"/>
      <c r="CB308" s="91"/>
      <c r="CC308" s="91"/>
      <c r="CD308" s="91"/>
      <c r="CE308" s="91"/>
      <c r="CF308" s="91"/>
      <c r="CG308" s="91"/>
      <c r="CH308" s="91">
        <f t="shared" si="205"/>
        <v>50626703</v>
      </c>
      <c r="CI308" s="91">
        <v>20626703</v>
      </c>
      <c r="CJ308" s="91"/>
      <c r="CK308" s="91"/>
      <c r="CL308" s="91"/>
      <c r="CM308" s="91"/>
      <c r="CN308" s="91"/>
      <c r="CO308" s="91">
        <v>30000000</v>
      </c>
      <c r="CP308" s="91"/>
      <c r="CQ308" s="91"/>
      <c r="CR308" s="91"/>
      <c r="CS308" s="91">
        <f t="shared" si="206"/>
        <v>60000000</v>
      </c>
      <c r="CT308" s="91">
        <v>30000000</v>
      </c>
      <c r="CU308" s="91"/>
      <c r="CV308" s="91"/>
      <c r="CW308" s="91"/>
      <c r="CX308" s="91"/>
      <c r="CY308" s="91"/>
      <c r="CZ308" s="91">
        <v>30000000</v>
      </c>
      <c r="DA308" s="91"/>
      <c r="DB308" s="91"/>
      <c r="DC308" s="91"/>
      <c r="DD308" s="91">
        <f t="shared" si="207"/>
        <v>93868720</v>
      </c>
      <c r="DE308" s="91">
        <v>43868720</v>
      </c>
      <c r="DF308" s="91"/>
      <c r="DG308" s="91"/>
      <c r="DH308" s="91"/>
      <c r="DI308" s="91"/>
      <c r="DJ308" s="91"/>
      <c r="DK308" s="91">
        <v>50000000</v>
      </c>
      <c r="DL308" s="91"/>
      <c r="DM308" s="91"/>
      <c r="DN308" s="92"/>
      <c r="DO308" s="93">
        <f t="shared" si="208"/>
        <v>393896423</v>
      </c>
    </row>
    <row r="309" spans="1:119" s="225" customFormat="1" ht="141.75" customHeight="1" x14ac:dyDescent="0.2">
      <c r="A309" s="64">
        <v>4</v>
      </c>
      <c r="B309" s="253" t="s">
        <v>6</v>
      </c>
      <c r="C309" s="59" t="s">
        <v>860</v>
      </c>
      <c r="D309" s="59" t="s">
        <v>290</v>
      </c>
      <c r="E309" s="125">
        <v>0.41870000000000002</v>
      </c>
      <c r="F309" s="13">
        <v>2018</v>
      </c>
      <c r="G309" s="59" t="s">
        <v>887</v>
      </c>
      <c r="H309" s="125">
        <v>0.72909999999999997</v>
      </c>
      <c r="I309" s="13">
        <v>23</v>
      </c>
      <c r="J309" s="59" t="s">
        <v>829</v>
      </c>
      <c r="K309" s="50">
        <v>17</v>
      </c>
      <c r="L309" s="13" t="s">
        <v>888</v>
      </c>
      <c r="M309" s="244">
        <v>17</v>
      </c>
      <c r="N309" s="244">
        <v>2302</v>
      </c>
      <c r="O309" s="245" t="s">
        <v>282</v>
      </c>
      <c r="P309" s="116" t="s">
        <v>905</v>
      </c>
      <c r="Q309" s="13">
        <v>2302066</v>
      </c>
      <c r="R309" s="13">
        <v>2302066</v>
      </c>
      <c r="S309" s="59" t="s">
        <v>292</v>
      </c>
      <c r="T309" s="116" t="s">
        <v>906</v>
      </c>
      <c r="U309" s="13">
        <v>230206600</v>
      </c>
      <c r="V309" s="13">
        <v>230206600</v>
      </c>
      <c r="W309" s="87" t="s">
        <v>907</v>
      </c>
      <c r="X309" s="13" t="s">
        <v>9</v>
      </c>
      <c r="Y309" s="13">
        <v>200</v>
      </c>
      <c r="Z309" s="13">
        <v>30</v>
      </c>
      <c r="AA309" s="13">
        <v>30</v>
      </c>
      <c r="AB309" s="13">
        <v>50</v>
      </c>
      <c r="AC309" s="13">
        <v>60</v>
      </c>
      <c r="AD309" s="13">
        <v>60</v>
      </c>
      <c r="AE309" s="89">
        <f>AJ309+AO309+AT309+AY309+BD309+BI309+BN309+BS309+BX309+CC309</f>
        <v>14320000</v>
      </c>
      <c r="AF309" s="89">
        <f>AK309+AP309+AU309+AZ309+BE309+BJ309+BO309+BT309+BY309+CD309</f>
        <v>90320000</v>
      </c>
      <c r="AG309" s="89">
        <f>AL309+AQ309+AV309+BA309+BF309+BK309+BP309+BU309+BZ309+CE309</f>
        <v>70577260</v>
      </c>
      <c r="AH309" s="89">
        <f>AM309+AR309+AW309+BB309+BG309+BL309+BQ309+BV309+CA309+CF309</f>
        <v>70577260</v>
      </c>
      <c r="AI309" s="89">
        <f>AN309+AS309+AX309+BC309+BH309+BM309+BR309+BW309+CB309+CG309</f>
        <v>0</v>
      </c>
      <c r="AJ309" s="91">
        <v>14320000</v>
      </c>
      <c r="AK309" s="91">
        <v>90320000</v>
      </c>
      <c r="AL309" s="91">
        <v>70577260</v>
      </c>
      <c r="AM309" s="91">
        <v>70577260</v>
      </c>
      <c r="AN309" s="91"/>
      <c r="AO309" s="91"/>
      <c r="AP309" s="91"/>
      <c r="AQ309" s="91"/>
      <c r="AR309" s="91"/>
      <c r="AS309" s="91"/>
      <c r="AT309" s="91"/>
      <c r="AU309" s="91"/>
      <c r="AV309" s="91"/>
      <c r="AW309" s="91"/>
      <c r="AX309" s="91"/>
      <c r="AY309" s="91"/>
      <c r="AZ309" s="91"/>
      <c r="BA309" s="91"/>
      <c r="BB309" s="91"/>
      <c r="BC309" s="91"/>
      <c r="BD309" s="91"/>
      <c r="BE309" s="91"/>
      <c r="BF309" s="91"/>
      <c r="BG309" s="91"/>
      <c r="BH309" s="91"/>
      <c r="BI309" s="91"/>
      <c r="BJ309" s="91"/>
      <c r="BK309" s="91"/>
      <c r="BL309" s="91"/>
      <c r="BM309" s="91"/>
      <c r="BN309" s="91"/>
      <c r="BO309" s="91"/>
      <c r="BP309" s="91"/>
      <c r="BQ309" s="91"/>
      <c r="BR309" s="91"/>
      <c r="BS309" s="91"/>
      <c r="BT309" s="91"/>
      <c r="BU309" s="91"/>
      <c r="BV309" s="91"/>
      <c r="BW309" s="91"/>
      <c r="BX309" s="91"/>
      <c r="BY309" s="91"/>
      <c r="BZ309" s="91"/>
      <c r="CA309" s="91"/>
      <c r="CB309" s="91"/>
      <c r="CC309" s="91"/>
      <c r="CD309" s="91"/>
      <c r="CE309" s="91"/>
      <c r="CF309" s="91"/>
      <c r="CG309" s="91"/>
      <c r="CH309" s="91">
        <f>CI309+CJ309+CK309+CL309+CM309+CN309+CO309+CP309+CQ309+CR309</f>
        <v>60217434</v>
      </c>
      <c r="CI309" s="91">
        <v>15217434</v>
      </c>
      <c r="CJ309" s="91"/>
      <c r="CK309" s="91"/>
      <c r="CL309" s="91"/>
      <c r="CM309" s="91"/>
      <c r="CN309" s="91"/>
      <c r="CO309" s="91">
        <v>45000000</v>
      </c>
      <c r="CP309" s="91"/>
      <c r="CQ309" s="91"/>
      <c r="CR309" s="91"/>
      <c r="CS309" s="91">
        <f>CT309+CU309+CV309+CW309+CX309+CY309+CZ309+DA309+DB309+DC309</f>
        <v>66701787</v>
      </c>
      <c r="CT309" s="91">
        <v>21701787</v>
      </c>
      <c r="CU309" s="91"/>
      <c r="CV309" s="91"/>
      <c r="CW309" s="91"/>
      <c r="CX309" s="91"/>
      <c r="CY309" s="91"/>
      <c r="CZ309" s="91">
        <v>45000000</v>
      </c>
      <c r="DA309" s="91"/>
      <c r="DB309" s="91"/>
      <c r="DC309" s="91"/>
      <c r="DD309" s="91">
        <f>DE309+DF309+DG309+DH309+DI309+DJ309+DK309+DL309+DM309+DN309</f>
        <v>105792563</v>
      </c>
      <c r="DE309" s="91">
        <v>30792563</v>
      </c>
      <c r="DF309" s="91"/>
      <c r="DG309" s="91"/>
      <c r="DH309" s="91"/>
      <c r="DI309" s="91"/>
      <c r="DJ309" s="91"/>
      <c r="DK309" s="91">
        <v>75000000</v>
      </c>
      <c r="DL309" s="91"/>
      <c r="DM309" s="91"/>
      <c r="DN309" s="92"/>
      <c r="DO309" s="93">
        <f>AE309+CH309+CS309+DD309</f>
        <v>247031784</v>
      </c>
    </row>
    <row r="310" spans="1:119" s="225" customFormat="1" ht="141.75" customHeight="1" x14ac:dyDescent="0.2">
      <c r="A310" s="64">
        <v>4</v>
      </c>
      <c r="B310" s="256" t="s">
        <v>6</v>
      </c>
      <c r="C310" s="59" t="s">
        <v>860</v>
      </c>
      <c r="D310" s="59" t="s">
        <v>290</v>
      </c>
      <c r="E310" s="125">
        <v>0.41870000000000002</v>
      </c>
      <c r="F310" s="13">
        <v>2018</v>
      </c>
      <c r="G310" s="59" t="s">
        <v>887</v>
      </c>
      <c r="H310" s="125">
        <v>0.72909999999999997</v>
      </c>
      <c r="I310" s="13">
        <v>23</v>
      </c>
      <c r="J310" s="59" t="s">
        <v>829</v>
      </c>
      <c r="K310" s="50">
        <v>13</v>
      </c>
      <c r="L310" s="50" t="s">
        <v>346</v>
      </c>
      <c r="M310" s="244">
        <v>17</v>
      </c>
      <c r="N310" s="244">
        <v>2302</v>
      </c>
      <c r="O310" s="245" t="s">
        <v>282</v>
      </c>
      <c r="P310" s="116" t="s">
        <v>908</v>
      </c>
      <c r="Q310" s="13">
        <v>2302083</v>
      </c>
      <c r="R310" s="13">
        <v>2302083</v>
      </c>
      <c r="S310" s="59" t="s">
        <v>123</v>
      </c>
      <c r="T310" s="116" t="s">
        <v>909</v>
      </c>
      <c r="U310" s="13">
        <v>230208300</v>
      </c>
      <c r="V310" s="13">
        <v>230208300</v>
      </c>
      <c r="W310" s="87" t="s">
        <v>430</v>
      </c>
      <c r="X310" s="13" t="s">
        <v>8</v>
      </c>
      <c r="Y310" s="13">
        <v>1</v>
      </c>
      <c r="Z310" s="13">
        <v>0</v>
      </c>
      <c r="AA310" s="13"/>
      <c r="AB310" s="13">
        <v>1</v>
      </c>
      <c r="AC310" s="13">
        <v>1</v>
      </c>
      <c r="AD310" s="13">
        <v>1</v>
      </c>
      <c r="AE310" s="89">
        <f t="shared" si="209"/>
        <v>0</v>
      </c>
      <c r="AF310" s="89">
        <f t="shared" si="209"/>
        <v>0</v>
      </c>
      <c r="AG310" s="89">
        <f t="shared" si="209"/>
        <v>0</v>
      </c>
      <c r="AH310" s="89">
        <f t="shared" si="209"/>
        <v>0</v>
      </c>
      <c r="AI310" s="89">
        <f t="shared" si="209"/>
        <v>0</v>
      </c>
      <c r="AJ310" s="91"/>
      <c r="AK310" s="91"/>
      <c r="AL310" s="91"/>
      <c r="AM310" s="91"/>
      <c r="AN310" s="91"/>
      <c r="AO310" s="91"/>
      <c r="AP310" s="91"/>
      <c r="AQ310" s="91"/>
      <c r="AR310" s="91"/>
      <c r="AS310" s="91"/>
      <c r="AT310" s="91"/>
      <c r="AU310" s="91"/>
      <c r="AV310" s="91"/>
      <c r="AW310" s="91"/>
      <c r="AX310" s="91"/>
      <c r="AY310" s="91"/>
      <c r="AZ310" s="91"/>
      <c r="BA310" s="91"/>
      <c r="BB310" s="91"/>
      <c r="BC310" s="91"/>
      <c r="BD310" s="91"/>
      <c r="BE310" s="91"/>
      <c r="BF310" s="91"/>
      <c r="BG310" s="91"/>
      <c r="BH310" s="91"/>
      <c r="BI310" s="91"/>
      <c r="BJ310" s="91"/>
      <c r="BK310" s="91"/>
      <c r="BL310" s="91"/>
      <c r="BM310" s="91"/>
      <c r="BN310" s="91"/>
      <c r="BO310" s="91"/>
      <c r="BP310" s="91"/>
      <c r="BQ310" s="91"/>
      <c r="BR310" s="91"/>
      <c r="BS310" s="91"/>
      <c r="BT310" s="91"/>
      <c r="BU310" s="91"/>
      <c r="BV310" s="91"/>
      <c r="BW310" s="91"/>
      <c r="BX310" s="91"/>
      <c r="BY310" s="91"/>
      <c r="BZ310" s="91"/>
      <c r="CA310" s="91"/>
      <c r="CB310" s="91"/>
      <c r="CC310" s="91"/>
      <c r="CD310" s="91"/>
      <c r="CE310" s="91"/>
      <c r="CF310" s="91"/>
      <c r="CG310" s="91"/>
      <c r="CH310" s="91">
        <f t="shared" si="205"/>
        <v>19557167</v>
      </c>
      <c r="CI310" s="91">
        <v>4557167</v>
      </c>
      <c r="CJ310" s="91"/>
      <c r="CK310" s="91"/>
      <c r="CL310" s="91"/>
      <c r="CM310" s="91"/>
      <c r="CN310" s="91"/>
      <c r="CO310" s="91">
        <v>15000000</v>
      </c>
      <c r="CP310" s="91"/>
      <c r="CQ310" s="91"/>
      <c r="CR310" s="91"/>
      <c r="CS310" s="91">
        <f t="shared" si="206"/>
        <v>23298213.468736202</v>
      </c>
      <c r="CT310" s="91">
        <v>8298213.4687361997</v>
      </c>
      <c r="CU310" s="91"/>
      <c r="CV310" s="91"/>
      <c r="CW310" s="91"/>
      <c r="CX310" s="91"/>
      <c r="CY310" s="91"/>
      <c r="CZ310" s="91">
        <v>15000000</v>
      </c>
      <c r="DA310" s="91"/>
      <c r="DB310" s="91"/>
      <c r="DC310" s="91"/>
      <c r="DD310" s="91">
        <f t="shared" si="207"/>
        <v>40896282</v>
      </c>
      <c r="DE310" s="91">
        <v>15896282</v>
      </c>
      <c r="DF310" s="91"/>
      <c r="DG310" s="91"/>
      <c r="DH310" s="91"/>
      <c r="DI310" s="91"/>
      <c r="DJ310" s="91"/>
      <c r="DK310" s="91">
        <v>25000000</v>
      </c>
      <c r="DL310" s="91"/>
      <c r="DM310" s="91"/>
      <c r="DN310" s="92"/>
      <c r="DO310" s="93">
        <f t="shared" si="208"/>
        <v>83751662.468736202</v>
      </c>
    </row>
    <row r="311" spans="1:119" ht="24.75" customHeight="1" x14ac:dyDescent="0.2">
      <c r="A311" s="64"/>
      <c r="B311" s="255"/>
      <c r="C311" s="74"/>
      <c r="D311" s="74"/>
      <c r="E311" s="77"/>
      <c r="F311" s="74"/>
      <c r="G311" s="74"/>
      <c r="H311" s="77"/>
      <c r="I311" s="74"/>
      <c r="J311" s="74"/>
      <c r="K311" s="74"/>
      <c r="L311" s="74"/>
      <c r="M311" s="96">
        <v>42</v>
      </c>
      <c r="N311" s="96">
        <v>4502</v>
      </c>
      <c r="O311" s="97" t="s">
        <v>1658</v>
      </c>
      <c r="P311" s="96"/>
      <c r="Q311" s="98"/>
      <c r="R311" s="98"/>
      <c r="S311" s="98"/>
      <c r="T311" s="98"/>
      <c r="U311" s="98"/>
      <c r="V311" s="98"/>
      <c r="W311" s="83"/>
      <c r="X311" s="83"/>
      <c r="Y311" s="84"/>
      <c r="Z311" s="84"/>
      <c r="AA311" s="84"/>
      <c r="AB311" s="84"/>
      <c r="AC311" s="84"/>
      <c r="AD311" s="81"/>
      <c r="AE311" s="85">
        <f>SUM(AE312:AE326)</f>
        <v>1405947292.76</v>
      </c>
      <c r="AF311" s="85">
        <f t="shared" ref="AF311:CQ311" si="210">SUM(AF312:AF326)</f>
        <v>719188575.16000009</v>
      </c>
      <c r="AG311" s="85">
        <f t="shared" si="210"/>
        <v>451113094</v>
      </c>
      <c r="AH311" s="85">
        <f t="shared" si="210"/>
        <v>451113094</v>
      </c>
      <c r="AI311" s="85">
        <f t="shared" si="210"/>
        <v>0</v>
      </c>
      <c r="AJ311" s="85">
        <f t="shared" si="210"/>
        <v>1405947292.76</v>
      </c>
      <c r="AK311" s="85">
        <f t="shared" si="210"/>
        <v>719188575.16000009</v>
      </c>
      <c r="AL311" s="85">
        <f t="shared" si="210"/>
        <v>453213662</v>
      </c>
      <c r="AM311" s="85">
        <f t="shared" si="210"/>
        <v>453213662</v>
      </c>
      <c r="AN311" s="85">
        <f t="shared" si="210"/>
        <v>0</v>
      </c>
      <c r="AO311" s="85">
        <f t="shared" si="210"/>
        <v>0</v>
      </c>
      <c r="AP311" s="85">
        <f t="shared" si="210"/>
        <v>0</v>
      </c>
      <c r="AQ311" s="85">
        <f t="shared" si="210"/>
        <v>0</v>
      </c>
      <c r="AR311" s="85">
        <f t="shared" si="210"/>
        <v>0</v>
      </c>
      <c r="AS311" s="85">
        <f t="shared" si="210"/>
        <v>0</v>
      </c>
      <c r="AT311" s="85">
        <f t="shared" si="210"/>
        <v>0</v>
      </c>
      <c r="AU311" s="85">
        <f t="shared" si="210"/>
        <v>0</v>
      </c>
      <c r="AV311" s="85">
        <f t="shared" si="210"/>
        <v>0</v>
      </c>
      <c r="AW311" s="85">
        <f t="shared" si="210"/>
        <v>0</v>
      </c>
      <c r="AX311" s="85">
        <f t="shared" si="210"/>
        <v>0</v>
      </c>
      <c r="AY311" s="85">
        <f t="shared" si="210"/>
        <v>0</v>
      </c>
      <c r="AZ311" s="85">
        <f t="shared" si="210"/>
        <v>0</v>
      </c>
      <c r="BA311" s="85">
        <f t="shared" si="210"/>
        <v>0</v>
      </c>
      <c r="BB311" s="85">
        <f t="shared" si="210"/>
        <v>0</v>
      </c>
      <c r="BC311" s="85">
        <f t="shared" si="210"/>
        <v>0</v>
      </c>
      <c r="BD311" s="85">
        <f t="shared" si="210"/>
        <v>0</v>
      </c>
      <c r="BE311" s="85">
        <f t="shared" si="210"/>
        <v>0</v>
      </c>
      <c r="BF311" s="85">
        <f t="shared" si="210"/>
        <v>0</v>
      </c>
      <c r="BG311" s="85">
        <f t="shared" si="210"/>
        <v>0</v>
      </c>
      <c r="BH311" s="85">
        <f t="shared" si="210"/>
        <v>0</v>
      </c>
      <c r="BI311" s="85">
        <f t="shared" si="210"/>
        <v>0</v>
      </c>
      <c r="BJ311" s="85">
        <f t="shared" si="210"/>
        <v>0</v>
      </c>
      <c r="BK311" s="85">
        <f t="shared" si="210"/>
        <v>0</v>
      </c>
      <c r="BL311" s="85">
        <f t="shared" si="210"/>
        <v>0</v>
      </c>
      <c r="BM311" s="85">
        <f t="shared" si="210"/>
        <v>0</v>
      </c>
      <c r="BN311" s="85">
        <f t="shared" si="210"/>
        <v>0</v>
      </c>
      <c r="BO311" s="85">
        <f t="shared" si="210"/>
        <v>0</v>
      </c>
      <c r="BP311" s="85">
        <f t="shared" si="210"/>
        <v>0</v>
      </c>
      <c r="BQ311" s="85">
        <f t="shared" si="210"/>
        <v>0</v>
      </c>
      <c r="BR311" s="85">
        <f t="shared" si="210"/>
        <v>0</v>
      </c>
      <c r="BS311" s="85">
        <f t="shared" si="210"/>
        <v>0</v>
      </c>
      <c r="BT311" s="85">
        <f t="shared" si="210"/>
        <v>0</v>
      </c>
      <c r="BU311" s="85">
        <f t="shared" si="210"/>
        <v>0</v>
      </c>
      <c r="BV311" s="85">
        <f t="shared" si="210"/>
        <v>0</v>
      </c>
      <c r="BW311" s="85">
        <f t="shared" si="210"/>
        <v>0</v>
      </c>
      <c r="BX311" s="85">
        <f t="shared" si="210"/>
        <v>0</v>
      </c>
      <c r="BY311" s="85">
        <f t="shared" si="210"/>
        <v>0</v>
      </c>
      <c r="BZ311" s="85">
        <f t="shared" si="210"/>
        <v>0</v>
      </c>
      <c r="CA311" s="85">
        <f t="shared" si="210"/>
        <v>0</v>
      </c>
      <c r="CB311" s="85">
        <f t="shared" si="210"/>
        <v>0</v>
      </c>
      <c r="CC311" s="85">
        <f t="shared" si="210"/>
        <v>0</v>
      </c>
      <c r="CD311" s="85">
        <f t="shared" si="210"/>
        <v>0</v>
      </c>
      <c r="CE311" s="85">
        <f t="shared" si="210"/>
        <v>0</v>
      </c>
      <c r="CF311" s="85">
        <f t="shared" si="210"/>
        <v>0</v>
      </c>
      <c r="CG311" s="85">
        <f t="shared" si="210"/>
        <v>0</v>
      </c>
      <c r="CH311" s="85">
        <f t="shared" si="210"/>
        <v>940988940.45226002</v>
      </c>
      <c r="CI311" s="85">
        <f t="shared" si="210"/>
        <v>940988940.45226002</v>
      </c>
      <c r="CJ311" s="85">
        <f t="shared" si="210"/>
        <v>0</v>
      </c>
      <c r="CK311" s="85">
        <f t="shared" si="210"/>
        <v>0</v>
      </c>
      <c r="CL311" s="85">
        <f t="shared" si="210"/>
        <v>0</v>
      </c>
      <c r="CM311" s="85">
        <f t="shared" si="210"/>
        <v>0</v>
      </c>
      <c r="CN311" s="85">
        <f t="shared" si="210"/>
        <v>0</v>
      </c>
      <c r="CO311" s="85">
        <f t="shared" si="210"/>
        <v>0</v>
      </c>
      <c r="CP311" s="85">
        <f t="shared" si="210"/>
        <v>0</v>
      </c>
      <c r="CQ311" s="85">
        <f t="shared" si="210"/>
        <v>0</v>
      </c>
      <c r="CR311" s="85">
        <f t="shared" ref="CR311:DO311" si="211">SUM(CR312:CR326)</f>
        <v>0</v>
      </c>
      <c r="CS311" s="85">
        <f t="shared" si="211"/>
        <v>8797110317.2311001</v>
      </c>
      <c r="CT311" s="85">
        <f t="shared" si="211"/>
        <v>1797110317.2310998</v>
      </c>
      <c r="CU311" s="85">
        <f t="shared" si="211"/>
        <v>0</v>
      </c>
      <c r="CV311" s="85">
        <f t="shared" si="211"/>
        <v>0</v>
      </c>
      <c r="CW311" s="85">
        <f t="shared" si="211"/>
        <v>0</v>
      </c>
      <c r="CX311" s="85">
        <f t="shared" si="211"/>
        <v>0</v>
      </c>
      <c r="CY311" s="85">
        <f t="shared" si="211"/>
        <v>0</v>
      </c>
      <c r="CZ311" s="85">
        <f t="shared" si="211"/>
        <v>7000000000</v>
      </c>
      <c r="DA311" s="85">
        <f t="shared" si="211"/>
        <v>0</v>
      </c>
      <c r="DB311" s="85">
        <f t="shared" si="211"/>
        <v>0</v>
      </c>
      <c r="DC311" s="85">
        <f t="shared" si="211"/>
        <v>0</v>
      </c>
      <c r="DD311" s="85">
        <f t="shared" si="211"/>
        <v>2666369697.1353998</v>
      </c>
      <c r="DE311" s="85">
        <f t="shared" si="211"/>
        <v>2666369697.1353998</v>
      </c>
      <c r="DF311" s="85">
        <f t="shared" si="211"/>
        <v>0</v>
      </c>
      <c r="DG311" s="85">
        <f t="shared" si="211"/>
        <v>0</v>
      </c>
      <c r="DH311" s="85">
        <f t="shared" si="211"/>
        <v>0</v>
      </c>
      <c r="DI311" s="85">
        <f t="shared" si="211"/>
        <v>0</v>
      </c>
      <c r="DJ311" s="85">
        <f t="shared" si="211"/>
        <v>0</v>
      </c>
      <c r="DK311" s="85">
        <f t="shared" si="211"/>
        <v>0</v>
      </c>
      <c r="DL311" s="85">
        <f t="shared" si="211"/>
        <v>0</v>
      </c>
      <c r="DM311" s="85">
        <f t="shared" si="211"/>
        <v>0</v>
      </c>
      <c r="DN311" s="85">
        <f t="shared" si="211"/>
        <v>0</v>
      </c>
      <c r="DO311" s="85">
        <f t="shared" si="211"/>
        <v>13810416247.57876</v>
      </c>
    </row>
    <row r="312" spans="1:119" s="225" customFormat="1" ht="99" customHeight="1" x14ac:dyDescent="0.2">
      <c r="A312" s="64">
        <v>4</v>
      </c>
      <c r="B312" s="256" t="s">
        <v>6</v>
      </c>
      <c r="C312" s="150" t="s">
        <v>860</v>
      </c>
      <c r="D312" s="59" t="s">
        <v>4</v>
      </c>
      <c r="E312" s="125">
        <v>0.53720000000000001</v>
      </c>
      <c r="F312" s="13">
        <v>2019</v>
      </c>
      <c r="G312" s="59" t="s">
        <v>1310</v>
      </c>
      <c r="H312" s="119">
        <v>0.55000000000000004</v>
      </c>
      <c r="I312" s="13">
        <v>45</v>
      </c>
      <c r="J312" s="13" t="s">
        <v>1294</v>
      </c>
      <c r="K312" s="50">
        <v>16</v>
      </c>
      <c r="L312" s="13" t="s">
        <v>398</v>
      </c>
      <c r="M312" s="244">
        <v>42</v>
      </c>
      <c r="N312" s="244">
        <v>4502</v>
      </c>
      <c r="O312" s="245" t="s">
        <v>1658</v>
      </c>
      <c r="P312" s="101" t="s">
        <v>1311</v>
      </c>
      <c r="Q312" s="13" t="s">
        <v>77</v>
      </c>
      <c r="R312" s="13">
        <v>4502001</v>
      </c>
      <c r="S312" s="150" t="s">
        <v>1312</v>
      </c>
      <c r="T312" s="112" t="s">
        <v>1313</v>
      </c>
      <c r="U312" s="13" t="s">
        <v>77</v>
      </c>
      <c r="V312" s="13">
        <v>450200101</v>
      </c>
      <c r="W312" s="122" t="s">
        <v>1314</v>
      </c>
      <c r="X312" s="120" t="s">
        <v>8</v>
      </c>
      <c r="Y312" s="13">
        <v>12</v>
      </c>
      <c r="Z312" s="13" t="s">
        <v>1571</v>
      </c>
      <c r="AA312" s="13"/>
      <c r="AB312" s="13">
        <v>12</v>
      </c>
      <c r="AC312" s="13">
        <v>12</v>
      </c>
      <c r="AD312" s="13">
        <v>12</v>
      </c>
      <c r="AE312" s="89">
        <f t="shared" ref="AE312:AI326" si="212">AJ312+AO312+AT312+AY312+BD312+BI312+BN312+BS312+BX312+CC312</f>
        <v>0</v>
      </c>
      <c r="AF312" s="89">
        <f t="shared" si="212"/>
        <v>0</v>
      </c>
      <c r="AG312" s="89">
        <f t="shared" si="212"/>
        <v>0</v>
      </c>
      <c r="AH312" s="89">
        <f t="shared" si="212"/>
        <v>0</v>
      </c>
      <c r="AI312" s="89">
        <f t="shared" si="212"/>
        <v>0</v>
      </c>
      <c r="AJ312" s="91"/>
      <c r="AK312" s="91"/>
      <c r="AL312" s="91"/>
      <c r="AM312" s="91"/>
      <c r="AN312" s="91"/>
      <c r="AO312" s="91"/>
      <c r="AP312" s="91"/>
      <c r="AQ312" s="91"/>
      <c r="AR312" s="91"/>
      <c r="AS312" s="91"/>
      <c r="AT312" s="91"/>
      <c r="AU312" s="91"/>
      <c r="AV312" s="91"/>
      <c r="AW312" s="91"/>
      <c r="AX312" s="91"/>
      <c r="AY312" s="91"/>
      <c r="AZ312" s="91"/>
      <c r="BA312" s="91"/>
      <c r="BB312" s="91"/>
      <c r="BC312" s="91"/>
      <c r="BD312" s="91"/>
      <c r="BE312" s="91"/>
      <c r="BF312" s="91"/>
      <c r="BG312" s="91"/>
      <c r="BH312" s="91"/>
      <c r="BI312" s="91"/>
      <c r="BJ312" s="91"/>
      <c r="BK312" s="91"/>
      <c r="BL312" s="91"/>
      <c r="BM312" s="91"/>
      <c r="BN312" s="91"/>
      <c r="BO312" s="91"/>
      <c r="BP312" s="91"/>
      <c r="BQ312" s="91"/>
      <c r="BR312" s="91"/>
      <c r="BS312" s="91"/>
      <c r="BT312" s="91"/>
      <c r="BU312" s="91"/>
      <c r="BV312" s="91"/>
      <c r="BW312" s="91"/>
      <c r="BX312" s="91"/>
      <c r="BY312" s="91"/>
      <c r="BZ312" s="91"/>
      <c r="CA312" s="91"/>
      <c r="CB312" s="91"/>
      <c r="CC312" s="91"/>
      <c r="CD312" s="91"/>
      <c r="CE312" s="91"/>
      <c r="CF312" s="91"/>
      <c r="CG312" s="91"/>
      <c r="CH312" s="91">
        <f t="shared" ref="CH312:CH326" si="213">CI312+CJ312+CK312+CL312+CM312+CN312+CO312+CP312+CQ312+CR312</f>
        <v>12000000</v>
      </c>
      <c r="CI312" s="91">
        <v>12000000</v>
      </c>
      <c r="CJ312" s="91"/>
      <c r="CK312" s="91"/>
      <c r="CL312" s="91"/>
      <c r="CM312" s="91"/>
      <c r="CN312" s="91"/>
      <c r="CO312" s="91"/>
      <c r="CP312" s="91"/>
      <c r="CQ312" s="91"/>
      <c r="CR312" s="91"/>
      <c r="CS312" s="91">
        <f t="shared" ref="CS312:CS326" si="214">CT312+CU312+CV312+CW312+CX312+CY312+CZ312+DA312+DB312+DC312</f>
        <v>20000000</v>
      </c>
      <c r="CT312" s="91">
        <v>20000000</v>
      </c>
      <c r="CU312" s="91"/>
      <c r="CV312" s="91"/>
      <c r="CW312" s="91"/>
      <c r="CX312" s="91"/>
      <c r="CY312" s="91"/>
      <c r="CZ312" s="91"/>
      <c r="DA312" s="91"/>
      <c r="DB312" s="91"/>
      <c r="DC312" s="91"/>
      <c r="DD312" s="91">
        <f t="shared" ref="DD312:DD326" si="215">DE312+DF312+DG312+DH312+DI312+DJ312+DK312+DL312+DM312+DN312</f>
        <v>0</v>
      </c>
      <c r="DE312" s="91"/>
      <c r="DF312" s="91"/>
      <c r="DG312" s="91"/>
      <c r="DH312" s="91"/>
      <c r="DI312" s="91"/>
      <c r="DJ312" s="91"/>
      <c r="DK312" s="91"/>
      <c r="DL312" s="91"/>
      <c r="DM312" s="91"/>
      <c r="DN312" s="92"/>
      <c r="DO312" s="93">
        <f t="shared" ref="DO312:DO326" si="216">AE312+CH312+CS312+DD312</f>
        <v>32000000</v>
      </c>
    </row>
    <row r="313" spans="1:119" s="225" customFormat="1" ht="150" x14ac:dyDescent="0.2">
      <c r="A313" s="64">
        <v>4</v>
      </c>
      <c r="B313" s="256" t="s">
        <v>6</v>
      </c>
      <c r="C313" s="150" t="s">
        <v>860</v>
      </c>
      <c r="D313" s="59" t="s">
        <v>4</v>
      </c>
      <c r="E313" s="125">
        <v>0.53720000000000001</v>
      </c>
      <c r="F313" s="13">
        <v>2019</v>
      </c>
      <c r="G313" s="59" t="s">
        <v>1310</v>
      </c>
      <c r="H313" s="119">
        <v>0.55000000000000004</v>
      </c>
      <c r="I313" s="13">
        <v>45</v>
      </c>
      <c r="J313" s="13" t="s">
        <v>1294</v>
      </c>
      <c r="K313" s="50">
        <v>16</v>
      </c>
      <c r="L313" s="13" t="s">
        <v>398</v>
      </c>
      <c r="M313" s="244">
        <v>42</v>
      </c>
      <c r="N313" s="244">
        <v>4502</v>
      </c>
      <c r="O313" s="245" t="s">
        <v>1658</v>
      </c>
      <c r="P313" s="13" t="s">
        <v>1315</v>
      </c>
      <c r="Q313" s="13" t="s">
        <v>77</v>
      </c>
      <c r="R313" s="13">
        <v>4502001</v>
      </c>
      <c r="S313" s="150" t="s">
        <v>7</v>
      </c>
      <c r="T313" s="13" t="s">
        <v>1316</v>
      </c>
      <c r="U313" s="13" t="s">
        <v>77</v>
      </c>
      <c r="V313" s="13">
        <v>450200100</v>
      </c>
      <c r="W313" s="122" t="s">
        <v>1317</v>
      </c>
      <c r="X313" s="120" t="s">
        <v>8</v>
      </c>
      <c r="Y313" s="13">
        <v>1</v>
      </c>
      <c r="Z313" s="13">
        <v>1</v>
      </c>
      <c r="AA313" s="13">
        <v>1</v>
      </c>
      <c r="AB313" s="13">
        <v>1</v>
      </c>
      <c r="AC313" s="13">
        <v>1</v>
      </c>
      <c r="AD313" s="13">
        <v>1</v>
      </c>
      <c r="AE313" s="89">
        <f t="shared" si="212"/>
        <v>200000000</v>
      </c>
      <c r="AF313" s="89">
        <f t="shared" si="212"/>
        <v>102285179</v>
      </c>
      <c r="AG313" s="89">
        <f t="shared" si="212"/>
        <v>98951650</v>
      </c>
      <c r="AH313" s="89">
        <f t="shared" si="212"/>
        <v>98951650</v>
      </c>
      <c r="AI313" s="89">
        <f t="shared" si="212"/>
        <v>0</v>
      </c>
      <c r="AJ313" s="91">
        <v>200000000</v>
      </c>
      <c r="AK313" s="91">
        <v>102285179</v>
      </c>
      <c r="AL313" s="91">
        <v>98951650</v>
      </c>
      <c r="AM313" s="91">
        <v>98951650</v>
      </c>
      <c r="AN313" s="91"/>
      <c r="AO313" s="91"/>
      <c r="AP313" s="91"/>
      <c r="AQ313" s="91"/>
      <c r="AR313" s="91"/>
      <c r="AS313" s="91"/>
      <c r="AT313" s="91"/>
      <c r="AU313" s="91"/>
      <c r="AV313" s="91"/>
      <c r="AW313" s="91"/>
      <c r="AX313" s="91"/>
      <c r="AY313" s="91"/>
      <c r="AZ313" s="91"/>
      <c r="BA313" s="91"/>
      <c r="BB313" s="91"/>
      <c r="BC313" s="91"/>
      <c r="BD313" s="91"/>
      <c r="BE313" s="91"/>
      <c r="BF313" s="91"/>
      <c r="BG313" s="91"/>
      <c r="BH313" s="91"/>
      <c r="BI313" s="91"/>
      <c r="BJ313" s="91"/>
      <c r="BK313" s="91"/>
      <c r="BL313" s="91"/>
      <c r="BM313" s="91"/>
      <c r="BN313" s="91"/>
      <c r="BO313" s="91"/>
      <c r="BP313" s="91"/>
      <c r="BQ313" s="91"/>
      <c r="BR313" s="91"/>
      <c r="BS313" s="91"/>
      <c r="BT313" s="91"/>
      <c r="BU313" s="91"/>
      <c r="BV313" s="91"/>
      <c r="BW313" s="91"/>
      <c r="BX313" s="91"/>
      <c r="BY313" s="91"/>
      <c r="BZ313" s="91"/>
      <c r="CA313" s="91"/>
      <c r="CB313" s="91"/>
      <c r="CC313" s="91"/>
      <c r="CD313" s="91"/>
      <c r="CE313" s="91"/>
      <c r="CF313" s="91"/>
      <c r="CG313" s="91"/>
      <c r="CH313" s="91">
        <f t="shared" si="213"/>
        <v>141527405.78999999</v>
      </c>
      <c r="CI313" s="91">
        <v>141527405.78999999</v>
      </c>
      <c r="CJ313" s="91"/>
      <c r="CK313" s="91"/>
      <c r="CL313" s="91"/>
      <c r="CM313" s="91"/>
      <c r="CN313" s="91"/>
      <c r="CO313" s="91"/>
      <c r="CP313" s="91"/>
      <c r="CQ313" s="91"/>
      <c r="CR313" s="91"/>
      <c r="CS313" s="91">
        <f t="shared" si="214"/>
        <v>171299168.20999998</v>
      </c>
      <c r="CT313" s="91">
        <f>471299168.21-300000000</f>
        <v>171299168.20999998</v>
      </c>
      <c r="CU313" s="91"/>
      <c r="CV313" s="91"/>
      <c r="CW313" s="91"/>
      <c r="CX313" s="91"/>
      <c r="CY313" s="91"/>
      <c r="CZ313" s="91"/>
      <c r="DA313" s="91"/>
      <c r="DB313" s="91"/>
      <c r="DC313" s="91"/>
      <c r="DD313" s="91">
        <f t="shared" si="215"/>
        <v>183676715.73000002</v>
      </c>
      <c r="DE313" s="91">
        <f>733676715.73-550000000</f>
        <v>183676715.73000002</v>
      </c>
      <c r="DF313" s="91"/>
      <c r="DG313" s="91"/>
      <c r="DH313" s="91"/>
      <c r="DI313" s="91"/>
      <c r="DJ313" s="91"/>
      <c r="DK313" s="91"/>
      <c r="DL313" s="91"/>
      <c r="DM313" s="91"/>
      <c r="DN313" s="92"/>
      <c r="DO313" s="93">
        <f t="shared" si="216"/>
        <v>696503289.73000002</v>
      </c>
    </row>
    <row r="314" spans="1:119" s="225" customFormat="1" ht="157.5" customHeight="1" x14ac:dyDescent="0.2">
      <c r="A314" s="64">
        <v>4</v>
      </c>
      <c r="B314" s="256" t="s">
        <v>6</v>
      </c>
      <c r="C314" s="150" t="s">
        <v>860</v>
      </c>
      <c r="D314" s="59" t="s">
        <v>4</v>
      </c>
      <c r="E314" s="125">
        <v>0.53720000000000001</v>
      </c>
      <c r="F314" s="13">
        <v>2019</v>
      </c>
      <c r="G314" s="59" t="s">
        <v>1310</v>
      </c>
      <c r="H314" s="119">
        <v>0.55000000000000004</v>
      </c>
      <c r="I314" s="13">
        <v>45</v>
      </c>
      <c r="J314" s="13" t="s">
        <v>1294</v>
      </c>
      <c r="K314" s="50">
        <v>16</v>
      </c>
      <c r="L314" s="13" t="s">
        <v>398</v>
      </c>
      <c r="M314" s="244">
        <v>42</v>
      </c>
      <c r="N314" s="244">
        <v>4502</v>
      </c>
      <c r="O314" s="245" t="s">
        <v>1658</v>
      </c>
      <c r="P314" s="13" t="s">
        <v>1318</v>
      </c>
      <c r="Q314" s="13" t="s">
        <v>77</v>
      </c>
      <c r="R314" s="13">
        <v>4502033</v>
      </c>
      <c r="S314" s="150" t="s">
        <v>5</v>
      </c>
      <c r="T314" s="13" t="s">
        <v>1319</v>
      </c>
      <c r="U314" s="13" t="s">
        <v>77</v>
      </c>
      <c r="V314" s="13">
        <v>450203300</v>
      </c>
      <c r="W314" s="122" t="s">
        <v>1320</v>
      </c>
      <c r="X314" s="120" t="s">
        <v>8</v>
      </c>
      <c r="Y314" s="13">
        <v>1</v>
      </c>
      <c r="Z314" s="13">
        <v>1</v>
      </c>
      <c r="AA314" s="13">
        <v>1</v>
      </c>
      <c r="AB314" s="13">
        <v>1</v>
      </c>
      <c r="AC314" s="13">
        <v>1</v>
      </c>
      <c r="AD314" s="13">
        <v>1</v>
      </c>
      <c r="AE314" s="89">
        <f t="shared" si="212"/>
        <v>55122927.600000001</v>
      </c>
      <c r="AF314" s="89">
        <f>AK314+AP314+AU314+AZ314+BE314+BJ314+BO314+BT314+BY314+CD314</f>
        <v>30000000</v>
      </c>
      <c r="AG314" s="89">
        <v>27875077</v>
      </c>
      <c r="AH314" s="89">
        <v>27875077</v>
      </c>
      <c r="AI314" s="89">
        <f t="shared" si="212"/>
        <v>0</v>
      </c>
      <c r="AJ314" s="91">
        <v>55122927.600000001</v>
      </c>
      <c r="AK314" s="91">
        <v>30000000</v>
      </c>
      <c r="AL314" s="91">
        <v>29975645</v>
      </c>
      <c r="AM314" s="91">
        <v>29975645</v>
      </c>
      <c r="AN314" s="91"/>
      <c r="AO314" s="91"/>
      <c r="AP314" s="91"/>
      <c r="AQ314" s="91"/>
      <c r="AR314" s="91"/>
      <c r="AS314" s="91"/>
      <c r="AT314" s="91"/>
      <c r="AU314" s="91"/>
      <c r="AV314" s="91"/>
      <c r="AW314" s="91"/>
      <c r="AX314" s="91"/>
      <c r="AY314" s="91"/>
      <c r="AZ314" s="91"/>
      <c r="BA314" s="91"/>
      <c r="BB314" s="91"/>
      <c r="BC314" s="91"/>
      <c r="BD314" s="91"/>
      <c r="BE314" s="91"/>
      <c r="BF314" s="91"/>
      <c r="BG314" s="91"/>
      <c r="BH314" s="91"/>
      <c r="BI314" s="91"/>
      <c r="BJ314" s="91"/>
      <c r="BK314" s="91"/>
      <c r="BL314" s="91"/>
      <c r="BM314" s="91"/>
      <c r="BN314" s="91"/>
      <c r="BO314" s="91"/>
      <c r="BP314" s="91"/>
      <c r="BQ314" s="91"/>
      <c r="BR314" s="91"/>
      <c r="BS314" s="91"/>
      <c r="BT314" s="91"/>
      <c r="BU314" s="91"/>
      <c r="BV314" s="91"/>
      <c r="BW314" s="91"/>
      <c r="BX314" s="91"/>
      <c r="BY314" s="91"/>
      <c r="BZ314" s="91"/>
      <c r="CA314" s="91"/>
      <c r="CB314" s="91"/>
      <c r="CC314" s="91"/>
      <c r="CD314" s="91"/>
      <c r="CE314" s="91"/>
      <c r="CF314" s="91"/>
      <c r="CG314" s="91"/>
      <c r="CH314" s="91">
        <f t="shared" si="213"/>
        <v>35136514.094499998</v>
      </c>
      <c r="CI314" s="91">
        <v>35136514.094499998</v>
      </c>
      <c r="CJ314" s="91"/>
      <c r="CK314" s="91"/>
      <c r="CL314" s="91"/>
      <c r="CM314" s="91"/>
      <c r="CN314" s="91"/>
      <c r="CO314" s="91"/>
      <c r="CP314" s="91"/>
      <c r="CQ314" s="91"/>
      <c r="CR314" s="91"/>
      <c r="CS314" s="91">
        <f t="shared" si="214"/>
        <v>60175438.151100002</v>
      </c>
      <c r="CT314" s="91">
        <v>60175438.151100002</v>
      </c>
      <c r="CU314" s="91"/>
      <c r="CV314" s="91"/>
      <c r="CW314" s="91"/>
      <c r="CX314" s="91"/>
      <c r="CY314" s="91"/>
      <c r="CZ314" s="91"/>
      <c r="DA314" s="91"/>
      <c r="DB314" s="91"/>
      <c r="DC314" s="91"/>
      <c r="DD314" s="91">
        <f t="shared" si="215"/>
        <v>93675781.405399993</v>
      </c>
      <c r="DE314" s="91">
        <v>93675781.405399993</v>
      </c>
      <c r="DF314" s="91"/>
      <c r="DG314" s="91"/>
      <c r="DH314" s="91"/>
      <c r="DI314" s="91"/>
      <c r="DJ314" s="91"/>
      <c r="DK314" s="91"/>
      <c r="DL314" s="91"/>
      <c r="DM314" s="91"/>
      <c r="DN314" s="92"/>
      <c r="DO314" s="93">
        <f t="shared" si="216"/>
        <v>244110661.25099999</v>
      </c>
    </row>
    <row r="315" spans="1:119" s="225" customFormat="1" ht="126" customHeight="1" x14ac:dyDescent="0.2">
      <c r="A315" s="64">
        <v>4</v>
      </c>
      <c r="B315" s="256" t="s">
        <v>6</v>
      </c>
      <c r="C315" s="150" t="s">
        <v>860</v>
      </c>
      <c r="D315" s="59" t="s">
        <v>4</v>
      </c>
      <c r="E315" s="125">
        <v>0.53720000000000001</v>
      </c>
      <c r="F315" s="13">
        <v>2019</v>
      </c>
      <c r="G315" s="59" t="s">
        <v>1310</v>
      </c>
      <c r="H315" s="119">
        <v>0.55000000000000004</v>
      </c>
      <c r="I315" s="13">
        <v>45</v>
      </c>
      <c r="J315" s="13" t="s">
        <v>1294</v>
      </c>
      <c r="K315" s="50">
        <v>16</v>
      </c>
      <c r="L315" s="13" t="s">
        <v>398</v>
      </c>
      <c r="M315" s="244">
        <v>42</v>
      </c>
      <c r="N315" s="244">
        <v>4502</v>
      </c>
      <c r="O315" s="245" t="s">
        <v>1658</v>
      </c>
      <c r="P315" s="13" t="s">
        <v>1321</v>
      </c>
      <c r="Q315" s="13" t="s">
        <v>77</v>
      </c>
      <c r="R315" s="13">
        <v>4502001</v>
      </c>
      <c r="S315" s="150" t="s">
        <v>146</v>
      </c>
      <c r="T315" s="13" t="s">
        <v>1322</v>
      </c>
      <c r="U315" s="13" t="s">
        <v>77</v>
      </c>
      <c r="V315" s="13">
        <v>450200100</v>
      </c>
      <c r="W315" s="122" t="s">
        <v>1323</v>
      </c>
      <c r="X315" s="120" t="s">
        <v>8</v>
      </c>
      <c r="Y315" s="13">
        <v>30</v>
      </c>
      <c r="Z315" s="13">
        <v>30</v>
      </c>
      <c r="AA315" s="13">
        <v>33</v>
      </c>
      <c r="AB315" s="13">
        <v>30</v>
      </c>
      <c r="AC315" s="13">
        <v>30</v>
      </c>
      <c r="AD315" s="13">
        <v>30</v>
      </c>
      <c r="AE315" s="89">
        <f t="shared" si="212"/>
        <v>250000000</v>
      </c>
      <c r="AF315" s="89">
        <f t="shared" si="212"/>
        <v>60000000</v>
      </c>
      <c r="AG315" s="89">
        <f t="shared" si="212"/>
        <v>39216663</v>
      </c>
      <c r="AH315" s="89">
        <f t="shared" si="212"/>
        <v>39216663</v>
      </c>
      <c r="AI315" s="89">
        <f t="shared" si="212"/>
        <v>0</v>
      </c>
      <c r="AJ315" s="91">
        <f>200000000+50000000</f>
        <v>250000000</v>
      </c>
      <c r="AK315" s="91">
        <v>60000000</v>
      </c>
      <c r="AL315" s="91">
        <v>39216663</v>
      </c>
      <c r="AM315" s="91">
        <v>39216663</v>
      </c>
      <c r="AN315" s="91"/>
      <c r="AO315" s="91"/>
      <c r="AP315" s="91"/>
      <c r="AQ315" s="91"/>
      <c r="AR315" s="91"/>
      <c r="AS315" s="91"/>
      <c r="AT315" s="91"/>
      <c r="AU315" s="91"/>
      <c r="AV315" s="91"/>
      <c r="AW315" s="91"/>
      <c r="AX315" s="91"/>
      <c r="AY315" s="91"/>
      <c r="AZ315" s="91"/>
      <c r="BA315" s="91"/>
      <c r="BB315" s="91"/>
      <c r="BC315" s="91"/>
      <c r="BD315" s="91"/>
      <c r="BE315" s="91"/>
      <c r="BF315" s="91"/>
      <c r="BG315" s="91"/>
      <c r="BH315" s="91"/>
      <c r="BI315" s="91"/>
      <c r="BJ315" s="91"/>
      <c r="BK315" s="91"/>
      <c r="BL315" s="91"/>
      <c r="BM315" s="91"/>
      <c r="BN315" s="91"/>
      <c r="BO315" s="91"/>
      <c r="BP315" s="91"/>
      <c r="BQ315" s="91"/>
      <c r="BR315" s="91"/>
      <c r="BS315" s="91"/>
      <c r="BT315" s="91"/>
      <c r="BU315" s="91"/>
      <c r="BV315" s="91"/>
      <c r="BW315" s="91"/>
      <c r="BX315" s="91"/>
      <c r="BY315" s="91"/>
      <c r="BZ315" s="91"/>
      <c r="CA315" s="91"/>
      <c r="CB315" s="91"/>
      <c r="CC315" s="91"/>
      <c r="CD315" s="91"/>
      <c r="CE315" s="91"/>
      <c r="CF315" s="91"/>
      <c r="CG315" s="91"/>
      <c r="CH315" s="91">
        <f t="shared" si="213"/>
        <v>146762454.65000001</v>
      </c>
      <c r="CI315" s="91">
        <f>100000000+46762454.65</f>
        <v>146762454.65000001</v>
      </c>
      <c r="CJ315" s="91"/>
      <c r="CK315" s="91"/>
      <c r="CL315" s="91"/>
      <c r="CM315" s="91"/>
      <c r="CN315" s="91"/>
      <c r="CO315" s="91"/>
      <c r="CP315" s="91"/>
      <c r="CQ315" s="91"/>
      <c r="CR315" s="91"/>
      <c r="CS315" s="91">
        <f t="shared" si="214"/>
        <v>350386793.86000001</v>
      </c>
      <c r="CT315" s="91">
        <f>300000000+50386793.86</f>
        <v>350386793.86000001</v>
      </c>
      <c r="CU315" s="91"/>
      <c r="CV315" s="91"/>
      <c r="CW315" s="91"/>
      <c r="CX315" s="91"/>
      <c r="CY315" s="91"/>
      <c r="CZ315" s="91"/>
      <c r="DA315" s="91"/>
      <c r="DB315" s="91"/>
      <c r="DC315" s="91"/>
      <c r="DD315" s="91">
        <f t="shared" si="215"/>
        <v>650000000</v>
      </c>
      <c r="DE315" s="91">
        <f>550000000+100000000</f>
        <v>650000000</v>
      </c>
      <c r="DF315" s="91"/>
      <c r="DG315" s="91"/>
      <c r="DH315" s="91"/>
      <c r="DI315" s="91"/>
      <c r="DJ315" s="91"/>
      <c r="DK315" s="91"/>
      <c r="DL315" s="91"/>
      <c r="DM315" s="91"/>
      <c r="DN315" s="92"/>
      <c r="DO315" s="93">
        <f t="shared" si="216"/>
        <v>1397149248.51</v>
      </c>
    </row>
    <row r="316" spans="1:119" s="225" customFormat="1" ht="141.75" customHeight="1" x14ac:dyDescent="0.2">
      <c r="A316" s="64">
        <v>4</v>
      </c>
      <c r="B316" s="256" t="s">
        <v>6</v>
      </c>
      <c r="C316" s="59" t="s">
        <v>1324</v>
      </c>
      <c r="D316" s="59" t="s">
        <v>4</v>
      </c>
      <c r="E316" s="125">
        <v>0.53720000000000001</v>
      </c>
      <c r="F316" s="13">
        <v>2019</v>
      </c>
      <c r="G316" s="59" t="s">
        <v>1310</v>
      </c>
      <c r="H316" s="119">
        <v>0.55000000000000004</v>
      </c>
      <c r="I316" s="13">
        <v>45</v>
      </c>
      <c r="J316" s="13" t="s">
        <v>1294</v>
      </c>
      <c r="K316" s="50">
        <v>16</v>
      </c>
      <c r="L316" s="13" t="s">
        <v>398</v>
      </c>
      <c r="M316" s="244">
        <v>42</v>
      </c>
      <c r="N316" s="244">
        <v>4502</v>
      </c>
      <c r="O316" s="245" t="s">
        <v>1658</v>
      </c>
      <c r="P316" s="13" t="s">
        <v>1325</v>
      </c>
      <c r="Q316" s="13" t="s">
        <v>77</v>
      </c>
      <c r="R316" s="13">
        <v>4502001</v>
      </c>
      <c r="S316" s="59" t="s">
        <v>90</v>
      </c>
      <c r="T316" s="13" t="s">
        <v>1326</v>
      </c>
      <c r="U316" s="13" t="s">
        <v>77</v>
      </c>
      <c r="V316" s="13">
        <v>450200109</v>
      </c>
      <c r="W316" s="172" t="s">
        <v>1327</v>
      </c>
      <c r="X316" s="173" t="s">
        <v>8</v>
      </c>
      <c r="Y316" s="13">
        <v>12</v>
      </c>
      <c r="Z316" s="13">
        <v>12</v>
      </c>
      <c r="AA316" s="13">
        <v>12</v>
      </c>
      <c r="AB316" s="13">
        <v>12</v>
      </c>
      <c r="AC316" s="13">
        <v>12</v>
      </c>
      <c r="AD316" s="13">
        <v>12</v>
      </c>
      <c r="AE316" s="89">
        <f t="shared" si="212"/>
        <v>40000000</v>
      </c>
      <c r="AF316" s="89">
        <f t="shared" si="212"/>
        <v>19900000</v>
      </c>
      <c r="AG316" s="89">
        <f t="shared" si="212"/>
        <v>16293333</v>
      </c>
      <c r="AH316" s="89">
        <f t="shared" si="212"/>
        <v>16293333</v>
      </c>
      <c r="AI316" s="89"/>
      <c r="AJ316" s="91">
        <f>40000000+10000000-10000000</f>
        <v>40000000</v>
      </c>
      <c r="AK316" s="91">
        <v>19900000</v>
      </c>
      <c r="AL316" s="91">
        <v>16293333</v>
      </c>
      <c r="AM316" s="91">
        <v>16293333</v>
      </c>
      <c r="AN316" s="91"/>
      <c r="AO316" s="91"/>
      <c r="AP316" s="91"/>
      <c r="AQ316" s="91"/>
      <c r="AR316" s="91"/>
      <c r="AS316" s="91"/>
      <c r="AT316" s="91"/>
      <c r="AU316" s="91"/>
      <c r="AV316" s="91"/>
      <c r="AW316" s="91"/>
      <c r="AX316" s="91"/>
      <c r="AY316" s="91"/>
      <c r="AZ316" s="91"/>
      <c r="BA316" s="91"/>
      <c r="BB316" s="91"/>
      <c r="BC316" s="91"/>
      <c r="BD316" s="91"/>
      <c r="BE316" s="91"/>
      <c r="BF316" s="91"/>
      <c r="BG316" s="91"/>
      <c r="BH316" s="91"/>
      <c r="BI316" s="91"/>
      <c r="BJ316" s="91"/>
      <c r="BK316" s="91"/>
      <c r="BL316" s="91"/>
      <c r="BM316" s="91"/>
      <c r="BN316" s="91"/>
      <c r="BO316" s="91"/>
      <c r="BP316" s="91"/>
      <c r="BQ316" s="91"/>
      <c r="BR316" s="91"/>
      <c r="BS316" s="91"/>
      <c r="BT316" s="91"/>
      <c r="BU316" s="91"/>
      <c r="BV316" s="91"/>
      <c r="BW316" s="91"/>
      <c r="BX316" s="91"/>
      <c r="BY316" s="91"/>
      <c r="BZ316" s="91"/>
      <c r="CA316" s="91"/>
      <c r="CB316" s="91"/>
      <c r="CC316" s="91"/>
      <c r="CD316" s="91"/>
      <c r="CE316" s="91"/>
      <c r="CF316" s="91"/>
      <c r="CG316" s="91"/>
      <c r="CH316" s="91">
        <f t="shared" si="213"/>
        <v>35000000</v>
      </c>
      <c r="CI316" s="91">
        <f>25000000+10000000</f>
        <v>35000000</v>
      </c>
      <c r="CJ316" s="91"/>
      <c r="CK316" s="91"/>
      <c r="CL316" s="91"/>
      <c r="CM316" s="91"/>
      <c r="CN316" s="91"/>
      <c r="CO316" s="91"/>
      <c r="CP316" s="91"/>
      <c r="CQ316" s="91"/>
      <c r="CR316" s="91"/>
      <c r="CS316" s="91">
        <f t="shared" si="214"/>
        <v>50000000</v>
      </c>
      <c r="CT316" s="91">
        <f>30000000+20000000</f>
        <v>50000000</v>
      </c>
      <c r="CU316" s="91"/>
      <c r="CV316" s="91"/>
      <c r="CW316" s="91"/>
      <c r="CX316" s="91"/>
      <c r="CY316" s="91"/>
      <c r="CZ316" s="91"/>
      <c r="DA316" s="91"/>
      <c r="DB316" s="91"/>
      <c r="DC316" s="91"/>
      <c r="DD316" s="91">
        <f t="shared" si="215"/>
        <v>70000000</v>
      </c>
      <c r="DE316" s="91">
        <f>40000000+30000000</f>
        <v>70000000</v>
      </c>
      <c r="DF316" s="91"/>
      <c r="DG316" s="91"/>
      <c r="DH316" s="91"/>
      <c r="DI316" s="91"/>
      <c r="DJ316" s="91"/>
      <c r="DK316" s="91"/>
      <c r="DL316" s="91"/>
      <c r="DM316" s="91"/>
      <c r="DN316" s="92"/>
      <c r="DO316" s="93">
        <f t="shared" si="216"/>
        <v>195000000</v>
      </c>
    </row>
    <row r="317" spans="1:119" s="225" customFormat="1" ht="220.5" customHeight="1" x14ac:dyDescent="0.2">
      <c r="A317" s="64">
        <v>4</v>
      </c>
      <c r="B317" s="256" t="s">
        <v>6</v>
      </c>
      <c r="C317" s="59" t="s">
        <v>453</v>
      </c>
      <c r="D317" s="59" t="s">
        <v>81</v>
      </c>
      <c r="E317" s="55" t="s">
        <v>951</v>
      </c>
      <c r="F317" s="13">
        <v>2019</v>
      </c>
      <c r="G317" s="59" t="s">
        <v>1302</v>
      </c>
      <c r="H317" s="119">
        <v>1</v>
      </c>
      <c r="I317" s="13">
        <v>45</v>
      </c>
      <c r="J317" s="13" t="s">
        <v>1294</v>
      </c>
      <c r="K317" s="50">
        <v>18</v>
      </c>
      <c r="L317" s="13" t="s">
        <v>330</v>
      </c>
      <c r="M317" s="244">
        <v>41</v>
      </c>
      <c r="N317" s="244">
        <v>4502</v>
      </c>
      <c r="O317" s="245" t="s">
        <v>1658</v>
      </c>
      <c r="P317" s="48" t="s">
        <v>1295</v>
      </c>
      <c r="Q317" s="13">
        <v>4501024</v>
      </c>
      <c r="R317" s="13">
        <v>4502024</v>
      </c>
      <c r="S317" s="59" t="s">
        <v>82</v>
      </c>
      <c r="T317" s="48" t="s">
        <v>1303</v>
      </c>
      <c r="U317" s="13">
        <v>450102400</v>
      </c>
      <c r="V317" s="13" t="s">
        <v>1682</v>
      </c>
      <c r="W317" s="87" t="s">
        <v>1304</v>
      </c>
      <c r="X317" s="88" t="s">
        <v>8</v>
      </c>
      <c r="Y317" s="13">
        <v>10</v>
      </c>
      <c r="Z317" s="13">
        <v>10</v>
      </c>
      <c r="AA317" s="13">
        <v>10</v>
      </c>
      <c r="AB317" s="13">
        <v>10</v>
      </c>
      <c r="AC317" s="13">
        <v>10</v>
      </c>
      <c r="AD317" s="13">
        <v>10</v>
      </c>
      <c r="AE317" s="89">
        <f>AJ317+AO317+AT317+AY317+BD317+BI317+BN317+BS317+BX317+CC317</f>
        <v>94000000</v>
      </c>
      <c r="AF317" s="89">
        <f>AK317+AP317+AU317+AZ317+BE317+BJ317+BO317+BT317+BY317+CD317</f>
        <v>94000000</v>
      </c>
      <c r="AG317" s="89">
        <f>AL317+AQ317+AV317+BA317+BF317+BK317+BP317+BU317+BZ317+CE317</f>
        <v>49720743</v>
      </c>
      <c r="AH317" s="89">
        <f>AM317+AR317+AW317+BB317+BG317+BL317+BQ317+BV317+CA317+CF317</f>
        <v>49720743</v>
      </c>
      <c r="AI317" s="89">
        <f>AN317+AS317+AX317+BC317+BH317+BM317+BR317+BW317+CB317+CG317</f>
        <v>0</v>
      </c>
      <c r="AJ317" s="91">
        <v>94000000</v>
      </c>
      <c r="AK317" s="91">
        <v>94000000</v>
      </c>
      <c r="AL317" s="91">
        <v>49720743</v>
      </c>
      <c r="AM317" s="91">
        <v>49720743</v>
      </c>
      <c r="AN317" s="91"/>
      <c r="AO317" s="91"/>
      <c r="AP317" s="91"/>
      <c r="AQ317" s="91"/>
      <c r="AR317" s="91"/>
      <c r="AS317" s="91"/>
      <c r="AT317" s="91"/>
      <c r="AU317" s="91"/>
      <c r="AV317" s="91"/>
      <c r="AW317" s="91"/>
      <c r="AX317" s="91"/>
      <c r="AY317" s="91"/>
      <c r="AZ317" s="91"/>
      <c r="BA317" s="91"/>
      <c r="BB317" s="91"/>
      <c r="BC317" s="91"/>
      <c r="BD317" s="91"/>
      <c r="BE317" s="91"/>
      <c r="BF317" s="91"/>
      <c r="BG317" s="91"/>
      <c r="BH317" s="91"/>
      <c r="BI317" s="91"/>
      <c r="BJ317" s="91"/>
      <c r="BK317" s="91"/>
      <c r="BL317" s="91"/>
      <c r="BM317" s="91"/>
      <c r="BN317" s="91"/>
      <c r="BO317" s="91"/>
      <c r="BP317" s="91"/>
      <c r="BQ317" s="91"/>
      <c r="BR317" s="91"/>
      <c r="BS317" s="91"/>
      <c r="BT317" s="91"/>
      <c r="BU317" s="91"/>
      <c r="BV317" s="91"/>
      <c r="BW317" s="91"/>
      <c r="BX317" s="91"/>
      <c r="BY317" s="91"/>
      <c r="BZ317" s="91"/>
      <c r="CA317" s="91"/>
      <c r="CB317" s="91"/>
      <c r="CC317" s="91"/>
      <c r="CD317" s="91"/>
      <c r="CE317" s="91"/>
      <c r="CF317" s="91"/>
      <c r="CG317" s="91"/>
      <c r="CH317" s="91">
        <f>CI317+CJ317+CK317+CL317+CM317+CN317+CO317+CP317+CQ317+CR317</f>
        <v>48165852.25</v>
      </c>
      <c r="CI317" s="91">
        <v>48165852.25</v>
      </c>
      <c r="CJ317" s="91"/>
      <c r="CK317" s="91"/>
      <c r="CL317" s="91"/>
      <c r="CM317" s="91"/>
      <c r="CN317" s="91"/>
      <c r="CO317" s="91"/>
      <c r="CP317" s="91"/>
      <c r="CQ317" s="91"/>
      <c r="CR317" s="91"/>
      <c r="CS317" s="91">
        <f>CT317+CU317+CV317+CW317+CX317+CY317+CZ317+DA317+DB317+DC317</f>
        <v>50722416.810000002</v>
      </c>
      <c r="CT317" s="91">
        <v>50722416.810000002</v>
      </c>
      <c r="CU317" s="91"/>
      <c r="CV317" s="91"/>
      <c r="CW317" s="91"/>
      <c r="CX317" s="91"/>
      <c r="CY317" s="91"/>
      <c r="CZ317" s="91"/>
      <c r="DA317" s="91"/>
      <c r="DB317" s="91"/>
      <c r="DC317" s="91"/>
      <c r="DD317" s="91">
        <f>DE317+DF317+DG317+DH317+DI317+DJ317+DK317+DL317+DM317+DN317</f>
        <v>98131000</v>
      </c>
      <c r="DE317" s="91">
        <v>98131000</v>
      </c>
      <c r="DF317" s="91"/>
      <c r="DG317" s="91"/>
      <c r="DH317" s="91"/>
      <c r="DI317" s="91"/>
      <c r="DJ317" s="91"/>
      <c r="DK317" s="91"/>
      <c r="DL317" s="91"/>
      <c r="DM317" s="91"/>
      <c r="DN317" s="92"/>
      <c r="DO317" s="93">
        <f>AE317+CH317+CS317+DD317</f>
        <v>291019269.06</v>
      </c>
    </row>
    <row r="318" spans="1:119" s="225" customFormat="1" ht="110.25" customHeight="1" x14ac:dyDescent="0.2">
      <c r="A318" s="64">
        <v>4</v>
      </c>
      <c r="B318" s="256" t="s">
        <v>6</v>
      </c>
      <c r="C318" s="59" t="s">
        <v>1324</v>
      </c>
      <c r="D318" s="59" t="s">
        <v>4</v>
      </c>
      <c r="E318" s="125">
        <v>0.53720000000000001</v>
      </c>
      <c r="F318" s="13">
        <v>2019</v>
      </c>
      <c r="G318" s="59" t="s">
        <v>1310</v>
      </c>
      <c r="H318" s="119">
        <v>0.55000000000000004</v>
      </c>
      <c r="I318" s="13">
        <v>45</v>
      </c>
      <c r="J318" s="13" t="s">
        <v>1294</v>
      </c>
      <c r="K318" s="50">
        <v>16</v>
      </c>
      <c r="L318" s="13" t="s">
        <v>398</v>
      </c>
      <c r="M318" s="244">
        <v>42</v>
      </c>
      <c r="N318" s="244">
        <v>4502</v>
      </c>
      <c r="O318" s="245" t="s">
        <v>1658</v>
      </c>
      <c r="P318" s="13" t="s">
        <v>1328</v>
      </c>
      <c r="Q318" s="13" t="s">
        <v>77</v>
      </c>
      <c r="R318" s="13">
        <v>4502035</v>
      </c>
      <c r="S318" s="59" t="s">
        <v>91</v>
      </c>
      <c r="T318" s="13" t="s">
        <v>1329</v>
      </c>
      <c r="U318" s="13" t="s">
        <v>77</v>
      </c>
      <c r="V318" s="13">
        <v>450203501</v>
      </c>
      <c r="W318" s="87" t="s">
        <v>1330</v>
      </c>
      <c r="X318" s="13" t="s">
        <v>9</v>
      </c>
      <c r="Y318" s="13">
        <v>1</v>
      </c>
      <c r="Z318" s="13">
        <v>0.2</v>
      </c>
      <c r="AA318" s="13">
        <v>0.2</v>
      </c>
      <c r="AB318" s="13">
        <v>0.4</v>
      </c>
      <c r="AC318" s="13">
        <v>0.2</v>
      </c>
      <c r="AD318" s="13">
        <v>0.2</v>
      </c>
      <c r="AE318" s="89">
        <f t="shared" si="212"/>
        <v>10000000</v>
      </c>
      <c r="AF318" s="89">
        <f t="shared" si="212"/>
        <v>10000000</v>
      </c>
      <c r="AG318" s="89">
        <f t="shared" si="212"/>
        <v>9123266</v>
      </c>
      <c r="AH318" s="89">
        <f t="shared" si="212"/>
        <v>9123266</v>
      </c>
      <c r="AI318" s="89">
        <f t="shared" si="212"/>
        <v>0</v>
      </c>
      <c r="AJ318" s="91">
        <v>10000000</v>
      </c>
      <c r="AK318" s="91">
        <v>10000000</v>
      </c>
      <c r="AL318" s="91">
        <v>9123266</v>
      </c>
      <c r="AM318" s="91">
        <v>9123266</v>
      </c>
      <c r="AN318" s="91"/>
      <c r="AO318" s="91"/>
      <c r="AP318" s="91"/>
      <c r="AQ318" s="91"/>
      <c r="AR318" s="91"/>
      <c r="AS318" s="91"/>
      <c r="AT318" s="91"/>
      <c r="AU318" s="91"/>
      <c r="AV318" s="91"/>
      <c r="AW318" s="91"/>
      <c r="AX318" s="91"/>
      <c r="AY318" s="91"/>
      <c r="AZ318" s="91"/>
      <c r="BA318" s="91"/>
      <c r="BB318" s="91"/>
      <c r="BC318" s="91"/>
      <c r="BD318" s="91"/>
      <c r="BE318" s="91"/>
      <c r="BF318" s="91"/>
      <c r="BG318" s="91"/>
      <c r="BH318" s="91"/>
      <c r="BI318" s="91"/>
      <c r="BJ318" s="91"/>
      <c r="BK318" s="91"/>
      <c r="BL318" s="91"/>
      <c r="BM318" s="91"/>
      <c r="BN318" s="91"/>
      <c r="BO318" s="91"/>
      <c r="BP318" s="91"/>
      <c r="BQ318" s="91"/>
      <c r="BR318" s="91"/>
      <c r="BS318" s="91"/>
      <c r="BT318" s="91"/>
      <c r="BU318" s="91"/>
      <c r="BV318" s="91"/>
      <c r="BW318" s="91"/>
      <c r="BX318" s="91"/>
      <c r="BY318" s="91"/>
      <c r="BZ318" s="91"/>
      <c r="CA318" s="91"/>
      <c r="CB318" s="91"/>
      <c r="CC318" s="91"/>
      <c r="CD318" s="91"/>
      <c r="CE318" s="91"/>
      <c r="CF318" s="91"/>
      <c r="CG318" s="91"/>
      <c r="CH318" s="91">
        <f t="shared" si="213"/>
        <v>25000000</v>
      </c>
      <c r="CI318" s="91">
        <v>25000000</v>
      </c>
      <c r="CJ318" s="91"/>
      <c r="CK318" s="91"/>
      <c r="CL318" s="91"/>
      <c r="CM318" s="91"/>
      <c r="CN318" s="91"/>
      <c r="CO318" s="91"/>
      <c r="CP318" s="91"/>
      <c r="CQ318" s="91"/>
      <c r="CR318" s="91"/>
      <c r="CS318" s="91">
        <f t="shared" si="214"/>
        <v>20000000</v>
      </c>
      <c r="CT318" s="91">
        <v>20000000</v>
      </c>
      <c r="CU318" s="91"/>
      <c r="CV318" s="91"/>
      <c r="CW318" s="91"/>
      <c r="CX318" s="91"/>
      <c r="CY318" s="91"/>
      <c r="CZ318" s="91"/>
      <c r="DA318" s="91"/>
      <c r="DB318" s="91"/>
      <c r="DC318" s="91"/>
      <c r="DD318" s="91">
        <f t="shared" si="215"/>
        <v>30000000</v>
      </c>
      <c r="DE318" s="91">
        <v>30000000</v>
      </c>
      <c r="DF318" s="91"/>
      <c r="DG318" s="91"/>
      <c r="DH318" s="91"/>
      <c r="DI318" s="91"/>
      <c r="DJ318" s="91"/>
      <c r="DK318" s="91"/>
      <c r="DL318" s="91"/>
      <c r="DM318" s="91"/>
      <c r="DN318" s="92"/>
      <c r="DO318" s="93">
        <f t="shared" si="216"/>
        <v>85000000</v>
      </c>
    </row>
    <row r="319" spans="1:119" s="225" customFormat="1" ht="78.75" customHeight="1" x14ac:dyDescent="0.2">
      <c r="A319" s="64">
        <v>4</v>
      </c>
      <c r="B319" s="256" t="s">
        <v>6</v>
      </c>
      <c r="C319" s="94" t="s">
        <v>1540</v>
      </c>
      <c r="D319" s="59" t="s">
        <v>4</v>
      </c>
      <c r="E319" s="125">
        <v>0.53720000000000001</v>
      </c>
      <c r="F319" s="13">
        <v>2019</v>
      </c>
      <c r="G319" s="59" t="s">
        <v>1310</v>
      </c>
      <c r="H319" s="119">
        <v>0.55000000000000004</v>
      </c>
      <c r="I319" s="13">
        <v>45</v>
      </c>
      <c r="J319" s="13" t="s">
        <v>1294</v>
      </c>
      <c r="K319" s="50">
        <v>16</v>
      </c>
      <c r="L319" s="13" t="s">
        <v>398</v>
      </c>
      <c r="M319" s="244">
        <v>42</v>
      </c>
      <c r="N319" s="247">
        <v>4502</v>
      </c>
      <c r="O319" s="245" t="s">
        <v>1658</v>
      </c>
      <c r="P319" s="120" t="s">
        <v>1541</v>
      </c>
      <c r="Q319" s="48">
        <v>4502003</v>
      </c>
      <c r="R319" s="48">
        <v>4502003</v>
      </c>
      <c r="S319" s="94" t="s">
        <v>60</v>
      </c>
      <c r="T319" s="120" t="s">
        <v>1542</v>
      </c>
      <c r="U319" s="48">
        <v>450200300</v>
      </c>
      <c r="V319" s="48">
        <v>450200300</v>
      </c>
      <c r="W319" s="95" t="s">
        <v>60</v>
      </c>
      <c r="X319" s="48" t="s">
        <v>9</v>
      </c>
      <c r="Y319" s="120">
        <v>8</v>
      </c>
      <c r="Z319" s="13">
        <v>2</v>
      </c>
      <c r="AA319" s="13">
        <v>2</v>
      </c>
      <c r="AB319" s="13">
        <v>2</v>
      </c>
      <c r="AC319" s="13">
        <v>2</v>
      </c>
      <c r="AD319" s="13">
        <v>2</v>
      </c>
      <c r="AE319" s="89">
        <f t="shared" si="212"/>
        <v>24027729.16</v>
      </c>
      <c r="AF319" s="89">
        <f t="shared" si="212"/>
        <v>24027729.16</v>
      </c>
      <c r="AG319" s="89">
        <f t="shared" si="212"/>
        <v>0</v>
      </c>
      <c r="AH319" s="89">
        <f t="shared" si="212"/>
        <v>0</v>
      </c>
      <c r="AI319" s="89">
        <f t="shared" si="212"/>
        <v>0</v>
      </c>
      <c r="AJ319" s="91">
        <f>12013864.58+12013864.58</f>
        <v>24027729.16</v>
      </c>
      <c r="AK319" s="91">
        <v>24027729.16</v>
      </c>
      <c r="AL319" s="91"/>
      <c r="AM319" s="91"/>
      <c r="AN319" s="91"/>
      <c r="AO319" s="91"/>
      <c r="AP319" s="91"/>
      <c r="AQ319" s="91"/>
      <c r="AR319" s="91"/>
      <c r="AS319" s="91"/>
      <c r="AT319" s="91"/>
      <c r="AU319" s="91"/>
      <c r="AV319" s="91"/>
      <c r="AW319" s="91"/>
      <c r="AX319" s="91"/>
      <c r="AY319" s="91"/>
      <c r="AZ319" s="91"/>
      <c r="BA319" s="91"/>
      <c r="BB319" s="91"/>
      <c r="BC319" s="91"/>
      <c r="BD319" s="91"/>
      <c r="BE319" s="91"/>
      <c r="BF319" s="91"/>
      <c r="BG319" s="91"/>
      <c r="BH319" s="91"/>
      <c r="BI319" s="91"/>
      <c r="BJ319" s="91"/>
      <c r="BK319" s="91"/>
      <c r="BL319" s="91"/>
      <c r="BM319" s="91"/>
      <c r="BN319" s="91"/>
      <c r="BO319" s="91"/>
      <c r="BP319" s="91"/>
      <c r="BQ319" s="91"/>
      <c r="BR319" s="91"/>
      <c r="BS319" s="91"/>
      <c r="BT319" s="91"/>
      <c r="BU319" s="91"/>
      <c r="BV319" s="91"/>
      <c r="BW319" s="91"/>
      <c r="BX319" s="91"/>
      <c r="BY319" s="91"/>
      <c r="BZ319" s="91"/>
      <c r="CA319" s="91"/>
      <c r="CB319" s="91"/>
      <c r="CC319" s="91"/>
      <c r="CD319" s="91"/>
      <c r="CE319" s="91"/>
      <c r="CF319" s="91"/>
      <c r="CG319" s="91"/>
      <c r="CH319" s="91">
        <f t="shared" si="213"/>
        <v>38000000</v>
      </c>
      <c r="CI319" s="91">
        <f>14250000+23750000</f>
        <v>38000000</v>
      </c>
      <c r="CJ319" s="91"/>
      <c r="CK319" s="91"/>
      <c r="CL319" s="91"/>
      <c r="CM319" s="91"/>
      <c r="CN319" s="91"/>
      <c r="CO319" s="91"/>
      <c r="CP319" s="91"/>
      <c r="CQ319" s="91"/>
      <c r="CR319" s="91"/>
      <c r="CS319" s="91">
        <f t="shared" si="214"/>
        <v>38604000</v>
      </c>
      <c r="CT319" s="91">
        <f>24127500+14476500</f>
        <v>38604000</v>
      </c>
      <c r="CU319" s="91"/>
      <c r="CV319" s="91"/>
      <c r="CW319" s="91"/>
      <c r="CX319" s="91"/>
      <c r="CY319" s="91"/>
      <c r="CZ319" s="91"/>
      <c r="DA319" s="91"/>
      <c r="DB319" s="91"/>
      <c r="DC319" s="91"/>
      <c r="DD319" s="91">
        <f t="shared" si="215"/>
        <v>19466000</v>
      </c>
      <c r="DE319" s="91">
        <v>19466000</v>
      </c>
      <c r="DF319" s="91"/>
      <c r="DG319" s="91"/>
      <c r="DH319" s="91"/>
      <c r="DI319" s="91"/>
      <c r="DJ319" s="91"/>
      <c r="DK319" s="91"/>
      <c r="DL319" s="91"/>
      <c r="DM319" s="91"/>
      <c r="DN319" s="92"/>
      <c r="DO319" s="93">
        <f t="shared" si="216"/>
        <v>120097729.16</v>
      </c>
    </row>
    <row r="320" spans="1:119" s="225" customFormat="1" ht="126" customHeight="1" x14ac:dyDescent="0.2">
      <c r="A320" s="64">
        <v>4</v>
      </c>
      <c r="B320" s="256" t="s">
        <v>6</v>
      </c>
      <c r="C320" s="150" t="s">
        <v>860</v>
      </c>
      <c r="D320" s="59" t="s">
        <v>4</v>
      </c>
      <c r="E320" s="174">
        <v>0.53720000000000001</v>
      </c>
      <c r="F320" s="13">
        <v>2019</v>
      </c>
      <c r="G320" s="59" t="s">
        <v>1310</v>
      </c>
      <c r="H320" s="119">
        <v>0.55000000000000004</v>
      </c>
      <c r="I320" s="13">
        <v>45</v>
      </c>
      <c r="J320" s="13" t="s">
        <v>1294</v>
      </c>
      <c r="K320" s="120">
        <v>16</v>
      </c>
      <c r="L320" s="13" t="s">
        <v>398</v>
      </c>
      <c r="M320" s="248">
        <v>42</v>
      </c>
      <c r="N320" s="244">
        <v>4502</v>
      </c>
      <c r="O320" s="245" t="s">
        <v>1658</v>
      </c>
      <c r="P320" s="120" t="s">
        <v>1543</v>
      </c>
      <c r="Q320" s="120">
        <v>4502001</v>
      </c>
      <c r="R320" s="120">
        <v>4502001</v>
      </c>
      <c r="S320" s="59" t="s">
        <v>88</v>
      </c>
      <c r="T320" s="120" t="s">
        <v>1565</v>
      </c>
      <c r="U320" s="120">
        <v>450200100</v>
      </c>
      <c r="V320" s="120">
        <v>450200100</v>
      </c>
      <c r="W320" s="87" t="s">
        <v>1566</v>
      </c>
      <c r="X320" s="13" t="s">
        <v>8</v>
      </c>
      <c r="Y320" s="120">
        <v>3</v>
      </c>
      <c r="Z320" s="13">
        <v>3</v>
      </c>
      <c r="AA320" s="13">
        <v>2</v>
      </c>
      <c r="AB320" s="13">
        <v>3</v>
      </c>
      <c r="AC320" s="13">
        <v>3</v>
      </c>
      <c r="AD320" s="13">
        <v>3</v>
      </c>
      <c r="AE320" s="89">
        <f t="shared" si="212"/>
        <v>257796636</v>
      </c>
      <c r="AF320" s="89">
        <f t="shared" si="212"/>
        <v>85270667</v>
      </c>
      <c r="AG320" s="89">
        <f t="shared" si="212"/>
        <v>59387333</v>
      </c>
      <c r="AH320" s="89">
        <f t="shared" si="212"/>
        <v>59387333</v>
      </c>
      <c r="AI320" s="89">
        <f t="shared" si="212"/>
        <v>0</v>
      </c>
      <c r="AJ320" s="175">
        <v>257796636</v>
      </c>
      <c r="AK320" s="175">
        <f>63270667+22000000</f>
        <v>85270667</v>
      </c>
      <c r="AL320" s="175">
        <v>59387333</v>
      </c>
      <c r="AM320" s="175">
        <v>59387333</v>
      </c>
      <c r="AN320" s="175"/>
      <c r="AO320" s="91"/>
      <c r="AP320" s="175"/>
      <c r="AQ320" s="91"/>
      <c r="AR320" s="91"/>
      <c r="AS320" s="91"/>
      <c r="AT320" s="91"/>
      <c r="AU320" s="175"/>
      <c r="AV320" s="91"/>
      <c r="AW320" s="91"/>
      <c r="AX320" s="91"/>
      <c r="AY320" s="91"/>
      <c r="AZ320" s="175"/>
      <c r="BA320" s="91"/>
      <c r="BB320" s="91"/>
      <c r="BC320" s="91"/>
      <c r="BD320" s="91"/>
      <c r="BE320" s="175"/>
      <c r="BF320" s="91"/>
      <c r="BG320" s="91"/>
      <c r="BH320" s="91"/>
      <c r="BI320" s="91"/>
      <c r="BJ320" s="175"/>
      <c r="BK320" s="91"/>
      <c r="BL320" s="91"/>
      <c r="BM320" s="91"/>
      <c r="BN320" s="91"/>
      <c r="BO320" s="175"/>
      <c r="BP320" s="91"/>
      <c r="BQ320" s="91"/>
      <c r="BR320" s="91"/>
      <c r="BS320" s="91"/>
      <c r="BT320" s="175"/>
      <c r="BU320" s="91"/>
      <c r="BV320" s="91"/>
      <c r="BW320" s="91"/>
      <c r="BX320" s="91"/>
      <c r="BY320" s="175"/>
      <c r="BZ320" s="91"/>
      <c r="CA320" s="91"/>
      <c r="CB320" s="91"/>
      <c r="CC320" s="175"/>
      <c r="CD320" s="175"/>
      <c r="CE320" s="175"/>
      <c r="CF320" s="175"/>
      <c r="CG320" s="175"/>
      <c r="CH320" s="91">
        <f t="shared" si="213"/>
        <v>129999999.99776001</v>
      </c>
      <c r="CI320" s="175">
        <f>6245295.25+22851956+902.41776-12000000+100000000+30000000-17098153.67</f>
        <v>129999999.99776001</v>
      </c>
      <c r="CJ320" s="91"/>
      <c r="CK320" s="91"/>
      <c r="CL320" s="91"/>
      <c r="CM320" s="91"/>
      <c r="CN320" s="91"/>
      <c r="CO320" s="91"/>
      <c r="CP320" s="91"/>
      <c r="CQ320" s="91"/>
      <c r="CR320" s="175"/>
      <c r="CS320" s="91">
        <f t="shared" si="214"/>
        <v>436933533.39999992</v>
      </c>
      <c r="CT320" s="175">
        <f>15831378.8+20000000+869088+516933533.4-80000000-36700466.8</f>
        <v>436933533.39999992</v>
      </c>
      <c r="CU320" s="91"/>
      <c r="CV320" s="91"/>
      <c r="CW320" s="91"/>
      <c r="CX320" s="91"/>
      <c r="CY320" s="91"/>
      <c r="CZ320" s="91"/>
      <c r="DA320" s="91"/>
      <c r="DB320" s="91"/>
      <c r="DC320" s="175"/>
      <c r="DD320" s="91">
        <f t="shared" si="215"/>
        <v>434247000</v>
      </c>
      <c r="DE320" s="175">
        <f>433118500-115000000-156201500+504247000-70000000-161917000</f>
        <v>434247000</v>
      </c>
      <c r="DF320" s="91"/>
      <c r="DG320" s="91"/>
      <c r="DH320" s="91"/>
      <c r="DI320" s="91"/>
      <c r="DJ320" s="91"/>
      <c r="DK320" s="91"/>
      <c r="DL320" s="144"/>
      <c r="DM320" s="144"/>
      <c r="DN320" s="176"/>
      <c r="DO320" s="93">
        <f t="shared" si="216"/>
        <v>1258977169.3977599</v>
      </c>
    </row>
    <row r="321" spans="1:119" s="225" customFormat="1" ht="173.25" customHeight="1" x14ac:dyDescent="0.2">
      <c r="A321" s="64">
        <v>4</v>
      </c>
      <c r="B321" s="256" t="s">
        <v>6</v>
      </c>
      <c r="C321" s="141" t="s">
        <v>860</v>
      </c>
      <c r="D321" s="141" t="s">
        <v>219</v>
      </c>
      <c r="E321" s="125">
        <v>0.19600000000000001</v>
      </c>
      <c r="F321" s="13">
        <v>2019</v>
      </c>
      <c r="G321" s="55" t="s">
        <v>1293</v>
      </c>
      <c r="H321" s="118">
        <v>21</v>
      </c>
      <c r="I321" s="13">
        <v>45</v>
      </c>
      <c r="J321" s="13" t="s">
        <v>1294</v>
      </c>
      <c r="K321" s="50">
        <v>16</v>
      </c>
      <c r="L321" s="13" t="s">
        <v>398</v>
      </c>
      <c r="M321" s="244">
        <v>42</v>
      </c>
      <c r="N321" s="247">
        <v>4502</v>
      </c>
      <c r="O321" s="245" t="s">
        <v>1658</v>
      </c>
      <c r="P321" s="120" t="s">
        <v>1543</v>
      </c>
      <c r="Q321" s="48" t="s">
        <v>1544</v>
      </c>
      <c r="R321" s="48" t="s">
        <v>1544</v>
      </c>
      <c r="S321" s="59" t="s">
        <v>88</v>
      </c>
      <c r="T321" s="120" t="s">
        <v>1545</v>
      </c>
      <c r="U321" s="141" t="s">
        <v>77</v>
      </c>
      <c r="V321" s="48">
        <v>450200108</v>
      </c>
      <c r="W321" s="87" t="s">
        <v>1546</v>
      </c>
      <c r="X321" s="13" t="s">
        <v>9</v>
      </c>
      <c r="Y321" s="177">
        <v>4</v>
      </c>
      <c r="Z321" s="13">
        <v>1</v>
      </c>
      <c r="AA321" s="13">
        <v>0</v>
      </c>
      <c r="AB321" s="13">
        <v>1</v>
      </c>
      <c r="AC321" s="13">
        <v>1</v>
      </c>
      <c r="AD321" s="13">
        <v>1</v>
      </c>
      <c r="AE321" s="89">
        <f t="shared" si="212"/>
        <v>15000000</v>
      </c>
      <c r="AF321" s="89">
        <f t="shared" si="212"/>
        <v>15000000</v>
      </c>
      <c r="AG321" s="89">
        <f t="shared" si="212"/>
        <v>0</v>
      </c>
      <c r="AH321" s="89">
        <f t="shared" si="212"/>
        <v>0</v>
      </c>
      <c r="AI321" s="89">
        <f t="shared" si="212"/>
        <v>0</v>
      </c>
      <c r="AJ321" s="143">
        <v>15000000</v>
      </c>
      <c r="AK321" s="143">
        <v>15000000</v>
      </c>
      <c r="AL321" s="143"/>
      <c r="AM321" s="143"/>
      <c r="AN321" s="143"/>
      <c r="AO321" s="175"/>
      <c r="AP321" s="143"/>
      <c r="AQ321" s="175"/>
      <c r="AR321" s="175"/>
      <c r="AS321" s="175"/>
      <c r="AT321" s="175"/>
      <c r="AU321" s="143"/>
      <c r="AV321" s="175"/>
      <c r="AW321" s="175"/>
      <c r="AX321" s="175"/>
      <c r="AY321" s="175"/>
      <c r="AZ321" s="143"/>
      <c r="BA321" s="175"/>
      <c r="BB321" s="175"/>
      <c r="BC321" s="175"/>
      <c r="BD321" s="175"/>
      <c r="BE321" s="143"/>
      <c r="BF321" s="175"/>
      <c r="BG321" s="175"/>
      <c r="BH321" s="175"/>
      <c r="BI321" s="175"/>
      <c r="BJ321" s="143"/>
      <c r="BK321" s="175"/>
      <c r="BL321" s="175"/>
      <c r="BM321" s="175"/>
      <c r="BN321" s="175"/>
      <c r="BO321" s="143"/>
      <c r="BP321" s="175"/>
      <c r="BQ321" s="175"/>
      <c r="BR321" s="175"/>
      <c r="BS321" s="175"/>
      <c r="BT321" s="143"/>
      <c r="BU321" s="175"/>
      <c r="BV321" s="175"/>
      <c r="BW321" s="175"/>
      <c r="BX321" s="175"/>
      <c r="BY321" s="143"/>
      <c r="BZ321" s="175"/>
      <c r="CA321" s="175"/>
      <c r="CB321" s="175"/>
      <c r="CC321" s="175"/>
      <c r="CD321" s="143"/>
      <c r="CE321" s="175"/>
      <c r="CF321" s="175"/>
      <c r="CG321" s="175"/>
      <c r="CH321" s="91">
        <f t="shared" si="213"/>
        <v>17098153.670000002</v>
      </c>
      <c r="CI321" s="143">
        <v>17098153.670000002</v>
      </c>
      <c r="CJ321" s="175"/>
      <c r="CK321" s="175"/>
      <c r="CL321" s="175"/>
      <c r="CM321" s="175"/>
      <c r="CN321" s="175"/>
      <c r="CO321" s="175"/>
      <c r="CP321" s="175"/>
      <c r="CQ321" s="175"/>
      <c r="CR321" s="175"/>
      <c r="CS321" s="91">
        <f t="shared" si="214"/>
        <v>36700466.799999997</v>
      </c>
      <c r="CT321" s="143">
        <v>36700466.799999997</v>
      </c>
      <c r="CU321" s="175"/>
      <c r="CV321" s="175"/>
      <c r="CW321" s="175"/>
      <c r="CX321" s="175"/>
      <c r="CY321" s="175"/>
      <c r="CZ321" s="175"/>
      <c r="DA321" s="175"/>
      <c r="DB321" s="175"/>
      <c r="DC321" s="175"/>
      <c r="DD321" s="91">
        <f t="shared" si="215"/>
        <v>161917000</v>
      </c>
      <c r="DE321" s="143">
        <v>161917000</v>
      </c>
      <c r="DF321" s="175"/>
      <c r="DG321" s="175"/>
      <c r="DH321" s="175"/>
      <c r="DI321" s="175"/>
      <c r="DJ321" s="175"/>
      <c r="DK321" s="175"/>
      <c r="DL321" s="175"/>
      <c r="DM321" s="175"/>
      <c r="DN321" s="178"/>
      <c r="DO321" s="93">
        <f t="shared" si="216"/>
        <v>230715620.47</v>
      </c>
    </row>
    <row r="322" spans="1:119" s="225" customFormat="1" ht="157.5" customHeight="1" x14ac:dyDescent="0.2">
      <c r="A322" s="64">
        <v>4</v>
      </c>
      <c r="B322" s="256" t="s">
        <v>6</v>
      </c>
      <c r="C322" s="59" t="s">
        <v>212</v>
      </c>
      <c r="D322" s="59" t="s">
        <v>206</v>
      </c>
      <c r="E322" s="55" t="s">
        <v>1241</v>
      </c>
      <c r="F322" s="13" t="s">
        <v>1242</v>
      </c>
      <c r="G322" s="59" t="s">
        <v>1243</v>
      </c>
      <c r="H322" s="55" t="s">
        <v>1244</v>
      </c>
      <c r="I322" s="13">
        <v>45</v>
      </c>
      <c r="J322" s="13" t="s">
        <v>1294</v>
      </c>
      <c r="K322" s="50">
        <v>14</v>
      </c>
      <c r="L322" s="13" t="s">
        <v>1084</v>
      </c>
      <c r="M322" s="244">
        <v>38</v>
      </c>
      <c r="N322" s="247">
        <v>4502</v>
      </c>
      <c r="O322" s="245" t="s">
        <v>1658</v>
      </c>
      <c r="P322" s="48" t="s">
        <v>1245</v>
      </c>
      <c r="Q322" s="13" t="s">
        <v>77</v>
      </c>
      <c r="R322" s="13">
        <v>4502038</v>
      </c>
      <c r="S322" s="59" t="s">
        <v>1687</v>
      </c>
      <c r="T322" s="48" t="s">
        <v>1246</v>
      </c>
      <c r="U322" s="13" t="s">
        <v>77</v>
      </c>
      <c r="V322" s="13">
        <v>450203800</v>
      </c>
      <c r="W322" s="87" t="s">
        <v>1688</v>
      </c>
      <c r="X322" s="88" t="s">
        <v>8</v>
      </c>
      <c r="Y322" s="13">
        <v>1</v>
      </c>
      <c r="Z322" s="13">
        <v>1</v>
      </c>
      <c r="AA322" s="13">
        <v>1</v>
      </c>
      <c r="AB322" s="13">
        <v>1</v>
      </c>
      <c r="AC322" s="13">
        <v>1</v>
      </c>
      <c r="AD322" s="13">
        <v>1</v>
      </c>
      <c r="AE322" s="89">
        <f t="shared" ref="AE322:AI325" si="217">AJ322+AO322+AT322+AY322+BD322+BI322+BN322+BS322+BX322+CC322</f>
        <v>170000000</v>
      </c>
      <c r="AF322" s="89">
        <f t="shared" si="217"/>
        <v>83980000</v>
      </c>
      <c r="AG322" s="89">
        <f t="shared" si="217"/>
        <v>65577446</v>
      </c>
      <c r="AH322" s="89">
        <f t="shared" si="217"/>
        <v>65577446</v>
      </c>
      <c r="AI322" s="89">
        <f t="shared" si="217"/>
        <v>0</v>
      </c>
      <c r="AJ322" s="91">
        <v>170000000</v>
      </c>
      <c r="AK322" s="91">
        <v>83980000</v>
      </c>
      <c r="AL322" s="91">
        <v>65577446</v>
      </c>
      <c r="AM322" s="91">
        <v>65577446</v>
      </c>
      <c r="AN322" s="91"/>
      <c r="AO322" s="91"/>
      <c r="AP322" s="91"/>
      <c r="AQ322" s="91"/>
      <c r="AR322" s="91"/>
      <c r="AS322" s="91"/>
      <c r="AT322" s="91"/>
      <c r="AU322" s="91"/>
      <c r="AV322" s="91"/>
      <c r="AW322" s="91"/>
      <c r="AX322" s="91"/>
      <c r="AY322" s="91"/>
      <c r="AZ322" s="91"/>
      <c r="BA322" s="91"/>
      <c r="BB322" s="91"/>
      <c r="BC322" s="91"/>
      <c r="BD322" s="91"/>
      <c r="BE322" s="91"/>
      <c r="BF322" s="91"/>
      <c r="BG322" s="91"/>
      <c r="BH322" s="91"/>
      <c r="BI322" s="91"/>
      <c r="BJ322" s="91"/>
      <c r="BK322" s="91"/>
      <c r="BL322" s="91"/>
      <c r="BM322" s="91"/>
      <c r="BN322" s="91"/>
      <c r="BO322" s="91"/>
      <c r="BP322" s="91"/>
      <c r="BQ322" s="91"/>
      <c r="BR322" s="91"/>
      <c r="BS322" s="91"/>
      <c r="BT322" s="91"/>
      <c r="BU322" s="91"/>
      <c r="BV322" s="91"/>
      <c r="BW322" s="91"/>
      <c r="BX322" s="91"/>
      <c r="BY322" s="91"/>
      <c r="BZ322" s="91"/>
      <c r="CA322" s="91"/>
      <c r="CB322" s="91"/>
      <c r="CC322" s="91"/>
      <c r="CD322" s="91"/>
      <c r="CE322" s="91"/>
      <c r="CF322" s="91"/>
      <c r="CG322" s="91"/>
      <c r="CH322" s="91">
        <f>CI322+CJ322+CK322+CL322+CM322+CN322+CO322+CP322+CQ322+CR322</f>
        <v>95000000</v>
      </c>
      <c r="CI322" s="91">
        <v>95000000</v>
      </c>
      <c r="CJ322" s="91"/>
      <c r="CK322" s="91"/>
      <c r="CL322" s="91"/>
      <c r="CM322" s="91"/>
      <c r="CN322" s="91"/>
      <c r="CO322" s="91"/>
      <c r="CP322" s="91"/>
      <c r="CQ322" s="91"/>
      <c r="CR322" s="91"/>
      <c r="CS322" s="91">
        <f>CT322+CU322+CV322+CW322+CX322+CY322+CZ322+DA322+DB322+DC322</f>
        <v>195000000</v>
      </c>
      <c r="CT322" s="91">
        <v>195000000</v>
      </c>
      <c r="CU322" s="91"/>
      <c r="CV322" s="91"/>
      <c r="CW322" s="91"/>
      <c r="CX322" s="91"/>
      <c r="CY322" s="91"/>
      <c r="CZ322" s="91"/>
      <c r="DA322" s="91"/>
      <c r="DB322" s="91"/>
      <c r="DC322" s="91"/>
      <c r="DD322" s="91">
        <f>DE322+DF322+DG322+DH322+DI322+DJ322+DK322+DL322+DM322+DN322</f>
        <v>215000000</v>
      </c>
      <c r="DE322" s="91">
        <v>215000000</v>
      </c>
      <c r="DF322" s="91"/>
      <c r="DG322" s="91"/>
      <c r="DH322" s="91"/>
      <c r="DI322" s="91"/>
      <c r="DJ322" s="91"/>
      <c r="DK322" s="91"/>
      <c r="DL322" s="91"/>
      <c r="DM322" s="91"/>
      <c r="DN322" s="92"/>
      <c r="DO322" s="93">
        <f>AE322+CH322+CS322+DD322</f>
        <v>675000000</v>
      </c>
    </row>
    <row r="323" spans="1:119" s="225" customFormat="1" ht="157.5" customHeight="1" x14ac:dyDescent="0.2">
      <c r="A323" s="64">
        <v>4</v>
      </c>
      <c r="B323" s="256" t="s">
        <v>6</v>
      </c>
      <c r="C323" s="59" t="s">
        <v>212</v>
      </c>
      <c r="D323" s="59" t="s">
        <v>206</v>
      </c>
      <c r="E323" s="55" t="s">
        <v>1241</v>
      </c>
      <c r="F323" s="13" t="s">
        <v>1242</v>
      </c>
      <c r="G323" s="59" t="s">
        <v>1243</v>
      </c>
      <c r="H323" s="55" t="s">
        <v>1244</v>
      </c>
      <c r="I323" s="13">
        <v>45</v>
      </c>
      <c r="J323" s="13" t="s">
        <v>1294</v>
      </c>
      <c r="K323" s="50">
        <v>14</v>
      </c>
      <c r="L323" s="13" t="s">
        <v>1084</v>
      </c>
      <c r="M323" s="244">
        <v>38</v>
      </c>
      <c r="N323" s="247">
        <v>4502</v>
      </c>
      <c r="O323" s="245" t="s">
        <v>1658</v>
      </c>
      <c r="P323" s="48" t="s">
        <v>1245</v>
      </c>
      <c r="Q323" s="13" t="s">
        <v>77</v>
      </c>
      <c r="R323" s="13">
        <v>4502038</v>
      </c>
      <c r="S323" s="59" t="s">
        <v>1689</v>
      </c>
      <c r="T323" s="48" t="s">
        <v>1252</v>
      </c>
      <c r="U323" s="13" t="s">
        <v>77</v>
      </c>
      <c r="V323" s="13">
        <v>450203800</v>
      </c>
      <c r="W323" s="87" t="s">
        <v>1690</v>
      </c>
      <c r="X323" s="88" t="s">
        <v>8</v>
      </c>
      <c r="Y323" s="13">
        <v>1</v>
      </c>
      <c r="Z323" s="13">
        <v>1</v>
      </c>
      <c r="AA323" s="13">
        <v>0.9</v>
      </c>
      <c r="AB323" s="13">
        <v>1</v>
      </c>
      <c r="AC323" s="13">
        <v>1</v>
      </c>
      <c r="AD323" s="13">
        <v>1</v>
      </c>
      <c r="AE323" s="89">
        <f t="shared" si="217"/>
        <v>140000000</v>
      </c>
      <c r="AF323" s="89">
        <f>AK323+AP323+AU323+AZ323+BE323+BJ323+BO323+BT323+BY323+CD323</f>
        <v>79725000</v>
      </c>
      <c r="AG323" s="89">
        <f>AL323+AQ323+AV323+BA323+BF323+BK323+BP323+BU323+BZ323+CE323</f>
        <v>65314249</v>
      </c>
      <c r="AH323" s="89">
        <f>AM323+AR323+AW323+BB323+BG323+BL323+BQ323+BV323+CA323+CF323</f>
        <v>65314249</v>
      </c>
      <c r="AI323" s="89">
        <f t="shared" si="217"/>
        <v>0</v>
      </c>
      <c r="AJ323" s="91">
        <v>140000000</v>
      </c>
      <c r="AK323" s="91">
        <v>79725000</v>
      </c>
      <c r="AL323" s="91">
        <v>65314249</v>
      </c>
      <c r="AM323" s="91">
        <v>65314249</v>
      </c>
      <c r="AN323" s="91"/>
      <c r="AO323" s="91"/>
      <c r="AP323" s="91"/>
      <c r="AQ323" s="91"/>
      <c r="AR323" s="91"/>
      <c r="AS323" s="91"/>
      <c r="AT323" s="91"/>
      <c r="AU323" s="91"/>
      <c r="AV323" s="91"/>
      <c r="AW323" s="91"/>
      <c r="AX323" s="91"/>
      <c r="AY323" s="91"/>
      <c r="AZ323" s="91"/>
      <c r="BA323" s="91"/>
      <c r="BB323" s="91"/>
      <c r="BC323" s="91"/>
      <c r="BD323" s="91"/>
      <c r="BE323" s="91"/>
      <c r="BF323" s="91"/>
      <c r="BG323" s="91"/>
      <c r="BH323" s="91"/>
      <c r="BI323" s="91"/>
      <c r="BJ323" s="91"/>
      <c r="BK323" s="91"/>
      <c r="BL323" s="91"/>
      <c r="BM323" s="91"/>
      <c r="BN323" s="91"/>
      <c r="BO323" s="91"/>
      <c r="BP323" s="91"/>
      <c r="BQ323" s="91"/>
      <c r="BR323" s="91"/>
      <c r="BS323" s="91"/>
      <c r="BT323" s="91"/>
      <c r="BU323" s="91"/>
      <c r="BV323" s="91"/>
      <c r="BW323" s="91"/>
      <c r="BX323" s="91"/>
      <c r="BY323" s="91"/>
      <c r="BZ323" s="91"/>
      <c r="CA323" s="91"/>
      <c r="CB323" s="91"/>
      <c r="CC323" s="91"/>
      <c r="CD323" s="91"/>
      <c r="CE323" s="91"/>
      <c r="CF323" s="91"/>
      <c r="CG323" s="91"/>
      <c r="CH323" s="91">
        <f>CI323+CJ323+CK323+CL323+CM323+CN323+CO323+CP323+CQ323+CR323</f>
        <v>77000000</v>
      </c>
      <c r="CI323" s="91">
        <v>77000000</v>
      </c>
      <c r="CJ323" s="91"/>
      <c r="CK323" s="91"/>
      <c r="CL323" s="91"/>
      <c r="CM323" s="91"/>
      <c r="CN323" s="91"/>
      <c r="CO323" s="91"/>
      <c r="CP323" s="91"/>
      <c r="CQ323" s="91"/>
      <c r="CR323" s="91"/>
      <c r="CS323" s="91">
        <f>CT323+CU323+CV323+CW323+CX323+CY323+CZ323+DA323+DB323+DC323</f>
        <v>157000000</v>
      </c>
      <c r="CT323" s="91">
        <f>157000000</f>
        <v>157000000</v>
      </c>
      <c r="CU323" s="91"/>
      <c r="CV323" s="91"/>
      <c r="CW323" s="91"/>
      <c r="CX323" s="91"/>
      <c r="CY323" s="91"/>
      <c r="CZ323" s="91"/>
      <c r="DA323" s="91"/>
      <c r="DB323" s="91"/>
      <c r="DC323" s="91"/>
      <c r="DD323" s="91">
        <f>DE323+DF323+DG323+DH323+DI323+DJ323+DK323+DL323+DM323+DN323</f>
        <v>195256200</v>
      </c>
      <c r="DE323" s="91">
        <f>195256200</f>
        <v>195256200</v>
      </c>
      <c r="DF323" s="91"/>
      <c r="DG323" s="91"/>
      <c r="DH323" s="91"/>
      <c r="DI323" s="91"/>
      <c r="DJ323" s="91"/>
      <c r="DK323" s="91"/>
      <c r="DL323" s="91"/>
      <c r="DM323" s="91"/>
      <c r="DN323" s="92"/>
      <c r="DO323" s="93">
        <f>AE323+CH323+CS323+DD323</f>
        <v>569256200</v>
      </c>
    </row>
    <row r="324" spans="1:119" s="225" customFormat="1" ht="94.5" customHeight="1" x14ac:dyDescent="0.2">
      <c r="A324" s="64">
        <v>4</v>
      </c>
      <c r="B324" s="256" t="s">
        <v>6</v>
      </c>
      <c r="C324" s="59" t="s">
        <v>212</v>
      </c>
      <c r="D324" s="59" t="s">
        <v>1292</v>
      </c>
      <c r="E324" s="125">
        <v>0.19600000000000001</v>
      </c>
      <c r="F324" s="13">
        <v>2019</v>
      </c>
      <c r="G324" s="59" t="s">
        <v>1293</v>
      </c>
      <c r="H324" s="151">
        <v>0.21</v>
      </c>
      <c r="I324" s="13">
        <v>45</v>
      </c>
      <c r="J324" s="13" t="s">
        <v>1294</v>
      </c>
      <c r="K324" s="50">
        <v>16</v>
      </c>
      <c r="L324" s="13" t="s">
        <v>398</v>
      </c>
      <c r="M324" s="244">
        <v>41</v>
      </c>
      <c r="N324" s="247">
        <v>4502</v>
      </c>
      <c r="O324" s="245" t="s">
        <v>1658</v>
      </c>
      <c r="P324" s="48" t="s">
        <v>1295</v>
      </c>
      <c r="Q324" s="48">
        <v>4501024</v>
      </c>
      <c r="R324" s="48">
        <v>4502024</v>
      </c>
      <c r="S324" s="59" t="s">
        <v>82</v>
      </c>
      <c r="T324" s="48" t="s">
        <v>1296</v>
      </c>
      <c r="U324" s="48" t="s">
        <v>77</v>
      </c>
      <c r="V324" s="48">
        <v>450202401</v>
      </c>
      <c r="W324" s="87" t="s">
        <v>1297</v>
      </c>
      <c r="X324" s="88" t="s">
        <v>8</v>
      </c>
      <c r="Y324" s="13">
        <v>1</v>
      </c>
      <c r="Z324" s="13">
        <v>1</v>
      </c>
      <c r="AA324" s="13">
        <v>0</v>
      </c>
      <c r="AB324" s="13">
        <v>1</v>
      </c>
      <c r="AC324" s="13">
        <v>1</v>
      </c>
      <c r="AD324" s="13">
        <v>1</v>
      </c>
      <c r="AE324" s="89">
        <f t="shared" si="217"/>
        <v>40000000</v>
      </c>
      <c r="AF324" s="89">
        <f t="shared" si="217"/>
        <v>40000000</v>
      </c>
      <c r="AG324" s="89">
        <f t="shared" si="217"/>
        <v>0</v>
      </c>
      <c r="AH324" s="89">
        <f t="shared" si="217"/>
        <v>0</v>
      </c>
      <c r="AI324" s="89">
        <f t="shared" si="217"/>
        <v>0</v>
      </c>
      <c r="AJ324" s="91">
        <v>40000000</v>
      </c>
      <c r="AK324" s="91">
        <v>40000000</v>
      </c>
      <c r="AL324" s="91"/>
      <c r="AM324" s="91"/>
      <c r="AN324" s="91"/>
      <c r="AO324" s="91"/>
      <c r="AP324" s="91"/>
      <c r="AQ324" s="91"/>
      <c r="AR324" s="91"/>
      <c r="AS324" s="91"/>
      <c r="AT324" s="91"/>
      <c r="AU324" s="91"/>
      <c r="AV324" s="91"/>
      <c r="AW324" s="91"/>
      <c r="AX324" s="91"/>
      <c r="AY324" s="91"/>
      <c r="AZ324" s="91"/>
      <c r="BA324" s="91"/>
      <c r="BB324" s="91"/>
      <c r="BC324" s="91"/>
      <c r="BD324" s="91"/>
      <c r="BE324" s="91"/>
      <c r="BF324" s="91"/>
      <c r="BG324" s="91"/>
      <c r="BH324" s="91"/>
      <c r="BI324" s="91"/>
      <c r="BJ324" s="91"/>
      <c r="BK324" s="91"/>
      <c r="BL324" s="91"/>
      <c r="BM324" s="91"/>
      <c r="BN324" s="91"/>
      <c r="BO324" s="91"/>
      <c r="BP324" s="91"/>
      <c r="BQ324" s="91"/>
      <c r="BR324" s="91"/>
      <c r="BS324" s="91"/>
      <c r="BT324" s="91"/>
      <c r="BU324" s="91"/>
      <c r="BV324" s="91"/>
      <c r="BW324" s="91"/>
      <c r="BX324" s="91"/>
      <c r="BY324" s="91"/>
      <c r="BZ324" s="91"/>
      <c r="CA324" s="91"/>
      <c r="CB324" s="91"/>
      <c r="CC324" s="91"/>
      <c r="CD324" s="91"/>
      <c r="CE324" s="91"/>
      <c r="CF324" s="91"/>
      <c r="CG324" s="91"/>
      <c r="CH324" s="91">
        <f>CI324+CJ324+CK324+CL324+CM324+CN324+CO324+CP324+CQ324+CR324</f>
        <v>33000000</v>
      </c>
      <c r="CI324" s="91">
        <v>33000000</v>
      </c>
      <c r="CJ324" s="91"/>
      <c r="CK324" s="91"/>
      <c r="CL324" s="91"/>
      <c r="CM324" s="91"/>
      <c r="CN324" s="91"/>
      <c r="CO324" s="91"/>
      <c r="CP324" s="91"/>
      <c r="CQ324" s="91"/>
      <c r="CR324" s="91"/>
      <c r="CS324" s="91">
        <f>CT324+CU324+CV324+CW324+CX324+CY324+CZ324+DA324+DB324+DC324</f>
        <v>3548000000</v>
      </c>
      <c r="CT324" s="91">
        <v>48000000</v>
      </c>
      <c r="CU324" s="91"/>
      <c r="CV324" s="91"/>
      <c r="CW324" s="91"/>
      <c r="CX324" s="91"/>
      <c r="CY324" s="91"/>
      <c r="CZ324" s="91">
        <v>3500000000</v>
      </c>
      <c r="DA324" s="91"/>
      <c r="DB324" s="91"/>
      <c r="DC324" s="91"/>
      <c r="DD324" s="91">
        <f>DE324+DF324+DG324+DH324+DI324+DJ324+DK324+DL324+DM324+DN324</f>
        <v>230000000</v>
      </c>
      <c r="DE324" s="91">
        <v>230000000</v>
      </c>
      <c r="DF324" s="91"/>
      <c r="DG324" s="91"/>
      <c r="DH324" s="91"/>
      <c r="DI324" s="91"/>
      <c r="DJ324" s="91"/>
      <c r="DK324" s="91"/>
      <c r="DL324" s="91"/>
      <c r="DM324" s="91"/>
      <c r="DN324" s="92"/>
      <c r="DO324" s="93">
        <f>AE324+CH324+CS324+DD324</f>
        <v>3851000000</v>
      </c>
    </row>
    <row r="325" spans="1:119" s="225" customFormat="1" ht="94.5" customHeight="1" x14ac:dyDescent="0.2">
      <c r="A325" s="64">
        <v>4</v>
      </c>
      <c r="B325" s="256" t="s">
        <v>6</v>
      </c>
      <c r="C325" s="59" t="s">
        <v>212</v>
      </c>
      <c r="D325" s="179" t="s">
        <v>1298</v>
      </c>
      <c r="E325" s="55">
        <v>81.5</v>
      </c>
      <c r="F325" s="13">
        <v>2018</v>
      </c>
      <c r="G325" s="59" t="s">
        <v>1299</v>
      </c>
      <c r="H325" s="55">
        <v>71.12</v>
      </c>
      <c r="I325" s="13">
        <v>45</v>
      </c>
      <c r="J325" s="13" t="s">
        <v>1294</v>
      </c>
      <c r="K325" s="50">
        <v>16</v>
      </c>
      <c r="L325" s="13" t="s">
        <v>398</v>
      </c>
      <c r="M325" s="244">
        <v>41</v>
      </c>
      <c r="N325" s="247">
        <v>4502</v>
      </c>
      <c r="O325" s="245" t="s">
        <v>1658</v>
      </c>
      <c r="P325" s="48" t="s">
        <v>1295</v>
      </c>
      <c r="Q325" s="48">
        <v>4501024</v>
      </c>
      <c r="R325" s="48">
        <v>4502024</v>
      </c>
      <c r="S325" s="59" t="s">
        <v>82</v>
      </c>
      <c r="T325" s="48" t="s">
        <v>1300</v>
      </c>
      <c r="U325" s="48" t="s">
        <v>77</v>
      </c>
      <c r="V325" s="48">
        <v>450202401</v>
      </c>
      <c r="W325" s="95" t="s">
        <v>1301</v>
      </c>
      <c r="X325" s="88" t="s">
        <v>8</v>
      </c>
      <c r="Y325" s="13">
        <v>1</v>
      </c>
      <c r="Z325" s="13">
        <v>1</v>
      </c>
      <c r="AA325" s="13">
        <v>0</v>
      </c>
      <c r="AB325" s="13">
        <v>1</v>
      </c>
      <c r="AC325" s="13">
        <v>1</v>
      </c>
      <c r="AD325" s="13">
        <v>1</v>
      </c>
      <c r="AE325" s="89">
        <f t="shared" si="217"/>
        <v>40000000</v>
      </c>
      <c r="AF325" s="89">
        <f t="shared" si="217"/>
        <v>40000000</v>
      </c>
      <c r="AG325" s="89">
        <f t="shared" si="217"/>
        <v>0</v>
      </c>
      <c r="AH325" s="89">
        <f t="shared" si="217"/>
        <v>0</v>
      </c>
      <c r="AI325" s="89">
        <f t="shared" si="217"/>
        <v>0</v>
      </c>
      <c r="AJ325" s="91">
        <v>40000000</v>
      </c>
      <c r="AK325" s="91">
        <v>40000000</v>
      </c>
      <c r="AL325" s="91"/>
      <c r="AM325" s="91"/>
      <c r="AN325" s="91"/>
      <c r="AO325" s="91"/>
      <c r="AP325" s="91"/>
      <c r="AQ325" s="91"/>
      <c r="AR325" s="91"/>
      <c r="AS325" s="91"/>
      <c r="AT325" s="91"/>
      <c r="AU325" s="91"/>
      <c r="AV325" s="91"/>
      <c r="AW325" s="91"/>
      <c r="AX325" s="91"/>
      <c r="AY325" s="91"/>
      <c r="AZ325" s="91"/>
      <c r="BA325" s="91"/>
      <c r="BB325" s="91"/>
      <c r="BC325" s="91"/>
      <c r="BD325" s="91"/>
      <c r="BE325" s="91"/>
      <c r="BF325" s="91"/>
      <c r="BG325" s="91"/>
      <c r="BH325" s="91"/>
      <c r="BI325" s="91"/>
      <c r="BJ325" s="91"/>
      <c r="BK325" s="91"/>
      <c r="BL325" s="91"/>
      <c r="BM325" s="91"/>
      <c r="BN325" s="91"/>
      <c r="BO325" s="91"/>
      <c r="BP325" s="91"/>
      <c r="BQ325" s="91"/>
      <c r="BR325" s="91"/>
      <c r="BS325" s="91"/>
      <c r="BT325" s="91"/>
      <c r="BU325" s="91"/>
      <c r="BV325" s="91"/>
      <c r="BW325" s="91"/>
      <c r="BX325" s="91"/>
      <c r="BY325" s="91"/>
      <c r="BZ325" s="91"/>
      <c r="CA325" s="91"/>
      <c r="CB325" s="91"/>
      <c r="CC325" s="91"/>
      <c r="CD325" s="91"/>
      <c r="CE325" s="91"/>
      <c r="CF325" s="91"/>
      <c r="CG325" s="91"/>
      <c r="CH325" s="91">
        <f>CI325+CJ325+CK325+CL325+CM325+CN325+CO325+CP325+CQ325+CR325</f>
        <v>33500000</v>
      </c>
      <c r="CI325" s="91">
        <v>33500000</v>
      </c>
      <c r="CJ325" s="91"/>
      <c r="CK325" s="91"/>
      <c r="CL325" s="91"/>
      <c r="CM325" s="91"/>
      <c r="CN325" s="91"/>
      <c r="CO325" s="91"/>
      <c r="CP325" s="91"/>
      <c r="CQ325" s="91"/>
      <c r="CR325" s="91"/>
      <c r="CS325" s="91">
        <f>CT325+CU325+CV325+CW325+CX325+CY325+CZ325+DA325+DB325+DC325</f>
        <v>3582288500</v>
      </c>
      <c r="CT325" s="91">
        <v>82288500</v>
      </c>
      <c r="CU325" s="91"/>
      <c r="CV325" s="91"/>
      <c r="CW325" s="91"/>
      <c r="CX325" s="91"/>
      <c r="CY325" s="91"/>
      <c r="CZ325" s="91">
        <v>3500000000</v>
      </c>
      <c r="DA325" s="91"/>
      <c r="DB325" s="91"/>
      <c r="DC325" s="91"/>
      <c r="DD325" s="91">
        <f>DE325+DF325+DG325+DH325+DI325+DJ325+DK325+DL325+DM325+DN325</f>
        <v>215000000</v>
      </c>
      <c r="DE325" s="91">
        <v>215000000</v>
      </c>
      <c r="DF325" s="91"/>
      <c r="DG325" s="91"/>
      <c r="DH325" s="91"/>
      <c r="DI325" s="91"/>
      <c r="DJ325" s="91"/>
      <c r="DK325" s="91"/>
      <c r="DL325" s="91"/>
      <c r="DM325" s="91"/>
      <c r="DN325" s="92"/>
      <c r="DO325" s="93">
        <f>AE325+CH325+CS325+DD325</f>
        <v>3870788500</v>
      </c>
    </row>
    <row r="326" spans="1:119" s="225" customFormat="1" ht="78.75" customHeight="1" x14ac:dyDescent="0.2">
      <c r="A326" s="64">
        <v>4</v>
      </c>
      <c r="B326" s="256" t="s">
        <v>6</v>
      </c>
      <c r="C326" s="150" t="s">
        <v>860</v>
      </c>
      <c r="D326" s="59" t="s">
        <v>4</v>
      </c>
      <c r="E326" s="125">
        <v>0.53720000000000001</v>
      </c>
      <c r="F326" s="13">
        <v>2019</v>
      </c>
      <c r="G326" s="55" t="s">
        <v>1310</v>
      </c>
      <c r="H326" s="55"/>
      <c r="I326" s="13">
        <v>45</v>
      </c>
      <c r="J326" s="13" t="s">
        <v>1294</v>
      </c>
      <c r="K326" s="50">
        <v>16</v>
      </c>
      <c r="L326" s="13" t="s">
        <v>398</v>
      </c>
      <c r="M326" s="246">
        <v>42</v>
      </c>
      <c r="N326" s="244">
        <v>4502</v>
      </c>
      <c r="O326" s="245" t="s">
        <v>1658</v>
      </c>
      <c r="P326" s="13" t="s">
        <v>1562</v>
      </c>
      <c r="Q326" s="13" t="s">
        <v>77</v>
      </c>
      <c r="R326" s="13">
        <v>4502001</v>
      </c>
      <c r="S326" s="59" t="s">
        <v>89</v>
      </c>
      <c r="T326" s="13" t="s">
        <v>1563</v>
      </c>
      <c r="U326" s="13" t="s">
        <v>77</v>
      </c>
      <c r="V326" s="13">
        <v>450200111</v>
      </c>
      <c r="W326" s="87" t="s">
        <v>1564</v>
      </c>
      <c r="X326" s="13" t="s">
        <v>8</v>
      </c>
      <c r="Y326" s="180">
        <v>1</v>
      </c>
      <c r="Z326" s="180">
        <v>1</v>
      </c>
      <c r="AA326" s="181">
        <v>0.8</v>
      </c>
      <c r="AB326" s="180">
        <v>1</v>
      </c>
      <c r="AC326" s="180">
        <v>1</v>
      </c>
      <c r="AD326" s="180">
        <v>1</v>
      </c>
      <c r="AE326" s="89">
        <f t="shared" si="212"/>
        <v>70000000</v>
      </c>
      <c r="AF326" s="89">
        <f t="shared" si="212"/>
        <v>35000000</v>
      </c>
      <c r="AG326" s="89">
        <f t="shared" si="212"/>
        <v>19653334</v>
      </c>
      <c r="AH326" s="89">
        <f t="shared" si="212"/>
        <v>19653334</v>
      </c>
      <c r="AI326" s="89">
        <f t="shared" si="212"/>
        <v>0</v>
      </c>
      <c r="AJ326" s="91">
        <v>70000000</v>
      </c>
      <c r="AK326" s="91">
        <v>35000000</v>
      </c>
      <c r="AL326" s="91">
        <v>19653334</v>
      </c>
      <c r="AM326" s="91">
        <v>19653334</v>
      </c>
      <c r="AN326" s="91"/>
      <c r="AO326" s="91"/>
      <c r="AP326" s="91"/>
      <c r="AQ326" s="91"/>
      <c r="AR326" s="91"/>
      <c r="AS326" s="91"/>
      <c r="AT326" s="91"/>
      <c r="AU326" s="91"/>
      <c r="AV326" s="91"/>
      <c r="AW326" s="91"/>
      <c r="AX326" s="91"/>
      <c r="AY326" s="91"/>
      <c r="AZ326" s="91"/>
      <c r="BA326" s="91"/>
      <c r="BB326" s="91"/>
      <c r="BC326" s="91"/>
      <c r="BD326" s="91"/>
      <c r="BE326" s="91"/>
      <c r="BF326" s="91"/>
      <c r="BG326" s="91"/>
      <c r="BH326" s="91"/>
      <c r="BI326" s="91"/>
      <c r="BJ326" s="91"/>
      <c r="BK326" s="91"/>
      <c r="BL326" s="91"/>
      <c r="BM326" s="91"/>
      <c r="BN326" s="91"/>
      <c r="BO326" s="91"/>
      <c r="BP326" s="91"/>
      <c r="BQ326" s="91"/>
      <c r="BR326" s="91"/>
      <c r="BS326" s="91"/>
      <c r="BT326" s="91"/>
      <c r="BU326" s="91"/>
      <c r="BV326" s="91"/>
      <c r="BW326" s="91"/>
      <c r="BX326" s="91"/>
      <c r="BY326" s="91"/>
      <c r="BZ326" s="91"/>
      <c r="CA326" s="91"/>
      <c r="CB326" s="91"/>
      <c r="CC326" s="91"/>
      <c r="CD326" s="91"/>
      <c r="CE326" s="91"/>
      <c r="CF326" s="91"/>
      <c r="CG326" s="91"/>
      <c r="CH326" s="91">
        <f t="shared" si="213"/>
        <v>73798560</v>
      </c>
      <c r="CI326" s="91">
        <f>10000000-10000000+3798560+70000000</f>
        <v>73798560</v>
      </c>
      <c r="CJ326" s="91"/>
      <c r="CK326" s="91"/>
      <c r="CL326" s="91"/>
      <c r="CM326" s="91"/>
      <c r="CN326" s="91"/>
      <c r="CO326" s="91"/>
      <c r="CP326" s="91"/>
      <c r="CQ326" s="91"/>
      <c r="CR326" s="91"/>
      <c r="CS326" s="91">
        <f t="shared" si="214"/>
        <v>80000000</v>
      </c>
      <c r="CT326" s="91">
        <v>80000000</v>
      </c>
      <c r="CU326" s="91"/>
      <c r="CV326" s="91"/>
      <c r="CW326" s="91"/>
      <c r="CX326" s="91"/>
      <c r="CY326" s="91"/>
      <c r="CZ326" s="91"/>
      <c r="DA326" s="91"/>
      <c r="DB326" s="91"/>
      <c r="DC326" s="91"/>
      <c r="DD326" s="91">
        <f t="shared" si="215"/>
        <v>70000000</v>
      </c>
      <c r="DE326" s="91">
        <v>70000000</v>
      </c>
      <c r="DF326" s="91"/>
      <c r="DG326" s="91"/>
      <c r="DH326" s="91"/>
      <c r="DI326" s="145"/>
      <c r="DJ326" s="130"/>
      <c r="DK326" s="130"/>
      <c r="DL326" s="130"/>
      <c r="DM326" s="130"/>
      <c r="DN326" s="182"/>
      <c r="DO326" s="93">
        <f t="shared" si="216"/>
        <v>293798560</v>
      </c>
    </row>
    <row r="327" spans="1:119" ht="29.25" customHeight="1" x14ac:dyDescent="0.2">
      <c r="A327" s="64"/>
      <c r="B327" s="255"/>
      <c r="C327" s="74"/>
      <c r="D327" s="74"/>
      <c r="E327" s="77"/>
      <c r="F327" s="74"/>
      <c r="G327" s="74"/>
      <c r="H327" s="77"/>
      <c r="I327" s="74"/>
      <c r="J327" s="74"/>
      <c r="K327" s="74"/>
      <c r="L327" s="74"/>
      <c r="M327" s="96">
        <v>45</v>
      </c>
      <c r="N327" s="96">
        <v>4599</v>
      </c>
      <c r="O327" s="97" t="s">
        <v>1657</v>
      </c>
      <c r="P327" s="96"/>
      <c r="Q327" s="98"/>
      <c r="R327" s="98"/>
      <c r="S327" s="98"/>
      <c r="T327" s="98"/>
      <c r="U327" s="98"/>
      <c r="V327" s="98"/>
      <c r="W327" s="83"/>
      <c r="X327" s="83"/>
      <c r="Y327" s="84"/>
      <c r="Z327" s="84"/>
      <c r="AA327" s="84"/>
      <c r="AB327" s="84"/>
      <c r="AC327" s="84"/>
      <c r="AD327" s="81"/>
      <c r="AE327" s="85">
        <f>SUM(AE328:AE347)</f>
        <v>4532328305.8800001</v>
      </c>
      <c r="AF327" s="85">
        <f t="shared" ref="AF327:CQ327" si="218">SUM(AF328:AF347)</f>
        <v>4455973164.5799999</v>
      </c>
      <c r="AG327" s="85">
        <f t="shared" si="218"/>
        <v>3342094067.3299999</v>
      </c>
      <c r="AH327" s="85">
        <f t="shared" si="218"/>
        <v>3262049053.3299999</v>
      </c>
      <c r="AI327" s="85">
        <f t="shared" si="218"/>
        <v>89564580</v>
      </c>
      <c r="AJ327" s="85">
        <f t="shared" si="218"/>
        <v>4032491657.8800001</v>
      </c>
      <c r="AK327" s="85">
        <f t="shared" si="218"/>
        <v>3956136516.5799999</v>
      </c>
      <c r="AL327" s="85">
        <f t="shared" si="218"/>
        <v>3078540374.3299999</v>
      </c>
      <c r="AM327" s="85">
        <f t="shared" si="218"/>
        <v>2998495360.3299999</v>
      </c>
      <c r="AN327" s="85">
        <f t="shared" si="218"/>
        <v>89564580</v>
      </c>
      <c r="AO327" s="85">
        <f t="shared" si="218"/>
        <v>250000000</v>
      </c>
      <c r="AP327" s="85">
        <f t="shared" si="218"/>
        <v>0</v>
      </c>
      <c r="AQ327" s="85">
        <f t="shared" si="218"/>
        <v>0</v>
      </c>
      <c r="AR327" s="85">
        <f t="shared" si="218"/>
        <v>0</v>
      </c>
      <c r="AS327" s="85">
        <f t="shared" si="218"/>
        <v>0</v>
      </c>
      <c r="AT327" s="85">
        <f t="shared" si="218"/>
        <v>0</v>
      </c>
      <c r="AU327" s="85">
        <f t="shared" si="218"/>
        <v>0</v>
      </c>
      <c r="AV327" s="85">
        <f t="shared" si="218"/>
        <v>0</v>
      </c>
      <c r="AW327" s="85">
        <f t="shared" si="218"/>
        <v>0</v>
      </c>
      <c r="AX327" s="85">
        <f t="shared" si="218"/>
        <v>0</v>
      </c>
      <c r="AY327" s="85">
        <f t="shared" si="218"/>
        <v>0</v>
      </c>
      <c r="AZ327" s="85">
        <f t="shared" si="218"/>
        <v>0</v>
      </c>
      <c r="BA327" s="85">
        <f t="shared" si="218"/>
        <v>0</v>
      </c>
      <c r="BB327" s="85">
        <f t="shared" si="218"/>
        <v>0</v>
      </c>
      <c r="BC327" s="85">
        <f t="shared" si="218"/>
        <v>0</v>
      </c>
      <c r="BD327" s="85">
        <f t="shared" si="218"/>
        <v>0</v>
      </c>
      <c r="BE327" s="85">
        <f t="shared" si="218"/>
        <v>0</v>
      </c>
      <c r="BF327" s="85">
        <f t="shared" si="218"/>
        <v>0</v>
      </c>
      <c r="BG327" s="85">
        <f t="shared" si="218"/>
        <v>0</v>
      </c>
      <c r="BH327" s="85">
        <f t="shared" si="218"/>
        <v>0</v>
      </c>
      <c r="BI327" s="85">
        <f t="shared" si="218"/>
        <v>0</v>
      </c>
      <c r="BJ327" s="85">
        <f t="shared" si="218"/>
        <v>0</v>
      </c>
      <c r="BK327" s="85">
        <f t="shared" si="218"/>
        <v>0</v>
      </c>
      <c r="BL327" s="85">
        <f t="shared" si="218"/>
        <v>0</v>
      </c>
      <c r="BM327" s="85">
        <f t="shared" si="218"/>
        <v>0</v>
      </c>
      <c r="BN327" s="85">
        <f t="shared" si="218"/>
        <v>0</v>
      </c>
      <c r="BO327" s="85">
        <f t="shared" si="218"/>
        <v>0</v>
      </c>
      <c r="BP327" s="85">
        <f t="shared" si="218"/>
        <v>0</v>
      </c>
      <c r="BQ327" s="85">
        <f t="shared" si="218"/>
        <v>0</v>
      </c>
      <c r="BR327" s="85">
        <f t="shared" si="218"/>
        <v>0</v>
      </c>
      <c r="BS327" s="85">
        <f t="shared" si="218"/>
        <v>0</v>
      </c>
      <c r="BT327" s="85">
        <f t="shared" si="218"/>
        <v>0</v>
      </c>
      <c r="BU327" s="85">
        <f t="shared" si="218"/>
        <v>0</v>
      </c>
      <c r="BV327" s="85">
        <f t="shared" si="218"/>
        <v>0</v>
      </c>
      <c r="BW327" s="85">
        <f t="shared" si="218"/>
        <v>0</v>
      </c>
      <c r="BX327" s="85">
        <f t="shared" si="218"/>
        <v>0</v>
      </c>
      <c r="BY327" s="85">
        <f t="shared" si="218"/>
        <v>0</v>
      </c>
      <c r="BZ327" s="85">
        <f t="shared" si="218"/>
        <v>0</v>
      </c>
      <c r="CA327" s="85">
        <f t="shared" si="218"/>
        <v>0</v>
      </c>
      <c r="CB327" s="85">
        <f t="shared" si="218"/>
        <v>0</v>
      </c>
      <c r="CC327" s="85">
        <f t="shared" si="218"/>
        <v>249836648</v>
      </c>
      <c r="CD327" s="85">
        <f t="shared" si="218"/>
        <v>499836648</v>
      </c>
      <c r="CE327" s="85">
        <f t="shared" si="218"/>
        <v>263553693</v>
      </c>
      <c r="CF327" s="85">
        <f t="shared" si="218"/>
        <v>263553693</v>
      </c>
      <c r="CG327" s="85">
        <f t="shared" si="218"/>
        <v>0</v>
      </c>
      <c r="CH327" s="85">
        <f t="shared" si="218"/>
        <v>2963298992.1929998</v>
      </c>
      <c r="CI327" s="85">
        <f t="shared" si="218"/>
        <v>2776875248.4330001</v>
      </c>
      <c r="CJ327" s="85">
        <f t="shared" si="218"/>
        <v>186423743.75999999</v>
      </c>
      <c r="CK327" s="85">
        <f t="shared" si="218"/>
        <v>0</v>
      </c>
      <c r="CL327" s="85">
        <f t="shared" si="218"/>
        <v>0</v>
      </c>
      <c r="CM327" s="85">
        <f t="shared" si="218"/>
        <v>0</v>
      </c>
      <c r="CN327" s="85">
        <f t="shared" si="218"/>
        <v>0</v>
      </c>
      <c r="CO327" s="85">
        <f t="shared" si="218"/>
        <v>0</v>
      </c>
      <c r="CP327" s="85">
        <f t="shared" si="218"/>
        <v>0</v>
      </c>
      <c r="CQ327" s="85">
        <f t="shared" si="218"/>
        <v>0</v>
      </c>
      <c r="CR327" s="85">
        <f t="shared" ref="CR327:DO327" si="219">SUM(CR328:CR347)</f>
        <v>0</v>
      </c>
      <c r="CS327" s="85">
        <f t="shared" si="219"/>
        <v>4225292726.2119999</v>
      </c>
      <c r="CT327" s="85">
        <f t="shared" si="219"/>
        <v>4009274213.302</v>
      </c>
      <c r="CU327" s="85">
        <f t="shared" si="219"/>
        <v>216018512.91</v>
      </c>
      <c r="CV327" s="85">
        <f t="shared" si="219"/>
        <v>0</v>
      </c>
      <c r="CW327" s="85">
        <f t="shared" si="219"/>
        <v>0</v>
      </c>
      <c r="CX327" s="85">
        <f t="shared" si="219"/>
        <v>0</v>
      </c>
      <c r="CY327" s="85">
        <f t="shared" si="219"/>
        <v>0</v>
      </c>
      <c r="CZ327" s="85">
        <f t="shared" si="219"/>
        <v>0</v>
      </c>
      <c r="DA327" s="85">
        <f t="shared" si="219"/>
        <v>0</v>
      </c>
      <c r="DB327" s="85">
        <f t="shared" si="219"/>
        <v>0</v>
      </c>
      <c r="DC327" s="85">
        <f t="shared" si="219"/>
        <v>0</v>
      </c>
      <c r="DD327" s="85">
        <f t="shared" si="219"/>
        <v>22413972773.196548</v>
      </c>
      <c r="DE327" s="85">
        <f t="shared" si="219"/>
        <v>5791749966.1409893</v>
      </c>
      <c r="DF327" s="85">
        <f t="shared" si="219"/>
        <v>247221187.055556</v>
      </c>
      <c r="DG327" s="85">
        <f t="shared" si="219"/>
        <v>0</v>
      </c>
      <c r="DH327" s="85">
        <f t="shared" si="219"/>
        <v>0</v>
      </c>
      <c r="DI327" s="85">
        <f t="shared" si="219"/>
        <v>0</v>
      </c>
      <c r="DJ327" s="85">
        <f t="shared" si="219"/>
        <v>0</v>
      </c>
      <c r="DK327" s="85">
        <f t="shared" si="219"/>
        <v>16375001620</v>
      </c>
      <c r="DL327" s="85">
        <f t="shared" si="219"/>
        <v>0</v>
      </c>
      <c r="DM327" s="85">
        <f t="shared" si="219"/>
        <v>0</v>
      </c>
      <c r="DN327" s="85">
        <f t="shared" si="219"/>
        <v>0</v>
      </c>
      <c r="DO327" s="85">
        <f t="shared" si="219"/>
        <v>34134892797.481552</v>
      </c>
    </row>
    <row r="328" spans="1:119" s="225" customFormat="1" ht="126" customHeight="1" x14ac:dyDescent="0.2">
      <c r="A328" s="64">
        <v>4</v>
      </c>
      <c r="B328" s="256" t="s">
        <v>6</v>
      </c>
      <c r="C328" s="59" t="s">
        <v>212</v>
      </c>
      <c r="D328" s="59" t="s">
        <v>211</v>
      </c>
      <c r="E328" s="55" t="s">
        <v>1235</v>
      </c>
      <c r="F328" s="13" t="s">
        <v>1236</v>
      </c>
      <c r="G328" s="59" t="s">
        <v>1237</v>
      </c>
      <c r="H328" s="55" t="s">
        <v>1238</v>
      </c>
      <c r="I328" s="13">
        <v>45</v>
      </c>
      <c r="J328" s="13" t="s">
        <v>1294</v>
      </c>
      <c r="K328" s="50">
        <v>14</v>
      </c>
      <c r="L328" s="13" t="s">
        <v>1084</v>
      </c>
      <c r="M328" s="244">
        <v>38</v>
      </c>
      <c r="N328" s="244">
        <v>4599</v>
      </c>
      <c r="O328" s="251" t="s">
        <v>1657</v>
      </c>
      <c r="P328" s="13" t="s">
        <v>1239</v>
      </c>
      <c r="Q328" s="13" t="s">
        <v>77</v>
      </c>
      <c r="R328" s="13">
        <v>4599019</v>
      </c>
      <c r="S328" s="59" t="s">
        <v>1692</v>
      </c>
      <c r="T328" s="13" t="s">
        <v>1240</v>
      </c>
      <c r="U328" s="13" t="s">
        <v>77</v>
      </c>
      <c r="V328" s="13">
        <v>459901900</v>
      </c>
      <c r="W328" s="87" t="s">
        <v>1693</v>
      </c>
      <c r="X328" s="88" t="s">
        <v>8</v>
      </c>
      <c r="Y328" s="13">
        <v>1</v>
      </c>
      <c r="Z328" s="13">
        <v>1</v>
      </c>
      <c r="AA328" s="13">
        <v>0.8</v>
      </c>
      <c r="AB328" s="13">
        <v>1</v>
      </c>
      <c r="AC328" s="13"/>
      <c r="AD328" s="13"/>
      <c r="AE328" s="89">
        <f t="shared" ref="AE328:AI330" si="220">AJ328+AO328+AT328+AY328+BD328+BI328+BN328+BS328+BX328+CC328</f>
        <v>188546842</v>
      </c>
      <c r="AF328" s="89">
        <f t="shared" si="220"/>
        <v>168796275</v>
      </c>
      <c r="AG328" s="89">
        <f t="shared" si="220"/>
        <v>59736100</v>
      </c>
      <c r="AH328" s="89">
        <f t="shared" si="220"/>
        <v>59736100</v>
      </c>
      <c r="AI328" s="89">
        <f t="shared" si="220"/>
        <v>0</v>
      </c>
      <c r="AJ328" s="91">
        <v>188546842</v>
      </c>
      <c r="AK328" s="91">
        <v>168796275</v>
      </c>
      <c r="AL328" s="91">
        <v>59736100</v>
      </c>
      <c r="AM328" s="91">
        <v>59736100</v>
      </c>
      <c r="AN328" s="91"/>
      <c r="AO328" s="91"/>
      <c r="AP328" s="91"/>
      <c r="AQ328" s="91"/>
      <c r="AR328" s="91"/>
      <c r="AS328" s="91"/>
      <c r="AT328" s="91"/>
      <c r="AU328" s="91"/>
      <c r="AV328" s="91"/>
      <c r="AW328" s="91"/>
      <c r="AX328" s="91"/>
      <c r="AY328" s="91"/>
      <c r="AZ328" s="91"/>
      <c r="BA328" s="91"/>
      <c r="BB328" s="91"/>
      <c r="BC328" s="91"/>
      <c r="BD328" s="91"/>
      <c r="BE328" s="91"/>
      <c r="BF328" s="91"/>
      <c r="BG328" s="91"/>
      <c r="BH328" s="91"/>
      <c r="BI328" s="91"/>
      <c r="BJ328" s="91"/>
      <c r="BK328" s="91"/>
      <c r="BL328" s="91"/>
      <c r="BM328" s="91"/>
      <c r="BN328" s="91"/>
      <c r="BO328" s="91"/>
      <c r="BP328" s="91"/>
      <c r="BQ328" s="91"/>
      <c r="BR328" s="91"/>
      <c r="BS328" s="91"/>
      <c r="BT328" s="91"/>
      <c r="BU328" s="91"/>
      <c r="BV328" s="91"/>
      <c r="BW328" s="91"/>
      <c r="BX328" s="91"/>
      <c r="BY328" s="91"/>
      <c r="BZ328" s="91"/>
      <c r="CA328" s="91"/>
      <c r="CB328" s="91"/>
      <c r="CC328" s="91"/>
      <c r="CD328" s="91"/>
      <c r="CE328" s="91"/>
      <c r="CF328" s="91"/>
      <c r="CG328" s="91"/>
      <c r="CH328" s="91">
        <f>CI328+CJ328+CK328+CL328+CM328+CN328+CO328+CP328+CQ328+CR328</f>
        <v>90000000</v>
      </c>
      <c r="CI328" s="91">
        <v>90000000</v>
      </c>
      <c r="CJ328" s="91"/>
      <c r="CK328" s="91"/>
      <c r="CL328" s="91"/>
      <c r="CM328" s="91"/>
      <c r="CN328" s="91"/>
      <c r="CO328" s="91"/>
      <c r="CP328" s="91"/>
      <c r="CQ328" s="91"/>
      <c r="CR328" s="91"/>
      <c r="CS328" s="91">
        <f>CT328+CU328+CV328+CW328+CX328+CY328+CZ328+DA328+DB328+DC328</f>
        <v>0</v>
      </c>
      <c r="CT328" s="91"/>
      <c r="CU328" s="91"/>
      <c r="CV328" s="91"/>
      <c r="CW328" s="91"/>
      <c r="CX328" s="91"/>
      <c r="CY328" s="91"/>
      <c r="CZ328" s="91"/>
      <c r="DA328" s="91"/>
      <c r="DB328" s="91"/>
      <c r="DC328" s="91"/>
      <c r="DD328" s="91">
        <f>DE328+DF328+DG328+DH328+DI328+DJ328+DK328+DL328+DM328+DN328</f>
        <v>0</v>
      </c>
      <c r="DE328" s="91"/>
      <c r="DF328" s="91"/>
      <c r="DG328" s="91"/>
      <c r="DH328" s="91"/>
      <c r="DI328" s="91"/>
      <c r="DJ328" s="91"/>
      <c r="DK328" s="91"/>
      <c r="DL328" s="91"/>
      <c r="DM328" s="91"/>
      <c r="DN328" s="92"/>
      <c r="DO328" s="93">
        <f>AE328+CH328+CS328+DD328</f>
        <v>278546842</v>
      </c>
    </row>
    <row r="329" spans="1:119" s="225" customFormat="1" ht="236.25" customHeight="1" x14ac:dyDescent="0.2">
      <c r="A329" s="64">
        <v>4</v>
      </c>
      <c r="B329" s="256" t="s">
        <v>6</v>
      </c>
      <c r="C329" s="59" t="s">
        <v>212</v>
      </c>
      <c r="D329" s="59" t="s">
        <v>207</v>
      </c>
      <c r="E329" s="107" t="s">
        <v>1247</v>
      </c>
      <c r="F329" s="13" t="s">
        <v>1248</v>
      </c>
      <c r="G329" s="59" t="s">
        <v>1249</v>
      </c>
      <c r="H329" s="107" t="s">
        <v>1250</v>
      </c>
      <c r="I329" s="13">
        <v>45</v>
      </c>
      <c r="J329" s="13" t="s">
        <v>1294</v>
      </c>
      <c r="K329" s="50">
        <v>16</v>
      </c>
      <c r="L329" s="13" t="s">
        <v>398</v>
      </c>
      <c r="M329" s="244">
        <v>38</v>
      </c>
      <c r="N329" s="248">
        <v>4599</v>
      </c>
      <c r="O329" s="245" t="s">
        <v>1657</v>
      </c>
      <c r="P329" s="48" t="s">
        <v>1251</v>
      </c>
      <c r="Q329" s="13" t="s">
        <v>77</v>
      </c>
      <c r="R329" s="13">
        <v>4599019</v>
      </c>
      <c r="S329" s="59" t="s">
        <v>208</v>
      </c>
      <c r="T329" s="48" t="s">
        <v>1252</v>
      </c>
      <c r="U329" s="13" t="s">
        <v>77</v>
      </c>
      <c r="V329" s="13">
        <v>459901900</v>
      </c>
      <c r="W329" s="87" t="s">
        <v>1691</v>
      </c>
      <c r="X329" s="88" t="s">
        <v>8</v>
      </c>
      <c r="Y329" s="13">
        <v>1</v>
      </c>
      <c r="Z329" s="13">
        <v>0</v>
      </c>
      <c r="AA329" s="13"/>
      <c r="AB329" s="13">
        <v>1</v>
      </c>
      <c r="AC329" s="13"/>
      <c r="AD329" s="13"/>
      <c r="AE329" s="89">
        <f t="shared" ref="AE329" si="221">AJ329+AO329+AT329+AY329+BD329+BI329+BN329+BS329+BX329+CC329</f>
        <v>0</v>
      </c>
      <c r="AF329" s="89">
        <f t="shared" ref="AF329" si="222">AK329+AP329+AU329+AZ329+BE329+BJ329+BO329+BT329+BY329+CD329</f>
        <v>0</v>
      </c>
      <c r="AG329" s="89">
        <f t="shared" ref="AG329" si="223">AL329+AQ329+AV329+BA329+BF329+BK329+BP329+BU329+BZ329+CE329</f>
        <v>0</v>
      </c>
      <c r="AH329" s="89">
        <f t="shared" ref="AH329" si="224">AM329+AR329+AW329+BB329+BG329+BL329+BQ329+BV329+CA329+CF329</f>
        <v>0</v>
      </c>
      <c r="AI329" s="89">
        <f>AN329+AS329+AX329+BC329+BH329+BM329+BR329+BW329+CB329+CG329</f>
        <v>0</v>
      </c>
      <c r="AJ329" s="91"/>
      <c r="AK329" s="91"/>
      <c r="AL329" s="91"/>
      <c r="AM329" s="91"/>
      <c r="AN329" s="91"/>
      <c r="AO329" s="91"/>
      <c r="AP329" s="91"/>
      <c r="AQ329" s="91"/>
      <c r="AR329" s="91"/>
      <c r="AS329" s="91"/>
      <c r="AT329" s="91"/>
      <c r="AU329" s="91"/>
      <c r="AV329" s="91"/>
      <c r="AW329" s="91"/>
      <c r="AX329" s="91"/>
      <c r="AY329" s="91"/>
      <c r="AZ329" s="91"/>
      <c r="BA329" s="91"/>
      <c r="BB329" s="91"/>
      <c r="BC329" s="91"/>
      <c r="BD329" s="91"/>
      <c r="BE329" s="91"/>
      <c r="BF329" s="91"/>
      <c r="BG329" s="91"/>
      <c r="BH329" s="91"/>
      <c r="BI329" s="91"/>
      <c r="BJ329" s="91"/>
      <c r="BK329" s="91"/>
      <c r="BL329" s="91"/>
      <c r="BM329" s="91"/>
      <c r="BN329" s="91"/>
      <c r="BO329" s="91"/>
      <c r="BP329" s="91"/>
      <c r="BQ329" s="91"/>
      <c r="BR329" s="91"/>
      <c r="BS329" s="91"/>
      <c r="BT329" s="91"/>
      <c r="BU329" s="91"/>
      <c r="BV329" s="91"/>
      <c r="BW329" s="91"/>
      <c r="BX329" s="91"/>
      <c r="BY329" s="91"/>
      <c r="BZ329" s="91"/>
      <c r="CA329" s="91"/>
      <c r="CB329" s="91"/>
      <c r="CC329" s="91"/>
      <c r="CD329" s="91"/>
      <c r="CE329" s="91"/>
      <c r="CF329" s="91"/>
      <c r="CG329" s="91"/>
      <c r="CH329" s="91">
        <f>CI329+CJ329+CK329+CL329+CM329+CN329+CO329+CP329+CQ329+CR329</f>
        <v>18000000</v>
      </c>
      <c r="CI329" s="91">
        <v>18000000</v>
      </c>
      <c r="CJ329" s="91"/>
      <c r="CK329" s="91"/>
      <c r="CL329" s="91"/>
      <c r="CM329" s="91"/>
      <c r="CN329" s="91"/>
      <c r="CO329" s="91"/>
      <c r="CP329" s="91"/>
      <c r="CQ329" s="91"/>
      <c r="CR329" s="91"/>
      <c r="CS329" s="91">
        <f>CT329+CU329+CV329+CW329+CX329+CY329+CZ329+DA329+DB329+DC329</f>
        <v>0</v>
      </c>
      <c r="CT329" s="91"/>
      <c r="CU329" s="91"/>
      <c r="CV329" s="91"/>
      <c r="CW329" s="91"/>
      <c r="CX329" s="91"/>
      <c r="CY329" s="91"/>
      <c r="CZ329" s="91"/>
      <c r="DA329" s="91"/>
      <c r="DB329" s="91"/>
      <c r="DC329" s="91"/>
      <c r="DD329" s="91">
        <f>DE329+DF329+DG329+DH329+DI329+DJ329+DK329+DL329+DM329+DN329</f>
        <v>0</v>
      </c>
      <c r="DE329" s="91"/>
      <c r="DF329" s="91"/>
      <c r="DG329" s="91"/>
      <c r="DH329" s="91"/>
      <c r="DI329" s="91"/>
      <c r="DJ329" s="91"/>
      <c r="DK329" s="91"/>
      <c r="DL329" s="91"/>
      <c r="DM329" s="91"/>
      <c r="DN329" s="92"/>
      <c r="DO329" s="93">
        <f>AE329+CH329+CS329+DD329</f>
        <v>18000000</v>
      </c>
    </row>
    <row r="330" spans="1:119" s="225" customFormat="1" ht="244.5" customHeight="1" x14ac:dyDescent="0.2">
      <c r="A330" s="64">
        <v>4</v>
      </c>
      <c r="B330" s="256" t="s">
        <v>6</v>
      </c>
      <c r="C330" s="59" t="s">
        <v>212</v>
      </c>
      <c r="D330" s="59" t="s">
        <v>1641</v>
      </c>
      <c r="E330" s="55" t="s">
        <v>1253</v>
      </c>
      <c r="F330" s="13">
        <v>2018</v>
      </c>
      <c r="G330" s="59" t="s">
        <v>1254</v>
      </c>
      <c r="H330" s="55" t="s">
        <v>1255</v>
      </c>
      <c r="I330" s="13">
        <v>45</v>
      </c>
      <c r="J330" s="13" t="s">
        <v>1294</v>
      </c>
      <c r="K330" s="50">
        <v>14</v>
      </c>
      <c r="L330" s="13" t="s">
        <v>1084</v>
      </c>
      <c r="M330" s="244">
        <v>38</v>
      </c>
      <c r="N330" s="244">
        <v>4599</v>
      </c>
      <c r="O330" s="251" t="s">
        <v>1657</v>
      </c>
      <c r="P330" s="48" t="s">
        <v>1256</v>
      </c>
      <c r="Q330" s="13" t="s">
        <v>77</v>
      </c>
      <c r="R330" s="13">
        <v>4599019</v>
      </c>
      <c r="S330" s="59" t="s">
        <v>1257</v>
      </c>
      <c r="T330" s="48" t="s">
        <v>1258</v>
      </c>
      <c r="U330" s="13" t="s">
        <v>77</v>
      </c>
      <c r="V330" s="13">
        <v>459901900</v>
      </c>
      <c r="W330" s="87" t="s">
        <v>1259</v>
      </c>
      <c r="X330" s="88" t="s">
        <v>8</v>
      </c>
      <c r="Y330" s="13">
        <v>1</v>
      </c>
      <c r="Z330" s="13">
        <v>1</v>
      </c>
      <c r="AA330" s="13">
        <v>0.8</v>
      </c>
      <c r="AB330" s="13">
        <v>1</v>
      </c>
      <c r="AC330" s="13"/>
      <c r="AD330" s="13"/>
      <c r="AE330" s="89">
        <f t="shared" si="220"/>
        <v>95000000</v>
      </c>
      <c r="AF330" s="89">
        <f t="shared" si="220"/>
        <v>90999999</v>
      </c>
      <c r="AG330" s="89">
        <f t="shared" si="220"/>
        <v>76906667</v>
      </c>
      <c r="AH330" s="89">
        <f t="shared" si="220"/>
        <v>76906667</v>
      </c>
      <c r="AI330" s="89">
        <f t="shared" si="220"/>
        <v>0</v>
      </c>
      <c r="AJ330" s="91">
        <v>95000000</v>
      </c>
      <c r="AK330" s="91">
        <v>90999999</v>
      </c>
      <c r="AL330" s="89">
        <v>76906667</v>
      </c>
      <c r="AM330" s="91">
        <v>76906667</v>
      </c>
      <c r="AN330" s="91"/>
      <c r="AO330" s="91"/>
      <c r="AP330" s="91"/>
      <c r="AQ330" s="91"/>
      <c r="AR330" s="91"/>
      <c r="AS330" s="91"/>
      <c r="AT330" s="91"/>
      <c r="AU330" s="91"/>
      <c r="AV330" s="91"/>
      <c r="AW330" s="91"/>
      <c r="AX330" s="91"/>
      <c r="AY330" s="91"/>
      <c r="AZ330" s="91"/>
      <c r="BA330" s="91"/>
      <c r="BB330" s="91"/>
      <c r="BC330" s="91"/>
      <c r="BD330" s="91"/>
      <c r="BE330" s="91"/>
      <c r="BF330" s="91"/>
      <c r="BG330" s="91"/>
      <c r="BH330" s="91"/>
      <c r="BI330" s="91"/>
      <c r="BJ330" s="91"/>
      <c r="BK330" s="91"/>
      <c r="BL330" s="91"/>
      <c r="BM330" s="91"/>
      <c r="BN330" s="91"/>
      <c r="BO330" s="91"/>
      <c r="BP330" s="91"/>
      <c r="BQ330" s="91"/>
      <c r="BR330" s="91"/>
      <c r="BS330" s="91"/>
      <c r="BT330" s="91"/>
      <c r="BU330" s="91"/>
      <c r="BV330" s="91"/>
      <c r="BW330" s="91"/>
      <c r="BX330" s="91"/>
      <c r="BY330" s="91"/>
      <c r="BZ330" s="91"/>
      <c r="CA330" s="91"/>
      <c r="CB330" s="91"/>
      <c r="CC330" s="91"/>
      <c r="CD330" s="91"/>
      <c r="CE330" s="91"/>
      <c r="CF330" s="91"/>
      <c r="CG330" s="91"/>
      <c r="CH330" s="91">
        <f>CI330+CJ330+CK330+CL330+CM330+CN330+CO330+CP330+CQ330+CR330</f>
        <v>60000000</v>
      </c>
      <c r="CI330" s="91">
        <v>60000000</v>
      </c>
      <c r="CJ330" s="91"/>
      <c r="CK330" s="91"/>
      <c r="CL330" s="91"/>
      <c r="CM330" s="91"/>
      <c r="CN330" s="91"/>
      <c r="CO330" s="91"/>
      <c r="CP330" s="91"/>
      <c r="CQ330" s="91"/>
      <c r="CR330" s="91"/>
      <c r="CS330" s="91">
        <f>CT330+CU330+CV330+CW330+CX330+CY330+CZ330+DA330+DB330+DC330</f>
        <v>0</v>
      </c>
      <c r="CT330" s="91"/>
      <c r="CU330" s="91"/>
      <c r="CV330" s="91"/>
      <c r="CW330" s="91"/>
      <c r="CX330" s="91"/>
      <c r="CY330" s="91"/>
      <c r="CZ330" s="91"/>
      <c r="DA330" s="91"/>
      <c r="DB330" s="91"/>
      <c r="DC330" s="91"/>
      <c r="DD330" s="91">
        <f>DE330+DF330+DG330+DH330+DI330+DJ330+DK330+DL330+DM330+DN330</f>
        <v>0</v>
      </c>
      <c r="DE330" s="91"/>
      <c r="DF330" s="91"/>
      <c r="DG330" s="91"/>
      <c r="DH330" s="91"/>
      <c r="DI330" s="91"/>
      <c r="DJ330" s="91"/>
      <c r="DK330" s="91"/>
      <c r="DL330" s="91"/>
      <c r="DM330" s="91"/>
      <c r="DN330" s="92"/>
      <c r="DO330" s="93">
        <f>AE330+CH330+CS330+DD330</f>
        <v>155000000</v>
      </c>
    </row>
    <row r="331" spans="1:119" s="225" customFormat="1" ht="165" x14ac:dyDescent="0.2">
      <c r="A331" s="64">
        <v>4</v>
      </c>
      <c r="B331" s="256" t="s">
        <v>6</v>
      </c>
      <c r="C331" s="150" t="s">
        <v>860</v>
      </c>
      <c r="D331" s="150" t="s">
        <v>1</v>
      </c>
      <c r="E331" s="107">
        <v>71</v>
      </c>
      <c r="F331" s="13">
        <v>2018</v>
      </c>
      <c r="G331" s="59" t="s">
        <v>1487</v>
      </c>
      <c r="H331" s="107">
        <v>80</v>
      </c>
      <c r="I331" s="13">
        <v>45</v>
      </c>
      <c r="J331" s="13" t="s">
        <v>1294</v>
      </c>
      <c r="K331" s="50">
        <v>17</v>
      </c>
      <c r="L331" s="13" t="s">
        <v>888</v>
      </c>
      <c r="M331" s="244">
        <v>45</v>
      </c>
      <c r="N331" s="244">
        <v>4599</v>
      </c>
      <c r="O331" s="251" t="s">
        <v>1657</v>
      </c>
      <c r="P331" s="13" t="s">
        <v>1488</v>
      </c>
      <c r="Q331" s="13" t="s">
        <v>77</v>
      </c>
      <c r="R331" s="13">
        <v>4599023</v>
      </c>
      <c r="S331" s="150" t="s">
        <v>2</v>
      </c>
      <c r="T331" s="13" t="s">
        <v>1489</v>
      </c>
      <c r="U331" s="13" t="s">
        <v>77</v>
      </c>
      <c r="V331" s="13">
        <v>459902300</v>
      </c>
      <c r="W331" s="122" t="s">
        <v>1490</v>
      </c>
      <c r="X331" s="120" t="s">
        <v>8</v>
      </c>
      <c r="Y331" s="13">
        <v>18</v>
      </c>
      <c r="Z331" s="13">
        <v>18</v>
      </c>
      <c r="AA331" s="13">
        <v>18</v>
      </c>
      <c r="AB331" s="13">
        <v>18</v>
      </c>
      <c r="AC331" s="13">
        <v>18</v>
      </c>
      <c r="AD331" s="13">
        <v>18</v>
      </c>
      <c r="AE331" s="89">
        <f t="shared" ref="AE331:AI346" si="225">AJ331+AO331+AT331+AY331+BD331+BI331+BN331+BS331+BX331+CC331</f>
        <v>133658667</v>
      </c>
      <c r="AF331" s="89">
        <f>AK331+AP331+AU331+AZ331+BE331+BJ331+BO331+BT331+BY331+CD331</f>
        <v>66000000</v>
      </c>
      <c r="AG331" s="89">
        <f>AL331+AQ331+AV331+BA331+BF331+BK331+BP331+BU331+BZ331+CE331</f>
        <v>50616665</v>
      </c>
      <c r="AH331" s="89">
        <f>AM331+AR331+AW331+BB331+BG331+BL331+BQ331+BV331+CA331+CF331</f>
        <v>50616665</v>
      </c>
      <c r="AI331" s="89">
        <f>AN331+AS331+AX331+BC331+BH331+BM331+BR331+BW331+CB331+CG331</f>
        <v>0</v>
      </c>
      <c r="AJ331" s="91">
        <f>73658667+60000000</f>
        <v>133658667</v>
      </c>
      <c r="AK331" s="91">
        <f>36000000+30000000</f>
        <v>66000000</v>
      </c>
      <c r="AL331" s="91">
        <f>23700000+26916665</f>
        <v>50616665</v>
      </c>
      <c r="AM331" s="91">
        <f>23700000+26916665</f>
        <v>50616665</v>
      </c>
      <c r="AN331" s="91"/>
      <c r="AO331" s="91"/>
      <c r="AP331" s="91"/>
      <c r="AQ331" s="91"/>
      <c r="AR331" s="91"/>
      <c r="AS331" s="91"/>
      <c r="AT331" s="91"/>
      <c r="AU331" s="91"/>
      <c r="AV331" s="91"/>
      <c r="AW331" s="91"/>
      <c r="AX331" s="91"/>
      <c r="AY331" s="91"/>
      <c r="AZ331" s="91"/>
      <c r="BA331" s="91"/>
      <c r="BB331" s="91"/>
      <c r="BC331" s="91"/>
      <c r="BD331" s="91"/>
      <c r="BE331" s="91"/>
      <c r="BF331" s="91"/>
      <c r="BG331" s="91"/>
      <c r="BH331" s="91"/>
      <c r="BI331" s="91"/>
      <c r="BJ331" s="91"/>
      <c r="BK331" s="91"/>
      <c r="BL331" s="91"/>
      <c r="BM331" s="91"/>
      <c r="BN331" s="91"/>
      <c r="BO331" s="91"/>
      <c r="BP331" s="91"/>
      <c r="BQ331" s="91"/>
      <c r="BR331" s="91"/>
      <c r="BS331" s="91"/>
      <c r="BT331" s="91"/>
      <c r="BU331" s="91"/>
      <c r="BV331" s="91"/>
      <c r="BW331" s="91"/>
      <c r="BX331" s="91"/>
      <c r="BY331" s="91"/>
      <c r="BZ331" s="91"/>
      <c r="CA331" s="91"/>
      <c r="CB331" s="91"/>
      <c r="CC331" s="91"/>
      <c r="CD331" s="91"/>
      <c r="CE331" s="91"/>
      <c r="CF331" s="91"/>
      <c r="CG331" s="91"/>
      <c r="CH331" s="91">
        <f t="shared" ref="CH331:CH347" si="226">CI331+CJ331+CK331+CL331+CM331+CN331+CO331+CP331+CQ331+CR331</f>
        <v>75521754.340000004</v>
      </c>
      <c r="CI331" s="91">
        <f>25789438.34+49732316</f>
        <v>75521754.340000004</v>
      </c>
      <c r="CJ331" s="91"/>
      <c r="CK331" s="91"/>
      <c r="CL331" s="91"/>
      <c r="CM331" s="91"/>
      <c r="CN331" s="91"/>
      <c r="CO331" s="91"/>
      <c r="CP331" s="91"/>
      <c r="CQ331" s="91"/>
      <c r="CR331" s="91"/>
      <c r="CS331" s="91">
        <f t="shared" ref="CS331:CS347" si="227">CT331+CU331+CV331+CW331+CX331+CY331+CZ331+DA331+DB331+DC331</f>
        <v>132505398</v>
      </c>
      <c r="CT331" s="91">
        <f>17505398+115000000</f>
        <v>132505398</v>
      </c>
      <c r="CU331" s="91"/>
      <c r="CV331" s="91"/>
      <c r="CW331" s="91"/>
      <c r="CX331" s="91"/>
      <c r="CY331" s="91"/>
      <c r="CZ331" s="91"/>
      <c r="DA331" s="91"/>
      <c r="DB331" s="91"/>
      <c r="DC331" s="91"/>
      <c r="DD331" s="91">
        <f t="shared" ref="DD331:DD347" si="228">DE331+DF331+DG331+DH331+DI331+DJ331+DK331+DL331+DM331+DN331</f>
        <v>219359891.38999999</v>
      </c>
      <c r="DE331" s="91">
        <f>27236666.39+192123225</f>
        <v>219359891.38999999</v>
      </c>
      <c r="DF331" s="91"/>
      <c r="DG331" s="91"/>
      <c r="DH331" s="91"/>
      <c r="DI331" s="91"/>
      <c r="DJ331" s="91"/>
      <c r="DK331" s="91"/>
      <c r="DL331" s="91"/>
      <c r="DM331" s="91"/>
      <c r="DN331" s="92"/>
      <c r="DO331" s="93">
        <f t="shared" ref="DO331:DO347" si="229">AE331+CH331+CS331+DD331</f>
        <v>561045710.73000002</v>
      </c>
    </row>
    <row r="332" spans="1:119" s="225" customFormat="1" ht="141.75" customHeight="1" x14ac:dyDescent="0.2">
      <c r="A332" s="64">
        <v>4</v>
      </c>
      <c r="B332" s="256" t="s">
        <v>6</v>
      </c>
      <c r="C332" s="150" t="s">
        <v>860</v>
      </c>
      <c r="D332" s="59" t="s">
        <v>1533</v>
      </c>
      <c r="E332" s="111">
        <v>74.680000000000007</v>
      </c>
      <c r="F332" s="13">
        <v>2017</v>
      </c>
      <c r="G332" s="59" t="s">
        <v>1487</v>
      </c>
      <c r="H332" s="55">
        <v>75</v>
      </c>
      <c r="I332" s="13">
        <v>45</v>
      </c>
      <c r="J332" s="13" t="s">
        <v>1294</v>
      </c>
      <c r="K332" s="50">
        <v>17</v>
      </c>
      <c r="L332" s="13" t="s">
        <v>888</v>
      </c>
      <c r="M332" s="244">
        <v>45</v>
      </c>
      <c r="N332" s="244">
        <v>4599</v>
      </c>
      <c r="O332" s="251" t="s">
        <v>1657</v>
      </c>
      <c r="P332" s="120" t="s">
        <v>1534</v>
      </c>
      <c r="Q332" s="13" t="s">
        <v>77</v>
      </c>
      <c r="R332" s="13">
        <v>4599002</v>
      </c>
      <c r="S332" s="150" t="s">
        <v>17</v>
      </c>
      <c r="T332" s="120" t="s">
        <v>1535</v>
      </c>
      <c r="U332" s="13" t="s">
        <v>77</v>
      </c>
      <c r="V332" s="13">
        <v>459900201</v>
      </c>
      <c r="W332" s="122" t="s">
        <v>1536</v>
      </c>
      <c r="X332" s="120" t="s">
        <v>8</v>
      </c>
      <c r="Y332" s="13">
        <v>1</v>
      </c>
      <c r="Z332" s="13">
        <v>1</v>
      </c>
      <c r="AA332" s="13">
        <v>1</v>
      </c>
      <c r="AB332" s="13">
        <v>1</v>
      </c>
      <c r="AC332" s="13">
        <v>1</v>
      </c>
      <c r="AD332" s="13">
        <v>1</v>
      </c>
      <c r="AE332" s="89">
        <f t="shared" si="225"/>
        <v>1720270000</v>
      </c>
      <c r="AF332" s="89">
        <f t="shared" si="225"/>
        <v>1881149477</v>
      </c>
      <c r="AG332" s="89">
        <f t="shared" si="225"/>
        <v>1170360787</v>
      </c>
      <c r="AH332" s="89">
        <f t="shared" si="225"/>
        <v>1127463773</v>
      </c>
      <c r="AI332" s="89">
        <f t="shared" si="225"/>
        <v>89564580</v>
      </c>
      <c r="AJ332" s="91">
        <f>1270270000+200000000</f>
        <v>1470270000</v>
      </c>
      <c r="AK332" s="8">
        <v>1631149477</v>
      </c>
      <c r="AL332" s="8">
        <v>1095867269</v>
      </c>
      <c r="AM332" s="8">
        <v>1052970255</v>
      </c>
      <c r="AN332" s="91">
        <v>89564580</v>
      </c>
      <c r="AO332" s="91">
        <v>250000000</v>
      </c>
      <c r="AP332" s="91"/>
      <c r="AQ332" s="91"/>
      <c r="AR332" s="91"/>
      <c r="AS332" s="91"/>
      <c r="AT332" s="91"/>
      <c r="AU332" s="91"/>
      <c r="AV332" s="91"/>
      <c r="AW332" s="91"/>
      <c r="AX332" s="91"/>
      <c r="AY332" s="91"/>
      <c r="AZ332" s="91"/>
      <c r="BA332" s="91"/>
      <c r="BB332" s="91"/>
      <c r="BC332" s="91"/>
      <c r="BD332" s="91"/>
      <c r="BE332" s="91"/>
      <c r="BF332" s="91"/>
      <c r="BG332" s="91"/>
      <c r="BH332" s="91"/>
      <c r="BI332" s="91"/>
      <c r="BJ332" s="91"/>
      <c r="BK332" s="91"/>
      <c r="BL332" s="91"/>
      <c r="BM332" s="91"/>
      <c r="BN332" s="91"/>
      <c r="BO332" s="91"/>
      <c r="BP332" s="91"/>
      <c r="BQ332" s="91"/>
      <c r="BR332" s="91"/>
      <c r="BS332" s="91"/>
      <c r="BT332" s="91"/>
      <c r="BU332" s="91"/>
      <c r="BV332" s="91"/>
      <c r="BW332" s="91"/>
      <c r="BX332" s="91"/>
      <c r="BY332" s="91"/>
      <c r="BZ332" s="91"/>
      <c r="CA332" s="91"/>
      <c r="CB332" s="91"/>
      <c r="CC332" s="91"/>
      <c r="CD332" s="91">
        <v>250000000</v>
      </c>
      <c r="CE332" s="91">
        <v>74493518</v>
      </c>
      <c r="CF332" s="91">
        <v>74493518</v>
      </c>
      <c r="CG332" s="91"/>
      <c r="CH332" s="91">
        <f t="shared" si="226"/>
        <v>669677826.73300004</v>
      </c>
      <c r="CI332" s="91">
        <v>669677826.73300004</v>
      </c>
      <c r="CJ332" s="91"/>
      <c r="CK332" s="91"/>
      <c r="CL332" s="91"/>
      <c r="CM332" s="91"/>
      <c r="CN332" s="91"/>
      <c r="CO332" s="91"/>
      <c r="CP332" s="91"/>
      <c r="CQ332" s="91"/>
      <c r="CR332" s="91"/>
      <c r="CS332" s="91">
        <f t="shared" si="227"/>
        <v>161078916.627</v>
      </c>
      <c r="CT332" s="91">
        <v>161078916.627</v>
      </c>
      <c r="CU332" s="91"/>
      <c r="CV332" s="91"/>
      <c r="CW332" s="91"/>
      <c r="CX332" s="91"/>
      <c r="CY332" s="91"/>
      <c r="CZ332" s="91"/>
      <c r="DA332" s="91"/>
      <c r="DB332" s="91"/>
      <c r="DC332" s="91"/>
      <c r="DD332" s="91">
        <f t="shared" si="228"/>
        <v>2306930934.8009901</v>
      </c>
      <c r="DE332" s="91">
        <v>2306930934.8009901</v>
      </c>
      <c r="DF332" s="91"/>
      <c r="DG332" s="91"/>
      <c r="DH332" s="91"/>
      <c r="DI332" s="91"/>
      <c r="DJ332" s="91"/>
      <c r="DK332" s="91"/>
      <c r="DL332" s="91"/>
      <c r="DM332" s="91"/>
      <c r="DN332" s="92"/>
      <c r="DO332" s="93">
        <f t="shared" si="229"/>
        <v>4857957678.1609898</v>
      </c>
    </row>
    <row r="333" spans="1:119" s="225" customFormat="1" ht="165" x14ac:dyDescent="0.2">
      <c r="A333" s="64">
        <v>4</v>
      </c>
      <c r="B333" s="256" t="s">
        <v>6</v>
      </c>
      <c r="C333" s="150" t="s">
        <v>860</v>
      </c>
      <c r="D333" s="150" t="s">
        <v>1</v>
      </c>
      <c r="E333" s="107">
        <v>71</v>
      </c>
      <c r="F333" s="13">
        <v>2018</v>
      </c>
      <c r="G333" s="59" t="s">
        <v>1487</v>
      </c>
      <c r="H333" s="107">
        <v>80</v>
      </c>
      <c r="I333" s="13">
        <v>45</v>
      </c>
      <c r="J333" s="13" t="s">
        <v>1294</v>
      </c>
      <c r="K333" s="50">
        <v>17</v>
      </c>
      <c r="L333" s="13" t="s">
        <v>888</v>
      </c>
      <c r="M333" s="244">
        <v>45</v>
      </c>
      <c r="N333" s="244">
        <v>4599</v>
      </c>
      <c r="O333" s="251" t="s">
        <v>1657</v>
      </c>
      <c r="P333" s="13" t="s">
        <v>1491</v>
      </c>
      <c r="Q333" s="13" t="s">
        <v>77</v>
      </c>
      <c r="R333" s="13">
        <v>4599025</v>
      </c>
      <c r="S333" s="150" t="s">
        <v>1492</v>
      </c>
      <c r="T333" s="13" t="s">
        <v>1493</v>
      </c>
      <c r="U333" s="13" t="s">
        <v>77</v>
      </c>
      <c r="V333" s="13">
        <v>459902500</v>
      </c>
      <c r="W333" s="122" t="s">
        <v>1494</v>
      </c>
      <c r="X333" s="120" t="s">
        <v>8</v>
      </c>
      <c r="Y333" s="13">
        <v>1</v>
      </c>
      <c r="Z333" s="13">
        <v>1</v>
      </c>
      <c r="AA333" s="13">
        <v>1</v>
      </c>
      <c r="AB333" s="13">
        <v>1</v>
      </c>
      <c r="AC333" s="13">
        <v>1</v>
      </c>
      <c r="AD333" s="13">
        <v>1</v>
      </c>
      <c r="AE333" s="89">
        <f t="shared" si="225"/>
        <v>250000000</v>
      </c>
      <c r="AF333" s="89">
        <f t="shared" si="225"/>
        <v>148786666</v>
      </c>
      <c r="AG333" s="89">
        <f t="shared" si="225"/>
        <v>143693333</v>
      </c>
      <c r="AH333" s="89">
        <f t="shared" si="225"/>
        <v>143693333</v>
      </c>
      <c r="AI333" s="89">
        <f t="shared" si="225"/>
        <v>0</v>
      </c>
      <c r="AJ333" s="91">
        <v>250000000</v>
      </c>
      <c r="AK333" s="91">
        <v>148786666</v>
      </c>
      <c r="AL333" s="91">
        <v>143693333</v>
      </c>
      <c r="AM333" s="91">
        <v>143693333</v>
      </c>
      <c r="AN333" s="91"/>
      <c r="AO333" s="91"/>
      <c r="AP333" s="91"/>
      <c r="AQ333" s="91"/>
      <c r="AR333" s="91"/>
      <c r="AS333" s="91"/>
      <c r="AT333" s="91"/>
      <c r="AU333" s="91"/>
      <c r="AV333" s="91"/>
      <c r="AW333" s="91"/>
      <c r="AX333" s="91"/>
      <c r="AY333" s="91"/>
      <c r="AZ333" s="91"/>
      <c r="BA333" s="91"/>
      <c r="BB333" s="91"/>
      <c r="BC333" s="91"/>
      <c r="BD333" s="91"/>
      <c r="BE333" s="91"/>
      <c r="BF333" s="91"/>
      <c r="BG333" s="91"/>
      <c r="BH333" s="91"/>
      <c r="BI333" s="91"/>
      <c r="BJ333" s="91"/>
      <c r="BK333" s="91"/>
      <c r="BL333" s="91"/>
      <c r="BM333" s="91"/>
      <c r="BN333" s="91"/>
      <c r="BO333" s="91"/>
      <c r="BP333" s="91"/>
      <c r="BQ333" s="91"/>
      <c r="BR333" s="91"/>
      <c r="BS333" s="91"/>
      <c r="BT333" s="91"/>
      <c r="BU333" s="91"/>
      <c r="BV333" s="91"/>
      <c r="BW333" s="91"/>
      <c r="BX333" s="91"/>
      <c r="BY333" s="91"/>
      <c r="BZ333" s="91"/>
      <c r="CA333" s="91"/>
      <c r="CB333" s="91"/>
      <c r="CC333" s="91"/>
      <c r="CD333" s="91"/>
      <c r="CE333" s="91"/>
      <c r="CF333" s="91"/>
      <c r="CG333" s="91"/>
      <c r="CH333" s="91">
        <f t="shared" si="226"/>
        <v>330526068.39999998</v>
      </c>
      <c r="CI333" s="91">
        <f>180526068.4+150000000</f>
        <v>330526068.39999998</v>
      </c>
      <c r="CJ333" s="91"/>
      <c r="CK333" s="91"/>
      <c r="CL333" s="91"/>
      <c r="CM333" s="91"/>
      <c r="CN333" s="91"/>
      <c r="CO333" s="91"/>
      <c r="CP333" s="91"/>
      <c r="CQ333" s="91"/>
      <c r="CR333" s="91"/>
      <c r="CS333" s="91">
        <f t="shared" si="227"/>
        <v>445075567</v>
      </c>
      <c r="CT333" s="91">
        <f>245075567+200000000</f>
        <v>445075567</v>
      </c>
      <c r="CU333" s="91"/>
      <c r="CV333" s="91"/>
      <c r="CW333" s="91"/>
      <c r="CX333" s="91"/>
      <c r="CY333" s="91"/>
      <c r="CZ333" s="91"/>
      <c r="DA333" s="91"/>
      <c r="DB333" s="91"/>
      <c r="DC333" s="91"/>
      <c r="DD333" s="91">
        <f t="shared" si="228"/>
        <v>450313329.42000002</v>
      </c>
      <c r="DE333" s="91">
        <f>381313329.42+69000000</f>
        <v>450313329.42000002</v>
      </c>
      <c r="DF333" s="91"/>
      <c r="DG333" s="91"/>
      <c r="DH333" s="91"/>
      <c r="DI333" s="91"/>
      <c r="DJ333" s="91"/>
      <c r="DK333" s="91"/>
      <c r="DL333" s="91"/>
      <c r="DM333" s="91"/>
      <c r="DN333" s="92"/>
      <c r="DO333" s="93">
        <f t="shared" si="229"/>
        <v>1475914964.8199999</v>
      </c>
    </row>
    <row r="334" spans="1:119" s="225" customFormat="1" ht="165" x14ac:dyDescent="0.2">
      <c r="A334" s="64">
        <v>4</v>
      </c>
      <c r="B334" s="256" t="s">
        <v>6</v>
      </c>
      <c r="C334" s="150" t="s">
        <v>860</v>
      </c>
      <c r="D334" s="150" t="s">
        <v>1</v>
      </c>
      <c r="E334" s="107">
        <v>71</v>
      </c>
      <c r="F334" s="13">
        <v>2018</v>
      </c>
      <c r="G334" s="59" t="s">
        <v>1487</v>
      </c>
      <c r="H334" s="107">
        <v>80</v>
      </c>
      <c r="I334" s="13">
        <v>45</v>
      </c>
      <c r="J334" s="13" t="s">
        <v>1294</v>
      </c>
      <c r="K334" s="50">
        <v>17</v>
      </c>
      <c r="L334" s="13" t="s">
        <v>888</v>
      </c>
      <c r="M334" s="244">
        <v>45</v>
      </c>
      <c r="N334" s="244">
        <v>4599</v>
      </c>
      <c r="O334" s="251" t="s">
        <v>1657</v>
      </c>
      <c r="P334" s="13" t="s">
        <v>1495</v>
      </c>
      <c r="Q334" s="13" t="s">
        <v>77</v>
      </c>
      <c r="R334" s="13">
        <v>4599025</v>
      </c>
      <c r="S334" s="150" t="s">
        <v>1496</v>
      </c>
      <c r="T334" s="13" t="s">
        <v>1497</v>
      </c>
      <c r="U334" s="13" t="s">
        <v>77</v>
      </c>
      <c r="V334" s="13">
        <v>459902500</v>
      </c>
      <c r="W334" s="122" t="s">
        <v>1498</v>
      </c>
      <c r="X334" s="120" t="s">
        <v>8</v>
      </c>
      <c r="Y334" s="13">
        <v>1</v>
      </c>
      <c r="Z334" s="13">
        <v>1</v>
      </c>
      <c r="AA334" s="13">
        <v>1</v>
      </c>
      <c r="AB334" s="13">
        <v>1</v>
      </c>
      <c r="AC334" s="13">
        <v>1</v>
      </c>
      <c r="AD334" s="13">
        <v>1</v>
      </c>
      <c r="AE334" s="89">
        <f t="shared" si="225"/>
        <v>40000000</v>
      </c>
      <c r="AF334" s="89">
        <f t="shared" si="225"/>
        <v>24906666</v>
      </c>
      <c r="AG334" s="89">
        <f t="shared" si="225"/>
        <v>24866666</v>
      </c>
      <c r="AH334" s="89">
        <f t="shared" si="225"/>
        <v>24866666</v>
      </c>
      <c r="AI334" s="89">
        <f t="shared" si="225"/>
        <v>0</v>
      </c>
      <c r="AJ334" s="91">
        <v>40000000</v>
      </c>
      <c r="AK334" s="91">
        <v>24906666</v>
      </c>
      <c r="AL334" s="91">
        <v>24866666</v>
      </c>
      <c r="AM334" s="91">
        <v>24866666</v>
      </c>
      <c r="AN334" s="91"/>
      <c r="AO334" s="91"/>
      <c r="AP334" s="91"/>
      <c r="AQ334" s="91"/>
      <c r="AR334" s="91"/>
      <c r="AS334" s="91"/>
      <c r="AT334" s="91"/>
      <c r="AU334" s="91"/>
      <c r="AV334" s="91"/>
      <c r="AW334" s="91"/>
      <c r="AX334" s="91"/>
      <c r="AY334" s="91"/>
      <c r="AZ334" s="91"/>
      <c r="BA334" s="91"/>
      <c r="BB334" s="91"/>
      <c r="BC334" s="91"/>
      <c r="BD334" s="91"/>
      <c r="BE334" s="91"/>
      <c r="BF334" s="91"/>
      <c r="BG334" s="91"/>
      <c r="BH334" s="91"/>
      <c r="BI334" s="91"/>
      <c r="BJ334" s="91"/>
      <c r="BK334" s="91"/>
      <c r="BL334" s="91"/>
      <c r="BM334" s="91"/>
      <c r="BN334" s="91"/>
      <c r="BO334" s="91"/>
      <c r="BP334" s="91"/>
      <c r="BQ334" s="91"/>
      <c r="BR334" s="91"/>
      <c r="BS334" s="91"/>
      <c r="BT334" s="91"/>
      <c r="BU334" s="91"/>
      <c r="BV334" s="91"/>
      <c r="BW334" s="91"/>
      <c r="BX334" s="91"/>
      <c r="BY334" s="91"/>
      <c r="BZ334" s="91"/>
      <c r="CA334" s="91"/>
      <c r="CB334" s="91"/>
      <c r="CC334" s="91"/>
      <c r="CD334" s="91"/>
      <c r="CE334" s="91"/>
      <c r="CF334" s="91"/>
      <c r="CG334" s="91"/>
      <c r="CH334" s="91">
        <f t="shared" si="226"/>
        <v>29342078.760000002</v>
      </c>
      <c r="CI334" s="91">
        <f>19342078.76+10000000</f>
        <v>29342078.760000002</v>
      </c>
      <c r="CJ334" s="91"/>
      <c r="CK334" s="91"/>
      <c r="CL334" s="91"/>
      <c r="CM334" s="91"/>
      <c r="CN334" s="91"/>
      <c r="CO334" s="91"/>
      <c r="CP334" s="91"/>
      <c r="CQ334" s="91"/>
      <c r="CR334" s="91"/>
      <c r="CS334" s="91">
        <f t="shared" si="227"/>
        <v>37505398</v>
      </c>
      <c r="CT334" s="91">
        <f>17505398+20000000</f>
        <v>37505398</v>
      </c>
      <c r="CU334" s="91"/>
      <c r="CV334" s="91"/>
      <c r="CW334" s="91"/>
      <c r="CX334" s="91"/>
      <c r="CY334" s="91"/>
      <c r="CZ334" s="91"/>
      <c r="DA334" s="91"/>
      <c r="DB334" s="91"/>
      <c r="DC334" s="91"/>
      <c r="DD334" s="91">
        <f t="shared" si="228"/>
        <v>50236666.390000001</v>
      </c>
      <c r="DE334" s="91">
        <f>27236666.39+23000000</f>
        <v>50236666.390000001</v>
      </c>
      <c r="DF334" s="91"/>
      <c r="DG334" s="91"/>
      <c r="DH334" s="91"/>
      <c r="DI334" s="91"/>
      <c r="DJ334" s="91"/>
      <c r="DK334" s="91"/>
      <c r="DL334" s="91"/>
      <c r="DM334" s="91"/>
      <c r="DN334" s="92"/>
      <c r="DO334" s="93">
        <f t="shared" si="229"/>
        <v>157084143.15000001</v>
      </c>
    </row>
    <row r="335" spans="1:119" s="225" customFormat="1" ht="165" x14ac:dyDescent="0.2">
      <c r="A335" s="64">
        <v>4</v>
      </c>
      <c r="B335" s="256" t="s">
        <v>6</v>
      </c>
      <c r="C335" s="150" t="s">
        <v>860</v>
      </c>
      <c r="D335" s="150" t="s">
        <v>1</v>
      </c>
      <c r="E335" s="107">
        <v>71</v>
      </c>
      <c r="F335" s="13">
        <v>2018</v>
      </c>
      <c r="G335" s="59" t="s">
        <v>1487</v>
      </c>
      <c r="H335" s="107">
        <v>80</v>
      </c>
      <c r="I335" s="13">
        <v>45</v>
      </c>
      <c r="J335" s="13" t="s">
        <v>1294</v>
      </c>
      <c r="K335" s="50">
        <v>17</v>
      </c>
      <c r="L335" s="13" t="s">
        <v>888</v>
      </c>
      <c r="M335" s="244">
        <v>45</v>
      </c>
      <c r="N335" s="244">
        <v>4599</v>
      </c>
      <c r="O335" s="251" t="s">
        <v>1657</v>
      </c>
      <c r="P335" s="13" t="s">
        <v>1499</v>
      </c>
      <c r="Q335" s="13" t="s">
        <v>77</v>
      </c>
      <c r="R335" s="13">
        <v>4599018</v>
      </c>
      <c r="S335" s="150" t="s">
        <v>10</v>
      </c>
      <c r="T335" s="13" t="s">
        <v>1500</v>
      </c>
      <c r="U335" s="13" t="s">
        <v>77</v>
      </c>
      <c r="V335" s="13">
        <v>459901800</v>
      </c>
      <c r="W335" s="122" t="s">
        <v>1501</v>
      </c>
      <c r="X335" s="120" t="s">
        <v>8</v>
      </c>
      <c r="Y335" s="13">
        <v>5</v>
      </c>
      <c r="Z335" s="13">
        <v>5</v>
      </c>
      <c r="AA335" s="13">
        <v>5</v>
      </c>
      <c r="AB335" s="13">
        <v>5</v>
      </c>
      <c r="AC335" s="13">
        <v>5</v>
      </c>
      <c r="AD335" s="13">
        <v>5</v>
      </c>
      <c r="AE335" s="89">
        <f t="shared" si="225"/>
        <v>308233333</v>
      </c>
      <c r="AF335" s="89">
        <f t="shared" si="225"/>
        <v>247150000</v>
      </c>
      <c r="AG335" s="89">
        <f t="shared" si="225"/>
        <v>220626788</v>
      </c>
      <c r="AH335" s="89">
        <f t="shared" si="225"/>
        <v>183478788</v>
      </c>
      <c r="AI335" s="89">
        <f t="shared" si="225"/>
        <v>0</v>
      </c>
      <c r="AJ335" s="91">
        <f>153233333+155000000</f>
        <v>308233333</v>
      </c>
      <c r="AK335" s="91">
        <v>247150000</v>
      </c>
      <c r="AL335" s="91">
        <f>'[3]SGTO POAI DIC 30'!$BH$20+'[3]SGTO POAI DIC 30'!$BH$19</f>
        <v>220626788</v>
      </c>
      <c r="AM335" s="91">
        <f>'[3]SGTO POAI DIC 30'!$BI$19+'[3]SGTO POAI DIC 30'!$BI$20</f>
        <v>183478788</v>
      </c>
      <c r="AN335" s="91"/>
      <c r="AO335" s="91"/>
      <c r="AP335" s="91"/>
      <c r="AQ335" s="91"/>
      <c r="AR335" s="91"/>
      <c r="AS335" s="91"/>
      <c r="AT335" s="91"/>
      <c r="AU335" s="91"/>
      <c r="AV335" s="91"/>
      <c r="AW335" s="91"/>
      <c r="AX335" s="91"/>
      <c r="AY335" s="91"/>
      <c r="AZ335" s="91"/>
      <c r="BA335" s="91"/>
      <c r="BB335" s="91"/>
      <c r="BC335" s="91"/>
      <c r="BD335" s="91"/>
      <c r="BE335" s="91"/>
      <c r="BF335" s="91"/>
      <c r="BG335" s="91"/>
      <c r="BH335" s="91"/>
      <c r="BI335" s="91"/>
      <c r="BJ335" s="91"/>
      <c r="BK335" s="91"/>
      <c r="BL335" s="91"/>
      <c r="BM335" s="91"/>
      <c r="BN335" s="91"/>
      <c r="BO335" s="91"/>
      <c r="BP335" s="91"/>
      <c r="BQ335" s="91"/>
      <c r="BR335" s="91"/>
      <c r="BS335" s="91"/>
      <c r="BT335" s="91"/>
      <c r="BU335" s="91"/>
      <c r="BV335" s="91"/>
      <c r="BW335" s="91"/>
      <c r="BX335" s="91"/>
      <c r="BY335" s="91"/>
      <c r="BZ335" s="91"/>
      <c r="CA335" s="91"/>
      <c r="CB335" s="91"/>
      <c r="CC335" s="91"/>
      <c r="CD335" s="91"/>
      <c r="CE335" s="91"/>
      <c r="CF335" s="91"/>
      <c r="CG335" s="91"/>
      <c r="CH335" s="91">
        <f t="shared" si="226"/>
        <v>322367979</v>
      </c>
      <c r="CI335" s="91">
        <v>322367979</v>
      </c>
      <c r="CJ335" s="91"/>
      <c r="CK335" s="91"/>
      <c r="CL335" s="91"/>
      <c r="CM335" s="91"/>
      <c r="CN335" s="91"/>
      <c r="CO335" s="91"/>
      <c r="CP335" s="91"/>
      <c r="CQ335" s="91"/>
      <c r="CR335" s="91"/>
      <c r="CS335" s="91">
        <f t="shared" si="227"/>
        <v>481398436</v>
      </c>
      <c r="CT335" s="91">
        <v>481398436</v>
      </c>
      <c r="CU335" s="91"/>
      <c r="CV335" s="91"/>
      <c r="CW335" s="91"/>
      <c r="CX335" s="91"/>
      <c r="CY335" s="91"/>
      <c r="CZ335" s="91"/>
      <c r="DA335" s="91"/>
      <c r="DB335" s="91"/>
      <c r="DC335" s="91"/>
      <c r="DD335" s="91">
        <f t="shared" si="228"/>
        <v>749008325.64999998</v>
      </c>
      <c r="DE335" s="91">
        <v>749008325.64999998</v>
      </c>
      <c r="DF335" s="91"/>
      <c r="DG335" s="91"/>
      <c r="DH335" s="91"/>
      <c r="DI335" s="91"/>
      <c r="DJ335" s="91"/>
      <c r="DK335" s="91"/>
      <c r="DL335" s="91"/>
      <c r="DM335" s="91"/>
      <c r="DN335" s="92"/>
      <c r="DO335" s="93">
        <f t="shared" si="229"/>
        <v>1861008073.6500001</v>
      </c>
    </row>
    <row r="336" spans="1:119" s="225" customFormat="1" ht="110.25" customHeight="1" x14ac:dyDescent="0.2">
      <c r="A336" s="64">
        <v>4</v>
      </c>
      <c r="B336" s="256" t="s">
        <v>6</v>
      </c>
      <c r="C336" s="150" t="s">
        <v>860</v>
      </c>
      <c r="D336" s="150" t="s">
        <v>1</v>
      </c>
      <c r="E336" s="107">
        <v>71</v>
      </c>
      <c r="F336" s="13">
        <v>2018</v>
      </c>
      <c r="G336" s="59" t="s">
        <v>1487</v>
      </c>
      <c r="H336" s="107">
        <v>80</v>
      </c>
      <c r="I336" s="13">
        <v>45</v>
      </c>
      <c r="J336" s="13" t="s">
        <v>1294</v>
      </c>
      <c r="K336" s="50">
        <v>17</v>
      </c>
      <c r="L336" s="13" t="s">
        <v>888</v>
      </c>
      <c r="M336" s="244">
        <v>45</v>
      </c>
      <c r="N336" s="244">
        <v>4599</v>
      </c>
      <c r="O336" s="251" t="s">
        <v>1657</v>
      </c>
      <c r="P336" s="13" t="s">
        <v>1502</v>
      </c>
      <c r="Q336" s="13" t="s">
        <v>77</v>
      </c>
      <c r="R336" s="13">
        <v>4599023</v>
      </c>
      <c r="S336" s="150" t="s">
        <v>1579</v>
      </c>
      <c r="T336" s="13" t="s">
        <v>1503</v>
      </c>
      <c r="U336" s="13" t="s">
        <v>77</v>
      </c>
      <c r="V336" s="13">
        <v>459902301</v>
      </c>
      <c r="W336" s="122" t="s">
        <v>1504</v>
      </c>
      <c r="X336" s="120" t="s">
        <v>9</v>
      </c>
      <c r="Y336" s="13">
        <v>1</v>
      </c>
      <c r="Z336" s="150"/>
      <c r="AA336" s="150"/>
      <c r="AB336" s="120">
        <v>1</v>
      </c>
      <c r="AC336" s="150"/>
      <c r="AD336" s="150"/>
      <c r="AE336" s="89">
        <f t="shared" si="225"/>
        <v>0</v>
      </c>
      <c r="AF336" s="89">
        <f t="shared" si="225"/>
        <v>0</v>
      </c>
      <c r="AG336" s="89">
        <f t="shared" si="225"/>
        <v>0</v>
      </c>
      <c r="AH336" s="89">
        <f t="shared" si="225"/>
        <v>0</v>
      </c>
      <c r="AI336" s="89">
        <f t="shared" si="225"/>
        <v>0</v>
      </c>
      <c r="AJ336" s="91"/>
      <c r="AK336" s="91"/>
      <c r="AL336" s="91"/>
      <c r="AM336" s="91"/>
      <c r="AN336" s="91"/>
      <c r="AO336" s="91"/>
      <c r="AP336" s="91"/>
      <c r="AQ336" s="91"/>
      <c r="AR336" s="91"/>
      <c r="AS336" s="91"/>
      <c r="AT336" s="91"/>
      <c r="AU336" s="91"/>
      <c r="AV336" s="91"/>
      <c r="AW336" s="91"/>
      <c r="AX336" s="91"/>
      <c r="AY336" s="91"/>
      <c r="AZ336" s="91"/>
      <c r="BA336" s="91"/>
      <c r="BB336" s="91"/>
      <c r="BC336" s="91"/>
      <c r="BD336" s="91"/>
      <c r="BE336" s="91"/>
      <c r="BF336" s="91"/>
      <c r="BG336" s="91"/>
      <c r="BH336" s="91"/>
      <c r="BI336" s="91"/>
      <c r="BJ336" s="91"/>
      <c r="BK336" s="91"/>
      <c r="BL336" s="91"/>
      <c r="BM336" s="91"/>
      <c r="BN336" s="91"/>
      <c r="BO336" s="91"/>
      <c r="BP336" s="91"/>
      <c r="BQ336" s="91"/>
      <c r="BR336" s="91"/>
      <c r="BS336" s="91"/>
      <c r="BT336" s="91"/>
      <c r="BU336" s="91"/>
      <c r="BV336" s="91"/>
      <c r="BW336" s="91"/>
      <c r="BX336" s="91"/>
      <c r="BY336" s="91"/>
      <c r="BZ336" s="91"/>
      <c r="CA336" s="91"/>
      <c r="CB336" s="91"/>
      <c r="CC336" s="91"/>
      <c r="CD336" s="91"/>
      <c r="CE336" s="91"/>
      <c r="CF336" s="91"/>
      <c r="CG336" s="91"/>
      <c r="CH336" s="91">
        <f t="shared" si="226"/>
        <v>70000000</v>
      </c>
      <c r="CI336" s="91">
        <f>15000000+55000000</f>
        <v>70000000</v>
      </c>
      <c r="CJ336" s="91"/>
      <c r="CK336" s="91"/>
      <c r="CL336" s="91"/>
      <c r="CM336" s="91"/>
      <c r="CN336" s="91"/>
      <c r="CO336" s="91"/>
      <c r="CP336" s="91"/>
      <c r="CQ336" s="91"/>
      <c r="CR336" s="91"/>
      <c r="CS336" s="91">
        <f t="shared" si="227"/>
        <v>0</v>
      </c>
      <c r="CT336" s="91">
        <v>0</v>
      </c>
      <c r="CU336" s="91"/>
      <c r="CV336" s="91"/>
      <c r="CW336" s="91"/>
      <c r="CX336" s="91"/>
      <c r="CY336" s="91"/>
      <c r="CZ336" s="91"/>
      <c r="DA336" s="91"/>
      <c r="DB336" s="91"/>
      <c r="DC336" s="91"/>
      <c r="DD336" s="91">
        <f t="shared" si="228"/>
        <v>0</v>
      </c>
      <c r="DE336" s="91"/>
      <c r="DF336" s="91"/>
      <c r="DG336" s="91"/>
      <c r="DH336" s="91"/>
      <c r="DI336" s="91"/>
      <c r="DJ336" s="91"/>
      <c r="DK336" s="91"/>
      <c r="DL336" s="91"/>
      <c r="DM336" s="91"/>
      <c r="DN336" s="92"/>
      <c r="DO336" s="93">
        <f t="shared" si="229"/>
        <v>70000000</v>
      </c>
    </row>
    <row r="337" spans="1:123" s="225" customFormat="1" ht="110.25" customHeight="1" x14ac:dyDescent="0.2">
      <c r="A337" s="64">
        <v>4</v>
      </c>
      <c r="B337" s="256" t="s">
        <v>6</v>
      </c>
      <c r="C337" s="150" t="s">
        <v>860</v>
      </c>
      <c r="D337" s="150" t="s">
        <v>1</v>
      </c>
      <c r="E337" s="107">
        <v>71</v>
      </c>
      <c r="F337" s="13">
        <v>2018</v>
      </c>
      <c r="G337" s="59" t="s">
        <v>1487</v>
      </c>
      <c r="H337" s="107">
        <v>80</v>
      </c>
      <c r="I337" s="13">
        <v>45</v>
      </c>
      <c r="J337" s="13" t="s">
        <v>1294</v>
      </c>
      <c r="K337" s="50">
        <v>17</v>
      </c>
      <c r="L337" s="13" t="s">
        <v>888</v>
      </c>
      <c r="M337" s="244">
        <v>45</v>
      </c>
      <c r="N337" s="244">
        <v>4599</v>
      </c>
      <c r="O337" s="251" t="s">
        <v>1657</v>
      </c>
      <c r="P337" s="120" t="s">
        <v>1505</v>
      </c>
      <c r="Q337" s="13" t="s">
        <v>77</v>
      </c>
      <c r="R337" s="13">
        <v>4599029</v>
      </c>
      <c r="S337" s="150" t="s">
        <v>1506</v>
      </c>
      <c r="T337" s="120" t="s">
        <v>1507</v>
      </c>
      <c r="U337" s="13" t="s">
        <v>77</v>
      </c>
      <c r="V337" s="13">
        <v>459902900</v>
      </c>
      <c r="W337" s="122" t="s">
        <v>1508</v>
      </c>
      <c r="X337" s="120" t="s">
        <v>8</v>
      </c>
      <c r="Y337" s="13">
        <v>1</v>
      </c>
      <c r="Z337" s="120">
        <v>1</v>
      </c>
      <c r="AA337" s="120">
        <v>1</v>
      </c>
      <c r="AB337" s="120">
        <v>1</v>
      </c>
      <c r="AC337" s="120">
        <v>1</v>
      </c>
      <c r="AD337" s="120">
        <v>1</v>
      </c>
      <c r="AE337" s="89">
        <f t="shared" si="225"/>
        <v>486246103</v>
      </c>
      <c r="AF337" s="89">
        <f t="shared" si="225"/>
        <v>786246103</v>
      </c>
      <c r="AG337" s="89">
        <f t="shared" si="225"/>
        <v>745103430</v>
      </c>
      <c r="AH337" s="89">
        <f t="shared" si="225"/>
        <v>745103430</v>
      </c>
      <c r="AI337" s="89">
        <f t="shared" si="225"/>
        <v>0</v>
      </c>
      <c r="AJ337" s="91">
        <f>386246103+100000000</f>
        <v>486246103</v>
      </c>
      <c r="AK337" s="91">
        <v>786246103</v>
      </c>
      <c r="AL337" s="91">
        <v>745103430</v>
      </c>
      <c r="AM337" s="91">
        <v>745103430</v>
      </c>
      <c r="AN337" s="91"/>
      <c r="AO337" s="91"/>
      <c r="AP337" s="91"/>
      <c r="AQ337" s="91"/>
      <c r="AR337" s="91"/>
      <c r="AS337" s="91"/>
      <c r="AT337" s="91"/>
      <c r="AU337" s="91"/>
      <c r="AV337" s="91"/>
      <c r="AW337" s="91"/>
      <c r="AX337" s="91"/>
      <c r="AY337" s="91"/>
      <c r="AZ337" s="91"/>
      <c r="BA337" s="91"/>
      <c r="BB337" s="91"/>
      <c r="BC337" s="91"/>
      <c r="BD337" s="91"/>
      <c r="BE337" s="91"/>
      <c r="BF337" s="91"/>
      <c r="BG337" s="91"/>
      <c r="BH337" s="91"/>
      <c r="BI337" s="91"/>
      <c r="BJ337" s="91"/>
      <c r="BK337" s="91"/>
      <c r="BL337" s="91"/>
      <c r="BM337" s="91"/>
      <c r="BN337" s="91"/>
      <c r="BO337" s="91"/>
      <c r="BP337" s="91"/>
      <c r="BQ337" s="91"/>
      <c r="BR337" s="91"/>
      <c r="BS337" s="91"/>
      <c r="BT337" s="91"/>
      <c r="BU337" s="91"/>
      <c r="BV337" s="91"/>
      <c r="BW337" s="91"/>
      <c r="BX337" s="91"/>
      <c r="BY337" s="91"/>
      <c r="BZ337" s="91"/>
      <c r="CA337" s="91"/>
      <c r="CB337" s="91"/>
      <c r="CC337" s="91"/>
      <c r="CD337" s="91"/>
      <c r="CE337" s="91"/>
      <c r="CF337" s="91"/>
      <c r="CG337" s="91"/>
      <c r="CH337" s="91">
        <f t="shared" si="226"/>
        <v>328096233</v>
      </c>
      <c r="CI337" s="91">
        <f>358096233+70000000-100000000</f>
        <v>328096233</v>
      </c>
      <c r="CJ337" s="91"/>
      <c r="CK337" s="91"/>
      <c r="CL337" s="91"/>
      <c r="CM337" s="91"/>
      <c r="CN337" s="91"/>
      <c r="CO337" s="91"/>
      <c r="CP337" s="91"/>
      <c r="CQ337" s="91"/>
      <c r="CR337" s="91"/>
      <c r="CS337" s="91">
        <f t="shared" si="227"/>
        <v>613282173.30999994</v>
      </c>
      <c r="CT337" s="91">
        <v>613282173.30999994</v>
      </c>
      <c r="CU337" s="91"/>
      <c r="CV337" s="91"/>
      <c r="CW337" s="91"/>
      <c r="CX337" s="91"/>
      <c r="CY337" s="91"/>
      <c r="CZ337" s="91"/>
      <c r="DA337" s="91"/>
      <c r="DB337" s="91"/>
      <c r="DC337" s="91"/>
      <c r="DD337" s="91">
        <f t="shared" si="228"/>
        <v>954703257</v>
      </c>
      <c r="DE337" s="91">
        <v>954703257</v>
      </c>
      <c r="DF337" s="91"/>
      <c r="DG337" s="91"/>
      <c r="DH337" s="91"/>
      <c r="DI337" s="91"/>
      <c r="DJ337" s="91"/>
      <c r="DK337" s="91"/>
      <c r="DL337" s="91"/>
      <c r="DM337" s="91"/>
      <c r="DN337" s="92"/>
      <c r="DO337" s="93">
        <f t="shared" si="229"/>
        <v>2382327766.3099999</v>
      </c>
    </row>
    <row r="338" spans="1:123" s="225" customFormat="1" ht="283.5" customHeight="1" x14ac:dyDescent="0.2">
      <c r="A338" s="64">
        <v>4</v>
      </c>
      <c r="B338" s="256" t="s">
        <v>6</v>
      </c>
      <c r="C338" s="150" t="s">
        <v>860</v>
      </c>
      <c r="D338" s="150" t="s">
        <v>1</v>
      </c>
      <c r="E338" s="107">
        <v>71</v>
      </c>
      <c r="F338" s="13">
        <v>2018</v>
      </c>
      <c r="G338" s="59" t="s">
        <v>1487</v>
      </c>
      <c r="H338" s="107">
        <v>80</v>
      </c>
      <c r="I338" s="13">
        <v>45</v>
      </c>
      <c r="J338" s="13" t="s">
        <v>1294</v>
      </c>
      <c r="K338" s="50">
        <v>17</v>
      </c>
      <c r="L338" s="13" t="s">
        <v>888</v>
      </c>
      <c r="M338" s="244">
        <v>45</v>
      </c>
      <c r="N338" s="244">
        <v>4599</v>
      </c>
      <c r="O338" s="251" t="s">
        <v>1657</v>
      </c>
      <c r="P338" s="120" t="s">
        <v>1509</v>
      </c>
      <c r="Q338" s="13" t="s">
        <v>77</v>
      </c>
      <c r="R338" s="13">
        <v>4599023</v>
      </c>
      <c r="S338" s="150" t="s">
        <v>145</v>
      </c>
      <c r="T338" s="120" t="s">
        <v>1510</v>
      </c>
      <c r="U338" s="13" t="s">
        <v>77</v>
      </c>
      <c r="V338" s="13">
        <v>459902304</v>
      </c>
      <c r="W338" s="122" t="s">
        <v>1672</v>
      </c>
      <c r="X338" s="120" t="s">
        <v>8</v>
      </c>
      <c r="Y338" s="13">
        <v>1</v>
      </c>
      <c r="Z338" s="120">
        <v>1</v>
      </c>
      <c r="AA338" s="120">
        <v>1</v>
      </c>
      <c r="AB338" s="120">
        <v>1</v>
      </c>
      <c r="AC338" s="120">
        <v>1</v>
      </c>
      <c r="AD338" s="120">
        <v>1</v>
      </c>
      <c r="AE338" s="89">
        <f t="shared" si="225"/>
        <v>255021326</v>
      </c>
      <c r="AF338" s="89">
        <f t="shared" si="225"/>
        <v>255021326</v>
      </c>
      <c r="AG338" s="89">
        <f t="shared" si="225"/>
        <v>209417831.32999998</v>
      </c>
      <c r="AH338" s="89">
        <f t="shared" si="225"/>
        <v>209417831.32999998</v>
      </c>
      <c r="AI338" s="89">
        <f t="shared" si="225"/>
        <v>0</v>
      </c>
      <c r="AJ338" s="91">
        <v>255021326</v>
      </c>
      <c r="AK338" s="91">
        <v>255021326</v>
      </c>
      <c r="AL338" s="91">
        <v>209417831.32999998</v>
      </c>
      <c r="AM338" s="91">
        <v>209417831.32999998</v>
      </c>
      <c r="AN338" s="91"/>
      <c r="AO338" s="91"/>
      <c r="AP338" s="91"/>
      <c r="AQ338" s="91"/>
      <c r="AR338" s="91"/>
      <c r="AS338" s="91"/>
      <c r="AT338" s="91"/>
      <c r="AU338" s="91"/>
      <c r="AV338" s="91"/>
      <c r="AW338" s="91"/>
      <c r="AX338" s="91"/>
      <c r="AY338" s="91"/>
      <c r="AZ338" s="91"/>
      <c r="BA338" s="91"/>
      <c r="BB338" s="91"/>
      <c r="BC338" s="91"/>
      <c r="BD338" s="91"/>
      <c r="BE338" s="91"/>
      <c r="BF338" s="91"/>
      <c r="BG338" s="91"/>
      <c r="BH338" s="91"/>
      <c r="BI338" s="91"/>
      <c r="BJ338" s="91"/>
      <c r="BK338" s="91"/>
      <c r="BL338" s="91"/>
      <c r="BM338" s="91"/>
      <c r="BN338" s="91"/>
      <c r="BO338" s="91"/>
      <c r="BP338" s="91"/>
      <c r="BQ338" s="91"/>
      <c r="BR338" s="91"/>
      <c r="BS338" s="91"/>
      <c r="BT338" s="91"/>
      <c r="BU338" s="91"/>
      <c r="BV338" s="91"/>
      <c r="BW338" s="91"/>
      <c r="BX338" s="91"/>
      <c r="BY338" s="91"/>
      <c r="BZ338" s="91"/>
      <c r="CA338" s="91"/>
      <c r="CB338" s="91"/>
      <c r="CC338" s="91"/>
      <c r="CD338" s="91"/>
      <c r="CE338" s="91"/>
      <c r="CF338" s="91"/>
      <c r="CG338" s="91"/>
      <c r="CH338" s="91">
        <f t="shared" si="226"/>
        <v>253469814.19999999</v>
      </c>
      <c r="CI338" s="91">
        <f>153469814.2+100000000</f>
        <v>253469814.19999999</v>
      </c>
      <c r="CJ338" s="91"/>
      <c r="CK338" s="91"/>
      <c r="CL338" s="91"/>
      <c r="CM338" s="91"/>
      <c r="CN338" s="91"/>
      <c r="CO338" s="91"/>
      <c r="CP338" s="91"/>
      <c r="CQ338" s="91"/>
      <c r="CR338" s="91"/>
      <c r="CS338" s="91">
        <f t="shared" si="227"/>
        <v>362835217</v>
      </c>
      <c r="CT338" s="91">
        <f>262835217+100000000</f>
        <v>362835217</v>
      </c>
      <c r="CU338" s="91"/>
      <c r="CV338" s="91"/>
      <c r="CW338" s="91"/>
      <c r="CX338" s="91"/>
      <c r="CY338" s="91"/>
      <c r="CZ338" s="91"/>
      <c r="DA338" s="91"/>
      <c r="DB338" s="91"/>
      <c r="DC338" s="91"/>
      <c r="DD338" s="91">
        <f t="shared" si="228"/>
        <v>409158539</v>
      </c>
      <c r="DE338" s="91">
        <v>409158539</v>
      </c>
      <c r="DF338" s="91"/>
      <c r="DG338" s="91"/>
      <c r="DH338" s="91"/>
      <c r="DI338" s="91"/>
      <c r="DJ338" s="91"/>
      <c r="DK338" s="91"/>
      <c r="DL338" s="91"/>
      <c r="DM338" s="91"/>
      <c r="DN338" s="92"/>
      <c r="DO338" s="93">
        <f t="shared" si="229"/>
        <v>1280484896.2</v>
      </c>
    </row>
    <row r="339" spans="1:123" s="225" customFormat="1" ht="236.25" customHeight="1" x14ac:dyDescent="0.2">
      <c r="A339" s="64">
        <v>4</v>
      </c>
      <c r="B339" s="256" t="s">
        <v>6</v>
      </c>
      <c r="C339" s="150" t="s">
        <v>860</v>
      </c>
      <c r="D339" s="150" t="s">
        <v>1</v>
      </c>
      <c r="E339" s="107">
        <v>71</v>
      </c>
      <c r="F339" s="13">
        <v>2018</v>
      </c>
      <c r="G339" s="59" t="s">
        <v>1487</v>
      </c>
      <c r="H339" s="107">
        <v>80</v>
      </c>
      <c r="I339" s="13">
        <v>45</v>
      </c>
      <c r="J339" s="13" t="s">
        <v>1294</v>
      </c>
      <c r="K339" s="50">
        <v>17</v>
      </c>
      <c r="L339" s="13" t="s">
        <v>888</v>
      </c>
      <c r="M339" s="244">
        <v>45</v>
      </c>
      <c r="N339" s="244">
        <v>4599</v>
      </c>
      <c r="O339" s="251" t="s">
        <v>1657</v>
      </c>
      <c r="P339" s="120" t="s">
        <v>1511</v>
      </c>
      <c r="Q339" s="13" t="s">
        <v>77</v>
      </c>
      <c r="R339" s="13">
        <v>4599002</v>
      </c>
      <c r="S339" s="150" t="s">
        <v>3</v>
      </c>
      <c r="T339" s="120" t="s">
        <v>1512</v>
      </c>
      <c r="U339" s="13" t="s">
        <v>77</v>
      </c>
      <c r="V339" s="13">
        <v>459900200</v>
      </c>
      <c r="W339" s="122" t="s">
        <v>1513</v>
      </c>
      <c r="X339" s="120" t="s">
        <v>8</v>
      </c>
      <c r="Y339" s="13">
        <v>4</v>
      </c>
      <c r="Z339" s="13">
        <v>4</v>
      </c>
      <c r="AA339" s="13">
        <v>4</v>
      </c>
      <c r="AB339" s="13">
        <v>4</v>
      </c>
      <c r="AC339" s="13">
        <v>4</v>
      </c>
      <c r="AD339" s="13">
        <v>4</v>
      </c>
      <c r="AE339" s="89">
        <f t="shared" si="225"/>
        <v>31000000</v>
      </c>
      <c r="AF339" s="89">
        <f>AK339+AP339+AU339+AZ339+BE339+BJ339+BO339+BT339+BY339+CD339</f>
        <v>15702140</v>
      </c>
      <c r="AG339" s="89">
        <f t="shared" si="225"/>
        <v>15679999</v>
      </c>
      <c r="AH339" s="89">
        <f t="shared" si="225"/>
        <v>15679999</v>
      </c>
      <c r="AI339" s="89">
        <f t="shared" si="225"/>
        <v>0</v>
      </c>
      <c r="AJ339" s="91">
        <v>31000000</v>
      </c>
      <c r="AK339" s="91">
        <v>15702140</v>
      </c>
      <c r="AL339" s="91">
        <v>15679999</v>
      </c>
      <c r="AM339" s="91">
        <v>15679999</v>
      </c>
      <c r="AN339" s="91"/>
      <c r="AO339" s="91"/>
      <c r="AP339" s="91"/>
      <c r="AQ339" s="91"/>
      <c r="AR339" s="91"/>
      <c r="AS339" s="91"/>
      <c r="AT339" s="91"/>
      <c r="AU339" s="91"/>
      <c r="AV339" s="91"/>
      <c r="AW339" s="91"/>
      <c r="AX339" s="91"/>
      <c r="AY339" s="91"/>
      <c r="AZ339" s="91"/>
      <c r="BA339" s="91"/>
      <c r="BB339" s="91"/>
      <c r="BC339" s="91"/>
      <c r="BD339" s="91"/>
      <c r="BE339" s="91"/>
      <c r="BF339" s="91"/>
      <c r="BG339" s="91"/>
      <c r="BH339" s="91"/>
      <c r="BI339" s="91"/>
      <c r="BJ339" s="91"/>
      <c r="BK339" s="91"/>
      <c r="BL339" s="91"/>
      <c r="BM339" s="91"/>
      <c r="BN339" s="91"/>
      <c r="BO339" s="91"/>
      <c r="BP339" s="91"/>
      <c r="BQ339" s="91"/>
      <c r="BR339" s="91"/>
      <c r="BS339" s="91"/>
      <c r="BT339" s="91"/>
      <c r="BU339" s="91"/>
      <c r="BV339" s="91"/>
      <c r="BW339" s="91"/>
      <c r="BX339" s="91"/>
      <c r="BY339" s="91"/>
      <c r="BZ339" s="91"/>
      <c r="CA339" s="91"/>
      <c r="CB339" s="91"/>
      <c r="CC339" s="91"/>
      <c r="CD339" s="91"/>
      <c r="CE339" s="91"/>
      <c r="CF339" s="91"/>
      <c r="CG339" s="91"/>
      <c r="CH339" s="91">
        <f t="shared" si="226"/>
        <v>50800000</v>
      </c>
      <c r="CI339" s="91">
        <f>25800000+25000000</f>
        <v>50800000</v>
      </c>
      <c r="CJ339" s="91"/>
      <c r="CK339" s="91"/>
      <c r="CL339" s="91"/>
      <c r="CM339" s="91"/>
      <c r="CN339" s="91"/>
      <c r="CO339" s="91"/>
      <c r="CP339" s="91"/>
      <c r="CQ339" s="91"/>
      <c r="CR339" s="91"/>
      <c r="CS339" s="91">
        <f t="shared" si="227"/>
        <v>71842767</v>
      </c>
      <c r="CT339" s="91">
        <v>71842767</v>
      </c>
      <c r="CU339" s="91"/>
      <c r="CV339" s="91"/>
      <c r="CW339" s="91"/>
      <c r="CX339" s="91"/>
      <c r="CY339" s="91"/>
      <c r="CZ339" s="91"/>
      <c r="DA339" s="91"/>
      <c r="DB339" s="91"/>
      <c r="DC339" s="91"/>
      <c r="DD339" s="91">
        <f t="shared" si="228"/>
        <v>140000000</v>
      </c>
      <c r="DE339" s="91">
        <v>140000000</v>
      </c>
      <c r="DF339" s="91"/>
      <c r="DG339" s="91"/>
      <c r="DH339" s="91"/>
      <c r="DI339" s="91"/>
      <c r="DJ339" s="91"/>
      <c r="DK339" s="91"/>
      <c r="DL339" s="91"/>
      <c r="DM339" s="91"/>
      <c r="DN339" s="92"/>
      <c r="DO339" s="93">
        <f t="shared" si="229"/>
        <v>293642767</v>
      </c>
    </row>
    <row r="340" spans="1:123" s="225" customFormat="1" ht="157.5" customHeight="1" x14ac:dyDescent="0.2">
      <c r="A340" s="64">
        <v>4</v>
      </c>
      <c r="B340" s="256" t="s">
        <v>6</v>
      </c>
      <c r="C340" s="150" t="s">
        <v>860</v>
      </c>
      <c r="D340" s="150" t="s">
        <v>1</v>
      </c>
      <c r="E340" s="107">
        <v>71</v>
      </c>
      <c r="F340" s="13">
        <v>2018</v>
      </c>
      <c r="G340" s="59" t="s">
        <v>1487</v>
      </c>
      <c r="H340" s="107">
        <v>80</v>
      </c>
      <c r="I340" s="13">
        <v>45</v>
      </c>
      <c r="J340" s="13" t="s">
        <v>1294</v>
      </c>
      <c r="K340" s="50">
        <v>17</v>
      </c>
      <c r="L340" s="13" t="s">
        <v>888</v>
      </c>
      <c r="M340" s="244">
        <v>45</v>
      </c>
      <c r="N340" s="244">
        <v>4599</v>
      </c>
      <c r="O340" s="251" t="s">
        <v>1657</v>
      </c>
      <c r="P340" s="183" t="s">
        <v>1514</v>
      </c>
      <c r="Q340" s="13" t="s">
        <v>77</v>
      </c>
      <c r="R340" s="13">
        <v>4599016</v>
      </c>
      <c r="S340" s="150" t="s">
        <v>1515</v>
      </c>
      <c r="T340" s="120" t="s">
        <v>1516</v>
      </c>
      <c r="U340" s="13" t="s">
        <v>77</v>
      </c>
      <c r="V340" s="13">
        <v>459901600</v>
      </c>
      <c r="W340" s="122" t="s">
        <v>1517</v>
      </c>
      <c r="X340" s="120" t="s">
        <v>8</v>
      </c>
      <c r="Y340" s="13">
        <v>4</v>
      </c>
      <c r="Z340" s="13">
        <v>4</v>
      </c>
      <c r="AA340" s="13">
        <f>3+16</f>
        <v>19</v>
      </c>
      <c r="AB340" s="13">
        <v>4</v>
      </c>
      <c r="AC340" s="13">
        <v>4</v>
      </c>
      <c r="AD340" s="13">
        <v>4</v>
      </c>
      <c r="AE340" s="89">
        <f t="shared" si="225"/>
        <v>261850512.58000001</v>
      </c>
      <c r="AF340" s="89">
        <f t="shared" si="225"/>
        <v>261850512.58000001</v>
      </c>
      <c r="AG340" s="89">
        <f t="shared" si="225"/>
        <v>199886841</v>
      </c>
      <c r="AH340" s="89">
        <f t="shared" si="225"/>
        <v>199886841</v>
      </c>
      <c r="AI340" s="89">
        <f t="shared" si="225"/>
        <v>0</v>
      </c>
      <c r="AJ340" s="91">
        <v>12013864.58</v>
      </c>
      <c r="AK340" s="91">
        <v>12013864.58</v>
      </c>
      <c r="AL340" s="91">
        <v>10826666</v>
      </c>
      <c r="AM340" s="91">
        <v>10826666</v>
      </c>
      <c r="AN340" s="91"/>
      <c r="AO340" s="91"/>
      <c r="AP340" s="91"/>
      <c r="AQ340" s="91"/>
      <c r="AR340" s="91"/>
      <c r="AS340" s="91"/>
      <c r="AT340" s="91"/>
      <c r="AU340" s="91"/>
      <c r="AV340" s="91"/>
      <c r="AW340" s="91"/>
      <c r="AX340" s="91"/>
      <c r="AY340" s="91"/>
      <c r="AZ340" s="91"/>
      <c r="BA340" s="91"/>
      <c r="BB340" s="91"/>
      <c r="BC340" s="91"/>
      <c r="BD340" s="91"/>
      <c r="BE340" s="91"/>
      <c r="BF340" s="91"/>
      <c r="BG340" s="91"/>
      <c r="BH340" s="91"/>
      <c r="BI340" s="91"/>
      <c r="BJ340" s="91"/>
      <c r="BK340" s="91"/>
      <c r="BL340" s="91"/>
      <c r="BM340" s="91"/>
      <c r="BN340" s="91"/>
      <c r="BO340" s="91"/>
      <c r="BP340" s="91"/>
      <c r="BQ340" s="91"/>
      <c r="BR340" s="91"/>
      <c r="BS340" s="91"/>
      <c r="BT340" s="91"/>
      <c r="BU340" s="91"/>
      <c r="BV340" s="91"/>
      <c r="BW340" s="91"/>
      <c r="BX340" s="91"/>
      <c r="BY340" s="91"/>
      <c r="BZ340" s="91"/>
      <c r="CA340" s="91"/>
      <c r="CB340" s="91"/>
      <c r="CC340" s="91">
        <f>60660648+189176000</f>
        <v>249836648</v>
      </c>
      <c r="CD340" s="91">
        <f>60660648+189176000</f>
        <v>249836648</v>
      </c>
      <c r="CE340" s="91">
        <v>189060175</v>
      </c>
      <c r="CF340" s="91">
        <v>189060175</v>
      </c>
      <c r="CG340" s="91"/>
      <c r="CH340" s="91">
        <f t="shared" si="226"/>
        <v>214923743.75999999</v>
      </c>
      <c r="CI340" s="91">
        <v>28500000</v>
      </c>
      <c r="CJ340" s="91">
        <v>186423743.75999999</v>
      </c>
      <c r="CK340" s="91"/>
      <c r="CL340" s="91"/>
      <c r="CM340" s="91"/>
      <c r="CN340" s="91"/>
      <c r="CO340" s="91"/>
      <c r="CP340" s="91"/>
      <c r="CQ340" s="91"/>
      <c r="CR340" s="91"/>
      <c r="CS340" s="91">
        <f t="shared" si="227"/>
        <v>264273512.91</v>
      </c>
      <c r="CT340" s="91">
        <v>48255000</v>
      </c>
      <c r="CU340" s="91">
        <v>216018512.91</v>
      </c>
      <c r="CV340" s="91"/>
      <c r="CW340" s="91"/>
      <c r="CX340" s="91"/>
      <c r="CY340" s="91"/>
      <c r="CZ340" s="91"/>
      <c r="DA340" s="91"/>
      <c r="DB340" s="91"/>
      <c r="DC340" s="130"/>
      <c r="DD340" s="91">
        <f t="shared" si="228"/>
        <v>16680620807.055555</v>
      </c>
      <c r="DE340" s="91">
        <v>58398000</v>
      </c>
      <c r="DF340" s="91">
        <v>247221187.055556</v>
      </c>
      <c r="DG340" s="91"/>
      <c r="DH340" s="91"/>
      <c r="DI340" s="91"/>
      <c r="DJ340" s="91"/>
      <c r="DK340" s="91">
        <v>16375001620</v>
      </c>
      <c r="DL340" s="91"/>
      <c r="DM340" s="91"/>
      <c r="DN340" s="92"/>
      <c r="DO340" s="93">
        <f t="shared" si="229"/>
        <v>17421668576.305557</v>
      </c>
    </row>
    <row r="341" spans="1:123" s="225" customFormat="1" ht="141.75" customHeight="1" x14ac:dyDescent="0.2">
      <c r="A341" s="64">
        <v>4</v>
      </c>
      <c r="B341" s="256" t="s">
        <v>6</v>
      </c>
      <c r="C341" s="150" t="s">
        <v>860</v>
      </c>
      <c r="D341" s="59" t="s">
        <v>1533</v>
      </c>
      <c r="E341" s="111">
        <v>74.680000000000007</v>
      </c>
      <c r="F341" s="13">
        <v>2017</v>
      </c>
      <c r="G341" s="59" t="s">
        <v>1487</v>
      </c>
      <c r="H341" s="55">
        <v>75</v>
      </c>
      <c r="I341" s="13">
        <v>45</v>
      </c>
      <c r="J341" s="13" t="s">
        <v>1294</v>
      </c>
      <c r="K341" s="50">
        <v>17</v>
      </c>
      <c r="L341" s="13" t="s">
        <v>888</v>
      </c>
      <c r="M341" s="244">
        <v>45</v>
      </c>
      <c r="N341" s="244">
        <v>4599</v>
      </c>
      <c r="O341" s="251" t="s">
        <v>1657</v>
      </c>
      <c r="P341" s="120" t="s">
        <v>1537</v>
      </c>
      <c r="Q341" s="13" t="s">
        <v>77</v>
      </c>
      <c r="R341" s="13">
        <v>4599002</v>
      </c>
      <c r="S341" s="150" t="s">
        <v>18</v>
      </c>
      <c r="T341" s="120" t="s">
        <v>1538</v>
      </c>
      <c r="U341" s="13" t="s">
        <v>77</v>
      </c>
      <c r="V341" s="13">
        <v>459900200</v>
      </c>
      <c r="W341" s="122" t="s">
        <v>1539</v>
      </c>
      <c r="X341" s="120" t="s">
        <v>8</v>
      </c>
      <c r="Y341" s="13">
        <v>1</v>
      </c>
      <c r="Z341" s="13">
        <v>1</v>
      </c>
      <c r="AA341" s="13">
        <v>1</v>
      </c>
      <c r="AB341" s="13">
        <v>1</v>
      </c>
      <c r="AC341" s="13">
        <v>1</v>
      </c>
      <c r="AD341" s="13">
        <v>1</v>
      </c>
      <c r="AE341" s="89">
        <f t="shared" si="225"/>
        <v>570864000</v>
      </c>
      <c r="AF341" s="89">
        <f t="shared" si="225"/>
        <v>390864000</v>
      </c>
      <c r="AG341" s="89">
        <f t="shared" si="225"/>
        <v>338985627</v>
      </c>
      <c r="AH341" s="89">
        <f t="shared" si="225"/>
        <v>338985627</v>
      </c>
      <c r="AI341" s="89">
        <f t="shared" si="225"/>
        <v>0</v>
      </c>
      <c r="AJ341" s="91">
        <f>270864000+300000000</f>
        <v>570864000</v>
      </c>
      <c r="AK341" s="49">
        <f>'[4]Metas Producto F-PLA-47'!$Q$20+'[4]Metas Producto F-PLA-47'!$Q$21+'[4]Metas Producto F-PLA-47'!$Q$22</f>
        <v>390864000</v>
      </c>
      <c r="AL341" s="49">
        <v>338985627</v>
      </c>
      <c r="AM341" s="49">
        <v>338985627</v>
      </c>
      <c r="AN341" s="91"/>
      <c r="AO341" s="91"/>
      <c r="AP341" s="91"/>
      <c r="AQ341" s="91"/>
      <c r="AR341" s="91"/>
      <c r="AS341" s="91"/>
      <c r="AT341" s="91"/>
      <c r="AU341" s="91"/>
      <c r="AV341" s="91"/>
      <c r="AW341" s="91"/>
      <c r="AX341" s="91"/>
      <c r="AY341" s="91"/>
      <c r="AZ341" s="91"/>
      <c r="BA341" s="91"/>
      <c r="BB341" s="91"/>
      <c r="BC341" s="91"/>
      <c r="BD341" s="91"/>
      <c r="BE341" s="91"/>
      <c r="BF341" s="91"/>
      <c r="BG341" s="91"/>
      <c r="BH341" s="91"/>
      <c r="BI341" s="91"/>
      <c r="BJ341" s="91"/>
      <c r="BK341" s="91"/>
      <c r="BL341" s="91"/>
      <c r="BM341" s="91"/>
      <c r="BN341" s="91"/>
      <c r="BO341" s="91"/>
      <c r="BP341" s="91"/>
      <c r="BQ341" s="91"/>
      <c r="BR341" s="91"/>
      <c r="BS341" s="91"/>
      <c r="BT341" s="91"/>
      <c r="BU341" s="91"/>
      <c r="BV341" s="91"/>
      <c r="BW341" s="91"/>
      <c r="BX341" s="91"/>
      <c r="BY341" s="91"/>
      <c r="BZ341" s="91"/>
      <c r="CA341" s="91"/>
      <c r="CB341" s="91"/>
      <c r="CC341" s="91"/>
      <c r="CD341" s="91"/>
      <c r="CE341" s="91"/>
      <c r="CF341" s="91"/>
      <c r="CG341" s="91"/>
      <c r="CH341" s="91">
        <f t="shared" si="226"/>
        <v>270864000</v>
      </c>
      <c r="CI341" s="91">
        <v>270864000</v>
      </c>
      <c r="CJ341" s="91"/>
      <c r="CK341" s="91"/>
      <c r="CL341" s="91"/>
      <c r="CM341" s="91"/>
      <c r="CN341" s="91"/>
      <c r="CO341" s="91"/>
      <c r="CP341" s="91"/>
      <c r="CQ341" s="91"/>
      <c r="CR341" s="91"/>
      <c r="CS341" s="91">
        <f t="shared" si="227"/>
        <v>1449710257.365</v>
      </c>
      <c r="CT341" s="91">
        <v>1449710257.365</v>
      </c>
      <c r="CU341" s="91"/>
      <c r="CV341" s="91"/>
      <c r="CW341" s="91"/>
      <c r="CX341" s="91"/>
      <c r="CY341" s="91"/>
      <c r="CZ341" s="91"/>
      <c r="DA341" s="91"/>
      <c r="DB341" s="91"/>
      <c r="DC341" s="91"/>
      <c r="DD341" s="91">
        <f t="shared" si="228"/>
        <v>200602690.97999999</v>
      </c>
      <c r="DE341" s="91">
        <v>200602690.97999999</v>
      </c>
      <c r="DF341" s="91"/>
      <c r="DG341" s="91"/>
      <c r="DH341" s="91"/>
      <c r="DI341" s="91"/>
      <c r="DJ341" s="91"/>
      <c r="DK341" s="91"/>
      <c r="DL341" s="91"/>
      <c r="DM341" s="91"/>
      <c r="DN341" s="92"/>
      <c r="DO341" s="93">
        <f t="shared" si="229"/>
        <v>2492040948.3449998</v>
      </c>
    </row>
    <row r="342" spans="1:123" s="225" customFormat="1" ht="165" x14ac:dyDescent="0.2">
      <c r="A342" s="64">
        <v>4</v>
      </c>
      <c r="B342" s="256" t="s">
        <v>6</v>
      </c>
      <c r="C342" s="150" t="s">
        <v>860</v>
      </c>
      <c r="D342" s="150" t="s">
        <v>11</v>
      </c>
      <c r="E342" s="111">
        <v>59.5</v>
      </c>
      <c r="F342" s="13">
        <v>2018</v>
      </c>
      <c r="G342" s="59" t="s">
        <v>1487</v>
      </c>
      <c r="H342" s="107">
        <v>65</v>
      </c>
      <c r="I342" s="13">
        <v>45</v>
      </c>
      <c r="J342" s="13" t="s">
        <v>1294</v>
      </c>
      <c r="K342" s="50">
        <v>17</v>
      </c>
      <c r="L342" s="13" t="s">
        <v>888</v>
      </c>
      <c r="M342" s="244">
        <v>45</v>
      </c>
      <c r="N342" s="244">
        <v>4599</v>
      </c>
      <c r="O342" s="251" t="s">
        <v>1657</v>
      </c>
      <c r="P342" s="120" t="s">
        <v>1518</v>
      </c>
      <c r="Q342" s="13" t="s">
        <v>77</v>
      </c>
      <c r="R342" s="13">
        <v>4599031</v>
      </c>
      <c r="S342" s="150" t="s">
        <v>1519</v>
      </c>
      <c r="T342" s="120" t="s">
        <v>1520</v>
      </c>
      <c r="U342" s="13" t="s">
        <v>77</v>
      </c>
      <c r="V342" s="13">
        <v>459903101</v>
      </c>
      <c r="W342" s="122" t="s">
        <v>1521</v>
      </c>
      <c r="X342" s="120" t="s">
        <v>8</v>
      </c>
      <c r="Y342" s="13">
        <v>12</v>
      </c>
      <c r="Z342" s="13">
        <v>12</v>
      </c>
      <c r="AA342" s="13">
        <v>12</v>
      </c>
      <c r="AB342" s="13">
        <v>12</v>
      </c>
      <c r="AC342" s="13">
        <v>12</v>
      </c>
      <c r="AD342" s="13">
        <v>12</v>
      </c>
      <c r="AE342" s="89">
        <f t="shared" si="225"/>
        <v>15000000</v>
      </c>
      <c r="AF342" s="89">
        <f t="shared" si="225"/>
        <v>15000000</v>
      </c>
      <c r="AG342" s="89">
        <f>AL342+AQ342+AV342+BA342+BF342+BK342+BP342+BU342+BZ342+CE342</f>
        <v>10500000</v>
      </c>
      <c r="AH342" s="89">
        <f t="shared" si="225"/>
        <v>10500000</v>
      </c>
      <c r="AI342" s="89">
        <f t="shared" si="225"/>
        <v>0</v>
      </c>
      <c r="AJ342" s="91">
        <v>15000000</v>
      </c>
      <c r="AK342" s="91">
        <v>15000000</v>
      </c>
      <c r="AL342" s="91">
        <v>10500000</v>
      </c>
      <c r="AM342" s="91">
        <v>10500000</v>
      </c>
      <c r="AN342" s="91"/>
      <c r="AO342" s="91"/>
      <c r="AP342" s="91"/>
      <c r="AQ342" s="91"/>
      <c r="AR342" s="91"/>
      <c r="AS342" s="91"/>
      <c r="AT342" s="91"/>
      <c r="AU342" s="91"/>
      <c r="AV342" s="91"/>
      <c r="AW342" s="91"/>
      <c r="AX342" s="91"/>
      <c r="AY342" s="91"/>
      <c r="AZ342" s="91"/>
      <c r="BA342" s="91"/>
      <c r="BB342" s="91"/>
      <c r="BC342" s="91"/>
      <c r="BD342" s="91"/>
      <c r="BE342" s="91"/>
      <c r="BF342" s="91"/>
      <c r="BG342" s="91"/>
      <c r="BH342" s="91"/>
      <c r="BI342" s="91"/>
      <c r="BJ342" s="91"/>
      <c r="BK342" s="91"/>
      <c r="BL342" s="91"/>
      <c r="BM342" s="91"/>
      <c r="BN342" s="91"/>
      <c r="BO342" s="91"/>
      <c r="BP342" s="91"/>
      <c r="BQ342" s="91"/>
      <c r="BR342" s="91"/>
      <c r="BS342" s="91"/>
      <c r="BT342" s="91"/>
      <c r="BU342" s="91"/>
      <c r="BV342" s="91"/>
      <c r="BW342" s="91"/>
      <c r="BX342" s="91"/>
      <c r="BY342" s="91"/>
      <c r="BZ342" s="91"/>
      <c r="CA342" s="91"/>
      <c r="CB342" s="91"/>
      <c r="CC342" s="91"/>
      <c r="CD342" s="91"/>
      <c r="CE342" s="91"/>
      <c r="CF342" s="91"/>
      <c r="CG342" s="91"/>
      <c r="CH342" s="91">
        <f t="shared" si="226"/>
        <v>30000000</v>
      </c>
      <c r="CI342" s="91">
        <v>30000000</v>
      </c>
      <c r="CJ342" s="91"/>
      <c r="CK342" s="91"/>
      <c r="CL342" s="91"/>
      <c r="CM342" s="91"/>
      <c r="CN342" s="91"/>
      <c r="CO342" s="91"/>
      <c r="CP342" s="91"/>
      <c r="CQ342" s="91"/>
      <c r="CR342" s="91"/>
      <c r="CS342" s="91">
        <f t="shared" si="227"/>
        <v>36000000</v>
      </c>
      <c r="CT342" s="91">
        <v>36000000</v>
      </c>
      <c r="CU342" s="91"/>
      <c r="CV342" s="91"/>
      <c r="CW342" s="91"/>
      <c r="CX342" s="91"/>
      <c r="CY342" s="91"/>
      <c r="CZ342" s="91"/>
      <c r="DA342" s="91"/>
      <c r="DB342" s="91"/>
      <c r="DC342" s="91"/>
      <c r="DD342" s="91">
        <f t="shared" si="228"/>
        <v>0</v>
      </c>
      <c r="DE342" s="91"/>
      <c r="DF342" s="91"/>
      <c r="DG342" s="91"/>
      <c r="DH342" s="91"/>
      <c r="DI342" s="91"/>
      <c r="DJ342" s="91"/>
      <c r="DK342" s="91"/>
      <c r="DL342" s="91"/>
      <c r="DM342" s="91"/>
      <c r="DN342" s="92"/>
      <c r="DO342" s="93">
        <f t="shared" si="229"/>
        <v>81000000</v>
      </c>
    </row>
    <row r="343" spans="1:123" s="225" customFormat="1" ht="165" x14ac:dyDescent="0.2">
      <c r="A343" s="64">
        <v>4</v>
      </c>
      <c r="B343" s="256" t="s">
        <v>6</v>
      </c>
      <c r="C343" s="150" t="s">
        <v>860</v>
      </c>
      <c r="D343" s="150" t="s">
        <v>11</v>
      </c>
      <c r="E343" s="111">
        <v>59.5</v>
      </c>
      <c r="F343" s="13">
        <v>2018</v>
      </c>
      <c r="G343" s="59" t="s">
        <v>1487</v>
      </c>
      <c r="H343" s="107">
        <v>65</v>
      </c>
      <c r="I343" s="13">
        <v>45</v>
      </c>
      <c r="J343" s="13" t="s">
        <v>1294</v>
      </c>
      <c r="K343" s="50">
        <v>17</v>
      </c>
      <c r="L343" s="13" t="s">
        <v>888</v>
      </c>
      <c r="M343" s="244">
        <v>45</v>
      </c>
      <c r="N343" s="244">
        <v>4599</v>
      </c>
      <c r="O343" s="251" t="s">
        <v>1657</v>
      </c>
      <c r="P343" s="120" t="s">
        <v>1522</v>
      </c>
      <c r="Q343" s="13" t="s">
        <v>77</v>
      </c>
      <c r="R343" s="13">
        <v>4599031</v>
      </c>
      <c r="S343" s="150" t="s">
        <v>13</v>
      </c>
      <c r="T343" s="120" t="s">
        <v>1523</v>
      </c>
      <c r="U343" s="13" t="s">
        <v>77</v>
      </c>
      <c r="V343" s="13">
        <v>459903101</v>
      </c>
      <c r="W343" s="122" t="s">
        <v>1521</v>
      </c>
      <c r="X343" s="120" t="s">
        <v>8</v>
      </c>
      <c r="Y343" s="13">
        <v>12</v>
      </c>
      <c r="Z343" s="13">
        <v>12</v>
      </c>
      <c r="AA343" s="13">
        <v>12</v>
      </c>
      <c r="AB343" s="13">
        <v>12</v>
      </c>
      <c r="AC343" s="13">
        <v>12</v>
      </c>
      <c r="AD343" s="13">
        <v>12</v>
      </c>
      <c r="AE343" s="89">
        <f t="shared" si="225"/>
        <v>23000000</v>
      </c>
      <c r="AF343" s="89">
        <f t="shared" si="225"/>
        <v>15000000</v>
      </c>
      <c r="AG343" s="89">
        <f t="shared" si="225"/>
        <v>9800000</v>
      </c>
      <c r="AH343" s="89">
        <f t="shared" si="225"/>
        <v>9800000</v>
      </c>
      <c r="AI343" s="89">
        <f t="shared" si="225"/>
        <v>0</v>
      </c>
      <c r="AJ343" s="91">
        <v>23000000</v>
      </c>
      <c r="AK343" s="91">
        <v>15000000</v>
      </c>
      <c r="AL343" s="91">
        <v>9800000</v>
      </c>
      <c r="AM343" s="91">
        <v>9800000</v>
      </c>
      <c r="AN343" s="91"/>
      <c r="AO343" s="91"/>
      <c r="AP343" s="91"/>
      <c r="AQ343" s="91"/>
      <c r="AR343" s="91"/>
      <c r="AS343" s="91"/>
      <c r="AT343" s="91"/>
      <c r="AU343" s="91"/>
      <c r="AV343" s="91"/>
      <c r="AW343" s="91"/>
      <c r="AX343" s="91"/>
      <c r="AY343" s="91"/>
      <c r="AZ343" s="91"/>
      <c r="BA343" s="91"/>
      <c r="BB343" s="91"/>
      <c r="BC343" s="91"/>
      <c r="BD343" s="91"/>
      <c r="BE343" s="91"/>
      <c r="BF343" s="91"/>
      <c r="BG343" s="91"/>
      <c r="BH343" s="91"/>
      <c r="BI343" s="91"/>
      <c r="BJ343" s="91"/>
      <c r="BK343" s="91"/>
      <c r="BL343" s="91"/>
      <c r="BM343" s="91"/>
      <c r="BN343" s="91"/>
      <c r="BO343" s="91"/>
      <c r="BP343" s="91"/>
      <c r="BQ343" s="91"/>
      <c r="BR343" s="91"/>
      <c r="BS343" s="91"/>
      <c r="BT343" s="91"/>
      <c r="BU343" s="91"/>
      <c r="BV343" s="91"/>
      <c r="BW343" s="91"/>
      <c r="BX343" s="91"/>
      <c r="BY343" s="91"/>
      <c r="BZ343" s="91"/>
      <c r="CA343" s="91"/>
      <c r="CB343" s="91"/>
      <c r="CC343" s="91"/>
      <c r="CD343" s="91"/>
      <c r="CE343" s="91"/>
      <c r="CF343" s="91"/>
      <c r="CG343" s="91"/>
      <c r="CH343" s="91">
        <f t="shared" si="226"/>
        <v>32342078.760000002</v>
      </c>
      <c r="CI343" s="91">
        <f>19342078.76+13000000</f>
        <v>32342078.760000002</v>
      </c>
      <c r="CJ343" s="91"/>
      <c r="CK343" s="91"/>
      <c r="CL343" s="91"/>
      <c r="CM343" s="91"/>
      <c r="CN343" s="91"/>
      <c r="CO343" s="91"/>
      <c r="CP343" s="91"/>
      <c r="CQ343" s="91"/>
      <c r="CR343" s="91"/>
      <c r="CS343" s="91">
        <f t="shared" si="227"/>
        <v>35505398</v>
      </c>
      <c r="CT343" s="91">
        <f>17505398+18000000</f>
        <v>35505398</v>
      </c>
      <c r="CU343" s="91"/>
      <c r="CV343" s="91"/>
      <c r="CW343" s="91"/>
      <c r="CX343" s="91"/>
      <c r="CY343" s="91"/>
      <c r="CZ343" s="91"/>
      <c r="DA343" s="91"/>
      <c r="DB343" s="91"/>
      <c r="DC343" s="91"/>
      <c r="DD343" s="91">
        <f t="shared" si="228"/>
        <v>50236666.390000001</v>
      </c>
      <c r="DE343" s="91">
        <f>27236666.39+23000000</f>
        <v>50236666.390000001</v>
      </c>
      <c r="DF343" s="91"/>
      <c r="DG343" s="91"/>
      <c r="DH343" s="91"/>
      <c r="DI343" s="91"/>
      <c r="DJ343" s="91"/>
      <c r="DK343" s="91"/>
      <c r="DL343" s="91"/>
      <c r="DM343" s="91"/>
      <c r="DN343" s="92"/>
      <c r="DO343" s="93">
        <f t="shared" si="229"/>
        <v>141084143.15000001</v>
      </c>
    </row>
    <row r="344" spans="1:123" s="225" customFormat="1" ht="165" x14ac:dyDescent="0.2">
      <c r="A344" s="64">
        <v>4</v>
      </c>
      <c r="B344" s="256" t="s">
        <v>6</v>
      </c>
      <c r="C344" s="150" t="s">
        <v>860</v>
      </c>
      <c r="D344" s="150" t="s">
        <v>11</v>
      </c>
      <c r="E344" s="111">
        <v>59.5</v>
      </c>
      <c r="F344" s="13">
        <v>2018</v>
      </c>
      <c r="G344" s="59" t="s">
        <v>1487</v>
      </c>
      <c r="H344" s="107">
        <v>65</v>
      </c>
      <c r="I344" s="13">
        <v>45</v>
      </c>
      <c r="J344" s="13" t="s">
        <v>1294</v>
      </c>
      <c r="K344" s="50">
        <v>17</v>
      </c>
      <c r="L344" s="13" t="s">
        <v>888</v>
      </c>
      <c r="M344" s="244">
        <v>45</v>
      </c>
      <c r="N344" s="244">
        <v>4599</v>
      </c>
      <c r="O344" s="251" t="s">
        <v>1657</v>
      </c>
      <c r="P344" s="120" t="s">
        <v>1524</v>
      </c>
      <c r="Q344" s="13" t="s">
        <v>77</v>
      </c>
      <c r="R344" s="13">
        <v>4599031</v>
      </c>
      <c r="S344" s="150" t="s">
        <v>16</v>
      </c>
      <c r="T344" s="120" t="s">
        <v>1525</v>
      </c>
      <c r="U344" s="13" t="s">
        <v>77</v>
      </c>
      <c r="V344" s="13">
        <v>459903101</v>
      </c>
      <c r="W344" s="122" t="s">
        <v>1521</v>
      </c>
      <c r="X344" s="120" t="s">
        <v>8</v>
      </c>
      <c r="Y344" s="13">
        <v>12</v>
      </c>
      <c r="Z344" s="13">
        <v>12</v>
      </c>
      <c r="AA344" s="13">
        <v>12</v>
      </c>
      <c r="AB344" s="13">
        <v>12</v>
      </c>
      <c r="AC344" s="13">
        <v>12</v>
      </c>
      <c r="AD344" s="13">
        <v>12</v>
      </c>
      <c r="AE344" s="89">
        <f t="shared" si="225"/>
        <v>17312522.300000001</v>
      </c>
      <c r="AF344" s="89">
        <f t="shared" si="225"/>
        <v>15000000</v>
      </c>
      <c r="AG344" s="89">
        <f t="shared" si="225"/>
        <v>8400000</v>
      </c>
      <c r="AH344" s="89">
        <f t="shared" si="225"/>
        <v>8400000</v>
      </c>
      <c r="AI344" s="89">
        <f t="shared" si="225"/>
        <v>0</v>
      </c>
      <c r="AJ344" s="89">
        <v>17312522.300000001</v>
      </c>
      <c r="AK344" s="89">
        <v>15000000</v>
      </c>
      <c r="AL344" s="89">
        <v>8400000</v>
      </c>
      <c r="AM344" s="89">
        <v>8400000</v>
      </c>
      <c r="AN344" s="89"/>
      <c r="AO344" s="91"/>
      <c r="AP344" s="89"/>
      <c r="AQ344" s="91"/>
      <c r="AR344" s="91"/>
      <c r="AS344" s="91"/>
      <c r="AT344" s="91"/>
      <c r="AU344" s="89"/>
      <c r="AV344" s="91"/>
      <c r="AW344" s="91"/>
      <c r="AX344" s="91"/>
      <c r="AY344" s="91"/>
      <c r="AZ344" s="89"/>
      <c r="BA344" s="91"/>
      <c r="BB344" s="91"/>
      <c r="BC344" s="91"/>
      <c r="BD344" s="91"/>
      <c r="BE344" s="89"/>
      <c r="BF344" s="91"/>
      <c r="BG344" s="91"/>
      <c r="BH344" s="91"/>
      <c r="BI344" s="91"/>
      <c r="BJ344" s="89"/>
      <c r="BK344" s="91"/>
      <c r="BL344" s="91"/>
      <c r="BM344" s="91"/>
      <c r="BN344" s="91"/>
      <c r="BO344" s="89"/>
      <c r="BP344" s="91"/>
      <c r="BQ344" s="91"/>
      <c r="BR344" s="91"/>
      <c r="BS344" s="91"/>
      <c r="BT344" s="89"/>
      <c r="BU344" s="91"/>
      <c r="BV344" s="91"/>
      <c r="BW344" s="91"/>
      <c r="BX344" s="91"/>
      <c r="BY344" s="89"/>
      <c r="BZ344" s="91"/>
      <c r="CA344" s="91"/>
      <c r="CB344" s="91"/>
      <c r="CC344" s="91"/>
      <c r="CD344" s="89"/>
      <c r="CE344" s="91"/>
      <c r="CF344" s="91"/>
      <c r="CG344" s="91"/>
      <c r="CH344" s="91">
        <f t="shared" si="226"/>
        <v>32894719</v>
      </c>
      <c r="CI344" s="91">
        <f>12894719+20000000</f>
        <v>32894719</v>
      </c>
      <c r="CJ344" s="91"/>
      <c r="CK344" s="91"/>
      <c r="CL344" s="91"/>
      <c r="CM344" s="91"/>
      <c r="CN344" s="91"/>
      <c r="CO344" s="91"/>
      <c r="CP344" s="91"/>
      <c r="CQ344" s="91"/>
      <c r="CR344" s="91"/>
      <c r="CS344" s="91">
        <f t="shared" si="227"/>
        <v>35505397</v>
      </c>
      <c r="CT344" s="91">
        <f>17505397+18000000</f>
        <v>35505397</v>
      </c>
      <c r="CU344" s="91"/>
      <c r="CV344" s="91"/>
      <c r="CW344" s="91"/>
      <c r="CX344" s="91"/>
      <c r="CY344" s="91"/>
      <c r="CZ344" s="91"/>
      <c r="DA344" s="91"/>
      <c r="DB344" s="91"/>
      <c r="DC344" s="91"/>
      <c r="DD344" s="91">
        <f t="shared" si="228"/>
        <v>50854999.579999998</v>
      </c>
      <c r="DE344" s="91">
        <f>40854999.58+10000000</f>
        <v>50854999.579999998</v>
      </c>
      <c r="DF344" s="91"/>
      <c r="DG344" s="91"/>
      <c r="DH344" s="91"/>
      <c r="DI344" s="91"/>
      <c r="DJ344" s="91"/>
      <c r="DK344" s="91"/>
      <c r="DL344" s="91"/>
      <c r="DM344" s="91"/>
      <c r="DN344" s="92"/>
      <c r="DO344" s="93">
        <f t="shared" si="229"/>
        <v>136567637.88</v>
      </c>
    </row>
    <row r="345" spans="1:123" s="225" customFormat="1" ht="165" x14ac:dyDescent="0.2">
      <c r="A345" s="64">
        <v>4</v>
      </c>
      <c r="B345" s="256" t="s">
        <v>6</v>
      </c>
      <c r="C345" s="150" t="s">
        <v>860</v>
      </c>
      <c r="D345" s="150" t="s">
        <v>11</v>
      </c>
      <c r="E345" s="111">
        <v>59.5</v>
      </c>
      <c r="F345" s="13">
        <v>2018</v>
      </c>
      <c r="G345" s="59" t="s">
        <v>1487</v>
      </c>
      <c r="H345" s="107">
        <v>65</v>
      </c>
      <c r="I345" s="13">
        <v>45</v>
      </c>
      <c r="J345" s="13" t="s">
        <v>1294</v>
      </c>
      <c r="K345" s="50">
        <v>17</v>
      </c>
      <c r="L345" s="13" t="s">
        <v>888</v>
      </c>
      <c r="M345" s="244">
        <v>45</v>
      </c>
      <c r="N345" s="244">
        <v>4599</v>
      </c>
      <c r="O345" s="251" t="s">
        <v>1657</v>
      </c>
      <c r="P345" s="120" t="s">
        <v>1526</v>
      </c>
      <c r="Q345" s="13" t="s">
        <v>77</v>
      </c>
      <c r="R345" s="13">
        <v>4599031</v>
      </c>
      <c r="S345" s="150" t="s">
        <v>14</v>
      </c>
      <c r="T345" s="120" t="s">
        <v>1527</v>
      </c>
      <c r="U345" s="13" t="s">
        <v>77</v>
      </c>
      <c r="V345" s="13">
        <v>459903101</v>
      </c>
      <c r="W345" s="122" t="s">
        <v>1521</v>
      </c>
      <c r="X345" s="120" t="s">
        <v>8</v>
      </c>
      <c r="Y345" s="13">
        <v>12</v>
      </c>
      <c r="Z345" s="13">
        <v>12</v>
      </c>
      <c r="AA345" s="13">
        <v>12</v>
      </c>
      <c r="AB345" s="13">
        <v>12</v>
      </c>
      <c r="AC345" s="13">
        <v>12</v>
      </c>
      <c r="AD345" s="13">
        <v>12</v>
      </c>
      <c r="AE345" s="89">
        <f t="shared" si="225"/>
        <v>45000000</v>
      </c>
      <c r="AF345" s="89">
        <f t="shared" si="225"/>
        <v>24000000</v>
      </c>
      <c r="AG345" s="89">
        <f t="shared" si="225"/>
        <v>21413333</v>
      </c>
      <c r="AH345" s="89">
        <f t="shared" si="225"/>
        <v>21413333</v>
      </c>
      <c r="AI345" s="89">
        <f t="shared" si="225"/>
        <v>0</v>
      </c>
      <c r="AJ345" s="91">
        <v>45000000</v>
      </c>
      <c r="AK345" s="91">
        <v>24000000</v>
      </c>
      <c r="AL345" s="91">
        <v>21413333</v>
      </c>
      <c r="AM345" s="91">
        <v>21413333</v>
      </c>
      <c r="AN345" s="91"/>
      <c r="AO345" s="91"/>
      <c r="AP345" s="91"/>
      <c r="AQ345" s="91"/>
      <c r="AR345" s="91"/>
      <c r="AS345" s="91"/>
      <c r="AT345" s="91"/>
      <c r="AU345" s="91"/>
      <c r="AV345" s="91"/>
      <c r="AW345" s="91"/>
      <c r="AX345" s="91"/>
      <c r="AY345" s="91"/>
      <c r="AZ345" s="91"/>
      <c r="BA345" s="91"/>
      <c r="BB345" s="91"/>
      <c r="BC345" s="91"/>
      <c r="BD345" s="91"/>
      <c r="BE345" s="91"/>
      <c r="BF345" s="91"/>
      <c r="BG345" s="91"/>
      <c r="BH345" s="91"/>
      <c r="BI345" s="91"/>
      <c r="BJ345" s="91"/>
      <c r="BK345" s="91"/>
      <c r="BL345" s="91"/>
      <c r="BM345" s="91"/>
      <c r="BN345" s="91"/>
      <c r="BO345" s="91"/>
      <c r="BP345" s="91"/>
      <c r="BQ345" s="91"/>
      <c r="BR345" s="91"/>
      <c r="BS345" s="91"/>
      <c r="BT345" s="91"/>
      <c r="BU345" s="91"/>
      <c r="BV345" s="91"/>
      <c r="BW345" s="91"/>
      <c r="BX345" s="91"/>
      <c r="BY345" s="91"/>
      <c r="BZ345" s="91"/>
      <c r="CA345" s="91"/>
      <c r="CB345" s="91"/>
      <c r="CC345" s="91"/>
      <c r="CD345" s="91"/>
      <c r="CE345" s="91"/>
      <c r="CF345" s="91"/>
      <c r="CG345" s="91"/>
      <c r="CH345" s="91">
        <f t="shared" si="226"/>
        <v>26342078</v>
      </c>
      <c r="CI345" s="91">
        <f>19342078+7000000</f>
        <v>26342078</v>
      </c>
      <c r="CJ345" s="91"/>
      <c r="CK345" s="91"/>
      <c r="CL345" s="91"/>
      <c r="CM345" s="91"/>
      <c r="CN345" s="91"/>
      <c r="CO345" s="91"/>
      <c r="CP345" s="91"/>
      <c r="CQ345" s="91"/>
      <c r="CR345" s="91"/>
      <c r="CS345" s="91">
        <f t="shared" si="227"/>
        <v>36258096</v>
      </c>
      <c r="CT345" s="91">
        <f>26258096+10000000</f>
        <v>36258096</v>
      </c>
      <c r="CU345" s="91"/>
      <c r="CV345" s="91"/>
      <c r="CW345" s="91"/>
      <c r="CX345" s="91"/>
      <c r="CY345" s="91"/>
      <c r="CZ345" s="91"/>
      <c r="DA345" s="91"/>
      <c r="DB345" s="91"/>
      <c r="DC345" s="91"/>
      <c r="DD345" s="91">
        <f t="shared" si="228"/>
        <v>50854999.579999998</v>
      </c>
      <c r="DE345" s="91">
        <f>40854999.58+10000000</f>
        <v>50854999.579999998</v>
      </c>
      <c r="DF345" s="91"/>
      <c r="DG345" s="91"/>
      <c r="DH345" s="91"/>
      <c r="DI345" s="91"/>
      <c r="DJ345" s="91"/>
      <c r="DK345" s="91"/>
      <c r="DL345" s="91"/>
      <c r="DM345" s="91"/>
      <c r="DN345" s="92"/>
      <c r="DO345" s="93">
        <f t="shared" si="229"/>
        <v>158455173.57999998</v>
      </c>
    </row>
    <row r="346" spans="1:123" s="225" customFormat="1" ht="165" x14ac:dyDescent="0.2">
      <c r="A346" s="64">
        <v>4</v>
      </c>
      <c r="B346" s="256" t="s">
        <v>6</v>
      </c>
      <c r="C346" s="150" t="s">
        <v>860</v>
      </c>
      <c r="D346" s="150" t="s">
        <v>11</v>
      </c>
      <c r="E346" s="111">
        <v>59.5</v>
      </c>
      <c r="F346" s="13">
        <v>2018</v>
      </c>
      <c r="G346" s="59" t="s">
        <v>1487</v>
      </c>
      <c r="H346" s="107">
        <v>65</v>
      </c>
      <c r="I346" s="13">
        <v>45</v>
      </c>
      <c r="J346" s="13" t="s">
        <v>1294</v>
      </c>
      <c r="K346" s="50">
        <v>17</v>
      </c>
      <c r="L346" s="13" t="s">
        <v>888</v>
      </c>
      <c r="M346" s="244">
        <v>45</v>
      </c>
      <c r="N346" s="244">
        <v>4599</v>
      </c>
      <c r="O346" s="251" t="s">
        <v>1657</v>
      </c>
      <c r="P346" s="183" t="s">
        <v>1528</v>
      </c>
      <c r="Q346" s="13" t="s">
        <v>77</v>
      </c>
      <c r="R346" s="13">
        <v>4599031</v>
      </c>
      <c r="S346" s="150" t="s">
        <v>15</v>
      </c>
      <c r="T346" s="120" t="s">
        <v>1529</v>
      </c>
      <c r="U346" s="13" t="s">
        <v>77</v>
      </c>
      <c r="V346" s="13">
        <v>459903101</v>
      </c>
      <c r="W346" s="122" t="s">
        <v>1521</v>
      </c>
      <c r="X346" s="120" t="s">
        <v>8</v>
      </c>
      <c r="Y346" s="13">
        <v>12</v>
      </c>
      <c r="Z346" s="13">
        <v>12</v>
      </c>
      <c r="AA346" s="13">
        <v>12</v>
      </c>
      <c r="AB346" s="13">
        <v>12</v>
      </c>
      <c r="AC346" s="13">
        <v>12</v>
      </c>
      <c r="AD346" s="13">
        <v>12</v>
      </c>
      <c r="AE346" s="89">
        <f t="shared" si="225"/>
        <v>23000000</v>
      </c>
      <c r="AF346" s="89">
        <f t="shared" si="225"/>
        <v>15000000</v>
      </c>
      <c r="AG346" s="89">
        <f t="shared" si="225"/>
        <v>7600000</v>
      </c>
      <c r="AH346" s="89">
        <f t="shared" si="225"/>
        <v>7600000</v>
      </c>
      <c r="AI346" s="89">
        <f t="shared" si="225"/>
        <v>0</v>
      </c>
      <c r="AJ346" s="91">
        <v>23000000</v>
      </c>
      <c r="AK346" s="91">
        <v>15000000</v>
      </c>
      <c r="AL346" s="91">
        <v>7600000</v>
      </c>
      <c r="AM346" s="91">
        <v>7600000</v>
      </c>
      <c r="AN346" s="91"/>
      <c r="AO346" s="91"/>
      <c r="AP346" s="91"/>
      <c r="AQ346" s="91"/>
      <c r="AR346" s="91"/>
      <c r="AS346" s="91"/>
      <c r="AT346" s="91"/>
      <c r="AU346" s="91"/>
      <c r="AV346" s="91"/>
      <c r="AW346" s="91"/>
      <c r="AX346" s="91"/>
      <c r="AY346" s="91"/>
      <c r="AZ346" s="91"/>
      <c r="BA346" s="91"/>
      <c r="BB346" s="91"/>
      <c r="BC346" s="91"/>
      <c r="BD346" s="91"/>
      <c r="BE346" s="91"/>
      <c r="BF346" s="91"/>
      <c r="BG346" s="91"/>
      <c r="BH346" s="91"/>
      <c r="BI346" s="91"/>
      <c r="BJ346" s="91"/>
      <c r="BK346" s="91"/>
      <c r="BL346" s="91"/>
      <c r="BM346" s="91"/>
      <c r="BN346" s="91"/>
      <c r="BO346" s="91"/>
      <c r="BP346" s="91"/>
      <c r="BQ346" s="91"/>
      <c r="BR346" s="91"/>
      <c r="BS346" s="91"/>
      <c r="BT346" s="91"/>
      <c r="BU346" s="91"/>
      <c r="BV346" s="91"/>
      <c r="BW346" s="91"/>
      <c r="BX346" s="91"/>
      <c r="BY346" s="91"/>
      <c r="BZ346" s="91"/>
      <c r="CA346" s="91"/>
      <c r="CB346" s="91"/>
      <c r="CC346" s="91"/>
      <c r="CD346" s="91"/>
      <c r="CE346" s="91"/>
      <c r="CF346" s="91"/>
      <c r="CG346" s="91"/>
      <c r="CH346" s="91">
        <f t="shared" si="226"/>
        <v>32342078</v>
      </c>
      <c r="CI346" s="91">
        <f>19342078+13000000</f>
        <v>32342078</v>
      </c>
      <c r="CJ346" s="91"/>
      <c r="CK346" s="91"/>
      <c r="CL346" s="91"/>
      <c r="CM346" s="91"/>
      <c r="CN346" s="91"/>
      <c r="CO346" s="91"/>
      <c r="CP346" s="91"/>
      <c r="CQ346" s="91"/>
      <c r="CR346" s="91"/>
      <c r="CS346" s="91">
        <f t="shared" si="227"/>
        <v>36258096</v>
      </c>
      <c r="CT346" s="91">
        <f>26258096+10000000</f>
        <v>36258096</v>
      </c>
      <c r="CU346" s="91"/>
      <c r="CV346" s="91"/>
      <c r="CW346" s="91"/>
      <c r="CX346" s="91"/>
      <c r="CY346" s="91"/>
      <c r="CZ346" s="91"/>
      <c r="DA346" s="91"/>
      <c r="DB346" s="91"/>
      <c r="DC346" s="91"/>
      <c r="DD346" s="91">
        <f t="shared" si="228"/>
        <v>50854999.579999998</v>
      </c>
      <c r="DE346" s="91">
        <f>40854999.58+10000000</f>
        <v>50854999.579999998</v>
      </c>
      <c r="DF346" s="91"/>
      <c r="DG346" s="91"/>
      <c r="DH346" s="91"/>
      <c r="DI346" s="91"/>
      <c r="DJ346" s="91"/>
      <c r="DK346" s="91"/>
      <c r="DL346" s="91"/>
      <c r="DM346" s="91"/>
      <c r="DN346" s="92"/>
      <c r="DO346" s="93">
        <f t="shared" si="229"/>
        <v>142455173.57999998</v>
      </c>
    </row>
    <row r="347" spans="1:123" s="225" customFormat="1" ht="165" x14ac:dyDescent="0.2">
      <c r="A347" s="64">
        <v>4</v>
      </c>
      <c r="B347" s="256" t="s">
        <v>6</v>
      </c>
      <c r="C347" s="150" t="s">
        <v>860</v>
      </c>
      <c r="D347" s="150" t="s">
        <v>11</v>
      </c>
      <c r="E347" s="111">
        <v>59.5</v>
      </c>
      <c r="F347" s="13">
        <v>2018</v>
      </c>
      <c r="G347" s="59" t="s">
        <v>1487</v>
      </c>
      <c r="H347" s="107">
        <v>65</v>
      </c>
      <c r="I347" s="13">
        <v>45</v>
      </c>
      <c r="J347" s="13" t="s">
        <v>1294</v>
      </c>
      <c r="K347" s="50">
        <v>17</v>
      </c>
      <c r="L347" s="13" t="s">
        <v>888</v>
      </c>
      <c r="M347" s="244">
        <v>45</v>
      </c>
      <c r="N347" s="244">
        <v>4599</v>
      </c>
      <c r="O347" s="251" t="s">
        <v>1657</v>
      </c>
      <c r="P347" s="120" t="s">
        <v>1530</v>
      </c>
      <c r="Q347" s="13" t="s">
        <v>77</v>
      </c>
      <c r="R347" s="13">
        <v>4599031</v>
      </c>
      <c r="S347" s="150" t="s">
        <v>12</v>
      </c>
      <c r="T347" s="120" t="s">
        <v>1531</v>
      </c>
      <c r="U347" s="13" t="s">
        <v>77</v>
      </c>
      <c r="V347" s="13">
        <v>459903101</v>
      </c>
      <c r="W347" s="122" t="s">
        <v>1532</v>
      </c>
      <c r="X347" s="120" t="s">
        <v>8</v>
      </c>
      <c r="Y347" s="13">
        <v>12</v>
      </c>
      <c r="Z347" s="13">
        <v>12</v>
      </c>
      <c r="AA347" s="13">
        <v>12</v>
      </c>
      <c r="AB347" s="13">
        <v>12</v>
      </c>
      <c r="AC347" s="13">
        <v>12</v>
      </c>
      <c r="AD347" s="13">
        <v>12</v>
      </c>
      <c r="AE347" s="89">
        <f>AJ347+AO347+AT347+AY347+BD347+BI347+BN347+BS347+BX347+CC347</f>
        <v>68325000</v>
      </c>
      <c r="AF347" s="89">
        <f>AK347+AP347+AU347+AZ347+BE347+BJ347+BO347+BT347+BY347+CD347</f>
        <v>34500000</v>
      </c>
      <c r="AG347" s="89">
        <f>AL347+AQ347+AV347+BA347+BF347+BK347+BP347+BU347+BZ347+CE347</f>
        <v>28500000</v>
      </c>
      <c r="AH347" s="89">
        <f>AM347+AR347+AW347+BB347+BG347+BL347+BQ347+BV347+CA347+CF347</f>
        <v>28500000</v>
      </c>
      <c r="AI347" s="89">
        <f>AN347+AS347+AX347+BC347+BH347+BM347+BR347+BW347+CB347+CG347</f>
        <v>0</v>
      </c>
      <c r="AJ347" s="91">
        <f>83325000-15000000</f>
        <v>68325000</v>
      </c>
      <c r="AK347" s="91">
        <v>34500000</v>
      </c>
      <c r="AL347" s="91">
        <v>28500000</v>
      </c>
      <c r="AM347" s="91">
        <f>AL347</f>
        <v>28500000</v>
      </c>
      <c r="AN347" s="91"/>
      <c r="AO347" s="91"/>
      <c r="AP347" s="91"/>
      <c r="AQ347" s="91"/>
      <c r="AR347" s="91"/>
      <c r="AS347" s="91"/>
      <c r="AT347" s="91"/>
      <c r="AU347" s="91"/>
      <c r="AV347" s="91"/>
      <c r="AW347" s="91"/>
      <c r="AX347" s="91"/>
      <c r="AY347" s="91"/>
      <c r="AZ347" s="91"/>
      <c r="BA347" s="91"/>
      <c r="BB347" s="91"/>
      <c r="BC347" s="91"/>
      <c r="BD347" s="91"/>
      <c r="BE347" s="91"/>
      <c r="BF347" s="91"/>
      <c r="BG347" s="91"/>
      <c r="BH347" s="91"/>
      <c r="BI347" s="91"/>
      <c r="BJ347" s="91"/>
      <c r="BK347" s="91"/>
      <c r="BL347" s="91"/>
      <c r="BM347" s="91"/>
      <c r="BN347" s="91"/>
      <c r="BO347" s="91"/>
      <c r="BP347" s="91"/>
      <c r="BQ347" s="91"/>
      <c r="BR347" s="91"/>
      <c r="BS347" s="91"/>
      <c r="BT347" s="91"/>
      <c r="BU347" s="91"/>
      <c r="BV347" s="91"/>
      <c r="BW347" s="91"/>
      <c r="BX347" s="91"/>
      <c r="BY347" s="91"/>
      <c r="BZ347" s="91"/>
      <c r="CA347" s="91"/>
      <c r="CB347" s="91"/>
      <c r="CC347" s="91"/>
      <c r="CD347" s="91"/>
      <c r="CE347" s="91"/>
      <c r="CF347" s="91"/>
      <c r="CG347" s="91"/>
      <c r="CH347" s="91">
        <f t="shared" si="226"/>
        <v>25788540.239999998</v>
      </c>
      <c r="CI347" s="91">
        <v>25788540.239999998</v>
      </c>
      <c r="CJ347" s="91"/>
      <c r="CK347" s="91"/>
      <c r="CL347" s="91"/>
      <c r="CM347" s="91"/>
      <c r="CN347" s="91"/>
      <c r="CO347" s="91"/>
      <c r="CP347" s="91"/>
      <c r="CQ347" s="91"/>
      <c r="CR347" s="91"/>
      <c r="CS347" s="91">
        <f t="shared" si="227"/>
        <v>26258096</v>
      </c>
      <c r="CT347" s="91">
        <v>26258096</v>
      </c>
      <c r="CU347" s="91"/>
      <c r="CV347" s="91"/>
      <c r="CW347" s="91"/>
      <c r="CX347" s="91"/>
      <c r="CY347" s="91"/>
      <c r="CZ347" s="91"/>
      <c r="DA347" s="91"/>
      <c r="DB347" s="91"/>
      <c r="DC347" s="91"/>
      <c r="DD347" s="91">
        <f t="shared" si="228"/>
        <v>50236666.379999995</v>
      </c>
      <c r="DE347" s="91">
        <f>27236666.38+23000000</f>
        <v>50236666.379999995</v>
      </c>
      <c r="DF347" s="91"/>
      <c r="DG347" s="91"/>
      <c r="DH347" s="91"/>
      <c r="DI347" s="91"/>
      <c r="DJ347" s="91"/>
      <c r="DK347" s="91"/>
      <c r="DL347" s="91"/>
      <c r="DM347" s="91"/>
      <c r="DN347" s="92"/>
      <c r="DO347" s="93">
        <f t="shared" si="229"/>
        <v>170608302.62</v>
      </c>
    </row>
    <row r="348" spans="1:123" s="217" customFormat="1" ht="18.75" customHeight="1" x14ac:dyDescent="0.25">
      <c r="A348" s="268"/>
      <c r="B348" s="268"/>
      <c r="C348" s="268"/>
      <c r="D348" s="268"/>
      <c r="E348" s="268"/>
      <c r="F348" s="268"/>
      <c r="G348" s="268"/>
      <c r="H348" s="268"/>
      <c r="I348" s="268"/>
      <c r="J348" s="268"/>
      <c r="K348" s="268"/>
      <c r="L348" s="268"/>
      <c r="M348" s="268"/>
      <c r="N348" s="268"/>
      <c r="O348" s="268"/>
      <c r="P348" s="268"/>
      <c r="Q348" s="268"/>
      <c r="R348" s="268"/>
      <c r="S348" s="268"/>
      <c r="T348" s="268"/>
      <c r="U348" s="268"/>
      <c r="V348" s="268"/>
      <c r="W348" s="268"/>
      <c r="X348" s="268"/>
      <c r="Y348" s="268"/>
      <c r="Z348" s="268"/>
      <c r="AA348" s="268"/>
      <c r="AB348" s="268"/>
      <c r="AC348" s="268"/>
      <c r="AD348" s="268"/>
      <c r="AE348" s="226">
        <f t="shared" ref="AE348:AP348" si="230">+AE8+AE187+AE248+AE303</f>
        <v>439008917914.27832</v>
      </c>
      <c r="AF348" s="226">
        <f t="shared" si="230"/>
        <v>391791993174.62</v>
      </c>
      <c r="AG348" s="226">
        <f t="shared" si="230"/>
        <v>286414658484.21332</v>
      </c>
      <c r="AH348" s="226">
        <f t="shared" si="230"/>
        <v>263330071102.21329</v>
      </c>
      <c r="AI348" s="226">
        <f t="shared" si="230"/>
        <v>3975788099.5</v>
      </c>
      <c r="AJ348" s="226">
        <f t="shared" si="230"/>
        <v>19436668268.158314</v>
      </c>
      <c r="AK348" s="226">
        <f t="shared" si="230"/>
        <v>34130874288.060005</v>
      </c>
      <c r="AL348" s="226">
        <f t="shared" si="230"/>
        <v>22843892733.709999</v>
      </c>
      <c r="AM348" s="226">
        <f t="shared" si="230"/>
        <v>22028684336.489998</v>
      </c>
      <c r="AN348" s="226">
        <f t="shared" si="230"/>
        <v>1738718086.3</v>
      </c>
      <c r="AO348" s="226">
        <f t="shared" si="230"/>
        <v>54527405979.910004</v>
      </c>
      <c r="AP348" s="226">
        <f t="shared" si="230"/>
        <v>286000000</v>
      </c>
      <c r="AQ348" s="226"/>
      <c r="AR348" s="226"/>
      <c r="AS348" s="226"/>
      <c r="AT348" s="226">
        <f>+AT8+AT187+AT248+AT303</f>
        <v>159986260498.45999</v>
      </c>
      <c r="AU348" s="226">
        <f>+AU8+AU187+AU248+AU303</f>
        <v>155219157867.41998</v>
      </c>
      <c r="AV348" s="226"/>
      <c r="AW348" s="226"/>
      <c r="AX348" s="226"/>
      <c r="AY348" s="226">
        <f>+AY8+AY187+AY248+AY303</f>
        <v>5358388785.5</v>
      </c>
      <c r="AZ348" s="226">
        <f>+AZ8+AZ187+AZ248+AZ303</f>
        <v>6648246009.5</v>
      </c>
      <c r="BA348" s="226"/>
      <c r="BB348" s="226"/>
      <c r="BC348" s="226"/>
      <c r="BD348" s="226">
        <f>+BD8+BD187+BD248+BD303</f>
        <v>2686652877.1199999</v>
      </c>
      <c r="BE348" s="226">
        <f>+BE8+BE187+BE248+BE303</f>
        <v>2780436507.1199999</v>
      </c>
      <c r="BF348" s="226"/>
      <c r="BG348" s="226"/>
      <c r="BH348" s="226"/>
      <c r="BI348" s="226">
        <f>+BI8+BI187+BI248+BI303</f>
        <v>12173030541.870001</v>
      </c>
      <c r="BJ348" s="226">
        <f>+BJ8+BJ187+BJ248+BJ303</f>
        <v>0</v>
      </c>
      <c r="BK348" s="226"/>
      <c r="BL348" s="226"/>
      <c r="BM348" s="226"/>
      <c r="BN348" s="226">
        <f>+BN8+BN187+BN248+BN303</f>
        <v>181231360492</v>
      </c>
      <c r="BO348" s="226">
        <f>+BO8+BO187+BO248+BO303</f>
        <v>129911952914</v>
      </c>
      <c r="BP348" s="226">
        <f t="shared" ref="BP348:BQ348" si="231">+BP8+BP187+BP248+BP303</f>
        <v>47024437813</v>
      </c>
      <c r="BQ348" s="226">
        <f t="shared" si="231"/>
        <v>25007453751</v>
      </c>
      <c r="BR348" s="226"/>
      <c r="BS348" s="226">
        <f>+BS8+BS187+BS248+BS303</f>
        <v>0</v>
      </c>
      <c r="BT348" s="226">
        <f>+BT8+BT187+BT248+BT303</f>
        <v>56362013390.280014</v>
      </c>
      <c r="BU348" s="226"/>
      <c r="BV348" s="226"/>
      <c r="BW348" s="226"/>
      <c r="BX348" s="226">
        <f>+BX8+BX187+BX248+BX303</f>
        <v>0</v>
      </c>
      <c r="BY348" s="226">
        <f>+BY8+BY187+BY248+BY303</f>
        <v>0</v>
      </c>
      <c r="BZ348" s="226"/>
      <c r="CA348" s="226"/>
      <c r="CB348" s="226"/>
      <c r="CC348" s="226">
        <f>+CC8+CC187+CC248+CC303</f>
        <v>3609150471.2600002</v>
      </c>
      <c r="CD348" s="226">
        <f>+CD8+CD187+CD248+CD303</f>
        <v>6468312198.2399998</v>
      </c>
      <c r="CE348" s="226"/>
      <c r="CF348" s="226"/>
      <c r="CG348" s="226"/>
      <c r="CH348" s="226">
        <f t="shared" ref="CH348:DO348" si="232">+CH8+CH187+CH248+CH303</f>
        <v>285939594112.73407</v>
      </c>
      <c r="CI348" s="226">
        <f t="shared" si="232"/>
        <v>13574449587.239037</v>
      </c>
      <c r="CJ348" s="226">
        <f t="shared" si="232"/>
        <v>44941311073.090004</v>
      </c>
      <c r="CK348" s="226">
        <f t="shared" si="232"/>
        <v>168763077602.9024</v>
      </c>
      <c r="CL348" s="226">
        <f t="shared" si="232"/>
        <v>6025369898</v>
      </c>
      <c r="CM348" s="226">
        <f t="shared" si="232"/>
        <v>2751236459.1726003</v>
      </c>
      <c r="CN348" s="226">
        <f t="shared" si="232"/>
        <v>12209698141.98</v>
      </c>
      <c r="CO348" s="226">
        <f t="shared" si="232"/>
        <v>35536123180</v>
      </c>
      <c r="CP348" s="226">
        <f t="shared" si="232"/>
        <v>0</v>
      </c>
      <c r="CQ348" s="226">
        <f t="shared" si="232"/>
        <v>0</v>
      </c>
      <c r="CR348" s="226">
        <f t="shared" si="232"/>
        <v>2138328170.3499999</v>
      </c>
      <c r="CS348" s="226">
        <f t="shared" si="232"/>
        <v>311530757024.52936</v>
      </c>
      <c r="CT348" s="226">
        <f t="shared" si="232"/>
        <v>22523762366.988434</v>
      </c>
      <c r="CU348" s="226">
        <f t="shared" si="232"/>
        <v>48567030261.876556</v>
      </c>
      <c r="CV348" s="226">
        <f t="shared" si="232"/>
        <v>182189022471</v>
      </c>
      <c r="CW348" s="226">
        <f t="shared" si="232"/>
        <v>6206130995</v>
      </c>
      <c r="CX348" s="226">
        <f t="shared" si="232"/>
        <v>2833773552.9477782</v>
      </c>
      <c r="CY348" s="226">
        <f t="shared" si="232"/>
        <v>12575989086</v>
      </c>
      <c r="CZ348" s="226">
        <f t="shared" si="232"/>
        <v>34432570276</v>
      </c>
      <c r="DA348" s="226">
        <f t="shared" si="232"/>
        <v>0</v>
      </c>
      <c r="DB348" s="226">
        <f t="shared" si="232"/>
        <v>0</v>
      </c>
      <c r="DC348" s="226">
        <f t="shared" si="232"/>
        <v>2202478014.7165999</v>
      </c>
      <c r="DD348" s="226">
        <f t="shared" si="232"/>
        <v>344448990058.65967</v>
      </c>
      <c r="DE348" s="226">
        <f t="shared" si="232"/>
        <v>34478796655.547287</v>
      </c>
      <c r="DF348" s="226">
        <f t="shared" si="232"/>
        <v>52769133028.888</v>
      </c>
      <c r="DG348" s="226">
        <f t="shared" si="232"/>
        <v>196686789889</v>
      </c>
      <c r="DH348" s="226">
        <f t="shared" si="232"/>
        <v>6392314925</v>
      </c>
      <c r="DI348" s="226">
        <f t="shared" si="232"/>
        <v>2918786759.536212</v>
      </c>
      <c r="DJ348" s="226">
        <f t="shared" si="232"/>
        <v>12953268759</v>
      </c>
      <c r="DK348" s="226">
        <f t="shared" si="232"/>
        <v>35981347686</v>
      </c>
      <c r="DL348" s="226">
        <f t="shared" si="232"/>
        <v>0</v>
      </c>
      <c r="DM348" s="226">
        <f t="shared" si="232"/>
        <v>0</v>
      </c>
      <c r="DN348" s="226">
        <f t="shared" si="232"/>
        <v>2268552355.6881151</v>
      </c>
      <c r="DO348" s="227">
        <f t="shared" si="232"/>
        <v>1380976235110.2014</v>
      </c>
      <c r="DS348" s="208"/>
    </row>
    <row r="349" spans="1:123" ht="23.25" customHeight="1" x14ac:dyDescent="0.2">
      <c r="A349" s="185"/>
      <c r="B349" s="185"/>
      <c r="C349" s="185"/>
      <c r="D349" s="185"/>
      <c r="E349" s="187"/>
      <c r="F349" s="185"/>
      <c r="G349" s="185"/>
      <c r="H349" s="187"/>
      <c r="I349" s="185"/>
      <c r="J349" s="185"/>
      <c r="K349" s="185"/>
      <c r="L349" s="185"/>
      <c r="M349" s="185"/>
      <c r="N349" s="185"/>
      <c r="O349" s="185"/>
      <c r="P349" s="185"/>
      <c r="Q349" s="185"/>
      <c r="R349" s="185"/>
      <c r="S349" s="185"/>
      <c r="T349" s="185"/>
      <c r="U349" s="185"/>
      <c r="V349" s="185"/>
      <c r="W349" s="185"/>
      <c r="X349" s="186"/>
      <c r="Y349" s="186"/>
      <c r="Z349" s="186"/>
      <c r="AA349" s="186"/>
      <c r="AB349" s="186"/>
      <c r="AC349" s="186"/>
      <c r="AD349" s="186"/>
      <c r="AE349" s="184"/>
      <c r="AF349" s="184"/>
      <c r="AG349" s="184"/>
      <c r="AH349" s="184"/>
      <c r="AI349" s="184"/>
      <c r="AJ349" s="228"/>
      <c r="AK349" s="228"/>
      <c r="AL349" s="228"/>
      <c r="AM349" s="228"/>
      <c r="AN349" s="228"/>
      <c r="AO349" s="185"/>
      <c r="AP349" s="228"/>
      <c r="AQ349" s="185"/>
      <c r="AR349" s="185"/>
      <c r="AS349" s="185"/>
      <c r="AT349" s="185"/>
      <c r="AU349" s="228"/>
      <c r="AV349" s="185"/>
      <c r="AW349" s="185"/>
      <c r="AX349" s="185"/>
      <c r="AY349" s="185"/>
      <c r="AZ349" s="228"/>
      <c r="BA349" s="185"/>
      <c r="BB349" s="185"/>
      <c r="BC349" s="185"/>
      <c r="BD349" s="185"/>
      <c r="BE349" s="228"/>
      <c r="BF349" s="185"/>
      <c r="BG349" s="185"/>
      <c r="BH349" s="185"/>
      <c r="BI349" s="185"/>
      <c r="BJ349" s="228"/>
      <c r="BK349" s="185"/>
      <c r="BL349" s="185"/>
      <c r="BM349" s="185"/>
      <c r="BN349" s="185"/>
      <c r="BO349" s="228"/>
      <c r="BP349" s="185"/>
      <c r="BQ349" s="185"/>
      <c r="BR349" s="185"/>
      <c r="BS349" s="185"/>
      <c r="BT349" s="228"/>
      <c r="BU349" s="185"/>
      <c r="BV349" s="185"/>
      <c r="BW349" s="185"/>
      <c r="BX349" s="185"/>
      <c r="BY349" s="228"/>
      <c r="BZ349" s="185"/>
      <c r="CA349" s="185"/>
      <c r="CB349" s="185"/>
      <c r="CC349" s="185"/>
      <c r="CD349" s="228"/>
      <c r="CE349" s="185"/>
      <c r="CF349" s="185"/>
      <c r="CG349" s="185"/>
      <c r="CH349" s="184"/>
      <c r="CI349" s="185"/>
      <c r="CJ349" s="185"/>
      <c r="CK349" s="185"/>
      <c r="CL349" s="185"/>
      <c r="CM349" s="185"/>
      <c r="CN349" s="185"/>
      <c r="CO349" s="185"/>
      <c r="CP349" s="185"/>
      <c r="CQ349" s="185"/>
      <c r="CR349" s="185"/>
      <c r="CS349" s="184"/>
      <c r="CT349" s="185"/>
      <c r="CU349" s="185"/>
      <c r="CV349" s="185"/>
      <c r="CW349" s="185"/>
      <c r="CX349" s="185"/>
      <c r="CY349" s="185"/>
      <c r="CZ349" s="185"/>
      <c r="DA349" s="185"/>
      <c r="DB349" s="185"/>
      <c r="DC349" s="185"/>
      <c r="DD349" s="184"/>
      <c r="DE349" s="185"/>
      <c r="DF349" s="185"/>
      <c r="DG349" s="185"/>
      <c r="DH349" s="185"/>
      <c r="DI349" s="185"/>
      <c r="DJ349" s="185"/>
      <c r="DK349" s="185"/>
      <c r="DL349" s="185"/>
      <c r="DM349" s="185"/>
      <c r="DN349" s="185"/>
      <c r="DO349" s="194"/>
    </row>
    <row r="350" spans="1:123" ht="15.75" customHeight="1" x14ac:dyDescent="0.2">
      <c r="A350" s="185"/>
      <c r="B350" s="185"/>
      <c r="C350" s="185"/>
      <c r="D350" s="185"/>
      <c r="E350" s="187"/>
      <c r="F350" s="185"/>
      <c r="G350" s="185"/>
      <c r="H350" s="187"/>
      <c r="I350" s="185"/>
      <c r="J350" s="185"/>
      <c r="K350" s="185"/>
      <c r="L350" s="185"/>
      <c r="M350" s="185"/>
      <c r="N350" s="185"/>
      <c r="O350" s="185"/>
      <c r="P350" s="185"/>
      <c r="Q350" s="185"/>
      <c r="R350" s="185"/>
      <c r="S350" s="185"/>
      <c r="T350" s="185"/>
      <c r="U350" s="185"/>
      <c r="V350" s="185"/>
      <c r="W350" s="185"/>
      <c r="X350" s="186"/>
      <c r="Y350" s="186"/>
      <c r="Z350" s="186"/>
      <c r="AA350" s="186"/>
      <c r="AB350" s="186"/>
      <c r="AC350" s="186"/>
      <c r="AD350" s="186"/>
      <c r="AE350" s="188"/>
      <c r="AF350" s="188"/>
      <c r="AG350" s="188"/>
      <c r="AH350" s="188"/>
      <c r="AI350" s="188"/>
      <c r="AJ350" s="46"/>
      <c r="AK350" s="46"/>
      <c r="AL350" s="46"/>
      <c r="AM350" s="46"/>
      <c r="AN350" s="46"/>
      <c r="AO350" s="185"/>
      <c r="AP350" s="46"/>
      <c r="AQ350" s="185"/>
      <c r="AR350" s="185"/>
      <c r="AS350" s="185"/>
      <c r="AT350" s="185"/>
      <c r="AU350" s="46"/>
      <c r="AV350" s="185"/>
      <c r="AW350" s="185"/>
      <c r="AX350" s="185"/>
      <c r="AY350" s="185"/>
      <c r="AZ350" s="46"/>
      <c r="BA350" s="185"/>
      <c r="BB350" s="185"/>
      <c r="BC350" s="185"/>
      <c r="BD350" s="185"/>
      <c r="BE350" s="46"/>
      <c r="BF350" s="185"/>
      <c r="BG350" s="185"/>
      <c r="BH350" s="185"/>
      <c r="BI350" s="185"/>
      <c r="BJ350" s="46"/>
      <c r="BK350" s="185"/>
      <c r="BL350" s="185"/>
      <c r="BM350" s="185"/>
      <c r="BN350" s="185"/>
      <c r="BO350" s="46"/>
      <c r="BP350" s="185"/>
      <c r="BQ350" s="185"/>
      <c r="BR350" s="185"/>
      <c r="BS350" s="185"/>
      <c r="BT350" s="46"/>
      <c r="BU350" s="185"/>
      <c r="BV350" s="185"/>
      <c r="BW350" s="185"/>
      <c r="BX350" s="185"/>
      <c r="BY350" s="46"/>
      <c r="BZ350" s="185"/>
      <c r="CA350" s="185"/>
      <c r="CB350" s="185"/>
      <c r="CC350" s="185"/>
      <c r="CD350" s="46"/>
      <c r="CE350" s="185"/>
      <c r="CF350" s="185"/>
      <c r="CG350" s="185"/>
      <c r="CH350" s="189"/>
      <c r="CI350" s="190"/>
      <c r="CJ350" s="185"/>
      <c r="CK350" s="185"/>
      <c r="CL350" s="185"/>
      <c r="CM350" s="185"/>
      <c r="CN350" s="185"/>
      <c r="CO350" s="185"/>
      <c r="CP350" s="185"/>
      <c r="CQ350" s="185"/>
      <c r="CR350" s="185"/>
      <c r="CS350" s="191"/>
      <c r="CT350" s="185"/>
      <c r="CU350" s="185"/>
      <c r="CV350" s="185"/>
      <c r="CW350" s="185"/>
      <c r="CX350" s="185"/>
      <c r="CY350" s="185"/>
      <c r="CZ350" s="185"/>
      <c r="DA350" s="185"/>
      <c r="DB350" s="185"/>
      <c r="DC350" s="185"/>
      <c r="DD350" s="192"/>
      <c r="DE350" s="185"/>
      <c r="DF350" s="185"/>
      <c r="DG350" s="185"/>
      <c r="DH350" s="185"/>
      <c r="DI350" s="185"/>
      <c r="DJ350" s="185"/>
      <c r="DK350" s="185"/>
      <c r="DL350" s="185"/>
      <c r="DM350" s="185"/>
      <c r="DN350" s="185"/>
      <c r="DO350" s="193" t="s">
        <v>1571</v>
      </c>
    </row>
    <row r="351" spans="1:123" ht="15.75" customHeight="1" x14ac:dyDescent="0.2">
      <c r="A351" s="185"/>
      <c r="B351" s="185"/>
      <c r="C351" s="185"/>
      <c r="D351" s="185"/>
      <c r="E351" s="187"/>
      <c r="F351" s="185"/>
      <c r="G351" s="185"/>
      <c r="H351" s="187"/>
      <c r="I351" s="185"/>
      <c r="J351" s="185"/>
      <c r="K351" s="185"/>
      <c r="L351" s="185"/>
      <c r="M351" s="185"/>
      <c r="N351" s="185"/>
      <c r="O351" s="185"/>
      <c r="P351" s="195"/>
      <c r="Q351" s="195"/>
      <c r="R351" s="195"/>
      <c r="S351" s="195"/>
      <c r="T351" s="185"/>
      <c r="U351" s="185"/>
      <c r="V351" s="185"/>
      <c r="W351" s="196"/>
      <c r="X351" s="186"/>
      <c r="Y351" s="186"/>
      <c r="Z351" s="186"/>
      <c r="AA351" s="186"/>
      <c r="AB351" s="186"/>
      <c r="AC351" s="186"/>
      <c r="AD351" s="186"/>
      <c r="AE351" s="197"/>
      <c r="AF351" s="198"/>
      <c r="AG351" s="198"/>
      <c r="AH351" s="198"/>
      <c r="AI351" s="198"/>
      <c r="AJ351" s="198"/>
      <c r="AK351" s="198"/>
      <c r="AL351" s="198"/>
      <c r="AM351" s="198"/>
      <c r="AN351" s="198"/>
      <c r="AO351" s="198"/>
      <c r="AP351" s="198"/>
      <c r="AQ351" s="198"/>
      <c r="AR351" s="198"/>
      <c r="AS351" s="198"/>
      <c r="AT351" s="198"/>
      <c r="AU351" s="198"/>
      <c r="AV351" s="198"/>
      <c r="AW351" s="198"/>
      <c r="AX351" s="198"/>
      <c r="AY351" s="198"/>
      <c r="AZ351" s="198"/>
      <c r="BA351" s="198"/>
      <c r="BB351" s="198"/>
      <c r="BC351" s="198"/>
      <c r="BD351" s="198"/>
      <c r="BE351" s="198"/>
      <c r="BF351" s="198"/>
      <c r="BG351" s="198"/>
      <c r="BH351" s="198"/>
      <c r="BI351" s="198"/>
      <c r="BJ351" s="198"/>
      <c r="BK351" s="198"/>
      <c r="BL351" s="198"/>
      <c r="BM351" s="198"/>
      <c r="BN351" s="198"/>
      <c r="BO351" s="198"/>
      <c r="BP351" s="198"/>
      <c r="BQ351" s="198"/>
      <c r="BR351" s="198"/>
      <c r="BS351" s="198"/>
      <c r="BT351" s="198"/>
      <c r="BU351" s="198"/>
      <c r="BV351" s="198"/>
      <c r="BW351" s="198"/>
      <c r="BX351" s="198"/>
      <c r="BY351" s="198"/>
      <c r="BZ351" s="198"/>
      <c r="CA351" s="198"/>
      <c r="CB351" s="198"/>
      <c r="CC351" s="198"/>
      <c r="CD351" s="198"/>
      <c r="CE351" s="198"/>
      <c r="CF351" s="198"/>
      <c r="CG351" s="198"/>
      <c r="CH351" s="198"/>
      <c r="CI351" s="198"/>
      <c r="CJ351" s="198"/>
      <c r="CK351" s="198"/>
      <c r="CL351" s="198"/>
      <c r="CM351" s="198"/>
      <c r="CN351" s="198"/>
      <c r="CO351" s="198"/>
      <c r="CP351" s="198"/>
      <c r="CQ351" s="198"/>
      <c r="CR351" s="198"/>
      <c r="CS351" s="198"/>
      <c r="CT351" s="198"/>
      <c r="CU351" s="198"/>
      <c r="CV351" s="198"/>
      <c r="CW351" s="198"/>
      <c r="CX351" s="198"/>
      <c r="CY351" s="198"/>
      <c r="CZ351" s="198"/>
      <c r="DA351" s="198"/>
      <c r="DB351" s="198"/>
      <c r="DC351" s="198"/>
      <c r="DD351" s="198"/>
      <c r="DE351" s="198"/>
      <c r="DF351" s="198"/>
      <c r="DG351" s="198"/>
      <c r="DH351" s="198"/>
      <c r="DI351" s="198"/>
      <c r="DJ351" s="198"/>
      <c r="DK351" s="198"/>
      <c r="DL351" s="198"/>
      <c r="DM351" s="198"/>
      <c r="DN351" s="198"/>
      <c r="DO351" s="198"/>
    </row>
    <row r="352" spans="1:123" ht="15.75" customHeight="1" x14ac:dyDescent="0.2">
      <c r="A352" s="185"/>
      <c r="B352" s="185"/>
      <c r="C352" s="185"/>
      <c r="D352" s="185"/>
      <c r="E352" s="187"/>
      <c r="F352" s="185"/>
      <c r="G352" s="185"/>
      <c r="H352" s="187"/>
      <c r="I352" s="185"/>
      <c r="J352" s="185"/>
      <c r="K352" s="185"/>
      <c r="L352" s="185"/>
      <c r="M352" s="185"/>
      <c r="N352" s="185"/>
      <c r="O352" s="185"/>
      <c r="P352" s="195"/>
      <c r="Q352" s="195"/>
      <c r="R352" s="195"/>
      <c r="S352" s="195"/>
      <c r="T352" s="185"/>
      <c r="U352" s="185"/>
      <c r="V352" s="185"/>
      <c r="W352" s="185"/>
      <c r="X352" s="186"/>
      <c r="Y352" s="186"/>
      <c r="Z352" s="186"/>
      <c r="AA352" s="186"/>
      <c r="AB352" s="186"/>
      <c r="AC352" s="186"/>
      <c r="AD352" s="186"/>
      <c r="AE352" s="196"/>
      <c r="AF352" s="196"/>
      <c r="AG352" s="196"/>
      <c r="AH352" s="196"/>
      <c r="AI352" s="199"/>
      <c r="AJ352" s="199"/>
      <c r="AK352" s="199"/>
      <c r="AL352" s="199"/>
      <c r="AM352" s="199"/>
      <c r="AN352" s="185"/>
      <c r="AO352" s="185"/>
      <c r="AP352" s="199"/>
      <c r="AQ352" s="185"/>
      <c r="AR352" s="185"/>
      <c r="AS352" s="185"/>
      <c r="AT352" s="185"/>
      <c r="AU352" s="199"/>
      <c r="AV352" s="185"/>
      <c r="AW352" s="185"/>
      <c r="AX352" s="185"/>
      <c r="AY352" s="185"/>
      <c r="AZ352" s="199"/>
      <c r="BA352" s="185"/>
      <c r="BB352" s="185"/>
      <c r="BC352" s="185"/>
      <c r="BD352" s="185"/>
      <c r="BE352" s="199"/>
      <c r="BF352" s="185"/>
      <c r="BG352" s="185"/>
      <c r="BH352" s="185"/>
      <c r="BI352" s="185"/>
      <c r="BJ352" s="199"/>
      <c r="BK352" s="185"/>
      <c r="BL352" s="185"/>
      <c r="BM352" s="185"/>
      <c r="BN352" s="185"/>
      <c r="BO352" s="199"/>
      <c r="BP352" s="185"/>
      <c r="BQ352" s="185"/>
      <c r="BR352" s="185"/>
      <c r="BS352" s="185"/>
      <c r="BT352" s="199"/>
      <c r="BU352" s="185"/>
      <c r="BV352" s="185"/>
      <c r="BW352" s="185"/>
      <c r="BX352" s="185"/>
      <c r="BY352" s="199"/>
      <c r="BZ352" s="185"/>
      <c r="CA352" s="185"/>
      <c r="CB352" s="185"/>
      <c r="CC352" s="185"/>
      <c r="CD352" s="199"/>
      <c r="CE352" s="199"/>
      <c r="CF352" s="199"/>
      <c r="CG352" s="185"/>
      <c r="CH352" s="185"/>
      <c r="CI352" s="185"/>
      <c r="CJ352" s="185"/>
      <c r="CK352" s="185"/>
      <c r="CL352" s="185"/>
      <c r="CM352" s="185"/>
      <c r="CN352" s="185"/>
      <c r="CO352" s="185"/>
      <c r="CP352" s="185"/>
      <c r="CQ352" s="185"/>
      <c r="CR352" s="185"/>
      <c r="CS352" s="191"/>
      <c r="CT352" s="185"/>
      <c r="CU352" s="185"/>
      <c r="CV352" s="185"/>
      <c r="CW352" s="185"/>
      <c r="CX352" s="185"/>
      <c r="CY352" s="185"/>
      <c r="CZ352" s="185"/>
      <c r="DA352" s="185"/>
      <c r="DB352" s="185"/>
      <c r="DC352" s="185"/>
      <c r="DD352" s="185"/>
      <c r="DE352" s="185"/>
      <c r="DF352" s="185"/>
      <c r="DG352" s="185"/>
      <c r="DH352" s="185"/>
      <c r="DI352" s="185"/>
      <c r="DJ352" s="185"/>
      <c r="DK352" s="185"/>
      <c r="DL352" s="185"/>
      <c r="DM352" s="185"/>
      <c r="DN352" s="200"/>
      <c r="DO352" s="201"/>
    </row>
    <row r="353" spans="1:119" x14ac:dyDescent="0.2">
      <c r="A353" s="185"/>
      <c r="B353" s="185"/>
      <c r="C353" s="185"/>
      <c r="D353" s="185"/>
      <c r="E353" s="187"/>
      <c r="F353" s="185"/>
      <c r="G353" s="185"/>
      <c r="H353" s="187"/>
      <c r="I353" s="185"/>
      <c r="J353" s="185"/>
      <c r="K353" s="185"/>
      <c r="L353" s="185"/>
      <c r="M353" s="185"/>
      <c r="N353" s="185"/>
      <c r="O353" s="185"/>
      <c r="P353" s="195"/>
      <c r="Q353" s="195"/>
      <c r="R353" s="195"/>
      <c r="S353" s="195"/>
      <c r="T353" s="185"/>
      <c r="U353" s="185"/>
      <c r="V353" s="185"/>
      <c r="W353" s="185"/>
      <c r="X353" s="186"/>
      <c r="Y353" s="186"/>
      <c r="Z353" s="186"/>
      <c r="AA353" s="186"/>
      <c r="AB353" s="186"/>
      <c r="AC353" s="186"/>
      <c r="AD353" s="193"/>
      <c r="AE353" s="202"/>
      <c r="AF353" s="203"/>
      <c r="AG353" s="203"/>
      <c r="AH353" s="203"/>
      <c r="AI353" s="203"/>
      <c r="AJ353" s="185"/>
      <c r="AK353" s="191"/>
      <c r="AL353" s="191"/>
      <c r="AM353" s="191"/>
      <c r="AN353" s="185"/>
      <c r="AO353" s="185"/>
      <c r="AP353" s="185"/>
      <c r="AQ353" s="185"/>
      <c r="AR353" s="185"/>
      <c r="AS353" s="185"/>
      <c r="AT353" s="185"/>
      <c r="AU353" s="185"/>
      <c r="AV353" s="185"/>
      <c r="AW353" s="185"/>
      <c r="AX353" s="185"/>
      <c r="AY353" s="185"/>
      <c r="AZ353" s="185"/>
      <c r="BA353" s="185"/>
      <c r="BB353" s="185"/>
      <c r="BC353" s="185"/>
      <c r="BD353" s="185"/>
      <c r="BE353" s="185"/>
      <c r="BF353" s="185"/>
      <c r="BG353" s="185"/>
      <c r="BH353" s="185"/>
      <c r="BI353" s="185"/>
      <c r="BJ353" s="185"/>
      <c r="BK353" s="185"/>
      <c r="BL353" s="185"/>
      <c r="BM353" s="185"/>
      <c r="BN353" s="185"/>
      <c r="BO353" s="185"/>
      <c r="BP353" s="185"/>
      <c r="BQ353" s="185"/>
      <c r="BR353" s="185"/>
      <c r="BS353" s="185"/>
      <c r="BT353" s="185"/>
      <c r="BU353" s="185"/>
      <c r="BV353" s="185"/>
      <c r="BW353" s="185"/>
      <c r="BX353" s="185"/>
      <c r="BY353" s="185"/>
      <c r="BZ353" s="185"/>
      <c r="CA353" s="185"/>
      <c r="CB353" s="185"/>
      <c r="CC353" s="185"/>
      <c r="CD353" s="199"/>
      <c r="CE353" s="185"/>
      <c r="CF353" s="185"/>
      <c r="CG353" s="185"/>
      <c r="CH353" s="185"/>
      <c r="CI353" s="185"/>
      <c r="CJ353" s="185"/>
      <c r="CK353" s="185"/>
      <c r="CL353" s="185"/>
      <c r="CM353" s="185"/>
      <c r="CN353" s="185"/>
      <c r="CO353" s="185"/>
      <c r="CP353" s="185"/>
      <c r="CQ353" s="185"/>
      <c r="CR353" s="185"/>
      <c r="CS353" s="185"/>
      <c r="CT353" s="185"/>
      <c r="CU353" s="185"/>
      <c r="CV353" s="185"/>
      <c r="CW353" s="185"/>
      <c r="CX353" s="185"/>
      <c r="CY353" s="185"/>
      <c r="CZ353" s="185"/>
      <c r="DA353" s="185"/>
      <c r="DB353" s="185"/>
      <c r="DC353" s="185"/>
      <c r="DD353" s="185"/>
      <c r="DE353" s="185"/>
      <c r="DF353" s="185"/>
      <c r="DG353" s="185"/>
      <c r="DH353" s="185"/>
      <c r="DI353" s="185"/>
      <c r="DJ353" s="185"/>
      <c r="DK353" s="185"/>
      <c r="DL353" s="185"/>
      <c r="DM353" s="185"/>
      <c r="DN353" s="201"/>
      <c r="DO353" s="201"/>
    </row>
    <row r="354" spans="1:119" ht="15.75" x14ac:dyDescent="0.2">
      <c r="A354" s="185"/>
      <c r="B354" s="185"/>
      <c r="C354" s="185"/>
      <c r="D354" s="185"/>
      <c r="E354" s="187"/>
      <c r="F354" s="185"/>
      <c r="G354" s="185"/>
      <c r="H354" s="187"/>
      <c r="I354" s="185"/>
      <c r="J354" s="185"/>
      <c r="K354" s="185"/>
      <c r="L354" s="185"/>
      <c r="M354" s="185"/>
      <c r="N354" s="185"/>
      <c r="O354" s="185"/>
      <c r="P354" s="195"/>
      <c r="Q354" s="195"/>
      <c r="R354" s="195"/>
      <c r="S354" s="195"/>
      <c r="T354" s="185"/>
      <c r="U354" s="185"/>
      <c r="V354" s="185"/>
      <c r="W354" s="185"/>
      <c r="X354" s="186"/>
      <c r="Y354" s="186"/>
      <c r="Z354" s="186"/>
      <c r="AA354" s="186"/>
      <c r="AB354" s="186"/>
      <c r="AC354" s="186"/>
      <c r="AD354" s="229"/>
      <c r="AE354" s="43"/>
      <c r="AF354" s="42"/>
      <c r="AG354" s="42"/>
      <c r="AH354" s="42"/>
      <c r="AI354" s="4"/>
      <c r="AJ354" s="185"/>
      <c r="AK354" s="199"/>
      <c r="AL354" s="199"/>
      <c r="AM354" s="199"/>
      <c r="AN354" s="185"/>
      <c r="AO354" s="185"/>
      <c r="AP354" s="185"/>
      <c r="AQ354" s="185"/>
      <c r="AR354" s="185"/>
      <c r="AS354" s="185"/>
      <c r="AT354" s="185"/>
      <c r="AU354" s="185"/>
      <c r="AV354" s="185"/>
      <c r="AW354" s="185"/>
      <c r="AX354" s="185"/>
      <c r="AY354" s="185"/>
      <c r="AZ354" s="185"/>
      <c r="BA354" s="185"/>
      <c r="BB354" s="196"/>
      <c r="BC354" s="185"/>
      <c r="BD354" s="185"/>
      <c r="BE354" s="185"/>
      <c r="BF354" s="185"/>
      <c r="BG354" s="185"/>
      <c r="BH354" s="185"/>
      <c r="BI354" s="185"/>
      <c r="BJ354" s="185"/>
      <c r="BK354" s="185"/>
      <c r="BL354" s="185"/>
      <c r="BM354" s="185"/>
      <c r="BN354" s="185"/>
      <c r="BO354" s="185"/>
      <c r="BP354" s="185"/>
      <c r="BQ354" s="185"/>
      <c r="BR354" s="185"/>
      <c r="BS354" s="185"/>
      <c r="BT354" s="185"/>
      <c r="BU354" s="185"/>
      <c r="BV354" s="185"/>
      <c r="BW354" s="185"/>
      <c r="BX354" s="185"/>
      <c r="BY354" s="185"/>
      <c r="BZ354" s="185"/>
      <c r="CA354" s="185"/>
      <c r="CB354" s="185"/>
      <c r="CC354" s="185"/>
      <c r="CD354" s="184"/>
      <c r="CE354" s="185"/>
      <c r="CF354" s="185"/>
      <c r="CG354" s="185"/>
      <c r="CH354" s="185"/>
      <c r="CI354" s="185"/>
      <c r="CJ354" s="185"/>
      <c r="CK354" s="185"/>
      <c r="CL354" s="185"/>
      <c r="CM354" s="185"/>
      <c r="CN354" s="185"/>
      <c r="CO354" s="185"/>
      <c r="CP354" s="185"/>
      <c r="CQ354" s="185"/>
      <c r="CR354" s="185"/>
      <c r="CS354" s="185"/>
      <c r="CT354" s="185"/>
      <c r="CU354" s="185"/>
      <c r="CV354" s="185"/>
      <c r="CW354" s="185"/>
      <c r="CX354" s="185"/>
      <c r="CY354" s="185"/>
      <c r="CZ354" s="185"/>
      <c r="DA354" s="185"/>
      <c r="DB354" s="185"/>
      <c r="DC354" s="185"/>
      <c r="DD354" s="185"/>
      <c r="DE354" s="185"/>
      <c r="DF354" s="185"/>
      <c r="DG354" s="185"/>
      <c r="DH354" s="185"/>
      <c r="DI354" s="185"/>
      <c r="DJ354" s="185"/>
      <c r="DK354" s="185"/>
      <c r="DL354" s="185"/>
      <c r="DM354" s="185"/>
      <c r="DN354" s="201"/>
      <c r="DO354" s="201"/>
    </row>
    <row r="355" spans="1:119" ht="15.75" x14ac:dyDescent="0.2">
      <c r="A355" s="185"/>
      <c r="B355" s="185"/>
      <c r="C355" s="185"/>
      <c r="D355" s="185"/>
      <c r="E355" s="187"/>
      <c r="F355" s="185"/>
      <c r="G355" s="185"/>
      <c r="H355" s="187"/>
      <c r="I355" s="185"/>
      <c r="J355" s="185"/>
      <c r="K355" s="185"/>
      <c r="L355" s="185"/>
      <c r="M355" s="185"/>
      <c r="N355" s="185"/>
      <c r="O355" s="185"/>
      <c r="P355" s="195"/>
      <c r="Q355" s="195"/>
      <c r="R355" s="195"/>
      <c r="S355" s="195"/>
      <c r="T355" s="185"/>
      <c r="U355" s="185"/>
      <c r="V355" s="185"/>
      <c r="W355" s="185"/>
      <c r="X355" s="186"/>
      <c r="Y355" s="186"/>
      <c r="Z355" s="186"/>
      <c r="AA355" s="186"/>
      <c r="AB355" s="186"/>
      <c r="AC355" s="186"/>
      <c r="AD355" s="229"/>
      <c r="AE355" s="230"/>
      <c r="AF355" s="43"/>
      <c r="AG355" s="43"/>
      <c r="AH355" s="43"/>
      <c r="AI355" s="5"/>
      <c r="AJ355" s="185"/>
      <c r="AK355" s="199"/>
      <c r="AL355" s="199"/>
      <c r="AM355" s="199"/>
      <c r="AN355" s="185"/>
      <c r="AO355" s="185"/>
      <c r="AP355" s="185"/>
      <c r="AQ355" s="185"/>
      <c r="AR355" s="185"/>
      <c r="AS355" s="185"/>
      <c r="AT355" s="185"/>
      <c r="AU355" s="185"/>
      <c r="AV355" s="185"/>
      <c r="AW355" s="185"/>
      <c r="AX355" s="185"/>
      <c r="AY355" s="185"/>
      <c r="AZ355" s="185"/>
      <c r="BA355" s="185"/>
      <c r="BB355" s="185"/>
      <c r="BC355" s="185"/>
      <c r="BD355" s="185"/>
      <c r="BE355" s="185"/>
      <c r="BF355" s="185"/>
      <c r="BG355" s="185"/>
      <c r="BH355" s="185"/>
      <c r="BI355" s="185"/>
      <c r="BJ355" s="185"/>
      <c r="BK355" s="185"/>
      <c r="BL355" s="185"/>
      <c r="BM355" s="185"/>
      <c r="BN355" s="185"/>
      <c r="BO355" s="185"/>
      <c r="BP355" s="185"/>
      <c r="BQ355" s="185"/>
      <c r="BR355" s="185"/>
      <c r="BS355" s="185"/>
      <c r="BT355" s="185"/>
      <c r="BU355" s="185"/>
      <c r="BV355" s="185"/>
      <c r="BW355" s="185"/>
      <c r="BX355" s="185"/>
      <c r="BY355" s="185"/>
      <c r="BZ355" s="185"/>
      <c r="CA355" s="185"/>
      <c r="CB355" s="185"/>
      <c r="CC355" s="185"/>
      <c r="CD355" s="199"/>
      <c r="CE355" s="185"/>
      <c r="CF355" s="185"/>
      <c r="CG355" s="185"/>
      <c r="CH355" s="185"/>
      <c r="CI355" s="185"/>
      <c r="CJ355" s="185"/>
      <c r="CK355" s="185"/>
      <c r="CL355" s="185"/>
      <c r="CM355" s="185"/>
      <c r="CN355" s="185"/>
      <c r="CO355" s="185"/>
      <c r="CP355" s="185"/>
      <c r="CQ355" s="185"/>
      <c r="CR355" s="185"/>
      <c r="CS355" s="185"/>
      <c r="CT355" s="185"/>
      <c r="CU355" s="185"/>
      <c r="CV355" s="185"/>
      <c r="CW355" s="185"/>
      <c r="CX355" s="185"/>
      <c r="CY355" s="185"/>
      <c r="CZ355" s="185"/>
      <c r="DA355" s="185"/>
      <c r="DB355" s="185"/>
      <c r="DC355" s="185"/>
      <c r="DD355" s="185"/>
      <c r="DE355" s="185"/>
      <c r="DF355" s="185"/>
      <c r="DG355" s="185"/>
      <c r="DH355" s="185"/>
      <c r="DI355" s="185"/>
      <c r="DJ355" s="185"/>
      <c r="DK355" s="185"/>
      <c r="DL355" s="185"/>
      <c r="DM355" s="185"/>
      <c r="DN355" s="201"/>
      <c r="DO355" s="201"/>
    </row>
    <row r="356" spans="1:119" ht="15.75" x14ac:dyDescent="0.2">
      <c r="A356" s="185"/>
      <c r="B356" s="185"/>
      <c r="C356" s="185"/>
      <c r="D356" s="185"/>
      <c r="E356" s="187"/>
      <c r="F356" s="185"/>
      <c r="G356" s="185"/>
      <c r="H356" s="187"/>
      <c r="I356" s="185"/>
      <c r="J356" s="185"/>
      <c r="K356" s="185"/>
      <c r="L356" s="185"/>
      <c r="M356" s="185"/>
      <c r="N356" s="185"/>
      <c r="O356" s="185"/>
      <c r="P356" s="195"/>
      <c r="Q356" s="195"/>
      <c r="R356" s="195"/>
      <c r="S356" s="195"/>
      <c r="T356" s="185"/>
      <c r="U356" s="185"/>
      <c r="V356" s="185"/>
      <c r="W356" s="185"/>
      <c r="X356" s="186"/>
      <c r="Y356" s="186"/>
      <c r="Z356" s="186"/>
      <c r="AA356" s="186"/>
      <c r="AB356" s="186"/>
      <c r="AC356" s="186"/>
      <c r="AD356" s="229"/>
      <c r="AE356" s="43"/>
      <c r="AF356" s="43"/>
      <c r="AG356" s="43"/>
      <c r="AH356" s="43"/>
      <c r="AI356" s="6"/>
      <c r="AJ356" s="185"/>
      <c r="AK356" s="191"/>
      <c r="AL356" s="185"/>
      <c r="AM356" s="185"/>
      <c r="AN356" s="185"/>
      <c r="AO356" s="185"/>
      <c r="AP356" s="185"/>
      <c r="AQ356" s="185"/>
      <c r="AR356" s="185"/>
      <c r="AS356" s="185"/>
      <c r="AT356" s="185"/>
      <c r="AU356" s="185"/>
      <c r="AV356" s="185"/>
      <c r="AW356" s="185"/>
      <c r="AX356" s="185"/>
      <c r="AY356" s="185"/>
      <c r="AZ356" s="185"/>
      <c r="BA356" s="185"/>
      <c r="BB356" s="185"/>
      <c r="BC356" s="185"/>
      <c r="BD356" s="185"/>
      <c r="BE356" s="185"/>
      <c r="BF356" s="185"/>
      <c r="BG356" s="185"/>
      <c r="BH356" s="185"/>
      <c r="BI356" s="185"/>
      <c r="BJ356" s="185"/>
      <c r="BK356" s="185"/>
      <c r="BL356" s="185"/>
      <c r="BM356" s="185"/>
      <c r="BN356" s="185"/>
      <c r="BO356" s="185"/>
      <c r="BP356" s="185"/>
      <c r="BQ356" s="185"/>
      <c r="BR356" s="185"/>
      <c r="BS356" s="185"/>
      <c r="BT356" s="185"/>
      <c r="BU356" s="185"/>
      <c r="BV356" s="185"/>
      <c r="BW356" s="185"/>
      <c r="BX356" s="185"/>
      <c r="BY356" s="185"/>
      <c r="BZ356" s="185"/>
      <c r="CA356" s="185"/>
      <c r="CB356" s="185"/>
      <c r="CC356" s="185"/>
      <c r="CD356" s="185"/>
      <c r="CE356" s="185"/>
      <c r="CF356" s="185"/>
      <c r="CG356" s="185"/>
      <c r="CH356" s="185"/>
      <c r="CI356" s="185"/>
      <c r="CJ356" s="185"/>
      <c r="CK356" s="185"/>
      <c r="CL356" s="185"/>
      <c r="CM356" s="185"/>
      <c r="CN356" s="185"/>
      <c r="CO356" s="185"/>
      <c r="CP356" s="185"/>
      <c r="CQ356" s="185"/>
      <c r="CR356" s="185"/>
      <c r="CS356" s="185"/>
      <c r="CT356" s="185"/>
      <c r="CU356" s="185"/>
      <c r="CV356" s="185"/>
      <c r="CW356" s="185"/>
      <c r="CX356" s="185"/>
      <c r="CY356" s="185"/>
      <c r="CZ356" s="185"/>
      <c r="DA356" s="185"/>
      <c r="DB356" s="185"/>
      <c r="DC356" s="185"/>
      <c r="DD356" s="185"/>
      <c r="DE356" s="185"/>
      <c r="DF356" s="185"/>
      <c r="DG356" s="185"/>
      <c r="DH356" s="185"/>
      <c r="DI356" s="185"/>
      <c r="DJ356" s="185"/>
      <c r="DK356" s="185"/>
      <c r="DL356" s="185"/>
      <c r="DM356" s="185"/>
      <c r="DN356" s="201"/>
      <c r="DO356" s="201"/>
    </row>
    <row r="357" spans="1:119" ht="15.75" x14ac:dyDescent="0.2">
      <c r="A357" s="185"/>
      <c r="B357" s="185"/>
      <c r="C357" s="185"/>
      <c r="D357" s="185"/>
      <c r="E357" s="187"/>
      <c r="F357" s="185"/>
      <c r="G357" s="185"/>
      <c r="H357" s="187"/>
      <c r="I357" s="185"/>
      <c r="J357" s="185"/>
      <c r="K357" s="185"/>
      <c r="L357" s="185"/>
      <c r="M357" s="185"/>
      <c r="N357" s="185"/>
      <c r="O357" s="185"/>
      <c r="P357" s="195"/>
      <c r="Q357" s="195"/>
      <c r="R357" s="195"/>
      <c r="S357" s="195"/>
      <c r="T357" s="185"/>
      <c r="U357" s="185"/>
      <c r="V357" s="185"/>
      <c r="W357" s="185"/>
      <c r="X357" s="186"/>
      <c r="Y357" s="186"/>
      <c r="Z357" s="186"/>
      <c r="AA357" s="186"/>
      <c r="AB357" s="186"/>
      <c r="AC357" s="186"/>
      <c r="AD357" s="229"/>
      <c r="AE357" s="43"/>
      <c r="AF357" s="43"/>
      <c r="AG357" s="43"/>
      <c r="AH357" s="43"/>
      <c r="AI357" s="6"/>
      <c r="AJ357" s="185"/>
      <c r="AK357" s="185"/>
      <c r="AL357" s="185"/>
      <c r="AM357" s="185"/>
      <c r="AN357" s="185"/>
      <c r="AO357" s="185"/>
      <c r="AP357" s="185"/>
      <c r="AQ357" s="185"/>
      <c r="AR357" s="185"/>
      <c r="AS357" s="185"/>
      <c r="AT357" s="185"/>
      <c r="AU357" s="185"/>
      <c r="AV357" s="185"/>
      <c r="AW357" s="185"/>
      <c r="AX357" s="185"/>
      <c r="AY357" s="185"/>
      <c r="AZ357" s="185"/>
      <c r="BA357" s="185"/>
      <c r="BB357" s="185"/>
      <c r="BC357" s="185"/>
      <c r="BD357" s="185"/>
      <c r="BE357" s="185"/>
      <c r="BF357" s="185"/>
      <c r="BG357" s="185"/>
      <c r="BH357" s="185"/>
      <c r="BI357" s="185"/>
      <c r="BJ357" s="185"/>
      <c r="BK357" s="185"/>
      <c r="BL357" s="185"/>
      <c r="BM357" s="185"/>
      <c r="BN357" s="185"/>
      <c r="BO357" s="185"/>
      <c r="BP357" s="185"/>
      <c r="BQ357" s="185"/>
      <c r="BR357" s="185"/>
      <c r="BS357" s="185"/>
      <c r="BT357" s="185"/>
      <c r="BU357" s="185"/>
      <c r="BV357" s="185"/>
      <c r="BW357" s="185"/>
      <c r="BX357" s="185"/>
      <c r="BY357" s="185"/>
      <c r="BZ357" s="185"/>
      <c r="CA357" s="185"/>
      <c r="CB357" s="185"/>
      <c r="CC357" s="185"/>
      <c r="CD357" s="185"/>
      <c r="CE357" s="185"/>
      <c r="CF357" s="185"/>
      <c r="CG357" s="185"/>
      <c r="CH357" s="185"/>
      <c r="CI357" s="185"/>
      <c r="CJ357" s="185"/>
      <c r="CK357" s="185"/>
      <c r="CL357" s="185"/>
      <c r="CM357" s="185"/>
      <c r="CN357" s="185"/>
      <c r="CO357" s="185"/>
      <c r="CP357" s="185"/>
      <c r="CQ357" s="185"/>
      <c r="CR357" s="185"/>
      <c r="CS357" s="185"/>
      <c r="CT357" s="185"/>
      <c r="CU357" s="185"/>
      <c r="CV357" s="185"/>
      <c r="CW357" s="185"/>
      <c r="CX357" s="185"/>
      <c r="CY357" s="185"/>
      <c r="CZ357" s="185"/>
      <c r="DA357" s="185"/>
      <c r="DB357" s="185"/>
      <c r="DC357" s="185"/>
      <c r="DD357" s="185"/>
      <c r="DE357" s="185"/>
      <c r="DF357" s="185"/>
      <c r="DG357" s="185"/>
      <c r="DH357" s="185"/>
      <c r="DI357" s="185"/>
      <c r="DJ357" s="185"/>
      <c r="DK357" s="185"/>
      <c r="DL357" s="185"/>
      <c r="DM357" s="185"/>
      <c r="DN357" s="201"/>
      <c r="DO357" s="231"/>
    </row>
    <row r="358" spans="1:119" ht="15.75" x14ac:dyDescent="0.2">
      <c r="A358" s="185"/>
      <c r="B358" s="185"/>
      <c r="C358" s="185"/>
      <c r="D358" s="185"/>
      <c r="E358" s="187"/>
      <c r="F358" s="185"/>
      <c r="G358" s="185"/>
      <c r="H358" s="187"/>
      <c r="I358" s="185"/>
      <c r="J358" s="185"/>
      <c r="K358" s="185"/>
      <c r="L358" s="185"/>
      <c r="M358" s="185"/>
      <c r="N358" s="185"/>
      <c r="O358" s="185"/>
      <c r="P358" s="195"/>
      <c r="Q358" s="195"/>
      <c r="R358" s="195"/>
      <c r="S358" s="195"/>
      <c r="T358" s="185"/>
      <c r="U358" s="185"/>
      <c r="V358" s="185"/>
      <c r="W358" s="185"/>
      <c r="X358" s="186"/>
      <c r="Y358" s="186"/>
      <c r="Z358" s="186"/>
      <c r="AA358" s="186"/>
      <c r="AB358" s="186"/>
      <c r="AC358" s="186"/>
      <c r="AD358" s="229"/>
      <c r="AE358" s="43"/>
      <c r="AF358" s="43"/>
      <c r="AG358" s="43"/>
      <c r="AH358" s="43"/>
      <c r="AI358" s="6"/>
      <c r="AJ358" s="185"/>
      <c r="AK358" s="185"/>
      <c r="AL358" s="185"/>
      <c r="AM358" s="185"/>
      <c r="AN358" s="185"/>
      <c r="AO358" s="185"/>
      <c r="AP358" s="185"/>
      <c r="AQ358" s="185"/>
      <c r="AR358" s="185"/>
      <c r="AS358" s="185"/>
      <c r="AT358" s="185"/>
      <c r="AU358" s="185"/>
      <c r="AV358" s="185"/>
      <c r="AW358" s="185"/>
      <c r="AX358" s="185"/>
      <c r="AY358" s="185"/>
      <c r="AZ358" s="185"/>
      <c r="BA358" s="185"/>
      <c r="BB358" s="185"/>
      <c r="BC358" s="185"/>
      <c r="BD358" s="185"/>
      <c r="BE358" s="185"/>
      <c r="BF358" s="185"/>
      <c r="BG358" s="185"/>
      <c r="BH358" s="185"/>
      <c r="BI358" s="185"/>
      <c r="BJ358" s="185"/>
      <c r="BK358" s="185"/>
      <c r="BL358" s="185"/>
      <c r="BM358" s="185"/>
      <c r="BN358" s="185"/>
      <c r="BO358" s="185"/>
      <c r="BP358" s="185"/>
      <c r="BQ358" s="185"/>
      <c r="BR358" s="185"/>
      <c r="BS358" s="185"/>
      <c r="BT358" s="185"/>
      <c r="BU358" s="185"/>
      <c r="BV358" s="185"/>
      <c r="BW358" s="185"/>
      <c r="BX358" s="185"/>
      <c r="BY358" s="185"/>
      <c r="BZ358" s="185"/>
      <c r="CA358" s="185"/>
      <c r="CB358" s="185"/>
      <c r="CC358" s="185"/>
      <c r="CD358" s="185"/>
      <c r="CE358" s="185"/>
      <c r="CF358" s="185"/>
      <c r="CG358" s="185"/>
      <c r="CH358" s="185"/>
      <c r="CI358" s="185"/>
      <c r="CJ358" s="185"/>
      <c r="CK358" s="185"/>
      <c r="CL358" s="185"/>
      <c r="CM358" s="185"/>
      <c r="CN358" s="185"/>
      <c r="CO358" s="185"/>
      <c r="CP358" s="185"/>
      <c r="CQ358" s="185"/>
      <c r="CR358" s="185"/>
      <c r="CS358" s="185"/>
      <c r="CT358" s="185"/>
      <c r="CU358" s="185"/>
      <c r="CV358" s="185"/>
      <c r="CW358" s="185"/>
      <c r="CX358" s="185"/>
      <c r="CY358" s="185"/>
      <c r="CZ358" s="185"/>
      <c r="DA358" s="185"/>
      <c r="DB358" s="185"/>
      <c r="DC358" s="185"/>
      <c r="DD358" s="185"/>
      <c r="DE358" s="185"/>
      <c r="DF358" s="185"/>
      <c r="DG358" s="185"/>
      <c r="DH358" s="185"/>
      <c r="DI358" s="185"/>
      <c r="DJ358" s="185"/>
      <c r="DK358" s="185"/>
      <c r="DL358" s="185"/>
      <c r="DM358" s="185"/>
      <c r="DN358" s="201"/>
      <c r="DO358" s="201"/>
    </row>
    <row r="359" spans="1:119" ht="15.75" x14ac:dyDescent="0.2">
      <c r="A359" s="185"/>
      <c r="B359" s="185"/>
      <c r="C359" s="185"/>
      <c r="D359" s="185"/>
      <c r="E359" s="187"/>
      <c r="F359" s="185"/>
      <c r="G359" s="185"/>
      <c r="H359" s="187"/>
      <c r="I359" s="185"/>
      <c r="J359" s="185"/>
      <c r="K359" s="185"/>
      <c r="L359" s="185"/>
      <c r="M359" s="185"/>
      <c r="N359" s="185"/>
      <c r="O359" s="185"/>
      <c r="P359" s="195"/>
      <c r="Q359" s="195"/>
      <c r="R359" s="195"/>
      <c r="S359" s="195"/>
      <c r="T359" s="185"/>
      <c r="U359" s="185"/>
      <c r="V359" s="185"/>
      <c r="W359" s="185"/>
      <c r="X359" s="186"/>
      <c r="Y359" s="186"/>
      <c r="Z359" s="186"/>
      <c r="AA359" s="186"/>
      <c r="AB359" s="186"/>
      <c r="AC359" s="186"/>
      <c r="AD359" s="229"/>
      <c r="AE359" s="43"/>
      <c r="AF359" s="43"/>
      <c r="AG359" s="43"/>
      <c r="AH359" s="43"/>
      <c r="AI359" s="6"/>
      <c r="AJ359" s="185"/>
      <c r="AK359" s="185"/>
      <c r="AL359" s="185"/>
      <c r="AM359" s="185"/>
      <c r="AN359" s="185"/>
      <c r="AO359" s="185"/>
      <c r="AP359" s="185"/>
      <c r="AQ359" s="185"/>
      <c r="AR359" s="185"/>
      <c r="AS359" s="185"/>
      <c r="AT359" s="185"/>
      <c r="AU359" s="185"/>
      <c r="AV359" s="185"/>
      <c r="AW359" s="185"/>
      <c r="AX359" s="185"/>
      <c r="AY359" s="185"/>
      <c r="AZ359" s="185"/>
      <c r="BA359" s="185"/>
      <c r="BB359" s="185"/>
      <c r="BC359" s="185"/>
      <c r="BD359" s="185"/>
      <c r="BE359" s="185"/>
      <c r="BF359" s="185"/>
      <c r="BG359" s="185"/>
      <c r="BH359" s="185"/>
      <c r="BI359" s="185"/>
      <c r="BJ359" s="185"/>
      <c r="BK359" s="185"/>
      <c r="BL359" s="185"/>
      <c r="BM359" s="185"/>
      <c r="BN359" s="185"/>
      <c r="BO359" s="185"/>
      <c r="BP359" s="185"/>
      <c r="BQ359" s="185"/>
      <c r="BR359" s="185"/>
      <c r="BS359" s="185"/>
      <c r="BT359" s="185"/>
      <c r="BU359" s="185"/>
      <c r="BV359" s="185"/>
      <c r="BW359" s="185"/>
      <c r="BX359" s="185"/>
      <c r="BY359" s="185"/>
      <c r="BZ359" s="185"/>
      <c r="CA359" s="185"/>
      <c r="CB359" s="185"/>
      <c r="CC359" s="185"/>
      <c r="CD359" s="185"/>
      <c r="CE359" s="185"/>
      <c r="CF359" s="185"/>
      <c r="CG359" s="185"/>
      <c r="CH359" s="185"/>
      <c r="CI359" s="185"/>
      <c r="CJ359" s="185"/>
      <c r="CK359" s="185"/>
      <c r="CL359" s="185"/>
      <c r="CM359" s="185"/>
      <c r="CN359" s="185"/>
      <c r="CO359" s="185"/>
      <c r="CP359" s="185"/>
      <c r="CQ359" s="185"/>
      <c r="CR359" s="185"/>
      <c r="CS359" s="185"/>
      <c r="CT359" s="185"/>
      <c r="CU359" s="185"/>
      <c r="CV359" s="185"/>
      <c r="CW359" s="185"/>
      <c r="CX359" s="185"/>
      <c r="CY359" s="185"/>
      <c r="CZ359" s="185"/>
      <c r="DA359" s="185"/>
      <c r="DB359" s="185"/>
      <c r="DC359" s="185"/>
      <c r="DD359" s="185"/>
      <c r="DE359" s="185"/>
      <c r="DF359" s="185"/>
      <c r="DG359" s="185"/>
      <c r="DH359" s="185"/>
      <c r="DI359" s="185"/>
      <c r="DJ359" s="185"/>
      <c r="DK359" s="185"/>
      <c r="DL359" s="185"/>
      <c r="DM359" s="185"/>
      <c r="DN359" s="201"/>
      <c r="DO359" s="201"/>
    </row>
    <row r="360" spans="1:119" ht="15.75" x14ac:dyDescent="0.2">
      <c r="A360" s="185"/>
      <c r="B360" s="185"/>
      <c r="C360" s="185"/>
      <c r="D360" s="185"/>
      <c r="E360" s="187"/>
      <c r="F360" s="185"/>
      <c r="G360" s="185"/>
      <c r="H360" s="187"/>
      <c r="I360" s="185"/>
      <c r="J360" s="185"/>
      <c r="K360" s="185"/>
      <c r="L360" s="185"/>
      <c r="M360" s="185"/>
      <c r="N360" s="185"/>
      <c r="O360" s="185"/>
      <c r="P360" s="195"/>
      <c r="Q360" s="195"/>
      <c r="R360" s="195"/>
      <c r="S360" s="195"/>
      <c r="T360" s="185"/>
      <c r="U360" s="185"/>
      <c r="V360" s="185"/>
      <c r="W360" s="185"/>
      <c r="X360" s="186"/>
      <c r="Y360" s="186"/>
      <c r="Z360" s="186"/>
      <c r="AA360" s="186"/>
      <c r="AB360" s="186"/>
      <c r="AC360" s="186"/>
      <c r="AD360" s="229"/>
      <c r="AE360" s="43"/>
      <c r="AF360" s="43"/>
      <c r="AG360" s="43"/>
      <c r="AH360" s="43"/>
      <c r="AI360" s="6"/>
      <c r="AJ360" s="185"/>
      <c r="AK360" s="185"/>
      <c r="AL360" s="185"/>
      <c r="AM360" s="185"/>
      <c r="AN360" s="185"/>
      <c r="AO360" s="185"/>
      <c r="AP360" s="185"/>
      <c r="AQ360" s="185"/>
      <c r="AR360" s="185"/>
      <c r="AS360" s="185"/>
      <c r="AT360" s="185"/>
      <c r="AU360" s="185"/>
      <c r="AV360" s="185"/>
      <c r="AW360" s="185"/>
      <c r="AX360" s="185"/>
      <c r="AY360" s="185"/>
      <c r="AZ360" s="185"/>
      <c r="BA360" s="185"/>
      <c r="BB360" s="185"/>
      <c r="BC360" s="185"/>
      <c r="BD360" s="185"/>
      <c r="BE360" s="185"/>
      <c r="BF360" s="185"/>
      <c r="BG360" s="185"/>
      <c r="BH360" s="185"/>
      <c r="BI360" s="185"/>
      <c r="BJ360" s="185"/>
      <c r="BK360" s="185"/>
      <c r="BL360" s="185"/>
      <c r="BM360" s="185"/>
      <c r="BN360" s="185"/>
      <c r="BO360" s="185"/>
      <c r="BP360" s="185"/>
      <c r="BQ360" s="185"/>
      <c r="BR360" s="185"/>
      <c r="BS360" s="185"/>
      <c r="BT360" s="185"/>
      <c r="BU360" s="185"/>
      <c r="BV360" s="185"/>
      <c r="BW360" s="185"/>
      <c r="BX360" s="185"/>
      <c r="BY360" s="185"/>
      <c r="BZ360" s="185"/>
      <c r="CA360" s="185"/>
      <c r="CB360" s="185"/>
      <c r="CC360" s="185"/>
      <c r="CD360" s="185"/>
      <c r="CE360" s="185"/>
      <c r="CF360" s="185"/>
      <c r="CG360" s="185"/>
      <c r="CH360" s="185"/>
      <c r="CI360" s="185"/>
      <c r="CJ360" s="185"/>
      <c r="CK360" s="185"/>
      <c r="CL360" s="185"/>
      <c r="CM360" s="185"/>
      <c r="CN360" s="185"/>
      <c r="CO360" s="185"/>
      <c r="CP360" s="185"/>
      <c r="CQ360" s="185"/>
      <c r="CR360" s="185"/>
      <c r="CS360" s="185"/>
      <c r="CT360" s="185"/>
      <c r="CU360" s="185"/>
      <c r="CV360" s="185"/>
      <c r="CW360" s="185"/>
      <c r="CX360" s="185"/>
      <c r="CY360" s="185"/>
      <c r="CZ360" s="185"/>
      <c r="DA360" s="185"/>
      <c r="DB360" s="185"/>
      <c r="DC360" s="185"/>
      <c r="DD360" s="185"/>
      <c r="DE360" s="185"/>
      <c r="DF360" s="185"/>
      <c r="DG360" s="185"/>
      <c r="DH360" s="185"/>
      <c r="DI360" s="185"/>
      <c r="DJ360" s="185"/>
      <c r="DK360" s="185"/>
      <c r="DL360" s="185"/>
      <c r="DM360" s="185"/>
      <c r="DN360" s="201"/>
      <c r="DO360" s="201"/>
    </row>
    <row r="361" spans="1:119" ht="15.75" x14ac:dyDescent="0.2">
      <c r="A361" s="185"/>
      <c r="B361" s="185"/>
      <c r="C361" s="185"/>
      <c r="D361" s="185"/>
      <c r="E361" s="187"/>
      <c r="F361" s="185"/>
      <c r="G361" s="185"/>
      <c r="H361" s="187"/>
      <c r="I361" s="185"/>
      <c r="J361" s="185"/>
      <c r="K361" s="185"/>
      <c r="L361" s="185"/>
      <c r="M361" s="185"/>
      <c r="N361" s="185"/>
      <c r="O361" s="185"/>
      <c r="P361" s="195"/>
      <c r="Q361" s="195"/>
      <c r="R361" s="195"/>
      <c r="S361" s="195"/>
      <c r="T361" s="185"/>
      <c r="U361" s="185"/>
      <c r="V361" s="185"/>
      <c r="W361" s="185"/>
      <c r="X361" s="186"/>
      <c r="Y361" s="186"/>
      <c r="Z361" s="186"/>
      <c r="AA361" s="186"/>
      <c r="AB361" s="186"/>
      <c r="AC361" s="186"/>
      <c r="AD361" s="229"/>
      <c r="AE361" s="43"/>
      <c r="AF361" s="43"/>
      <c r="AG361" s="43"/>
      <c r="AH361" s="43"/>
      <c r="AI361" s="6"/>
      <c r="AJ361" s="185"/>
      <c r="AK361" s="185"/>
      <c r="AL361" s="185"/>
      <c r="AM361" s="185"/>
      <c r="AN361" s="185"/>
      <c r="AO361" s="185"/>
      <c r="AP361" s="185"/>
      <c r="AQ361" s="185"/>
      <c r="AR361" s="185"/>
      <c r="AS361" s="185"/>
      <c r="AT361" s="185"/>
      <c r="AU361" s="185"/>
      <c r="AV361" s="185"/>
      <c r="AW361" s="185"/>
      <c r="AX361" s="185"/>
      <c r="AY361" s="185"/>
      <c r="AZ361" s="185"/>
      <c r="BA361" s="185"/>
      <c r="BB361" s="185"/>
      <c r="BC361" s="185"/>
      <c r="BD361" s="185"/>
      <c r="BE361" s="185"/>
      <c r="BF361" s="185"/>
      <c r="BG361" s="185"/>
      <c r="BH361" s="185"/>
      <c r="BI361" s="185"/>
      <c r="BJ361" s="185"/>
      <c r="BK361" s="185"/>
      <c r="BL361" s="185"/>
      <c r="BM361" s="185"/>
      <c r="BN361" s="185"/>
      <c r="BO361" s="185"/>
      <c r="BP361" s="185"/>
      <c r="BQ361" s="185"/>
      <c r="BR361" s="185"/>
      <c r="BS361" s="185"/>
      <c r="BT361" s="185"/>
      <c r="BU361" s="185"/>
      <c r="BV361" s="185"/>
      <c r="BW361" s="185"/>
      <c r="BX361" s="185"/>
      <c r="BY361" s="185"/>
      <c r="BZ361" s="185"/>
      <c r="CA361" s="185"/>
      <c r="CB361" s="185"/>
      <c r="CC361" s="185"/>
      <c r="CD361" s="185"/>
      <c r="CE361" s="185"/>
      <c r="CF361" s="185"/>
      <c r="CG361" s="185"/>
      <c r="CH361" s="185"/>
      <c r="CI361" s="185"/>
      <c r="CJ361" s="185"/>
      <c r="CK361" s="185"/>
      <c r="CL361" s="185"/>
      <c r="CM361" s="185"/>
      <c r="CN361" s="185"/>
      <c r="CO361" s="185"/>
      <c r="CP361" s="185"/>
      <c r="CQ361" s="185"/>
      <c r="CR361" s="185"/>
      <c r="CS361" s="185"/>
      <c r="CT361" s="185"/>
      <c r="CU361" s="185"/>
      <c r="CV361" s="185"/>
      <c r="CW361" s="185"/>
      <c r="CX361" s="185"/>
      <c r="CY361" s="185"/>
      <c r="CZ361" s="185"/>
      <c r="DA361" s="185"/>
      <c r="DB361" s="185"/>
      <c r="DC361" s="185"/>
      <c r="DD361" s="185"/>
      <c r="DE361" s="185"/>
      <c r="DF361" s="185"/>
      <c r="DG361" s="185"/>
      <c r="DH361" s="185"/>
      <c r="DI361" s="185"/>
      <c r="DJ361" s="185"/>
      <c r="DK361" s="185"/>
      <c r="DL361" s="185"/>
      <c r="DM361" s="185"/>
      <c r="DN361" s="201"/>
      <c r="DO361" s="201"/>
    </row>
    <row r="362" spans="1:119" ht="15.75" x14ac:dyDescent="0.2">
      <c r="A362" s="185"/>
      <c r="B362" s="185"/>
      <c r="C362" s="185"/>
      <c r="D362" s="185"/>
      <c r="E362" s="187"/>
      <c r="F362" s="185"/>
      <c r="G362" s="185"/>
      <c r="H362" s="187"/>
      <c r="I362" s="185"/>
      <c r="J362" s="185"/>
      <c r="K362" s="185"/>
      <c r="L362" s="185"/>
      <c r="M362" s="185"/>
      <c r="N362" s="185"/>
      <c r="O362" s="185"/>
      <c r="P362" s="195"/>
      <c r="Q362" s="195"/>
      <c r="R362" s="195"/>
      <c r="S362" s="195"/>
      <c r="T362" s="185"/>
      <c r="U362" s="185"/>
      <c r="V362" s="185"/>
      <c r="W362" s="185"/>
      <c r="X362" s="186"/>
      <c r="Y362" s="186"/>
      <c r="Z362" s="186"/>
      <c r="AA362" s="186"/>
      <c r="AB362" s="186"/>
      <c r="AC362" s="186"/>
      <c r="AD362" s="229"/>
      <c r="AE362" s="43"/>
      <c r="AF362" s="43"/>
      <c r="AG362" s="43"/>
      <c r="AH362" s="43"/>
      <c r="AI362" s="6"/>
      <c r="AJ362" s="185"/>
      <c r="AK362" s="185"/>
      <c r="AL362" s="185"/>
      <c r="AM362" s="185"/>
      <c r="AN362" s="185"/>
      <c r="AO362" s="185"/>
      <c r="AP362" s="185"/>
      <c r="AQ362" s="185"/>
      <c r="AR362" s="185"/>
      <c r="AS362" s="185"/>
      <c r="AT362" s="185"/>
      <c r="AU362" s="185"/>
      <c r="AV362" s="185"/>
      <c r="AW362" s="185"/>
      <c r="AX362" s="185"/>
      <c r="AY362" s="185"/>
      <c r="AZ362" s="185"/>
      <c r="BA362" s="185"/>
      <c r="BB362" s="185"/>
      <c r="BC362" s="185"/>
      <c r="BD362" s="185"/>
      <c r="BE362" s="185"/>
      <c r="BF362" s="185"/>
      <c r="BG362" s="185"/>
      <c r="BH362" s="185"/>
      <c r="BI362" s="185"/>
      <c r="BJ362" s="185"/>
      <c r="BK362" s="185"/>
      <c r="BL362" s="185"/>
      <c r="BM362" s="185"/>
      <c r="BN362" s="185"/>
      <c r="BO362" s="185"/>
      <c r="BP362" s="185"/>
      <c r="BQ362" s="185"/>
      <c r="BR362" s="185"/>
      <c r="BS362" s="185"/>
      <c r="BT362" s="185"/>
      <c r="BU362" s="185"/>
      <c r="BV362" s="185"/>
      <c r="BW362" s="185"/>
      <c r="BX362" s="185"/>
      <c r="BY362" s="185"/>
      <c r="BZ362" s="185"/>
      <c r="CA362" s="185"/>
      <c r="CB362" s="185"/>
      <c r="CC362" s="185"/>
      <c r="CD362" s="185"/>
      <c r="CE362" s="185"/>
      <c r="CF362" s="185"/>
      <c r="CG362" s="185"/>
      <c r="CH362" s="185"/>
      <c r="CI362" s="185"/>
      <c r="CJ362" s="185"/>
      <c r="CK362" s="185"/>
      <c r="CL362" s="185"/>
      <c r="CM362" s="185"/>
      <c r="CN362" s="185"/>
      <c r="CO362" s="185"/>
      <c r="CP362" s="185"/>
      <c r="CQ362" s="185"/>
      <c r="CR362" s="185"/>
      <c r="CS362" s="185"/>
      <c r="CT362" s="185"/>
      <c r="CU362" s="185"/>
      <c r="CV362" s="185"/>
      <c r="CW362" s="185"/>
      <c r="CX362" s="185"/>
      <c r="CY362" s="185"/>
      <c r="CZ362" s="185"/>
      <c r="DA362" s="185"/>
      <c r="DB362" s="185"/>
      <c r="DC362" s="185"/>
      <c r="DD362" s="185"/>
      <c r="DE362" s="185"/>
      <c r="DF362" s="185"/>
      <c r="DG362" s="185"/>
      <c r="DH362" s="185"/>
      <c r="DI362" s="185"/>
      <c r="DJ362" s="185"/>
      <c r="DK362" s="185"/>
      <c r="DL362" s="185"/>
      <c r="DM362" s="185"/>
      <c r="DN362" s="201"/>
      <c r="DO362" s="201"/>
    </row>
    <row r="363" spans="1:119" ht="15.75" x14ac:dyDescent="0.2">
      <c r="A363" s="185"/>
      <c r="B363" s="185"/>
      <c r="C363" s="185"/>
      <c r="D363" s="185"/>
      <c r="E363" s="187"/>
      <c r="F363" s="185"/>
      <c r="G363" s="185"/>
      <c r="H363" s="187"/>
      <c r="I363" s="185"/>
      <c r="J363" s="185"/>
      <c r="K363" s="185"/>
      <c r="L363" s="185"/>
      <c r="M363" s="185"/>
      <c r="N363" s="185"/>
      <c r="O363" s="185"/>
      <c r="P363" s="195"/>
      <c r="Q363" s="195"/>
      <c r="R363" s="195"/>
      <c r="S363" s="195"/>
      <c r="T363" s="185"/>
      <c r="U363" s="185"/>
      <c r="V363" s="185"/>
      <c r="W363" s="185"/>
      <c r="X363" s="186"/>
      <c r="Y363" s="186"/>
      <c r="Z363" s="186"/>
      <c r="AA363" s="186"/>
      <c r="AB363" s="186"/>
      <c r="AC363" s="186"/>
      <c r="AD363" s="229"/>
      <c r="AE363" s="43"/>
      <c r="AF363" s="43"/>
      <c r="AG363" s="43"/>
      <c r="AH363" s="43"/>
      <c r="AI363" s="6"/>
      <c r="AJ363" s="185"/>
      <c r="AK363" s="185"/>
      <c r="AL363" s="185"/>
      <c r="AM363" s="185"/>
      <c r="AN363" s="185"/>
      <c r="AO363" s="185"/>
      <c r="AP363" s="185"/>
      <c r="AQ363" s="185"/>
      <c r="AR363" s="185"/>
      <c r="AS363" s="185"/>
      <c r="AT363" s="185"/>
      <c r="AU363" s="185"/>
      <c r="AV363" s="185"/>
      <c r="AW363" s="185"/>
      <c r="AX363" s="185"/>
      <c r="AY363" s="185"/>
      <c r="AZ363" s="185"/>
      <c r="BA363" s="185"/>
      <c r="BB363" s="185"/>
      <c r="BC363" s="185"/>
      <c r="BD363" s="185"/>
      <c r="BE363" s="185"/>
      <c r="BF363" s="185"/>
      <c r="BG363" s="185"/>
      <c r="BH363" s="185"/>
      <c r="BI363" s="185"/>
      <c r="BJ363" s="185"/>
      <c r="BK363" s="185"/>
      <c r="BL363" s="185"/>
      <c r="BM363" s="185"/>
      <c r="BN363" s="185"/>
      <c r="BO363" s="185"/>
      <c r="BP363" s="185"/>
      <c r="BQ363" s="185"/>
      <c r="BR363" s="185"/>
      <c r="BS363" s="185"/>
      <c r="BT363" s="185"/>
      <c r="BU363" s="185"/>
      <c r="BV363" s="185"/>
      <c r="BW363" s="185"/>
      <c r="BX363" s="185"/>
      <c r="BY363" s="185"/>
      <c r="BZ363" s="185"/>
      <c r="CA363" s="185"/>
      <c r="CB363" s="185"/>
      <c r="CC363" s="185"/>
      <c r="CD363" s="185"/>
      <c r="CE363" s="185"/>
      <c r="CF363" s="185"/>
      <c r="CG363" s="185"/>
      <c r="CH363" s="185"/>
      <c r="CI363" s="185"/>
      <c r="CJ363" s="185"/>
      <c r="CK363" s="185"/>
      <c r="CL363" s="185"/>
      <c r="CM363" s="185"/>
      <c r="CN363" s="185"/>
      <c r="CO363" s="185"/>
      <c r="CP363" s="185"/>
      <c r="CQ363" s="185"/>
      <c r="CR363" s="185"/>
      <c r="CS363" s="185"/>
      <c r="CT363" s="185"/>
      <c r="CU363" s="185"/>
      <c r="CV363" s="185"/>
      <c r="CW363" s="185"/>
      <c r="CX363" s="185"/>
      <c r="CY363" s="185"/>
      <c r="CZ363" s="185"/>
      <c r="DA363" s="185"/>
      <c r="DB363" s="185"/>
      <c r="DC363" s="185"/>
      <c r="DD363" s="185"/>
      <c r="DE363" s="185"/>
      <c r="DF363" s="185"/>
      <c r="DG363" s="185"/>
      <c r="DH363" s="185"/>
      <c r="DI363" s="185"/>
      <c r="DJ363" s="185"/>
      <c r="DK363" s="185"/>
      <c r="DL363" s="185"/>
      <c r="DM363" s="185"/>
      <c r="DN363" s="201"/>
      <c r="DO363" s="201"/>
    </row>
    <row r="364" spans="1:119" ht="15.75" x14ac:dyDescent="0.2">
      <c r="A364" s="185"/>
      <c r="B364" s="185"/>
      <c r="C364" s="185"/>
      <c r="D364" s="185"/>
      <c r="E364" s="187"/>
      <c r="F364" s="185"/>
      <c r="G364" s="185"/>
      <c r="H364" s="187"/>
      <c r="I364" s="185"/>
      <c r="J364" s="185"/>
      <c r="K364" s="185"/>
      <c r="L364" s="185"/>
      <c r="M364" s="185"/>
      <c r="N364" s="185"/>
      <c r="O364" s="185"/>
      <c r="P364" s="195"/>
      <c r="Q364" s="195"/>
      <c r="R364" s="195"/>
      <c r="S364" s="195"/>
      <c r="T364" s="185"/>
      <c r="U364" s="185"/>
      <c r="V364" s="185"/>
      <c r="W364" s="185"/>
      <c r="X364" s="186"/>
      <c r="Y364" s="186"/>
      <c r="Z364" s="186"/>
      <c r="AA364" s="186"/>
      <c r="AB364" s="186"/>
      <c r="AC364" s="186"/>
      <c r="AD364" s="229"/>
      <c r="AE364" s="43"/>
      <c r="AF364" s="43"/>
      <c r="AG364" s="43"/>
      <c r="AH364" s="43"/>
      <c r="AI364" s="6"/>
      <c r="AJ364" s="185"/>
      <c r="AK364" s="185"/>
      <c r="AL364" s="185"/>
      <c r="AM364" s="185"/>
      <c r="AN364" s="185"/>
      <c r="AO364" s="185"/>
      <c r="AP364" s="185"/>
      <c r="AQ364" s="185"/>
      <c r="AR364" s="185"/>
      <c r="AS364" s="185"/>
      <c r="AT364" s="185"/>
      <c r="AU364" s="185"/>
      <c r="AV364" s="185"/>
      <c r="AW364" s="185"/>
      <c r="AX364" s="185"/>
      <c r="AY364" s="185"/>
      <c r="AZ364" s="185"/>
      <c r="BA364" s="185"/>
      <c r="BB364" s="185"/>
      <c r="BC364" s="185"/>
      <c r="BD364" s="185"/>
      <c r="BE364" s="185"/>
      <c r="BF364" s="185"/>
      <c r="BG364" s="185"/>
      <c r="BH364" s="185"/>
      <c r="BI364" s="185"/>
      <c r="BJ364" s="185"/>
      <c r="BK364" s="185"/>
      <c r="BL364" s="185"/>
      <c r="BM364" s="185"/>
      <c r="BN364" s="185"/>
      <c r="BO364" s="185"/>
      <c r="BP364" s="185"/>
      <c r="BQ364" s="185"/>
      <c r="BR364" s="185"/>
      <c r="BS364" s="185"/>
      <c r="BT364" s="185"/>
      <c r="BU364" s="185"/>
      <c r="BV364" s="185"/>
      <c r="BW364" s="185"/>
      <c r="BX364" s="185"/>
      <c r="BY364" s="185"/>
      <c r="BZ364" s="185"/>
      <c r="CA364" s="185"/>
      <c r="CB364" s="185"/>
      <c r="CC364" s="185"/>
      <c r="CD364" s="185"/>
      <c r="CE364" s="185"/>
      <c r="CF364" s="185"/>
      <c r="CG364" s="185"/>
      <c r="CH364" s="185"/>
      <c r="CI364" s="185"/>
      <c r="CJ364" s="185"/>
      <c r="CK364" s="185"/>
      <c r="CL364" s="185"/>
      <c r="CM364" s="185"/>
      <c r="CN364" s="185"/>
      <c r="CO364" s="185"/>
      <c r="CP364" s="185"/>
      <c r="CQ364" s="185"/>
      <c r="CR364" s="185"/>
      <c r="CS364" s="185"/>
      <c r="CT364" s="185"/>
      <c r="CU364" s="185"/>
      <c r="CV364" s="185"/>
      <c r="CW364" s="185"/>
      <c r="CX364" s="185"/>
      <c r="CY364" s="185"/>
      <c r="CZ364" s="185"/>
      <c r="DA364" s="185"/>
      <c r="DB364" s="185"/>
      <c r="DC364" s="185"/>
      <c r="DD364" s="185"/>
      <c r="DE364" s="185"/>
      <c r="DF364" s="185"/>
      <c r="DG364" s="185"/>
      <c r="DH364" s="185"/>
      <c r="DI364" s="185"/>
      <c r="DJ364" s="185"/>
      <c r="DK364" s="185"/>
      <c r="DL364" s="185"/>
      <c r="DM364" s="185"/>
      <c r="DN364" s="201"/>
      <c r="DO364" s="201"/>
    </row>
    <row r="365" spans="1:119" ht="15.75" x14ac:dyDescent="0.2">
      <c r="A365" s="185"/>
      <c r="B365" s="185"/>
      <c r="C365" s="185"/>
      <c r="D365" s="185"/>
      <c r="E365" s="187"/>
      <c r="F365" s="185"/>
      <c r="G365" s="185"/>
      <c r="H365" s="187"/>
      <c r="I365" s="185"/>
      <c r="J365" s="185"/>
      <c r="K365" s="185"/>
      <c r="L365" s="185"/>
      <c r="M365" s="185"/>
      <c r="N365" s="185"/>
      <c r="O365" s="185"/>
      <c r="P365" s="195"/>
      <c r="Q365" s="195"/>
      <c r="R365" s="195"/>
      <c r="S365" s="195"/>
      <c r="T365" s="185"/>
      <c r="U365" s="185"/>
      <c r="V365" s="185"/>
      <c r="W365" s="185"/>
      <c r="X365" s="186"/>
      <c r="Y365" s="186"/>
      <c r="Z365" s="186"/>
      <c r="AA365" s="186"/>
      <c r="AB365" s="186"/>
      <c r="AC365" s="186"/>
      <c r="AD365" s="229"/>
      <c r="AE365" s="43"/>
      <c r="AF365" s="43"/>
      <c r="AG365" s="43"/>
      <c r="AH365" s="43"/>
      <c r="AI365" s="6"/>
      <c r="AJ365" s="185"/>
      <c r="AK365" s="185"/>
      <c r="AL365" s="185"/>
      <c r="AM365" s="185"/>
      <c r="AN365" s="185"/>
      <c r="AO365" s="185"/>
      <c r="AP365" s="185"/>
      <c r="AQ365" s="185"/>
      <c r="AR365" s="185"/>
      <c r="AS365" s="185"/>
      <c r="AT365" s="185"/>
      <c r="AU365" s="185"/>
      <c r="AV365" s="185"/>
      <c r="AW365" s="185"/>
      <c r="AX365" s="185"/>
      <c r="AY365" s="185"/>
      <c r="AZ365" s="185"/>
      <c r="BA365" s="185"/>
      <c r="BB365" s="185"/>
      <c r="BC365" s="185"/>
      <c r="BD365" s="185"/>
      <c r="BE365" s="185"/>
      <c r="BF365" s="185"/>
      <c r="BG365" s="185"/>
      <c r="BH365" s="185"/>
      <c r="BI365" s="185"/>
      <c r="BJ365" s="185"/>
      <c r="BK365" s="185"/>
      <c r="BL365" s="185"/>
      <c r="BM365" s="185"/>
      <c r="BN365" s="185"/>
      <c r="BO365" s="185"/>
      <c r="BP365" s="185"/>
      <c r="BQ365" s="185"/>
      <c r="BR365" s="185"/>
      <c r="BS365" s="185"/>
      <c r="BT365" s="185"/>
      <c r="BU365" s="185"/>
      <c r="BV365" s="185"/>
      <c r="BW365" s="185"/>
      <c r="BX365" s="185"/>
      <c r="BY365" s="185"/>
      <c r="BZ365" s="185"/>
      <c r="CA365" s="185"/>
      <c r="CB365" s="185"/>
      <c r="CC365" s="185"/>
      <c r="CD365" s="185"/>
      <c r="CE365" s="185"/>
      <c r="CF365" s="185"/>
      <c r="CG365" s="185"/>
      <c r="CH365" s="185"/>
      <c r="CI365" s="185"/>
      <c r="CJ365" s="185"/>
      <c r="CK365" s="185"/>
      <c r="CL365" s="185"/>
      <c r="CM365" s="185"/>
      <c r="CN365" s="185"/>
      <c r="CO365" s="185"/>
      <c r="CP365" s="185"/>
      <c r="CQ365" s="185"/>
      <c r="CR365" s="185"/>
      <c r="CS365" s="185"/>
      <c r="CT365" s="185"/>
      <c r="CU365" s="185"/>
      <c r="CV365" s="185"/>
      <c r="CW365" s="185"/>
      <c r="CX365" s="185"/>
      <c r="CY365" s="185"/>
      <c r="CZ365" s="185"/>
      <c r="DA365" s="185"/>
      <c r="DB365" s="185"/>
      <c r="DC365" s="185"/>
      <c r="DD365" s="185"/>
      <c r="DE365" s="185"/>
      <c r="DF365" s="185"/>
      <c r="DG365" s="185"/>
      <c r="DH365" s="185"/>
      <c r="DI365" s="185"/>
      <c r="DJ365" s="185"/>
      <c r="DK365" s="185"/>
      <c r="DL365" s="185"/>
      <c r="DM365" s="185"/>
      <c r="DN365" s="201"/>
      <c r="DO365" s="201"/>
    </row>
    <row r="366" spans="1:119" ht="15.75" x14ac:dyDescent="0.2">
      <c r="A366" s="185"/>
      <c r="B366" s="185"/>
      <c r="C366" s="185"/>
      <c r="D366" s="185"/>
      <c r="E366" s="187"/>
      <c r="F366" s="185"/>
      <c r="G366" s="185"/>
      <c r="H366" s="187"/>
      <c r="I366" s="185"/>
      <c r="J366" s="185"/>
      <c r="K366" s="185"/>
      <c r="L366" s="185"/>
      <c r="M366" s="185"/>
      <c r="N366" s="185"/>
      <c r="O366" s="185"/>
      <c r="P366" s="195"/>
      <c r="Q366" s="195"/>
      <c r="R366" s="195"/>
      <c r="S366" s="195"/>
      <c r="T366" s="185"/>
      <c r="U366" s="185"/>
      <c r="V366" s="185"/>
      <c r="W366" s="185"/>
      <c r="X366" s="186"/>
      <c r="Y366" s="186"/>
      <c r="Z366" s="186"/>
      <c r="AA366" s="186"/>
      <c r="AB366" s="186"/>
      <c r="AC366" s="186"/>
      <c r="AD366" s="229"/>
      <c r="AE366" s="43"/>
      <c r="AF366" s="43"/>
      <c r="AG366" s="43"/>
      <c r="AH366" s="43"/>
      <c r="AI366" s="6"/>
      <c r="AJ366" s="185"/>
      <c r="AK366" s="185"/>
      <c r="AL366" s="185"/>
      <c r="AM366" s="185"/>
      <c r="AN366" s="185"/>
      <c r="AO366" s="185"/>
      <c r="AP366" s="185"/>
      <c r="AQ366" s="185"/>
      <c r="AR366" s="185"/>
      <c r="AS366" s="185"/>
      <c r="AT366" s="185"/>
      <c r="AU366" s="185"/>
      <c r="AV366" s="185"/>
      <c r="AW366" s="185"/>
      <c r="AX366" s="185"/>
      <c r="AY366" s="185"/>
      <c r="AZ366" s="185"/>
      <c r="BA366" s="185"/>
      <c r="BB366" s="185"/>
      <c r="BC366" s="185"/>
      <c r="BD366" s="185"/>
      <c r="BE366" s="185"/>
      <c r="BF366" s="185"/>
      <c r="BG366" s="185"/>
      <c r="BH366" s="185"/>
      <c r="BI366" s="185"/>
      <c r="BJ366" s="185"/>
      <c r="BK366" s="185"/>
      <c r="BL366" s="185"/>
      <c r="BM366" s="185"/>
      <c r="BN366" s="185"/>
      <c r="BO366" s="185"/>
      <c r="BP366" s="185"/>
      <c r="BQ366" s="185"/>
      <c r="BR366" s="185"/>
      <c r="BS366" s="185"/>
      <c r="BT366" s="185"/>
      <c r="BU366" s="185"/>
      <c r="BV366" s="185"/>
      <c r="BW366" s="185"/>
      <c r="BX366" s="185"/>
      <c r="BY366" s="185"/>
      <c r="BZ366" s="185"/>
      <c r="CA366" s="185"/>
      <c r="CB366" s="185"/>
      <c r="CC366" s="185"/>
      <c r="CD366" s="185"/>
      <c r="CE366" s="185"/>
      <c r="CF366" s="185"/>
      <c r="CG366" s="185"/>
      <c r="CH366" s="185"/>
      <c r="CI366" s="185"/>
      <c r="CJ366" s="185"/>
      <c r="CK366" s="185"/>
      <c r="CL366" s="185"/>
      <c r="CM366" s="185"/>
      <c r="CN366" s="185"/>
      <c r="CO366" s="185"/>
      <c r="CP366" s="185"/>
      <c r="CQ366" s="185"/>
      <c r="CR366" s="185"/>
      <c r="CS366" s="185"/>
      <c r="CT366" s="185"/>
      <c r="CU366" s="185"/>
      <c r="CV366" s="185"/>
      <c r="CW366" s="185"/>
      <c r="CX366" s="185"/>
      <c r="CY366" s="185"/>
      <c r="CZ366" s="185"/>
      <c r="DA366" s="185"/>
      <c r="DB366" s="185"/>
      <c r="DC366" s="185"/>
      <c r="DD366" s="185"/>
      <c r="DE366" s="185"/>
      <c r="DF366" s="185"/>
      <c r="DG366" s="185"/>
      <c r="DH366" s="185"/>
      <c r="DI366" s="185"/>
      <c r="DJ366" s="185"/>
      <c r="DK366" s="185"/>
      <c r="DL366" s="185"/>
      <c r="DM366" s="185"/>
      <c r="DN366" s="201"/>
      <c r="DO366" s="201"/>
    </row>
    <row r="367" spans="1:119" ht="15.75" x14ac:dyDescent="0.2">
      <c r="A367" s="185"/>
      <c r="B367" s="185"/>
      <c r="C367" s="185"/>
      <c r="D367" s="185"/>
      <c r="E367" s="187"/>
      <c r="F367" s="185"/>
      <c r="G367" s="185"/>
      <c r="H367" s="187"/>
      <c r="I367" s="185"/>
      <c r="J367" s="185"/>
      <c r="K367" s="185"/>
      <c r="L367" s="185"/>
      <c r="M367" s="185"/>
      <c r="N367" s="185"/>
      <c r="O367" s="185"/>
      <c r="P367" s="195"/>
      <c r="Q367" s="195"/>
      <c r="R367" s="195"/>
      <c r="S367" s="195"/>
      <c r="T367" s="185"/>
      <c r="U367" s="185"/>
      <c r="V367" s="185"/>
      <c r="W367" s="185"/>
      <c r="X367" s="186"/>
      <c r="Y367" s="186"/>
      <c r="Z367" s="186"/>
      <c r="AA367" s="186"/>
      <c r="AB367" s="186"/>
      <c r="AC367" s="186"/>
      <c r="AD367" s="229"/>
      <c r="AE367" s="6"/>
      <c r="AF367" s="43"/>
      <c r="AG367" s="43"/>
      <c r="AH367" s="43"/>
      <c r="AI367" s="6"/>
      <c r="AJ367" s="185"/>
      <c r="AK367" s="185"/>
      <c r="AL367" s="185"/>
      <c r="AM367" s="185"/>
      <c r="AN367" s="185"/>
      <c r="AO367" s="185"/>
      <c r="AP367" s="185"/>
      <c r="AQ367" s="185"/>
      <c r="AR367" s="185"/>
      <c r="AS367" s="185"/>
      <c r="AT367" s="185"/>
      <c r="AU367" s="185"/>
      <c r="AV367" s="185"/>
      <c r="AW367" s="185"/>
      <c r="AX367" s="185"/>
      <c r="AY367" s="185"/>
      <c r="AZ367" s="185"/>
      <c r="BA367" s="185"/>
      <c r="BB367" s="185"/>
      <c r="BC367" s="185"/>
      <c r="BD367" s="185"/>
      <c r="BE367" s="185"/>
      <c r="BF367" s="185"/>
      <c r="BG367" s="185"/>
      <c r="BH367" s="185"/>
      <c r="BI367" s="185"/>
      <c r="BJ367" s="185"/>
      <c r="BK367" s="185"/>
      <c r="BL367" s="185"/>
      <c r="BM367" s="185"/>
      <c r="BN367" s="185"/>
      <c r="BO367" s="185"/>
      <c r="BP367" s="185"/>
      <c r="BQ367" s="185"/>
      <c r="BR367" s="185"/>
      <c r="BS367" s="185"/>
      <c r="BT367" s="185"/>
      <c r="BU367" s="185"/>
      <c r="BV367" s="185"/>
      <c r="BW367" s="185"/>
      <c r="BX367" s="185"/>
      <c r="BY367" s="185"/>
      <c r="BZ367" s="185"/>
      <c r="CA367" s="185"/>
      <c r="CB367" s="185"/>
      <c r="CC367" s="185"/>
      <c r="CD367" s="185"/>
      <c r="CE367" s="185"/>
      <c r="CF367" s="185"/>
      <c r="CG367" s="185"/>
      <c r="CH367" s="185"/>
      <c r="CI367" s="185"/>
      <c r="CJ367" s="185"/>
      <c r="CK367" s="185"/>
      <c r="CL367" s="185"/>
      <c r="CM367" s="185"/>
      <c r="CN367" s="185"/>
      <c r="CO367" s="185"/>
      <c r="CP367" s="185"/>
      <c r="CQ367" s="185"/>
      <c r="CR367" s="185"/>
      <c r="CS367" s="185"/>
      <c r="CT367" s="185"/>
      <c r="CU367" s="185"/>
      <c r="CV367" s="185"/>
      <c r="CW367" s="185"/>
      <c r="CX367" s="185"/>
      <c r="CY367" s="185"/>
      <c r="CZ367" s="185"/>
      <c r="DA367" s="185"/>
      <c r="DB367" s="185"/>
      <c r="DC367" s="185"/>
      <c r="DD367" s="185"/>
      <c r="DE367" s="185"/>
      <c r="DF367" s="185"/>
      <c r="DG367" s="185"/>
      <c r="DH367" s="185"/>
      <c r="DI367" s="185"/>
      <c r="DJ367" s="185"/>
      <c r="DK367" s="185"/>
      <c r="DL367" s="185"/>
      <c r="DM367" s="185"/>
      <c r="DN367" s="201"/>
      <c r="DO367" s="201"/>
    </row>
    <row r="368" spans="1:119" ht="15.75" x14ac:dyDescent="0.2">
      <c r="A368" s="185"/>
      <c r="B368" s="185"/>
      <c r="C368" s="185"/>
      <c r="D368" s="185"/>
      <c r="E368" s="187"/>
      <c r="F368" s="185"/>
      <c r="G368" s="185"/>
      <c r="H368" s="187"/>
      <c r="I368" s="185"/>
      <c r="J368" s="185"/>
      <c r="K368" s="185"/>
      <c r="L368" s="185"/>
      <c r="M368" s="185"/>
      <c r="N368" s="185"/>
      <c r="O368" s="185"/>
      <c r="P368" s="195"/>
      <c r="Q368" s="195"/>
      <c r="R368" s="195"/>
      <c r="S368" s="195"/>
      <c r="T368" s="185"/>
      <c r="U368" s="185"/>
      <c r="V368" s="185"/>
      <c r="W368" s="185"/>
      <c r="X368" s="186"/>
      <c r="Y368" s="186"/>
      <c r="Z368" s="186"/>
      <c r="AA368" s="186"/>
      <c r="AB368" s="186"/>
      <c r="AC368" s="186"/>
      <c r="AD368" s="229"/>
      <c r="AE368" s="6"/>
      <c r="AF368" s="43"/>
      <c r="AG368" s="43"/>
      <c r="AH368" s="43"/>
      <c r="AI368" s="6"/>
      <c r="AJ368" s="185"/>
      <c r="AK368" s="185"/>
      <c r="AL368" s="185"/>
      <c r="AM368" s="185"/>
      <c r="AN368" s="185"/>
      <c r="AO368" s="185"/>
      <c r="AP368" s="185"/>
      <c r="AQ368" s="185"/>
      <c r="AR368" s="185"/>
      <c r="AS368" s="185"/>
      <c r="AT368" s="185"/>
      <c r="AU368" s="185"/>
      <c r="AV368" s="185"/>
      <c r="AW368" s="185"/>
      <c r="AX368" s="185"/>
      <c r="AY368" s="185"/>
      <c r="AZ368" s="185"/>
      <c r="BA368" s="185"/>
      <c r="BB368" s="185"/>
      <c r="BC368" s="185"/>
      <c r="BD368" s="185"/>
      <c r="BE368" s="185"/>
      <c r="BF368" s="185"/>
      <c r="BG368" s="185"/>
      <c r="BH368" s="185"/>
      <c r="BI368" s="185"/>
      <c r="BJ368" s="185"/>
      <c r="BK368" s="185"/>
      <c r="BL368" s="185"/>
      <c r="BM368" s="185"/>
      <c r="BN368" s="185"/>
      <c r="BO368" s="185"/>
      <c r="BP368" s="185"/>
      <c r="BQ368" s="185"/>
      <c r="BR368" s="185"/>
      <c r="BS368" s="185"/>
      <c r="BT368" s="185"/>
      <c r="BU368" s="185"/>
      <c r="BV368" s="185"/>
      <c r="BW368" s="185"/>
      <c r="BX368" s="185"/>
      <c r="BY368" s="185"/>
      <c r="BZ368" s="185"/>
      <c r="CA368" s="185"/>
      <c r="CB368" s="185"/>
      <c r="CC368" s="185"/>
      <c r="CD368" s="185"/>
      <c r="CE368" s="185"/>
      <c r="CF368" s="185"/>
      <c r="CG368" s="185"/>
      <c r="CH368" s="185"/>
      <c r="CI368" s="185"/>
      <c r="CJ368" s="185"/>
      <c r="CK368" s="185"/>
      <c r="CL368" s="185"/>
      <c r="CM368" s="185"/>
      <c r="CN368" s="185"/>
      <c r="CO368" s="185"/>
      <c r="CP368" s="185"/>
      <c r="CQ368" s="185"/>
      <c r="CR368" s="185"/>
      <c r="CS368" s="185"/>
      <c r="CT368" s="185"/>
      <c r="CU368" s="185"/>
      <c r="CV368" s="185"/>
      <c r="CW368" s="185"/>
      <c r="CX368" s="185"/>
      <c r="CY368" s="185"/>
      <c r="CZ368" s="185"/>
      <c r="DA368" s="185"/>
      <c r="DB368" s="185"/>
      <c r="DC368" s="185"/>
      <c r="DD368" s="185"/>
      <c r="DE368" s="185"/>
      <c r="DF368" s="185"/>
      <c r="DG368" s="185"/>
      <c r="DH368" s="185"/>
      <c r="DI368" s="185"/>
      <c r="DJ368" s="185"/>
      <c r="DK368" s="185"/>
      <c r="DL368" s="185"/>
      <c r="DM368" s="185"/>
      <c r="DN368" s="201"/>
      <c r="DO368" s="201"/>
    </row>
    <row r="369" spans="1:119" ht="15.75" x14ac:dyDescent="0.2">
      <c r="A369" s="185"/>
      <c r="B369" s="185"/>
      <c r="C369" s="185"/>
      <c r="D369" s="185"/>
      <c r="E369" s="187"/>
      <c r="F369" s="185"/>
      <c r="G369" s="185"/>
      <c r="H369" s="187"/>
      <c r="I369" s="185"/>
      <c r="J369" s="185"/>
      <c r="K369" s="185"/>
      <c r="L369" s="185"/>
      <c r="M369" s="185"/>
      <c r="N369" s="185"/>
      <c r="O369" s="185"/>
      <c r="P369" s="185"/>
      <c r="Q369" s="185"/>
      <c r="R369" s="185"/>
      <c r="S369" s="185"/>
      <c r="T369" s="185"/>
      <c r="U369" s="185"/>
      <c r="V369" s="185"/>
      <c r="W369" s="185"/>
      <c r="X369" s="186"/>
      <c r="Y369" s="186"/>
      <c r="Z369" s="186"/>
      <c r="AA369" s="186"/>
      <c r="AB369" s="186"/>
      <c r="AC369" s="186"/>
      <c r="AD369" s="229"/>
      <c r="AE369" s="232"/>
      <c r="AF369" s="232"/>
      <c r="AG369" s="185"/>
      <c r="AH369" s="185"/>
      <c r="AI369" s="185"/>
      <c r="AJ369" s="185"/>
      <c r="AK369" s="185"/>
      <c r="AL369" s="185"/>
      <c r="AM369" s="185"/>
      <c r="AN369" s="185"/>
      <c r="AO369" s="185"/>
      <c r="AP369" s="185"/>
      <c r="AQ369" s="185"/>
      <c r="AR369" s="185"/>
      <c r="AS369" s="185"/>
      <c r="AT369" s="185"/>
      <c r="AU369" s="185"/>
      <c r="AV369" s="185"/>
      <c r="AW369" s="185"/>
      <c r="AX369" s="185"/>
      <c r="AY369" s="185"/>
      <c r="AZ369" s="185"/>
      <c r="BA369" s="185"/>
      <c r="BB369" s="185"/>
      <c r="BC369" s="185"/>
      <c r="BD369" s="185"/>
      <c r="BE369" s="185"/>
      <c r="BF369" s="185"/>
      <c r="BG369" s="185"/>
      <c r="BH369" s="185"/>
      <c r="BI369" s="185"/>
      <c r="BJ369" s="185"/>
      <c r="BK369" s="185"/>
      <c r="BL369" s="185"/>
      <c r="BM369" s="185"/>
      <c r="BN369" s="185"/>
      <c r="BO369" s="185"/>
      <c r="BP369" s="185"/>
      <c r="BQ369" s="185"/>
      <c r="BR369" s="185"/>
      <c r="BS369" s="185"/>
      <c r="BT369" s="185"/>
      <c r="BU369" s="185"/>
      <c r="BV369" s="185"/>
      <c r="BW369" s="185"/>
      <c r="BX369" s="185"/>
      <c r="BY369" s="185"/>
      <c r="BZ369" s="185"/>
      <c r="CA369" s="185"/>
      <c r="CB369" s="185"/>
      <c r="CC369" s="185"/>
      <c r="CD369" s="185"/>
      <c r="CE369" s="185"/>
      <c r="CF369" s="185"/>
      <c r="CG369" s="185"/>
      <c r="CH369" s="185"/>
      <c r="CI369" s="185"/>
      <c r="CJ369" s="185"/>
      <c r="CK369" s="185"/>
      <c r="CL369" s="185"/>
      <c r="CM369" s="185"/>
      <c r="CN369" s="185"/>
      <c r="CO369" s="185"/>
      <c r="CP369" s="185"/>
      <c r="CQ369" s="185"/>
      <c r="CR369" s="185"/>
      <c r="CS369" s="185"/>
      <c r="CT369" s="185"/>
      <c r="CU369" s="185"/>
      <c r="CV369" s="185"/>
      <c r="CW369" s="185"/>
      <c r="CX369" s="185"/>
      <c r="CY369" s="185"/>
      <c r="CZ369" s="185"/>
      <c r="DA369" s="185"/>
      <c r="DB369" s="185"/>
      <c r="DC369" s="185"/>
      <c r="DD369" s="185"/>
      <c r="DE369" s="185"/>
      <c r="DF369" s="185"/>
      <c r="DG369" s="185"/>
      <c r="DH369" s="185"/>
      <c r="DI369" s="185"/>
      <c r="DJ369" s="185"/>
      <c r="DK369" s="185"/>
      <c r="DL369" s="185"/>
      <c r="DM369" s="185"/>
      <c r="DN369" s="6"/>
      <c r="DO369" s="6"/>
    </row>
    <row r="370" spans="1:119" x14ac:dyDescent="0.2">
      <c r="A370" s="185"/>
      <c r="B370" s="185"/>
      <c r="C370" s="185"/>
      <c r="D370" s="185"/>
      <c r="E370" s="187"/>
      <c r="F370" s="185"/>
      <c r="G370" s="185"/>
      <c r="H370" s="187"/>
      <c r="I370" s="185"/>
      <c r="J370" s="185"/>
      <c r="K370" s="185"/>
      <c r="L370" s="185"/>
      <c r="M370" s="185"/>
      <c r="N370" s="185"/>
      <c r="O370" s="185"/>
      <c r="P370" s="185"/>
      <c r="Q370" s="185"/>
      <c r="R370" s="185"/>
      <c r="S370" s="185"/>
      <c r="T370" s="195"/>
      <c r="U370" s="195"/>
      <c r="V370" s="195"/>
      <c r="W370" s="195"/>
      <c r="X370" s="233"/>
      <c r="Y370" s="233"/>
      <c r="Z370" s="233"/>
      <c r="AA370" s="233"/>
      <c r="AB370" s="186"/>
      <c r="AC370" s="186"/>
      <c r="AD370" s="186"/>
      <c r="AE370" s="190"/>
      <c r="AF370" s="190"/>
      <c r="AG370" s="190"/>
      <c r="AH370" s="190"/>
      <c r="AI370" s="185"/>
      <c r="AJ370" s="185"/>
      <c r="AK370" s="184"/>
      <c r="AL370" s="184"/>
      <c r="AM370" s="184"/>
      <c r="AN370" s="204"/>
      <c r="AO370" s="185"/>
      <c r="AP370" s="185"/>
      <c r="AQ370" s="185"/>
      <c r="AR370" s="185"/>
      <c r="AS370" s="185"/>
      <c r="AT370" s="185"/>
      <c r="AU370" s="192"/>
      <c r="AV370" s="192"/>
      <c r="AW370" s="192"/>
      <c r="AX370" s="185"/>
      <c r="AY370" s="185"/>
      <c r="AZ370" s="185"/>
      <c r="BA370" s="185"/>
      <c r="BB370" s="185"/>
      <c r="BC370" s="185"/>
      <c r="BD370" s="185"/>
      <c r="BE370" s="185"/>
      <c r="BF370" s="185"/>
      <c r="BG370" s="185"/>
      <c r="BH370" s="185"/>
      <c r="BI370" s="185"/>
      <c r="BJ370" s="185"/>
      <c r="BK370" s="185"/>
      <c r="BL370" s="185"/>
      <c r="BM370" s="185"/>
      <c r="BN370" s="185"/>
      <c r="BO370" s="185"/>
      <c r="BP370" s="185"/>
      <c r="BQ370" s="185"/>
      <c r="BR370" s="185"/>
      <c r="BS370" s="185"/>
      <c r="BT370" s="185"/>
      <c r="BU370" s="185"/>
      <c r="BV370" s="185"/>
      <c r="BW370" s="185"/>
      <c r="BX370" s="185"/>
      <c r="BY370" s="185"/>
      <c r="BZ370" s="185"/>
      <c r="CA370" s="185"/>
      <c r="CB370" s="185"/>
      <c r="CC370" s="185"/>
      <c r="CD370" s="185"/>
      <c r="CE370" s="185"/>
      <c r="CF370" s="185"/>
      <c r="CG370" s="185"/>
      <c r="CH370" s="185"/>
      <c r="CI370" s="185"/>
      <c r="CJ370" s="185"/>
      <c r="CK370" s="185"/>
      <c r="CL370" s="185"/>
      <c r="CM370" s="185"/>
      <c r="CN370" s="185"/>
      <c r="CO370" s="185"/>
      <c r="CP370" s="185"/>
      <c r="CQ370" s="185"/>
      <c r="CR370" s="185"/>
      <c r="CS370" s="185"/>
      <c r="CT370" s="185"/>
      <c r="CU370" s="185"/>
      <c r="CV370" s="185"/>
      <c r="CW370" s="185"/>
      <c r="CX370" s="185"/>
      <c r="CY370" s="185"/>
      <c r="CZ370" s="185"/>
      <c r="DA370" s="185"/>
      <c r="DB370" s="185"/>
      <c r="DC370" s="185"/>
      <c r="DD370" s="185"/>
      <c r="DE370" s="185"/>
      <c r="DF370" s="185"/>
      <c r="DG370" s="185"/>
      <c r="DH370" s="185"/>
      <c r="DI370" s="185"/>
      <c r="DJ370" s="185"/>
      <c r="DK370" s="185"/>
      <c r="DL370" s="185"/>
      <c r="DM370" s="185"/>
      <c r="DN370" s="185"/>
      <c r="DO370" s="201"/>
    </row>
    <row r="371" spans="1:119" x14ac:dyDescent="0.2">
      <c r="A371" s="185"/>
      <c r="B371" s="185"/>
      <c r="C371" s="185"/>
      <c r="D371" s="185"/>
      <c r="E371" s="187"/>
      <c r="F371" s="185"/>
      <c r="G371" s="185"/>
      <c r="H371" s="187"/>
      <c r="I371" s="185"/>
      <c r="J371" s="185"/>
      <c r="K371" s="185"/>
      <c r="L371" s="185"/>
      <c r="M371" s="185"/>
      <c r="N371" s="185"/>
      <c r="O371" s="185"/>
      <c r="P371" s="185"/>
      <c r="Q371" s="185"/>
      <c r="R371" s="185"/>
      <c r="S371" s="185"/>
      <c r="T371" s="195"/>
      <c r="U371" s="195"/>
      <c r="V371" s="195"/>
      <c r="W371" s="195"/>
      <c r="X371" s="233"/>
      <c r="Y371" s="233"/>
      <c r="Z371" s="233"/>
      <c r="AA371" s="233"/>
      <c r="AB371" s="186"/>
      <c r="AC371" s="186"/>
      <c r="AD371" s="186"/>
      <c r="AE371" s="185"/>
      <c r="AF371" s="189"/>
      <c r="AG371" s="189"/>
      <c r="AH371" s="189"/>
      <c r="AI371" s="192"/>
      <c r="AJ371" s="185"/>
      <c r="AK371" s="185"/>
      <c r="AL371" s="185"/>
      <c r="AM371" s="185"/>
      <c r="AN371" s="185"/>
      <c r="AO371" s="185"/>
      <c r="AP371" s="185"/>
      <c r="AQ371" s="185"/>
      <c r="AR371" s="185"/>
      <c r="AS371" s="185"/>
      <c r="AT371" s="185"/>
      <c r="AU371" s="234"/>
      <c r="AV371" s="185"/>
      <c r="AW371" s="185"/>
      <c r="AX371" s="185"/>
      <c r="AY371" s="185"/>
      <c r="AZ371" s="185"/>
      <c r="BA371" s="185"/>
      <c r="BB371" s="185"/>
      <c r="BC371" s="185"/>
      <c r="BD371" s="185"/>
      <c r="BE371" s="185"/>
      <c r="BF371" s="185"/>
      <c r="BG371" s="185"/>
      <c r="BH371" s="185"/>
      <c r="BI371" s="185"/>
      <c r="BJ371" s="185"/>
      <c r="BK371" s="185"/>
      <c r="BL371" s="185"/>
      <c r="BM371" s="185"/>
      <c r="BN371" s="185"/>
      <c r="BO371" s="185"/>
      <c r="BP371" s="185"/>
      <c r="BQ371" s="185"/>
      <c r="BR371" s="185"/>
      <c r="BS371" s="185"/>
      <c r="BT371" s="185"/>
      <c r="BU371" s="185"/>
      <c r="BV371" s="185"/>
      <c r="BW371" s="185"/>
      <c r="BX371" s="185"/>
      <c r="BY371" s="185"/>
      <c r="BZ371" s="185"/>
      <c r="CA371" s="185"/>
      <c r="CB371" s="185"/>
      <c r="CC371" s="185"/>
      <c r="CD371" s="185"/>
      <c r="CE371" s="185"/>
      <c r="CF371" s="185"/>
      <c r="CG371" s="185"/>
      <c r="CH371" s="185"/>
      <c r="CI371" s="185"/>
      <c r="CJ371" s="185"/>
      <c r="CK371" s="185"/>
      <c r="CL371" s="185"/>
      <c r="CM371" s="185"/>
      <c r="CN371" s="185"/>
      <c r="CO371" s="185"/>
      <c r="CP371" s="185"/>
      <c r="CQ371" s="185"/>
      <c r="CR371" s="185"/>
      <c r="CS371" s="185"/>
      <c r="CT371" s="185"/>
      <c r="CU371" s="185"/>
      <c r="CV371" s="185"/>
      <c r="CW371" s="185"/>
      <c r="CX371" s="185"/>
      <c r="CY371" s="185"/>
      <c r="CZ371" s="185"/>
      <c r="DA371" s="185"/>
      <c r="DB371" s="185"/>
      <c r="DC371" s="185"/>
      <c r="DD371" s="185"/>
      <c r="DE371" s="185"/>
      <c r="DF371" s="185"/>
      <c r="DG371" s="185"/>
      <c r="DH371" s="185"/>
      <c r="DI371" s="185"/>
      <c r="DJ371" s="185"/>
      <c r="DK371" s="185"/>
      <c r="DL371" s="185"/>
      <c r="DM371" s="185"/>
      <c r="DN371" s="185"/>
      <c r="DO371" s="229"/>
    </row>
    <row r="372" spans="1:119" x14ac:dyDescent="0.2">
      <c r="A372" s="185"/>
      <c r="B372" s="185"/>
      <c r="C372" s="185"/>
      <c r="D372" s="185"/>
      <c r="E372" s="187"/>
      <c r="F372" s="185"/>
      <c r="G372" s="185"/>
      <c r="H372" s="187"/>
      <c r="I372" s="185"/>
      <c r="J372" s="185"/>
      <c r="K372" s="185"/>
      <c r="L372" s="185"/>
      <c r="M372" s="185"/>
      <c r="N372" s="185"/>
      <c r="O372" s="185"/>
      <c r="P372" s="185"/>
      <c r="Q372" s="185"/>
      <c r="R372" s="185"/>
      <c r="S372" s="185"/>
      <c r="T372" s="185"/>
      <c r="U372" s="185"/>
      <c r="V372" s="185"/>
      <c r="W372" s="185"/>
      <c r="X372" s="186"/>
      <c r="Y372" s="186"/>
      <c r="Z372" s="186"/>
      <c r="AA372" s="186"/>
      <c r="AB372" s="186"/>
      <c r="AC372" s="186"/>
      <c r="AD372" s="186"/>
      <c r="AE372" s="195"/>
      <c r="AF372" s="235"/>
      <c r="AG372" s="235"/>
      <c r="AH372" s="235"/>
      <c r="AI372" s="185"/>
      <c r="AJ372" s="185"/>
      <c r="AK372" s="185" t="s">
        <v>1631</v>
      </c>
      <c r="AL372" s="185"/>
      <c r="AM372" s="185"/>
      <c r="AN372" s="185"/>
      <c r="AO372" s="185"/>
      <c r="AP372" s="185"/>
      <c r="AQ372" s="185"/>
      <c r="AR372" s="185"/>
      <c r="AS372" s="185"/>
      <c r="AT372" s="185"/>
      <c r="AU372" s="185"/>
      <c r="AV372" s="185"/>
      <c r="AW372" s="185"/>
      <c r="AX372" s="185"/>
      <c r="AY372" s="185"/>
      <c r="AZ372" s="185"/>
      <c r="BA372" s="185"/>
      <c r="BB372" s="185"/>
      <c r="BC372" s="185"/>
      <c r="BD372" s="185"/>
      <c r="BE372" s="185"/>
      <c r="BF372" s="185"/>
      <c r="BG372" s="185"/>
      <c r="BH372" s="185"/>
      <c r="BI372" s="185"/>
      <c r="BJ372" s="185"/>
      <c r="BK372" s="185"/>
      <c r="BL372" s="185"/>
      <c r="BM372" s="185"/>
      <c r="BN372" s="185"/>
      <c r="BO372" s="185"/>
      <c r="BP372" s="185"/>
      <c r="BQ372" s="185"/>
      <c r="BR372" s="185"/>
      <c r="BS372" s="185"/>
      <c r="BT372" s="185"/>
      <c r="BU372" s="185"/>
      <c r="BV372" s="185"/>
      <c r="BW372" s="185"/>
      <c r="BX372" s="185"/>
      <c r="BY372" s="185"/>
      <c r="BZ372" s="185"/>
      <c r="CA372" s="185"/>
      <c r="CB372" s="185"/>
      <c r="CC372" s="185"/>
      <c r="CD372" s="185"/>
      <c r="CE372" s="185"/>
      <c r="CF372" s="185"/>
      <c r="CG372" s="185"/>
      <c r="CH372" s="185"/>
      <c r="CI372" s="185"/>
      <c r="CJ372" s="185"/>
      <c r="CK372" s="185"/>
      <c r="CL372" s="185"/>
      <c r="CM372" s="185"/>
      <c r="CN372" s="185"/>
      <c r="CO372" s="185"/>
      <c r="CP372" s="185"/>
      <c r="CQ372" s="185"/>
      <c r="CR372" s="185"/>
      <c r="CS372" s="185"/>
      <c r="CT372" s="185"/>
      <c r="CU372" s="185"/>
      <c r="CV372" s="185"/>
      <c r="CW372" s="185"/>
      <c r="CX372" s="185"/>
      <c r="CY372" s="185"/>
      <c r="CZ372" s="185"/>
      <c r="DA372" s="185"/>
      <c r="DB372" s="185"/>
      <c r="DC372" s="185"/>
      <c r="DD372" s="185"/>
      <c r="DE372" s="185"/>
      <c r="DF372" s="185"/>
      <c r="DG372" s="185"/>
      <c r="DH372" s="185"/>
      <c r="DI372" s="185"/>
      <c r="DJ372" s="185"/>
      <c r="DK372" s="185"/>
      <c r="DL372" s="185"/>
      <c r="DM372" s="185"/>
      <c r="DN372" s="185"/>
      <c r="DO372" s="229"/>
    </row>
    <row r="373" spans="1:119" x14ac:dyDescent="0.2">
      <c r="A373" s="185"/>
      <c r="B373" s="185"/>
      <c r="C373" s="185"/>
      <c r="D373" s="185"/>
      <c r="E373" s="187"/>
      <c r="F373" s="185"/>
      <c r="G373" s="185"/>
      <c r="H373" s="187"/>
      <c r="I373" s="185"/>
      <c r="J373" s="185"/>
      <c r="K373" s="185"/>
      <c r="L373" s="185"/>
      <c r="M373" s="185"/>
      <c r="N373" s="185"/>
      <c r="O373" s="185"/>
      <c r="P373" s="185"/>
      <c r="Q373" s="185"/>
      <c r="R373" s="185"/>
      <c r="S373" s="185"/>
      <c r="T373" s="185"/>
      <c r="U373" s="185"/>
      <c r="V373" s="185"/>
      <c r="W373" s="185"/>
      <c r="X373" s="186"/>
      <c r="Y373" s="186"/>
      <c r="Z373" s="186"/>
      <c r="AA373" s="186"/>
      <c r="AB373" s="186"/>
      <c r="AC373" s="186"/>
      <c r="AD373" s="186"/>
      <c r="AE373" s="195"/>
      <c r="AF373" s="235"/>
      <c r="AG373" s="235"/>
      <c r="AH373" s="235"/>
      <c r="AI373" s="185"/>
      <c r="AJ373" s="185"/>
      <c r="AK373" s="185"/>
      <c r="AL373" s="185"/>
      <c r="AM373" s="185"/>
      <c r="AN373" s="185"/>
      <c r="AO373" s="185"/>
      <c r="AP373" s="185"/>
      <c r="AQ373" s="185"/>
      <c r="AR373" s="185"/>
      <c r="AS373" s="185"/>
      <c r="AT373" s="185"/>
      <c r="AU373" s="192"/>
      <c r="AV373" s="192"/>
      <c r="AW373" s="192"/>
      <c r="AX373" s="185"/>
      <c r="AY373" s="185"/>
      <c r="AZ373" s="185"/>
      <c r="BA373" s="185"/>
      <c r="BB373" s="185"/>
      <c r="BC373" s="185"/>
      <c r="BD373" s="185"/>
      <c r="BE373" s="185"/>
      <c r="BF373" s="185"/>
      <c r="BG373" s="185"/>
      <c r="BH373" s="185"/>
      <c r="BI373" s="185"/>
      <c r="BJ373" s="185"/>
      <c r="BK373" s="185"/>
      <c r="BL373" s="185"/>
      <c r="BM373" s="185"/>
      <c r="BN373" s="185"/>
      <c r="BO373" s="185"/>
      <c r="BP373" s="185"/>
      <c r="BQ373" s="185"/>
      <c r="BR373" s="185"/>
      <c r="BS373" s="185"/>
      <c r="BT373" s="185"/>
      <c r="BU373" s="185"/>
      <c r="BV373" s="185"/>
      <c r="BW373" s="185"/>
      <c r="BX373" s="185"/>
      <c r="BY373" s="185"/>
      <c r="BZ373" s="185"/>
      <c r="CA373" s="185"/>
      <c r="CB373" s="185"/>
      <c r="CC373" s="185"/>
      <c r="CD373" s="185"/>
      <c r="CE373" s="185"/>
      <c r="CF373" s="185"/>
      <c r="CG373" s="185"/>
      <c r="CH373" s="185"/>
      <c r="CI373" s="185"/>
      <c r="CJ373" s="185"/>
      <c r="CK373" s="185"/>
      <c r="CL373" s="185"/>
      <c r="CM373" s="185"/>
      <c r="CN373" s="185"/>
      <c r="CO373" s="185"/>
      <c r="CP373" s="185"/>
      <c r="CQ373" s="185"/>
      <c r="CR373" s="185"/>
      <c r="CS373" s="185"/>
      <c r="CT373" s="185"/>
      <c r="CU373" s="185"/>
      <c r="CV373" s="185"/>
      <c r="CW373" s="185"/>
      <c r="CX373" s="185"/>
      <c r="CY373" s="185"/>
      <c r="CZ373" s="185"/>
      <c r="DA373" s="185"/>
      <c r="DB373" s="185"/>
      <c r="DC373" s="185"/>
      <c r="DD373" s="185"/>
      <c r="DE373" s="185"/>
      <c r="DF373" s="185"/>
      <c r="DG373" s="185"/>
      <c r="DH373" s="185"/>
      <c r="DI373" s="185"/>
      <c r="DJ373" s="185"/>
      <c r="DK373" s="185"/>
      <c r="DL373" s="185"/>
      <c r="DM373" s="185"/>
      <c r="DN373" s="185"/>
      <c r="DO373" s="229"/>
    </row>
    <row r="374" spans="1:119" x14ac:dyDescent="0.2">
      <c r="A374" s="185"/>
      <c r="B374" s="185"/>
      <c r="C374" s="185"/>
      <c r="D374" s="185"/>
      <c r="E374" s="187"/>
      <c r="F374" s="185"/>
      <c r="G374" s="185"/>
      <c r="H374" s="187"/>
      <c r="I374" s="185"/>
      <c r="J374" s="185"/>
      <c r="K374" s="185"/>
      <c r="L374" s="185"/>
      <c r="M374" s="185"/>
      <c r="N374" s="185"/>
      <c r="O374" s="185"/>
      <c r="P374" s="185"/>
      <c r="Q374" s="185"/>
      <c r="R374" s="185"/>
      <c r="S374" s="185"/>
      <c r="T374" s="185"/>
      <c r="U374" s="185"/>
      <c r="V374" s="185"/>
      <c r="W374" s="185"/>
      <c r="X374" s="186"/>
      <c r="Y374" s="186"/>
      <c r="Z374" s="186"/>
      <c r="AA374" s="186"/>
      <c r="AB374" s="186"/>
      <c r="AC374" s="186"/>
      <c r="AD374" s="186"/>
      <c r="AE374" s="195"/>
      <c r="AF374" s="195"/>
      <c r="AG374" s="195"/>
      <c r="AH374" s="195"/>
      <c r="AI374" s="185"/>
      <c r="AJ374" s="185"/>
      <c r="AK374" s="185"/>
      <c r="AL374" s="185"/>
      <c r="AM374" s="185"/>
      <c r="AN374" s="185"/>
      <c r="AO374" s="185"/>
      <c r="AP374" s="185"/>
      <c r="AQ374" s="185"/>
      <c r="AR374" s="185"/>
      <c r="AS374" s="185"/>
      <c r="AT374" s="185"/>
      <c r="AU374" s="185"/>
      <c r="AV374" s="185"/>
      <c r="AW374" s="185"/>
      <c r="AX374" s="185"/>
      <c r="AY374" s="185"/>
      <c r="AZ374" s="185"/>
      <c r="BA374" s="185"/>
      <c r="BB374" s="185"/>
      <c r="BC374" s="185"/>
      <c r="BD374" s="185"/>
      <c r="BE374" s="185"/>
      <c r="BF374" s="185"/>
      <c r="BG374" s="185"/>
      <c r="BH374" s="185"/>
      <c r="BI374" s="185"/>
      <c r="BJ374" s="185"/>
      <c r="BK374" s="185"/>
      <c r="BL374" s="185"/>
      <c r="BM374" s="185"/>
      <c r="BN374" s="185"/>
      <c r="BO374" s="185"/>
      <c r="BP374" s="185"/>
      <c r="BQ374" s="185"/>
      <c r="BR374" s="185"/>
      <c r="BS374" s="185"/>
      <c r="BT374" s="185"/>
      <c r="BU374" s="185"/>
      <c r="BV374" s="185"/>
      <c r="BW374" s="185"/>
      <c r="BX374" s="185"/>
      <c r="BY374" s="185"/>
      <c r="BZ374" s="185"/>
      <c r="CA374" s="185"/>
      <c r="CB374" s="185"/>
      <c r="CC374" s="185"/>
      <c r="CD374" s="185"/>
      <c r="CE374" s="185"/>
      <c r="CF374" s="185"/>
      <c r="CG374" s="185"/>
      <c r="CH374" s="185"/>
      <c r="CI374" s="185"/>
      <c r="CJ374" s="185"/>
      <c r="CK374" s="185"/>
      <c r="CL374" s="185"/>
      <c r="CM374" s="185"/>
      <c r="CN374" s="185"/>
      <c r="CO374" s="185"/>
      <c r="CP374" s="185"/>
      <c r="CQ374" s="185"/>
      <c r="CR374" s="185"/>
      <c r="CS374" s="185"/>
      <c r="CT374" s="185"/>
      <c r="CU374" s="185"/>
      <c r="CV374" s="185"/>
      <c r="CW374" s="185"/>
      <c r="CX374" s="185"/>
      <c r="CY374" s="185"/>
      <c r="CZ374" s="185"/>
      <c r="DA374" s="185"/>
      <c r="DB374" s="185"/>
      <c r="DC374" s="185"/>
      <c r="DD374" s="185"/>
      <c r="DE374" s="185"/>
      <c r="DF374" s="185"/>
      <c r="DG374" s="185"/>
      <c r="DH374" s="185"/>
      <c r="DI374" s="185"/>
      <c r="DJ374" s="185"/>
      <c r="DK374" s="185"/>
      <c r="DL374" s="185"/>
      <c r="DM374" s="185"/>
      <c r="DN374" s="185"/>
      <c r="DO374" s="229"/>
    </row>
    <row r="375" spans="1:119" x14ac:dyDescent="0.2">
      <c r="A375" s="185"/>
      <c r="B375" s="185"/>
      <c r="C375" s="185"/>
      <c r="D375" s="185"/>
      <c r="E375" s="187"/>
      <c r="F375" s="185"/>
      <c r="G375" s="185"/>
      <c r="H375" s="187"/>
      <c r="I375" s="185"/>
      <c r="J375" s="185"/>
      <c r="K375" s="185"/>
      <c r="L375" s="185"/>
      <c r="M375" s="185"/>
      <c r="N375" s="185"/>
      <c r="O375" s="185"/>
      <c r="P375" s="185"/>
      <c r="Q375" s="185"/>
      <c r="R375" s="185"/>
      <c r="S375" s="185"/>
      <c r="T375" s="185"/>
      <c r="U375" s="185"/>
      <c r="V375" s="185"/>
      <c r="W375" s="185"/>
      <c r="X375" s="186"/>
      <c r="Y375" s="186"/>
      <c r="Z375" s="186"/>
      <c r="AA375" s="186"/>
      <c r="AB375" s="186"/>
      <c r="AC375" s="186"/>
      <c r="AD375" s="186"/>
      <c r="AE375" s="195"/>
      <c r="AF375" s="235"/>
      <c r="AG375" s="235"/>
      <c r="AH375" s="235"/>
      <c r="AI375" s="185"/>
      <c r="AJ375" s="185"/>
      <c r="AK375" s="185"/>
      <c r="AL375" s="185"/>
      <c r="AM375" s="185"/>
      <c r="AN375" s="185"/>
      <c r="AO375" s="185"/>
      <c r="AP375" s="185"/>
      <c r="AQ375" s="185"/>
      <c r="AR375" s="185"/>
      <c r="AS375" s="185"/>
      <c r="AT375" s="185"/>
      <c r="AU375" s="185"/>
      <c r="AV375" s="185"/>
      <c r="AW375" s="185"/>
      <c r="AX375" s="185"/>
      <c r="AY375" s="185"/>
      <c r="AZ375" s="185"/>
      <c r="BA375" s="185"/>
      <c r="BB375" s="185"/>
      <c r="BC375" s="185"/>
      <c r="BD375" s="185"/>
      <c r="BE375" s="185"/>
      <c r="BF375" s="185"/>
      <c r="BG375" s="185"/>
      <c r="BH375" s="185"/>
      <c r="BI375" s="185"/>
      <c r="BJ375" s="185"/>
      <c r="BK375" s="185"/>
      <c r="BL375" s="185"/>
      <c r="BM375" s="185"/>
      <c r="BN375" s="185"/>
      <c r="BO375" s="185"/>
      <c r="BP375" s="185"/>
      <c r="BQ375" s="185"/>
      <c r="BR375" s="185"/>
      <c r="BS375" s="185"/>
      <c r="BT375" s="185"/>
      <c r="BU375" s="185"/>
      <c r="BV375" s="185"/>
      <c r="BW375" s="185"/>
      <c r="BX375" s="185"/>
      <c r="BY375" s="185"/>
      <c r="BZ375" s="185"/>
      <c r="CA375" s="185"/>
      <c r="CB375" s="185"/>
      <c r="CC375" s="185"/>
      <c r="CD375" s="185"/>
      <c r="CE375" s="185"/>
      <c r="CF375" s="185"/>
      <c r="CG375" s="185"/>
      <c r="CH375" s="185"/>
      <c r="CI375" s="185"/>
      <c r="CJ375" s="185"/>
      <c r="CK375" s="185"/>
      <c r="CL375" s="185"/>
      <c r="CM375" s="185"/>
      <c r="CN375" s="185"/>
      <c r="CO375" s="185"/>
      <c r="CP375" s="185"/>
      <c r="CQ375" s="185"/>
      <c r="CR375" s="185"/>
      <c r="CS375" s="185"/>
      <c r="CT375" s="185"/>
      <c r="CU375" s="185"/>
      <c r="CV375" s="185"/>
      <c r="CW375" s="185"/>
      <c r="CX375" s="185"/>
      <c r="CY375" s="185"/>
      <c r="CZ375" s="185"/>
      <c r="DA375" s="185"/>
      <c r="DB375" s="185"/>
      <c r="DC375" s="185"/>
      <c r="DD375" s="185"/>
      <c r="DE375" s="185"/>
      <c r="DF375" s="185"/>
      <c r="DG375" s="185"/>
      <c r="DH375" s="185"/>
      <c r="DI375" s="185"/>
      <c r="DJ375" s="185"/>
      <c r="DK375" s="185"/>
      <c r="DL375" s="185"/>
      <c r="DM375" s="185"/>
      <c r="DN375" s="185"/>
      <c r="DO375" s="229"/>
    </row>
    <row r="376" spans="1:119" x14ac:dyDescent="0.2">
      <c r="A376" s="185"/>
      <c r="B376" s="185"/>
      <c r="C376" s="185"/>
      <c r="D376" s="185"/>
      <c r="E376" s="187"/>
      <c r="F376" s="185"/>
      <c r="G376" s="185"/>
      <c r="H376" s="187"/>
      <c r="I376" s="185"/>
      <c r="J376" s="185"/>
      <c r="K376" s="185"/>
      <c r="L376" s="185"/>
      <c r="M376" s="185"/>
      <c r="N376" s="185"/>
      <c r="O376" s="185"/>
      <c r="P376" s="185"/>
      <c r="Q376" s="185"/>
      <c r="R376" s="185"/>
      <c r="S376" s="185"/>
      <c r="T376" s="185"/>
      <c r="U376" s="185"/>
      <c r="V376" s="185"/>
      <c r="W376" s="185"/>
      <c r="X376" s="186"/>
      <c r="Y376" s="186"/>
      <c r="Z376" s="186"/>
      <c r="AA376" s="186"/>
      <c r="AB376" s="186"/>
      <c r="AC376" s="186"/>
      <c r="AD376" s="186"/>
      <c r="AE376" s="195"/>
      <c r="AF376" s="236"/>
      <c r="AG376" s="236"/>
      <c r="AH376" s="236"/>
      <c r="AI376" s="185"/>
      <c r="AJ376" s="185"/>
      <c r="AK376" s="192"/>
      <c r="AL376" s="185"/>
      <c r="AM376" s="185"/>
      <c r="AN376" s="185"/>
      <c r="AO376" s="185"/>
      <c r="AP376" s="185"/>
      <c r="AQ376" s="185"/>
      <c r="AR376" s="185"/>
      <c r="AS376" s="185"/>
      <c r="AT376" s="185"/>
      <c r="AU376" s="185"/>
      <c r="AV376" s="185"/>
      <c r="AW376" s="185"/>
      <c r="AX376" s="185"/>
      <c r="AY376" s="185"/>
      <c r="AZ376" s="185"/>
      <c r="BA376" s="185"/>
      <c r="BB376" s="185"/>
      <c r="BC376" s="185"/>
      <c r="BD376" s="185"/>
      <c r="BE376" s="185"/>
      <c r="BF376" s="185"/>
      <c r="BG376" s="185"/>
      <c r="BH376" s="185"/>
      <c r="BI376" s="185"/>
      <c r="BJ376" s="185"/>
      <c r="BK376" s="185"/>
      <c r="BL376" s="185"/>
      <c r="BM376" s="185"/>
      <c r="BN376" s="185"/>
      <c r="BO376" s="185"/>
      <c r="BP376" s="185"/>
      <c r="BQ376" s="185"/>
      <c r="BR376" s="185"/>
      <c r="BS376" s="185"/>
      <c r="BT376" s="185"/>
      <c r="BU376" s="185"/>
      <c r="BV376" s="185"/>
      <c r="BW376" s="185"/>
      <c r="BX376" s="185"/>
      <c r="BY376" s="185"/>
      <c r="BZ376" s="185"/>
      <c r="CA376" s="185"/>
      <c r="CB376" s="185"/>
      <c r="CC376" s="185"/>
      <c r="CD376" s="185"/>
      <c r="CE376" s="185"/>
      <c r="CF376" s="185"/>
      <c r="CG376" s="185"/>
      <c r="CH376" s="185"/>
      <c r="CI376" s="185"/>
      <c r="CJ376" s="185"/>
      <c r="CK376" s="185"/>
      <c r="CL376" s="185"/>
      <c r="CM376" s="185"/>
      <c r="CN376" s="185"/>
      <c r="CO376" s="185"/>
      <c r="CP376" s="185"/>
      <c r="CQ376" s="185"/>
      <c r="CR376" s="185"/>
      <c r="CS376" s="185"/>
      <c r="CT376" s="185"/>
      <c r="CU376" s="185"/>
      <c r="CV376" s="185"/>
      <c r="CW376" s="185"/>
      <c r="CX376" s="185"/>
      <c r="CY376" s="185"/>
      <c r="CZ376" s="185"/>
      <c r="DA376" s="185"/>
      <c r="DB376" s="185"/>
      <c r="DC376" s="185"/>
      <c r="DD376" s="185"/>
      <c r="DE376" s="185"/>
      <c r="DF376" s="185"/>
      <c r="DG376" s="185"/>
      <c r="DH376" s="185"/>
      <c r="DI376" s="185"/>
      <c r="DJ376" s="185"/>
      <c r="DK376" s="185"/>
      <c r="DL376" s="185"/>
      <c r="DM376" s="185"/>
      <c r="DN376" s="185"/>
      <c r="DO376" s="229"/>
    </row>
    <row r="377" spans="1:119" x14ac:dyDescent="0.2">
      <c r="A377" s="185"/>
      <c r="B377" s="185"/>
      <c r="C377" s="185"/>
      <c r="D377" s="185"/>
      <c r="E377" s="187"/>
      <c r="F377" s="185"/>
      <c r="G377" s="185"/>
      <c r="H377" s="187"/>
      <c r="I377" s="185"/>
      <c r="J377" s="185"/>
      <c r="K377" s="185"/>
      <c r="L377" s="185"/>
      <c r="M377" s="185"/>
      <c r="N377" s="185"/>
      <c r="O377" s="185"/>
      <c r="P377" s="185"/>
      <c r="Q377" s="185"/>
      <c r="R377" s="185"/>
      <c r="S377" s="185"/>
      <c r="T377" s="185"/>
      <c r="U377" s="185"/>
      <c r="V377" s="185"/>
      <c r="W377" s="185"/>
      <c r="X377" s="186"/>
      <c r="Y377" s="186"/>
      <c r="Z377" s="186"/>
      <c r="AA377" s="186"/>
      <c r="AB377" s="186"/>
      <c r="AC377" s="186"/>
      <c r="AD377" s="186"/>
      <c r="AE377" s="185"/>
      <c r="AF377" s="189"/>
      <c r="AG377" s="185"/>
      <c r="AH377" s="185"/>
      <c r="AI377" s="185"/>
      <c r="AJ377" s="185"/>
      <c r="AK377" s="185"/>
      <c r="AL377" s="185"/>
      <c r="AM377" s="185"/>
      <c r="AN377" s="185"/>
      <c r="AO377" s="185"/>
      <c r="AP377" s="185"/>
      <c r="AQ377" s="185"/>
      <c r="AR377" s="185"/>
      <c r="AS377" s="185"/>
      <c r="AT377" s="185"/>
      <c r="AU377" s="185"/>
      <c r="AV377" s="185"/>
      <c r="AW377" s="185"/>
      <c r="AX377" s="185"/>
      <c r="AY377" s="185"/>
      <c r="AZ377" s="185"/>
      <c r="BA377" s="185"/>
      <c r="BB377" s="185"/>
      <c r="BC377" s="185"/>
      <c r="BD377" s="185"/>
      <c r="BE377" s="185"/>
      <c r="BF377" s="185"/>
      <c r="BG377" s="185"/>
      <c r="BH377" s="185"/>
      <c r="BI377" s="185"/>
      <c r="BJ377" s="185"/>
      <c r="BK377" s="185"/>
      <c r="BL377" s="185"/>
      <c r="BM377" s="185"/>
      <c r="BN377" s="185"/>
      <c r="BO377" s="185"/>
      <c r="BP377" s="185"/>
      <c r="BQ377" s="185"/>
      <c r="BR377" s="185"/>
      <c r="BS377" s="185"/>
      <c r="BT377" s="185"/>
      <c r="BU377" s="185"/>
      <c r="BV377" s="185"/>
      <c r="BW377" s="185"/>
      <c r="BX377" s="185"/>
      <c r="BY377" s="185"/>
      <c r="BZ377" s="185"/>
      <c r="CA377" s="185"/>
      <c r="CB377" s="185"/>
      <c r="CC377" s="185"/>
      <c r="CD377" s="185"/>
      <c r="CE377" s="185"/>
      <c r="CF377" s="185"/>
      <c r="CG377" s="185"/>
      <c r="CH377" s="185"/>
      <c r="CI377" s="185"/>
      <c r="CJ377" s="185"/>
      <c r="CK377" s="185"/>
      <c r="CL377" s="185"/>
      <c r="CM377" s="185"/>
      <c r="CN377" s="185"/>
      <c r="CO377" s="185"/>
      <c r="CP377" s="185"/>
      <c r="CQ377" s="185"/>
      <c r="CR377" s="185"/>
      <c r="CS377" s="185"/>
      <c r="CT377" s="185"/>
      <c r="CU377" s="185"/>
      <c r="CV377" s="185"/>
      <c r="CW377" s="185"/>
      <c r="CX377" s="185"/>
      <c r="CY377" s="185"/>
      <c r="CZ377" s="185"/>
      <c r="DA377" s="185"/>
      <c r="DB377" s="185"/>
      <c r="DC377" s="185"/>
      <c r="DD377" s="185"/>
      <c r="DE377" s="185"/>
      <c r="DF377" s="185"/>
      <c r="DG377" s="185"/>
      <c r="DH377" s="185"/>
      <c r="DI377" s="185"/>
      <c r="DJ377" s="185"/>
      <c r="DK377" s="185"/>
      <c r="DL377" s="185"/>
      <c r="DM377" s="185"/>
      <c r="DN377" s="185"/>
      <c r="DO377" s="229"/>
    </row>
    <row r="378" spans="1:119" x14ac:dyDescent="0.2">
      <c r="A378" s="185"/>
      <c r="B378" s="185"/>
      <c r="C378" s="185"/>
      <c r="D378" s="185"/>
      <c r="E378" s="187"/>
      <c r="F378" s="185"/>
      <c r="G378" s="185"/>
      <c r="H378" s="187"/>
      <c r="I378" s="185"/>
      <c r="J378" s="185"/>
      <c r="K378" s="185"/>
      <c r="L378" s="185"/>
      <c r="M378" s="185"/>
      <c r="N378" s="185"/>
      <c r="O378" s="185"/>
      <c r="P378" s="185"/>
      <c r="Q378" s="185"/>
      <c r="R378" s="185"/>
      <c r="S378" s="185"/>
      <c r="T378" s="185"/>
      <c r="U378" s="185"/>
      <c r="V378" s="185"/>
      <c r="W378" s="185"/>
      <c r="X378" s="186"/>
      <c r="Y378" s="186"/>
      <c r="Z378" s="186"/>
      <c r="AA378" s="186"/>
      <c r="AB378" s="186"/>
      <c r="AC378" s="186"/>
      <c r="AD378" s="186"/>
      <c r="AE378" s="185"/>
      <c r="AF378" s="190"/>
      <c r="AG378" s="190"/>
      <c r="AH378" s="190"/>
      <c r="AI378" s="185"/>
      <c r="AJ378" s="185"/>
      <c r="AK378" s="192"/>
      <c r="AL378" s="192"/>
      <c r="AM378" s="192"/>
      <c r="AN378" s="185"/>
      <c r="AO378" s="185"/>
      <c r="AP378" s="185"/>
      <c r="AQ378" s="185"/>
      <c r="AR378" s="185"/>
      <c r="AS378" s="185"/>
      <c r="AT378" s="185"/>
      <c r="AU378" s="185"/>
      <c r="AV378" s="185"/>
      <c r="AW378" s="185"/>
      <c r="AX378" s="185"/>
      <c r="AY378" s="185"/>
      <c r="AZ378" s="185"/>
      <c r="BA378" s="185"/>
      <c r="BB378" s="185"/>
      <c r="BC378" s="185"/>
      <c r="BD378" s="185"/>
      <c r="BE378" s="185"/>
      <c r="BF378" s="185"/>
      <c r="BG378" s="185"/>
      <c r="BH378" s="185"/>
      <c r="BI378" s="185"/>
      <c r="BJ378" s="185"/>
      <c r="BK378" s="185"/>
      <c r="BL378" s="185"/>
      <c r="BM378" s="185"/>
      <c r="BN378" s="185"/>
      <c r="BO378" s="185"/>
      <c r="BP378" s="185"/>
      <c r="BQ378" s="185"/>
      <c r="BR378" s="185"/>
      <c r="BS378" s="185"/>
      <c r="BT378" s="185"/>
      <c r="BU378" s="185"/>
      <c r="BV378" s="185"/>
      <c r="BW378" s="185"/>
      <c r="BX378" s="185"/>
      <c r="BY378" s="185"/>
      <c r="BZ378" s="185"/>
      <c r="CA378" s="185"/>
      <c r="CB378" s="185"/>
      <c r="CC378" s="185"/>
      <c r="CD378" s="185"/>
      <c r="CE378" s="185"/>
      <c r="CF378" s="185"/>
      <c r="CG378" s="185"/>
      <c r="CH378" s="185"/>
      <c r="CI378" s="185"/>
      <c r="CJ378" s="185"/>
      <c r="CK378" s="185"/>
      <c r="CL378" s="185"/>
      <c r="CM378" s="185"/>
      <c r="CN378" s="185"/>
      <c r="CO378" s="185"/>
      <c r="CP378" s="185"/>
      <c r="CQ378" s="185"/>
      <c r="CR378" s="185"/>
      <c r="CS378" s="185"/>
      <c r="CT378" s="185"/>
      <c r="CU378" s="185"/>
      <c r="CV378" s="185"/>
      <c r="CW378" s="185"/>
      <c r="CX378" s="185"/>
      <c r="CY378" s="185"/>
      <c r="CZ378" s="185"/>
      <c r="DA378" s="185"/>
      <c r="DB378" s="185"/>
      <c r="DC378" s="185"/>
      <c r="DD378" s="185"/>
      <c r="DE378" s="185"/>
      <c r="DF378" s="185"/>
      <c r="DG378" s="185"/>
      <c r="DH378" s="185"/>
      <c r="DI378" s="185"/>
      <c r="DJ378" s="185"/>
      <c r="DK378" s="185"/>
      <c r="DL378" s="185"/>
      <c r="DM378" s="185"/>
      <c r="DN378" s="185"/>
      <c r="DO378" s="229"/>
    </row>
    <row r="379" spans="1:119" x14ac:dyDescent="0.2">
      <c r="A379" s="185"/>
      <c r="B379" s="185"/>
      <c r="C379" s="185"/>
      <c r="D379" s="185"/>
      <c r="E379" s="187"/>
      <c r="F379" s="185"/>
      <c r="G379" s="185"/>
      <c r="H379" s="187"/>
      <c r="I379" s="185"/>
      <c r="J379" s="185"/>
      <c r="K379" s="185"/>
      <c r="L379" s="185"/>
      <c r="M379" s="185"/>
      <c r="N379" s="185"/>
      <c r="O379" s="185"/>
      <c r="P379" s="185"/>
      <c r="Q379" s="185"/>
      <c r="R379" s="185"/>
      <c r="S379" s="185"/>
      <c r="T379" s="185"/>
      <c r="U379" s="185"/>
      <c r="V379" s="185"/>
      <c r="W379" s="185"/>
      <c r="X379" s="186"/>
      <c r="Y379" s="186"/>
      <c r="Z379" s="186"/>
      <c r="AA379" s="186"/>
      <c r="AB379" s="186"/>
      <c r="AC379" s="186"/>
      <c r="AD379" s="186"/>
      <c r="AE379" s="185"/>
      <c r="AF379" s="189"/>
      <c r="AG379" s="189"/>
      <c r="AH379" s="189"/>
      <c r="AI379" s="185"/>
      <c r="AJ379" s="185"/>
      <c r="AK379" s="234"/>
      <c r="AL379" s="234"/>
      <c r="AM379" s="234"/>
      <c r="AN379" s="185"/>
      <c r="AO379" s="185"/>
      <c r="AP379" s="185"/>
      <c r="AQ379" s="185"/>
      <c r="AR379" s="185"/>
      <c r="AS379" s="185"/>
      <c r="AT379" s="185"/>
      <c r="AU379" s="185"/>
      <c r="AV379" s="185"/>
      <c r="AW379" s="185"/>
      <c r="AX379" s="185"/>
      <c r="AY379" s="185"/>
      <c r="AZ379" s="185"/>
      <c r="BA379" s="185"/>
      <c r="BB379" s="185"/>
      <c r="BC379" s="185"/>
      <c r="BD379" s="185"/>
      <c r="BE379" s="185"/>
      <c r="BF379" s="185"/>
      <c r="BG379" s="185"/>
      <c r="BH379" s="185"/>
      <c r="BI379" s="185"/>
      <c r="BJ379" s="185"/>
      <c r="BK379" s="185"/>
      <c r="BL379" s="185"/>
      <c r="BM379" s="185"/>
      <c r="BN379" s="185"/>
      <c r="BO379" s="185"/>
      <c r="BP379" s="185"/>
      <c r="BQ379" s="185"/>
      <c r="BR379" s="185"/>
      <c r="BS379" s="185"/>
      <c r="BT379" s="185"/>
      <c r="BU379" s="185"/>
      <c r="BV379" s="185"/>
      <c r="BW379" s="185"/>
      <c r="BX379" s="185"/>
      <c r="BY379" s="185"/>
      <c r="BZ379" s="185"/>
      <c r="CA379" s="185"/>
      <c r="CB379" s="185"/>
      <c r="CC379" s="185"/>
      <c r="CD379" s="185"/>
      <c r="CE379" s="185"/>
      <c r="CF379" s="185"/>
      <c r="CG379" s="185"/>
      <c r="CH379" s="185"/>
      <c r="CI379" s="185"/>
      <c r="CJ379" s="185"/>
      <c r="CK379" s="185"/>
      <c r="CL379" s="185"/>
      <c r="CM379" s="185"/>
      <c r="CN379" s="185"/>
      <c r="CO379" s="185"/>
      <c r="CP379" s="185"/>
      <c r="CQ379" s="185"/>
      <c r="CR379" s="185"/>
      <c r="CS379" s="185"/>
      <c r="CT379" s="185"/>
      <c r="CU379" s="185"/>
      <c r="CV379" s="185"/>
      <c r="CW379" s="185"/>
      <c r="CX379" s="185"/>
      <c r="CY379" s="185"/>
      <c r="CZ379" s="185"/>
      <c r="DA379" s="185"/>
      <c r="DB379" s="185"/>
      <c r="DC379" s="185"/>
      <c r="DD379" s="185"/>
      <c r="DE379" s="185"/>
      <c r="DF379" s="185"/>
      <c r="DG379" s="185"/>
      <c r="DH379" s="185"/>
      <c r="DI379" s="185"/>
      <c r="DJ379" s="185"/>
      <c r="DK379" s="185"/>
      <c r="DL379" s="185"/>
      <c r="DM379" s="185"/>
      <c r="DN379" s="185"/>
      <c r="DO379" s="229"/>
    </row>
    <row r="380" spans="1:119" x14ac:dyDescent="0.2">
      <c r="A380" s="185"/>
      <c r="B380" s="185"/>
      <c r="C380" s="185"/>
      <c r="D380" s="185"/>
      <c r="E380" s="187"/>
      <c r="F380" s="185"/>
      <c r="G380" s="185"/>
      <c r="H380" s="187"/>
      <c r="I380" s="185"/>
      <c r="J380" s="185"/>
      <c r="K380" s="185"/>
      <c r="L380" s="185"/>
      <c r="M380" s="185"/>
      <c r="N380" s="185"/>
      <c r="O380" s="185"/>
      <c r="P380" s="185"/>
      <c r="Q380" s="185"/>
      <c r="R380" s="185"/>
      <c r="S380" s="185"/>
      <c r="T380" s="185"/>
      <c r="U380" s="185"/>
      <c r="V380" s="185"/>
      <c r="W380" s="185"/>
      <c r="X380" s="186"/>
      <c r="Y380" s="186"/>
      <c r="Z380" s="186"/>
      <c r="AA380" s="186"/>
      <c r="AB380" s="186"/>
      <c r="AC380" s="186"/>
      <c r="AD380" s="186"/>
      <c r="AE380" s="185"/>
      <c r="AF380" s="190"/>
      <c r="AG380" s="190"/>
      <c r="AH380" s="190"/>
      <c r="AI380" s="190"/>
      <c r="AJ380" s="185"/>
      <c r="AK380" s="185"/>
      <c r="AL380" s="185"/>
      <c r="AM380" s="185"/>
      <c r="AN380" s="185"/>
      <c r="AO380" s="185"/>
      <c r="AP380" s="185"/>
      <c r="AQ380" s="185"/>
      <c r="AR380" s="185"/>
      <c r="AS380" s="185"/>
      <c r="AT380" s="185"/>
      <c r="AU380" s="185"/>
      <c r="AV380" s="185"/>
      <c r="AW380" s="185"/>
      <c r="AX380" s="185"/>
      <c r="AY380" s="185"/>
      <c r="AZ380" s="185"/>
      <c r="BA380" s="185"/>
      <c r="BB380" s="185"/>
      <c r="BC380" s="185"/>
      <c r="BD380" s="185"/>
      <c r="BE380" s="185"/>
      <c r="BF380" s="185"/>
      <c r="BG380" s="185"/>
      <c r="BH380" s="185"/>
      <c r="BI380" s="185"/>
      <c r="BJ380" s="185"/>
      <c r="BK380" s="185"/>
      <c r="BL380" s="185"/>
      <c r="BM380" s="185"/>
      <c r="BN380" s="185"/>
      <c r="BO380" s="185"/>
      <c r="BP380" s="185"/>
      <c r="BQ380" s="185"/>
      <c r="BR380" s="185"/>
      <c r="BS380" s="185"/>
      <c r="BT380" s="185"/>
      <c r="BU380" s="185"/>
      <c r="BV380" s="185"/>
      <c r="BW380" s="185"/>
      <c r="BX380" s="185"/>
      <c r="BY380" s="185"/>
      <c r="BZ380" s="185"/>
      <c r="CA380" s="185"/>
      <c r="CB380" s="185"/>
      <c r="CC380" s="185"/>
      <c r="CD380" s="185"/>
      <c r="CE380" s="185"/>
      <c r="CF380" s="185"/>
      <c r="CG380" s="185"/>
      <c r="CH380" s="185"/>
      <c r="CI380" s="185"/>
      <c r="CJ380" s="185"/>
      <c r="CK380" s="185"/>
      <c r="CL380" s="185"/>
      <c r="CM380" s="185"/>
      <c r="CN380" s="185"/>
      <c r="CO380" s="185"/>
      <c r="CP380" s="185"/>
      <c r="CQ380" s="185"/>
      <c r="CR380" s="185"/>
      <c r="CS380" s="185"/>
      <c r="CT380" s="185"/>
      <c r="CU380" s="185"/>
      <c r="CV380" s="185"/>
      <c r="CW380" s="185"/>
      <c r="CX380" s="185"/>
      <c r="CY380" s="185"/>
      <c r="CZ380" s="185"/>
      <c r="DA380" s="185"/>
      <c r="DB380" s="185"/>
      <c r="DC380" s="185"/>
      <c r="DD380" s="185"/>
      <c r="DE380" s="185"/>
      <c r="DF380" s="185"/>
      <c r="DG380" s="185"/>
      <c r="DH380" s="185"/>
      <c r="DI380" s="185"/>
      <c r="DJ380" s="185"/>
      <c r="DK380" s="185"/>
      <c r="DL380" s="185"/>
      <c r="DM380" s="185"/>
      <c r="DN380" s="185"/>
      <c r="DO380" s="229"/>
    </row>
    <row r="381" spans="1:119" x14ac:dyDescent="0.2">
      <c r="A381" s="185"/>
      <c r="B381" s="185"/>
      <c r="C381" s="185"/>
      <c r="D381" s="185"/>
      <c r="E381" s="187"/>
      <c r="F381" s="185"/>
      <c r="G381" s="185"/>
      <c r="H381" s="187"/>
      <c r="I381" s="185"/>
      <c r="J381" s="185"/>
      <c r="K381" s="185"/>
      <c r="L381" s="185"/>
      <c r="M381" s="185"/>
      <c r="N381" s="185"/>
      <c r="O381" s="185"/>
      <c r="P381" s="185"/>
      <c r="Q381" s="185"/>
      <c r="R381" s="185"/>
      <c r="S381" s="185"/>
      <c r="T381" s="185"/>
      <c r="U381" s="185"/>
      <c r="V381" s="185"/>
      <c r="W381" s="185"/>
      <c r="X381" s="186"/>
      <c r="Y381" s="186"/>
      <c r="Z381" s="186"/>
      <c r="AA381" s="186"/>
      <c r="AB381" s="186"/>
      <c r="AC381" s="186"/>
      <c r="AD381" s="186"/>
      <c r="AE381" s="185"/>
      <c r="AF381" s="185"/>
      <c r="AG381" s="185"/>
      <c r="AH381" s="185"/>
      <c r="AI381" s="185"/>
      <c r="AJ381" s="185"/>
      <c r="AK381" s="185"/>
      <c r="AL381" s="185"/>
      <c r="AM381" s="185"/>
      <c r="AN381" s="185"/>
      <c r="AO381" s="185"/>
      <c r="AP381" s="185"/>
      <c r="AQ381" s="185"/>
      <c r="AR381" s="185"/>
      <c r="AS381" s="185"/>
      <c r="AT381" s="185"/>
      <c r="AU381" s="185"/>
      <c r="AV381" s="185"/>
      <c r="AW381" s="185"/>
      <c r="AX381" s="185"/>
      <c r="AY381" s="185"/>
      <c r="AZ381" s="185"/>
      <c r="BA381" s="185"/>
      <c r="BB381" s="185"/>
      <c r="BC381" s="185"/>
      <c r="BD381" s="185"/>
      <c r="BE381" s="185"/>
      <c r="BF381" s="185"/>
      <c r="BG381" s="185"/>
      <c r="BH381" s="185"/>
      <c r="BI381" s="185"/>
      <c r="BJ381" s="185"/>
      <c r="BK381" s="185"/>
      <c r="BL381" s="185"/>
      <c r="BM381" s="185"/>
      <c r="BN381" s="185"/>
      <c r="BO381" s="185"/>
      <c r="BP381" s="185"/>
      <c r="BQ381" s="185"/>
      <c r="BR381" s="185"/>
      <c r="BS381" s="185"/>
      <c r="BT381" s="185"/>
      <c r="BU381" s="185"/>
      <c r="BV381" s="185"/>
      <c r="BW381" s="185"/>
      <c r="BX381" s="185"/>
      <c r="BY381" s="185"/>
      <c r="BZ381" s="185"/>
      <c r="CA381" s="185"/>
      <c r="CB381" s="185"/>
      <c r="CC381" s="185"/>
      <c r="CD381" s="185"/>
      <c r="CE381" s="185"/>
      <c r="CF381" s="185"/>
      <c r="CG381" s="185"/>
      <c r="CH381" s="185"/>
      <c r="CI381" s="185"/>
      <c r="CJ381" s="185"/>
      <c r="CK381" s="185"/>
      <c r="CL381" s="185"/>
      <c r="CM381" s="185"/>
      <c r="CN381" s="185"/>
      <c r="CO381" s="185"/>
      <c r="CP381" s="185"/>
      <c r="CQ381" s="185"/>
      <c r="CR381" s="185"/>
      <c r="CS381" s="185"/>
      <c r="CT381" s="185"/>
      <c r="CU381" s="185"/>
      <c r="CV381" s="185"/>
      <c r="CW381" s="185"/>
      <c r="CX381" s="185"/>
      <c r="CY381" s="185"/>
      <c r="CZ381" s="185"/>
      <c r="DA381" s="185"/>
      <c r="DB381" s="185"/>
      <c r="DC381" s="185"/>
      <c r="DD381" s="185"/>
      <c r="DE381" s="185"/>
      <c r="DF381" s="185"/>
      <c r="DG381" s="185"/>
      <c r="DH381" s="185"/>
      <c r="DI381" s="185"/>
      <c r="DJ381" s="185"/>
      <c r="DK381" s="185"/>
      <c r="DL381" s="185"/>
      <c r="DM381" s="185"/>
      <c r="DN381" s="185"/>
      <c r="DO381" s="229"/>
    </row>
    <row r="382" spans="1:119" x14ac:dyDescent="0.2">
      <c r="A382" s="185"/>
      <c r="B382" s="185"/>
      <c r="C382" s="185"/>
      <c r="D382" s="185"/>
      <c r="E382" s="187"/>
      <c r="F382" s="185"/>
      <c r="G382" s="185"/>
      <c r="H382" s="187"/>
      <c r="I382" s="185"/>
      <c r="J382" s="185"/>
      <c r="K382" s="185"/>
      <c r="L382" s="185"/>
      <c r="M382" s="185"/>
      <c r="N382" s="185"/>
      <c r="O382" s="185"/>
      <c r="P382" s="185"/>
      <c r="Q382" s="185"/>
      <c r="R382" s="185"/>
      <c r="S382" s="185"/>
      <c r="T382" s="185"/>
      <c r="U382" s="185"/>
      <c r="V382" s="185"/>
      <c r="W382" s="185"/>
      <c r="X382" s="186"/>
      <c r="Y382" s="186"/>
      <c r="Z382" s="186"/>
      <c r="AA382" s="186"/>
      <c r="AB382" s="186"/>
      <c r="AC382" s="186"/>
      <c r="AD382" s="186"/>
      <c r="AE382" s="185"/>
      <c r="AF382" s="191"/>
      <c r="AG382" s="185"/>
      <c r="AH382" s="185"/>
      <c r="AI382" s="185"/>
      <c r="AJ382" s="185"/>
      <c r="AK382" s="185"/>
      <c r="AL382" s="185"/>
      <c r="AM382" s="185"/>
      <c r="AN382" s="185"/>
      <c r="AO382" s="185"/>
      <c r="AP382" s="185"/>
      <c r="AQ382" s="185"/>
      <c r="AR382" s="185"/>
      <c r="AS382" s="185"/>
      <c r="AT382" s="185"/>
      <c r="AU382" s="185"/>
      <c r="AV382" s="185"/>
      <c r="AW382" s="185"/>
      <c r="AX382" s="185"/>
      <c r="AY382" s="185"/>
      <c r="AZ382" s="185"/>
      <c r="BA382" s="185"/>
      <c r="BB382" s="185"/>
      <c r="BC382" s="185"/>
      <c r="BD382" s="185"/>
      <c r="BE382" s="185"/>
      <c r="BF382" s="185"/>
      <c r="BG382" s="185"/>
      <c r="BH382" s="185"/>
      <c r="BI382" s="185"/>
      <c r="BJ382" s="185"/>
      <c r="BK382" s="185"/>
      <c r="BL382" s="185"/>
      <c r="BM382" s="185"/>
      <c r="BN382" s="185"/>
      <c r="BO382" s="185"/>
      <c r="BP382" s="185"/>
      <c r="BQ382" s="185"/>
      <c r="BR382" s="185"/>
      <c r="BS382" s="185"/>
      <c r="BT382" s="185"/>
      <c r="BU382" s="185"/>
      <c r="BV382" s="185"/>
      <c r="BW382" s="185"/>
      <c r="BX382" s="185"/>
      <c r="BY382" s="185"/>
      <c r="BZ382" s="185"/>
      <c r="CA382" s="185"/>
      <c r="CB382" s="185"/>
      <c r="CC382" s="185"/>
      <c r="CD382" s="185"/>
      <c r="CE382" s="185"/>
      <c r="CF382" s="185"/>
      <c r="CG382" s="185"/>
      <c r="CH382" s="185"/>
      <c r="CI382" s="185"/>
      <c r="CJ382" s="185"/>
      <c r="CK382" s="185"/>
      <c r="CL382" s="185"/>
      <c r="CM382" s="185"/>
      <c r="CN382" s="185"/>
      <c r="CO382" s="185"/>
      <c r="CP382" s="185"/>
      <c r="CQ382" s="185"/>
      <c r="CR382" s="185"/>
      <c r="CS382" s="185"/>
      <c r="CT382" s="185"/>
      <c r="CU382" s="185"/>
      <c r="CV382" s="185"/>
      <c r="CW382" s="185"/>
      <c r="CX382" s="185"/>
      <c r="CY382" s="185"/>
      <c r="CZ382" s="185"/>
      <c r="DA382" s="185"/>
      <c r="DB382" s="185"/>
      <c r="DC382" s="185"/>
      <c r="DD382" s="185"/>
      <c r="DE382" s="185"/>
      <c r="DF382" s="185"/>
      <c r="DG382" s="185"/>
      <c r="DH382" s="185"/>
      <c r="DI382" s="185"/>
      <c r="DJ382" s="185"/>
      <c r="DK382" s="185"/>
      <c r="DL382" s="185"/>
      <c r="DM382" s="185"/>
      <c r="DN382" s="185"/>
      <c r="DO382" s="229"/>
    </row>
    <row r="383" spans="1:119" x14ac:dyDescent="0.2">
      <c r="A383" s="185"/>
      <c r="B383" s="185"/>
      <c r="C383" s="185"/>
      <c r="D383" s="185"/>
      <c r="E383" s="187"/>
      <c r="F383" s="185"/>
      <c r="G383" s="185"/>
      <c r="H383" s="187"/>
      <c r="I383" s="185"/>
      <c r="J383" s="185"/>
      <c r="K383" s="185"/>
      <c r="L383" s="185"/>
      <c r="M383" s="185"/>
      <c r="N383" s="185"/>
      <c r="O383" s="185"/>
      <c r="P383" s="185"/>
      <c r="Q383" s="185"/>
      <c r="R383" s="185"/>
      <c r="S383" s="185"/>
      <c r="T383" s="185"/>
      <c r="U383" s="185"/>
      <c r="V383" s="185"/>
      <c r="W383" s="185"/>
      <c r="X383" s="186"/>
      <c r="Y383" s="186"/>
      <c r="Z383" s="186"/>
      <c r="AA383" s="186"/>
      <c r="AB383" s="186"/>
      <c r="AC383" s="186"/>
      <c r="AD383" s="186"/>
      <c r="AE383" s="185"/>
      <c r="AF383" s="189"/>
      <c r="AG383" s="189"/>
      <c r="AH383" s="189"/>
      <c r="AI383" s="185"/>
      <c r="AJ383" s="185"/>
      <c r="AK383" s="185"/>
      <c r="AL383" s="185"/>
      <c r="AM383" s="185"/>
      <c r="AN383" s="185"/>
      <c r="AO383" s="185"/>
      <c r="AP383" s="185"/>
      <c r="AQ383" s="185"/>
      <c r="AR383" s="185"/>
      <c r="AS383" s="185"/>
      <c r="AT383" s="185"/>
      <c r="AU383" s="185"/>
      <c r="AV383" s="185"/>
      <c r="AW383" s="185"/>
      <c r="AX383" s="185"/>
      <c r="AY383" s="185"/>
      <c r="AZ383" s="185"/>
      <c r="BA383" s="185"/>
      <c r="BB383" s="185"/>
      <c r="BC383" s="185"/>
      <c r="BD383" s="185"/>
      <c r="BE383" s="185"/>
      <c r="BF383" s="185"/>
      <c r="BG383" s="185"/>
      <c r="BH383" s="185"/>
      <c r="BI383" s="185"/>
      <c r="BJ383" s="185"/>
      <c r="BK383" s="185"/>
      <c r="BL383" s="185"/>
      <c r="BM383" s="185"/>
      <c r="BN383" s="185"/>
      <c r="BO383" s="185"/>
      <c r="BP383" s="185"/>
      <c r="BQ383" s="185"/>
      <c r="BR383" s="185"/>
      <c r="BS383" s="185"/>
      <c r="BT383" s="185"/>
      <c r="BU383" s="185"/>
      <c r="BV383" s="185"/>
      <c r="BW383" s="185"/>
      <c r="BX383" s="185"/>
      <c r="BY383" s="185"/>
      <c r="BZ383" s="185"/>
      <c r="CA383" s="185"/>
      <c r="CB383" s="185"/>
      <c r="CC383" s="185"/>
      <c r="CD383" s="185"/>
      <c r="CE383" s="185"/>
      <c r="CF383" s="185"/>
      <c r="CG383" s="185"/>
      <c r="CH383" s="185"/>
      <c r="CI383" s="185"/>
      <c r="CJ383" s="185"/>
      <c r="CK383" s="185"/>
      <c r="CL383" s="185"/>
      <c r="CM383" s="185"/>
      <c r="CN383" s="185"/>
      <c r="CO383" s="185"/>
      <c r="CP383" s="185"/>
      <c r="CQ383" s="185"/>
      <c r="CR383" s="185"/>
      <c r="CS383" s="185"/>
      <c r="CT383" s="185"/>
      <c r="CU383" s="185"/>
      <c r="CV383" s="185"/>
      <c r="CW383" s="185"/>
      <c r="CX383" s="185"/>
      <c r="CY383" s="185"/>
      <c r="CZ383" s="185"/>
      <c r="DA383" s="185"/>
      <c r="DB383" s="185"/>
      <c r="DC383" s="185"/>
      <c r="DD383" s="185"/>
      <c r="DE383" s="185"/>
      <c r="DF383" s="185"/>
      <c r="DG383" s="185"/>
      <c r="DH383" s="185"/>
      <c r="DI383" s="185"/>
      <c r="DJ383" s="185"/>
      <c r="DK383" s="185"/>
      <c r="DL383" s="185"/>
      <c r="DM383" s="185"/>
      <c r="DN383" s="185"/>
      <c r="DO383" s="229"/>
    </row>
    <row r="384" spans="1:119" x14ac:dyDescent="0.2">
      <c r="A384" s="185"/>
      <c r="B384" s="185"/>
      <c r="C384" s="185"/>
      <c r="D384" s="185"/>
      <c r="E384" s="187"/>
      <c r="F384" s="185"/>
      <c r="G384" s="185"/>
      <c r="H384" s="187"/>
      <c r="I384" s="185"/>
      <c r="J384" s="185"/>
      <c r="K384" s="185"/>
      <c r="L384" s="185"/>
      <c r="M384" s="185"/>
      <c r="N384" s="185"/>
      <c r="O384" s="185"/>
      <c r="P384" s="185"/>
      <c r="Q384" s="185"/>
      <c r="R384" s="185"/>
      <c r="S384" s="185"/>
      <c r="T384" s="185"/>
      <c r="U384" s="185"/>
      <c r="V384" s="185"/>
      <c r="W384" s="185"/>
      <c r="X384" s="186"/>
      <c r="Y384" s="186"/>
      <c r="Z384" s="186"/>
      <c r="AA384" s="186"/>
      <c r="AB384" s="186"/>
      <c r="AC384" s="186"/>
      <c r="AD384" s="186"/>
      <c r="AE384" s="185"/>
      <c r="AF384" s="190"/>
      <c r="AG384" s="190"/>
      <c r="AH384" s="190"/>
      <c r="AI384" s="185"/>
      <c r="AJ384" s="185"/>
      <c r="AK384" s="185"/>
      <c r="AL384" s="185"/>
      <c r="AM384" s="185"/>
      <c r="AN384" s="185"/>
      <c r="AO384" s="185"/>
      <c r="AP384" s="185"/>
      <c r="AQ384" s="185"/>
      <c r="AR384" s="185"/>
      <c r="AS384" s="185"/>
      <c r="AT384" s="185"/>
      <c r="AU384" s="185"/>
      <c r="AV384" s="185"/>
      <c r="AW384" s="185"/>
      <c r="AX384" s="185"/>
      <c r="AY384" s="185"/>
      <c r="AZ384" s="185"/>
      <c r="BA384" s="185"/>
      <c r="BB384" s="185"/>
      <c r="BC384" s="185"/>
      <c r="BD384" s="185"/>
      <c r="BE384" s="185"/>
      <c r="BF384" s="185"/>
      <c r="BG384" s="185"/>
      <c r="BH384" s="185"/>
      <c r="BI384" s="185"/>
      <c r="BJ384" s="185"/>
      <c r="BK384" s="185"/>
      <c r="BL384" s="185"/>
      <c r="BM384" s="185"/>
      <c r="BN384" s="185"/>
      <c r="BO384" s="185"/>
      <c r="BP384" s="185"/>
      <c r="BQ384" s="185"/>
      <c r="BR384" s="185"/>
      <c r="BS384" s="185"/>
      <c r="BT384" s="185"/>
      <c r="BU384" s="185"/>
      <c r="BV384" s="185"/>
      <c r="BW384" s="185"/>
      <c r="BX384" s="185"/>
      <c r="BY384" s="185"/>
      <c r="BZ384" s="185"/>
      <c r="CA384" s="185"/>
      <c r="CB384" s="185"/>
      <c r="CC384" s="185"/>
      <c r="CD384" s="185"/>
      <c r="CE384" s="185"/>
      <c r="CF384" s="185"/>
      <c r="CG384" s="185"/>
      <c r="CH384" s="185"/>
      <c r="CI384" s="185"/>
      <c r="CJ384" s="185"/>
      <c r="CK384" s="185"/>
      <c r="CL384" s="185"/>
      <c r="CM384" s="185"/>
      <c r="CN384" s="185"/>
      <c r="CO384" s="185"/>
      <c r="CP384" s="185"/>
      <c r="CQ384" s="185"/>
      <c r="CR384" s="185"/>
      <c r="CS384" s="185"/>
      <c r="CT384" s="185"/>
      <c r="CU384" s="185"/>
      <c r="CV384" s="185"/>
      <c r="CW384" s="185"/>
      <c r="CX384" s="185"/>
      <c r="CY384" s="185"/>
      <c r="CZ384" s="185"/>
      <c r="DA384" s="185"/>
      <c r="DB384" s="185"/>
      <c r="DC384" s="185"/>
      <c r="DD384" s="185"/>
      <c r="DE384" s="185"/>
      <c r="DF384" s="185"/>
      <c r="DG384" s="185"/>
      <c r="DH384" s="185"/>
      <c r="DI384" s="185"/>
      <c r="DJ384" s="185"/>
      <c r="DK384" s="185"/>
      <c r="DL384" s="185"/>
      <c r="DM384" s="185"/>
      <c r="DN384" s="185"/>
      <c r="DO384" s="229"/>
    </row>
    <row r="385" spans="1:119" x14ac:dyDescent="0.2">
      <c r="A385" s="185"/>
      <c r="B385" s="185"/>
      <c r="C385" s="185"/>
      <c r="D385" s="185"/>
      <c r="E385" s="187"/>
      <c r="F385" s="185"/>
      <c r="G385" s="185"/>
      <c r="H385" s="187"/>
      <c r="I385" s="185"/>
      <c r="J385" s="185"/>
      <c r="K385" s="185"/>
      <c r="L385" s="185"/>
      <c r="M385" s="185"/>
      <c r="N385" s="185"/>
      <c r="O385" s="185"/>
      <c r="P385" s="185"/>
      <c r="Q385" s="185"/>
      <c r="R385" s="185"/>
      <c r="S385" s="185"/>
      <c r="T385" s="185"/>
      <c r="U385" s="185"/>
      <c r="V385" s="185"/>
      <c r="W385" s="185"/>
      <c r="X385" s="186"/>
      <c r="Y385" s="186"/>
      <c r="Z385" s="186"/>
      <c r="AA385" s="186"/>
      <c r="AB385" s="186"/>
      <c r="AC385" s="186"/>
      <c r="AD385" s="186"/>
      <c r="AE385" s="185"/>
      <c r="AF385" s="185"/>
      <c r="AG385" s="185"/>
      <c r="AH385" s="185"/>
      <c r="AI385" s="185"/>
      <c r="AJ385" s="185"/>
      <c r="AK385" s="185"/>
      <c r="AL385" s="185"/>
      <c r="AM385" s="185"/>
      <c r="AN385" s="185"/>
      <c r="AO385" s="185"/>
      <c r="AP385" s="185"/>
      <c r="AQ385" s="185"/>
      <c r="AR385" s="185"/>
      <c r="AS385" s="185"/>
      <c r="AT385" s="185"/>
      <c r="AU385" s="185"/>
      <c r="AV385" s="185"/>
      <c r="AW385" s="185"/>
      <c r="AX385" s="185"/>
      <c r="AY385" s="185"/>
      <c r="AZ385" s="185"/>
      <c r="BA385" s="185"/>
      <c r="BB385" s="185"/>
      <c r="BC385" s="185"/>
      <c r="BD385" s="185"/>
      <c r="BE385" s="185"/>
      <c r="BF385" s="185"/>
      <c r="BG385" s="185"/>
      <c r="BH385" s="185"/>
      <c r="BI385" s="185"/>
      <c r="BJ385" s="185"/>
      <c r="BK385" s="185"/>
      <c r="BL385" s="185"/>
      <c r="BM385" s="185"/>
      <c r="BN385" s="185"/>
      <c r="BO385" s="185"/>
      <c r="BP385" s="185"/>
      <c r="BQ385" s="185"/>
      <c r="BR385" s="185"/>
      <c r="BS385" s="185"/>
      <c r="BT385" s="185"/>
      <c r="BU385" s="185"/>
      <c r="BV385" s="185"/>
      <c r="BW385" s="185"/>
      <c r="BX385" s="185"/>
      <c r="BY385" s="185"/>
      <c r="BZ385" s="185"/>
      <c r="CA385" s="185"/>
      <c r="CB385" s="185"/>
      <c r="CC385" s="185"/>
      <c r="CD385" s="185"/>
      <c r="CE385" s="185"/>
      <c r="CF385" s="185"/>
      <c r="CG385" s="185"/>
      <c r="CH385" s="185"/>
      <c r="CI385" s="185"/>
      <c r="CJ385" s="185"/>
      <c r="CK385" s="185"/>
      <c r="CL385" s="185"/>
      <c r="CM385" s="185"/>
      <c r="CN385" s="185"/>
      <c r="CO385" s="185"/>
      <c r="CP385" s="185"/>
      <c r="CQ385" s="185"/>
      <c r="CR385" s="185"/>
      <c r="CS385" s="185"/>
      <c r="CT385" s="185"/>
      <c r="CU385" s="185"/>
      <c r="CV385" s="185"/>
      <c r="CW385" s="185"/>
      <c r="CX385" s="185"/>
      <c r="CY385" s="185"/>
      <c r="CZ385" s="185"/>
      <c r="DA385" s="185"/>
      <c r="DB385" s="185"/>
      <c r="DC385" s="185"/>
      <c r="DD385" s="185"/>
      <c r="DE385" s="185"/>
      <c r="DF385" s="185"/>
      <c r="DG385" s="185"/>
      <c r="DH385" s="185"/>
      <c r="DI385" s="185"/>
      <c r="DJ385" s="185"/>
      <c r="DK385" s="185"/>
      <c r="DL385" s="185"/>
      <c r="DM385" s="185"/>
      <c r="DN385" s="185"/>
      <c r="DO385" s="229"/>
    </row>
    <row r="386" spans="1:119" x14ac:dyDescent="0.2">
      <c r="A386" s="185"/>
      <c r="B386" s="185"/>
      <c r="C386" s="185"/>
      <c r="D386" s="185"/>
      <c r="E386" s="187"/>
      <c r="F386" s="185"/>
      <c r="G386" s="185"/>
      <c r="H386" s="187"/>
      <c r="I386" s="185"/>
      <c r="J386" s="185"/>
      <c r="K386" s="185"/>
      <c r="L386" s="185"/>
      <c r="M386" s="185"/>
      <c r="N386" s="185"/>
      <c r="O386" s="185"/>
      <c r="P386" s="185"/>
      <c r="Q386" s="185"/>
      <c r="R386" s="185"/>
      <c r="S386" s="185"/>
      <c r="T386" s="185"/>
      <c r="U386" s="185"/>
      <c r="V386" s="185"/>
      <c r="W386" s="185"/>
      <c r="X386" s="186"/>
      <c r="Y386" s="186"/>
      <c r="Z386" s="186"/>
      <c r="AA386" s="186"/>
      <c r="AB386" s="186"/>
      <c r="AC386" s="186"/>
      <c r="AD386" s="186"/>
      <c r="AE386" s="185"/>
      <c r="AF386" s="185"/>
      <c r="AG386" s="185"/>
      <c r="AH386" s="185"/>
      <c r="AI386" s="185"/>
      <c r="AJ386" s="185"/>
      <c r="AK386" s="185"/>
      <c r="AL386" s="185"/>
      <c r="AM386" s="185"/>
      <c r="AN386" s="185"/>
      <c r="AO386" s="185"/>
      <c r="AP386" s="185"/>
      <c r="AQ386" s="185"/>
      <c r="AR386" s="185"/>
      <c r="AS386" s="185"/>
      <c r="AT386" s="185"/>
      <c r="AU386" s="185"/>
      <c r="AV386" s="185"/>
      <c r="AW386" s="185"/>
      <c r="AX386" s="185"/>
      <c r="AY386" s="185"/>
      <c r="AZ386" s="185"/>
      <c r="BA386" s="185"/>
      <c r="BB386" s="185"/>
      <c r="BC386" s="185"/>
      <c r="BD386" s="185"/>
      <c r="BE386" s="185"/>
      <c r="BF386" s="185"/>
      <c r="BG386" s="185"/>
      <c r="BH386" s="185"/>
      <c r="BI386" s="185"/>
      <c r="BJ386" s="185"/>
      <c r="BK386" s="185"/>
      <c r="BL386" s="185"/>
      <c r="BM386" s="185"/>
      <c r="BN386" s="185"/>
      <c r="BO386" s="185"/>
      <c r="BP386" s="185"/>
      <c r="BQ386" s="185"/>
      <c r="BR386" s="185"/>
      <c r="BS386" s="185"/>
      <c r="BT386" s="185"/>
      <c r="BU386" s="185"/>
      <c r="BV386" s="185"/>
      <c r="BW386" s="185"/>
      <c r="BX386" s="185"/>
      <c r="BY386" s="185"/>
      <c r="BZ386" s="185"/>
      <c r="CA386" s="185"/>
      <c r="CB386" s="185"/>
      <c r="CC386" s="185"/>
      <c r="CD386" s="185"/>
      <c r="CE386" s="185"/>
      <c r="CF386" s="185"/>
      <c r="CG386" s="185"/>
      <c r="CH386" s="185"/>
      <c r="CI386" s="185"/>
      <c r="CJ386" s="185"/>
      <c r="CK386" s="185"/>
      <c r="CL386" s="185"/>
      <c r="CM386" s="185"/>
      <c r="CN386" s="185"/>
      <c r="CO386" s="185"/>
      <c r="CP386" s="185"/>
      <c r="CQ386" s="185"/>
      <c r="CR386" s="185"/>
      <c r="CS386" s="185"/>
      <c r="CT386" s="185"/>
      <c r="CU386" s="185"/>
      <c r="CV386" s="185"/>
      <c r="CW386" s="185"/>
      <c r="CX386" s="185"/>
      <c r="CY386" s="185"/>
      <c r="CZ386" s="185"/>
      <c r="DA386" s="185"/>
      <c r="DB386" s="185"/>
      <c r="DC386" s="185"/>
      <c r="DD386" s="185"/>
      <c r="DE386" s="185"/>
      <c r="DF386" s="185"/>
      <c r="DG386" s="185"/>
      <c r="DH386" s="185"/>
      <c r="DI386" s="185"/>
      <c r="DJ386" s="185"/>
      <c r="DK386" s="185"/>
      <c r="DL386" s="185"/>
      <c r="DM386" s="185"/>
      <c r="DN386" s="185"/>
      <c r="DO386" s="229"/>
    </row>
    <row r="387" spans="1:119" x14ac:dyDescent="0.2">
      <c r="A387" s="185"/>
      <c r="B387" s="185"/>
      <c r="C387" s="185"/>
      <c r="D387" s="185"/>
      <c r="E387" s="187"/>
      <c r="F387" s="185"/>
      <c r="G387" s="185"/>
      <c r="H387" s="187"/>
      <c r="I387" s="185"/>
      <c r="J387" s="185"/>
      <c r="K387" s="185"/>
      <c r="L387" s="185"/>
      <c r="M387" s="185"/>
      <c r="N387" s="185"/>
      <c r="O387" s="185"/>
      <c r="P387" s="185"/>
      <c r="Q387" s="185"/>
      <c r="R387" s="185"/>
      <c r="S387" s="185"/>
      <c r="T387" s="185"/>
      <c r="U387" s="185"/>
      <c r="V387" s="185"/>
      <c r="W387" s="185"/>
      <c r="X387" s="186"/>
      <c r="Y387" s="186"/>
      <c r="Z387" s="186"/>
      <c r="AA387" s="186"/>
      <c r="AB387" s="186"/>
      <c r="AC387" s="186"/>
      <c r="AD387" s="186"/>
      <c r="AE387" s="185"/>
      <c r="AF387" s="189"/>
      <c r="AG387" s="189"/>
      <c r="AH387" s="189"/>
      <c r="AI387" s="185"/>
      <c r="AJ387" s="185"/>
      <c r="AK387" s="185"/>
      <c r="AL387" s="185"/>
      <c r="AM387" s="185"/>
      <c r="AN387" s="185"/>
      <c r="AO387" s="185"/>
      <c r="AP387" s="185"/>
      <c r="AQ387" s="185"/>
      <c r="AR387" s="185"/>
      <c r="AS387" s="185"/>
      <c r="AT387" s="185"/>
      <c r="AU387" s="185"/>
      <c r="AV387" s="185"/>
      <c r="AW387" s="185"/>
      <c r="AX387" s="185"/>
      <c r="AY387" s="185"/>
      <c r="AZ387" s="185"/>
      <c r="BA387" s="185"/>
      <c r="BB387" s="185"/>
      <c r="BC387" s="185"/>
      <c r="BD387" s="185"/>
      <c r="BE387" s="185"/>
      <c r="BF387" s="185"/>
      <c r="BG387" s="185"/>
      <c r="BH387" s="185"/>
      <c r="BI387" s="185"/>
      <c r="BJ387" s="185"/>
      <c r="BK387" s="185"/>
      <c r="BL387" s="185"/>
      <c r="BM387" s="185"/>
      <c r="BN387" s="185"/>
      <c r="BO387" s="185"/>
      <c r="BP387" s="185"/>
      <c r="BQ387" s="185"/>
      <c r="BR387" s="185"/>
      <c r="BS387" s="185"/>
      <c r="BT387" s="185"/>
      <c r="BU387" s="185"/>
      <c r="BV387" s="185"/>
      <c r="BW387" s="185"/>
      <c r="BX387" s="185"/>
      <c r="BY387" s="185"/>
      <c r="BZ387" s="185"/>
      <c r="CA387" s="185"/>
      <c r="CB387" s="185"/>
      <c r="CC387" s="185"/>
      <c r="CD387" s="185"/>
      <c r="CE387" s="185"/>
      <c r="CF387" s="185"/>
      <c r="CG387" s="185"/>
      <c r="CH387" s="185"/>
      <c r="CI387" s="185"/>
      <c r="CJ387" s="185"/>
      <c r="CK387" s="185"/>
      <c r="CL387" s="185"/>
      <c r="CM387" s="185"/>
      <c r="CN387" s="185"/>
      <c r="CO387" s="185"/>
      <c r="CP387" s="185"/>
      <c r="CQ387" s="185"/>
      <c r="CR387" s="185"/>
      <c r="CS387" s="185"/>
      <c r="CT387" s="185"/>
      <c r="CU387" s="185"/>
      <c r="CV387" s="185"/>
      <c r="CW387" s="185"/>
      <c r="CX387" s="185"/>
      <c r="CY387" s="185"/>
      <c r="CZ387" s="185"/>
      <c r="DA387" s="185"/>
      <c r="DB387" s="185"/>
      <c r="DC387" s="185"/>
      <c r="DD387" s="185"/>
      <c r="DE387" s="185"/>
      <c r="DF387" s="185"/>
      <c r="DG387" s="185"/>
      <c r="DH387" s="185"/>
      <c r="DI387" s="185"/>
      <c r="DJ387" s="185"/>
      <c r="DK387" s="185"/>
      <c r="DL387" s="185"/>
      <c r="DM387" s="185"/>
      <c r="DN387" s="185"/>
      <c r="DO387" s="229"/>
    </row>
    <row r="388" spans="1:119" x14ac:dyDescent="0.2">
      <c r="A388" s="185"/>
      <c r="B388" s="185"/>
      <c r="C388" s="185"/>
      <c r="D388" s="185"/>
      <c r="E388" s="187"/>
      <c r="F388" s="185"/>
      <c r="G388" s="185"/>
      <c r="H388" s="187"/>
      <c r="I388" s="185"/>
      <c r="J388" s="185"/>
      <c r="K388" s="185"/>
      <c r="L388" s="185"/>
      <c r="M388" s="185"/>
      <c r="N388" s="185"/>
      <c r="O388" s="185"/>
      <c r="P388" s="185"/>
      <c r="Q388" s="185"/>
      <c r="R388" s="185"/>
      <c r="S388" s="185"/>
      <c r="T388" s="185"/>
      <c r="U388" s="185"/>
      <c r="V388" s="185"/>
      <c r="W388" s="185"/>
      <c r="X388" s="186"/>
      <c r="Y388" s="186"/>
      <c r="Z388" s="186"/>
      <c r="AA388" s="186"/>
      <c r="AB388" s="186"/>
      <c r="AC388" s="186"/>
      <c r="AD388" s="186"/>
      <c r="AE388" s="185"/>
      <c r="AF388" s="185"/>
      <c r="AG388" s="189"/>
      <c r="AH388" s="189"/>
      <c r="AI388" s="185"/>
      <c r="AJ388" s="185"/>
      <c r="AK388" s="185"/>
      <c r="AL388" s="185"/>
      <c r="AM388" s="185"/>
      <c r="AN388" s="185"/>
      <c r="AO388" s="185"/>
      <c r="AP388" s="185"/>
      <c r="AQ388" s="185"/>
      <c r="AR388" s="185"/>
      <c r="AS388" s="185"/>
      <c r="AT388" s="185"/>
      <c r="AU388" s="185"/>
      <c r="AV388" s="185"/>
      <c r="AW388" s="185"/>
      <c r="AX388" s="185"/>
      <c r="AY388" s="185"/>
      <c r="AZ388" s="185"/>
      <c r="BA388" s="185"/>
      <c r="BB388" s="185"/>
      <c r="BC388" s="185"/>
      <c r="BD388" s="185"/>
      <c r="BE388" s="185"/>
      <c r="BF388" s="185"/>
      <c r="BG388" s="185"/>
      <c r="BH388" s="185"/>
      <c r="BI388" s="185"/>
      <c r="BJ388" s="185"/>
      <c r="BK388" s="185"/>
      <c r="BL388" s="185"/>
      <c r="BM388" s="185"/>
      <c r="BN388" s="185"/>
      <c r="BO388" s="185"/>
      <c r="BP388" s="185"/>
      <c r="BQ388" s="185"/>
      <c r="BR388" s="185"/>
      <c r="BS388" s="185"/>
      <c r="BT388" s="185"/>
      <c r="BU388" s="185"/>
      <c r="BV388" s="185"/>
      <c r="BW388" s="185"/>
      <c r="BX388" s="185"/>
      <c r="BY388" s="185"/>
      <c r="BZ388" s="185"/>
      <c r="CA388" s="185"/>
      <c r="CB388" s="185"/>
      <c r="CC388" s="185"/>
      <c r="CD388" s="185"/>
      <c r="CE388" s="185"/>
      <c r="CF388" s="185"/>
      <c r="CG388" s="185"/>
      <c r="CH388" s="185"/>
      <c r="CI388" s="185"/>
      <c r="CJ388" s="185"/>
      <c r="CK388" s="185"/>
      <c r="CL388" s="185"/>
      <c r="CM388" s="185"/>
      <c r="CN388" s="185"/>
      <c r="CO388" s="185"/>
      <c r="CP388" s="185"/>
      <c r="CQ388" s="185"/>
      <c r="CR388" s="185"/>
      <c r="CS388" s="185"/>
      <c r="CT388" s="185"/>
      <c r="CU388" s="185"/>
      <c r="CV388" s="185"/>
      <c r="CW388" s="185"/>
      <c r="CX388" s="185"/>
      <c r="CY388" s="185"/>
      <c r="CZ388" s="185"/>
      <c r="DA388" s="185"/>
      <c r="DB388" s="185"/>
      <c r="DC388" s="185"/>
      <c r="DD388" s="185"/>
      <c r="DE388" s="185"/>
      <c r="DF388" s="185"/>
      <c r="DG388" s="185"/>
      <c r="DH388" s="185"/>
      <c r="DI388" s="185"/>
      <c r="DJ388" s="185"/>
      <c r="DK388" s="185"/>
      <c r="DL388" s="185"/>
      <c r="DM388" s="185"/>
      <c r="DN388" s="185"/>
      <c r="DO388" s="229"/>
    </row>
    <row r="389" spans="1:119" x14ac:dyDescent="0.2">
      <c r="A389" s="185"/>
      <c r="B389" s="185"/>
      <c r="C389" s="185"/>
      <c r="D389" s="185"/>
      <c r="E389" s="187"/>
      <c r="F389" s="185"/>
      <c r="G389" s="185"/>
      <c r="H389" s="187"/>
      <c r="I389" s="185"/>
      <c r="J389" s="185"/>
      <c r="K389" s="185"/>
      <c r="L389" s="185"/>
      <c r="M389" s="185"/>
      <c r="N389" s="185"/>
      <c r="O389" s="185"/>
      <c r="P389" s="185"/>
      <c r="Q389" s="185"/>
      <c r="R389" s="185"/>
      <c r="S389" s="185"/>
      <c r="T389" s="185"/>
      <c r="U389" s="185"/>
      <c r="V389" s="185"/>
      <c r="W389" s="185"/>
      <c r="X389" s="186"/>
      <c r="Y389" s="186"/>
      <c r="Z389" s="186"/>
      <c r="AA389" s="186"/>
      <c r="AB389" s="186"/>
      <c r="AC389" s="186"/>
      <c r="AD389" s="186"/>
      <c r="AE389" s="185"/>
      <c r="AF389" s="185"/>
      <c r="AG389" s="189"/>
      <c r="AH389" s="189"/>
      <c r="AI389" s="185"/>
      <c r="AJ389" s="185"/>
      <c r="AK389" s="185"/>
      <c r="AL389" s="185"/>
      <c r="AM389" s="185"/>
      <c r="AN389" s="185"/>
      <c r="AO389" s="185"/>
      <c r="AP389" s="185"/>
      <c r="AQ389" s="185"/>
      <c r="AR389" s="185"/>
      <c r="AS389" s="185"/>
      <c r="AT389" s="185"/>
      <c r="AU389" s="185"/>
      <c r="AV389" s="185"/>
      <c r="AW389" s="185"/>
      <c r="AX389" s="185"/>
      <c r="AY389" s="185"/>
      <c r="AZ389" s="185"/>
      <c r="BA389" s="185"/>
      <c r="BB389" s="185"/>
      <c r="BC389" s="185"/>
      <c r="BD389" s="185"/>
      <c r="BE389" s="185"/>
      <c r="BF389" s="185"/>
      <c r="BG389" s="185"/>
      <c r="BH389" s="185"/>
      <c r="BI389" s="185"/>
      <c r="BJ389" s="185"/>
      <c r="BK389" s="185"/>
      <c r="BL389" s="185"/>
      <c r="BM389" s="185"/>
      <c r="BN389" s="185"/>
      <c r="BO389" s="185"/>
      <c r="BP389" s="185"/>
      <c r="BQ389" s="185"/>
      <c r="BR389" s="185"/>
      <c r="BS389" s="185"/>
      <c r="BT389" s="185"/>
      <c r="BU389" s="185"/>
      <c r="BV389" s="185"/>
      <c r="BW389" s="185"/>
      <c r="BX389" s="185"/>
      <c r="BY389" s="185"/>
      <c r="BZ389" s="185"/>
      <c r="CA389" s="185"/>
      <c r="CB389" s="185"/>
      <c r="CC389" s="185"/>
      <c r="CD389" s="185"/>
      <c r="CE389" s="185"/>
      <c r="CF389" s="185"/>
      <c r="CG389" s="185"/>
      <c r="CH389" s="185"/>
      <c r="CI389" s="185"/>
      <c r="CJ389" s="185"/>
      <c r="CK389" s="185"/>
      <c r="CL389" s="185"/>
      <c r="CM389" s="185"/>
      <c r="CN389" s="185"/>
      <c r="CO389" s="185"/>
      <c r="CP389" s="185"/>
      <c r="CQ389" s="185"/>
      <c r="CR389" s="185"/>
      <c r="CS389" s="185"/>
      <c r="CT389" s="185"/>
      <c r="CU389" s="185"/>
      <c r="CV389" s="185"/>
      <c r="CW389" s="185"/>
      <c r="CX389" s="185"/>
      <c r="CY389" s="185"/>
      <c r="CZ389" s="185"/>
      <c r="DA389" s="185"/>
      <c r="DB389" s="185"/>
      <c r="DC389" s="185"/>
      <c r="DD389" s="185"/>
      <c r="DE389" s="185"/>
      <c r="DF389" s="185"/>
      <c r="DG389" s="185"/>
      <c r="DH389" s="185"/>
      <c r="DI389" s="185"/>
      <c r="DJ389" s="185"/>
      <c r="DK389" s="185"/>
      <c r="DL389" s="185"/>
      <c r="DM389" s="185"/>
      <c r="DN389" s="185"/>
      <c r="DO389" s="229"/>
    </row>
    <row r="390" spans="1:119" x14ac:dyDescent="0.2">
      <c r="A390" s="185"/>
      <c r="B390" s="185"/>
      <c r="C390" s="185"/>
      <c r="D390" s="185"/>
      <c r="E390" s="187"/>
      <c r="F390" s="185"/>
      <c r="G390" s="185"/>
      <c r="H390" s="187"/>
      <c r="I390" s="185"/>
      <c r="J390" s="185"/>
      <c r="K390" s="185"/>
      <c r="L390" s="185"/>
      <c r="M390" s="185"/>
      <c r="N390" s="185"/>
      <c r="O390" s="185"/>
      <c r="P390" s="185"/>
      <c r="Q390" s="185"/>
      <c r="R390" s="185"/>
      <c r="S390" s="185"/>
      <c r="T390" s="185"/>
      <c r="U390" s="185"/>
      <c r="V390" s="185"/>
      <c r="W390" s="185"/>
      <c r="X390" s="186"/>
      <c r="Y390" s="186"/>
      <c r="Z390" s="186"/>
      <c r="AA390" s="186"/>
      <c r="AB390" s="186"/>
      <c r="AC390" s="186"/>
      <c r="AD390" s="186"/>
      <c r="AE390" s="185"/>
      <c r="AF390" s="190"/>
      <c r="AG390" s="190"/>
      <c r="AH390" s="190"/>
      <c r="AI390" s="185"/>
      <c r="AJ390" s="185"/>
      <c r="AK390" s="185"/>
      <c r="AL390" s="185"/>
      <c r="AM390" s="185"/>
      <c r="AN390" s="185"/>
      <c r="AO390" s="185"/>
      <c r="AP390" s="185"/>
      <c r="AQ390" s="185"/>
      <c r="AR390" s="185"/>
      <c r="AS390" s="185"/>
      <c r="AT390" s="185"/>
      <c r="AU390" s="185"/>
      <c r="AV390" s="185"/>
      <c r="AW390" s="185"/>
      <c r="AX390" s="185"/>
      <c r="AY390" s="185"/>
      <c r="AZ390" s="185"/>
      <c r="BA390" s="185"/>
      <c r="BB390" s="185"/>
      <c r="BC390" s="185"/>
      <c r="BD390" s="185"/>
      <c r="BE390" s="185"/>
      <c r="BF390" s="185"/>
      <c r="BG390" s="185"/>
      <c r="BH390" s="185"/>
      <c r="BI390" s="185"/>
      <c r="BJ390" s="185"/>
      <c r="BK390" s="185"/>
      <c r="BL390" s="185"/>
      <c r="BM390" s="185"/>
      <c r="BN390" s="185"/>
      <c r="BO390" s="185"/>
      <c r="BP390" s="185"/>
      <c r="BQ390" s="185"/>
      <c r="BR390" s="185"/>
      <c r="BS390" s="185"/>
      <c r="BT390" s="185"/>
      <c r="BU390" s="185"/>
      <c r="BV390" s="185"/>
      <c r="BW390" s="185"/>
      <c r="BX390" s="185"/>
      <c r="BY390" s="185"/>
      <c r="BZ390" s="185"/>
      <c r="CA390" s="185"/>
      <c r="CB390" s="185"/>
      <c r="CC390" s="185"/>
      <c r="CD390" s="185"/>
      <c r="CE390" s="185"/>
      <c r="CF390" s="185"/>
      <c r="CG390" s="185"/>
      <c r="CH390" s="185"/>
      <c r="CI390" s="185"/>
      <c r="CJ390" s="185"/>
      <c r="CK390" s="185"/>
      <c r="CL390" s="185"/>
      <c r="CM390" s="185"/>
      <c r="CN390" s="185"/>
      <c r="CO390" s="185"/>
      <c r="CP390" s="185"/>
      <c r="CQ390" s="185"/>
      <c r="CR390" s="185"/>
      <c r="CS390" s="185"/>
      <c r="CT390" s="185"/>
      <c r="CU390" s="185"/>
      <c r="CV390" s="185"/>
      <c r="CW390" s="185"/>
      <c r="CX390" s="185"/>
      <c r="CY390" s="185"/>
      <c r="CZ390" s="185"/>
      <c r="DA390" s="185"/>
      <c r="DB390" s="185"/>
      <c r="DC390" s="185"/>
      <c r="DD390" s="185"/>
      <c r="DE390" s="185"/>
      <c r="DF390" s="185"/>
      <c r="DG390" s="185"/>
      <c r="DH390" s="185"/>
      <c r="DI390" s="185"/>
      <c r="DJ390" s="185"/>
      <c r="DK390" s="185"/>
      <c r="DL390" s="185"/>
      <c r="DM390" s="185"/>
      <c r="DN390" s="185"/>
      <c r="DO390" s="229"/>
    </row>
    <row r="391" spans="1:119" x14ac:dyDescent="0.2">
      <c r="A391" s="185"/>
      <c r="B391" s="185"/>
      <c r="C391" s="185"/>
      <c r="D391" s="185"/>
      <c r="E391" s="187"/>
      <c r="F391" s="185"/>
      <c r="G391" s="185"/>
      <c r="H391" s="187"/>
      <c r="I391" s="185"/>
      <c r="J391" s="185"/>
      <c r="K391" s="185"/>
      <c r="L391" s="185"/>
      <c r="M391" s="185"/>
      <c r="N391" s="185"/>
      <c r="O391" s="185"/>
      <c r="P391" s="185"/>
      <c r="Q391" s="185"/>
      <c r="R391" s="185"/>
      <c r="S391" s="185"/>
      <c r="T391" s="185"/>
      <c r="U391" s="185"/>
      <c r="V391" s="185"/>
      <c r="W391" s="185"/>
      <c r="X391" s="186"/>
      <c r="Y391" s="186"/>
      <c r="Z391" s="186"/>
      <c r="AA391" s="186"/>
      <c r="AB391" s="186"/>
      <c r="AC391" s="186"/>
      <c r="AD391" s="186"/>
      <c r="AE391" s="185"/>
      <c r="AF391" s="191"/>
      <c r="AG391" s="191"/>
      <c r="AH391" s="191"/>
      <c r="AI391" s="185"/>
      <c r="AJ391" s="185"/>
      <c r="AK391" s="185"/>
      <c r="AL391" s="185"/>
      <c r="AM391" s="185"/>
      <c r="AN391" s="185"/>
      <c r="AO391" s="185"/>
      <c r="AP391" s="185"/>
      <c r="AQ391" s="185"/>
      <c r="AR391" s="185"/>
      <c r="AS391" s="185"/>
      <c r="AT391" s="185"/>
      <c r="AU391" s="185"/>
      <c r="AV391" s="185"/>
      <c r="AW391" s="185"/>
      <c r="AX391" s="185"/>
      <c r="AY391" s="185"/>
      <c r="AZ391" s="185"/>
      <c r="BA391" s="185"/>
      <c r="BB391" s="185"/>
      <c r="BC391" s="185"/>
      <c r="BD391" s="185"/>
      <c r="BE391" s="185"/>
      <c r="BF391" s="185"/>
      <c r="BG391" s="185"/>
      <c r="BH391" s="185"/>
      <c r="BI391" s="185"/>
      <c r="BJ391" s="185"/>
      <c r="BK391" s="185"/>
      <c r="BL391" s="185"/>
      <c r="BM391" s="185"/>
      <c r="BN391" s="185"/>
      <c r="BO391" s="185"/>
      <c r="BP391" s="185"/>
      <c r="BQ391" s="185"/>
      <c r="BR391" s="185"/>
      <c r="BS391" s="185"/>
      <c r="BT391" s="185"/>
      <c r="BU391" s="185"/>
      <c r="BV391" s="185"/>
      <c r="BW391" s="185"/>
      <c r="BX391" s="185"/>
      <c r="BY391" s="185"/>
      <c r="BZ391" s="185"/>
      <c r="CA391" s="185"/>
      <c r="CB391" s="185"/>
      <c r="CC391" s="185"/>
      <c r="CD391" s="185"/>
      <c r="CE391" s="185"/>
      <c r="CF391" s="185"/>
      <c r="CG391" s="185"/>
      <c r="CH391" s="185"/>
      <c r="CI391" s="185"/>
      <c r="CJ391" s="185"/>
      <c r="CK391" s="185"/>
      <c r="CL391" s="185"/>
      <c r="CM391" s="185"/>
      <c r="CN391" s="185"/>
      <c r="CO391" s="185"/>
      <c r="CP391" s="185"/>
      <c r="CQ391" s="185"/>
      <c r="CR391" s="185"/>
      <c r="CS391" s="185"/>
      <c r="CT391" s="185"/>
      <c r="CU391" s="185"/>
      <c r="CV391" s="185"/>
      <c r="CW391" s="185"/>
      <c r="CX391" s="185"/>
      <c r="CY391" s="185"/>
      <c r="CZ391" s="185"/>
      <c r="DA391" s="185"/>
      <c r="DB391" s="185"/>
      <c r="DC391" s="185"/>
      <c r="DD391" s="185"/>
      <c r="DE391" s="185"/>
      <c r="DF391" s="185"/>
      <c r="DG391" s="185"/>
      <c r="DH391" s="185"/>
      <c r="DI391" s="185"/>
      <c r="DJ391" s="185"/>
      <c r="DK391" s="185"/>
      <c r="DL391" s="185"/>
      <c r="DM391" s="185"/>
      <c r="DN391" s="185"/>
      <c r="DO391" s="229"/>
    </row>
    <row r="392" spans="1:119" x14ac:dyDescent="0.2">
      <c r="A392" s="185"/>
      <c r="B392" s="185"/>
      <c r="C392" s="185"/>
      <c r="D392" s="185"/>
      <c r="E392" s="187"/>
      <c r="F392" s="185"/>
      <c r="G392" s="185"/>
      <c r="H392" s="187"/>
      <c r="I392" s="185"/>
      <c r="J392" s="185"/>
      <c r="K392" s="185"/>
      <c r="L392" s="185"/>
      <c r="M392" s="185"/>
      <c r="N392" s="185"/>
      <c r="O392" s="185"/>
      <c r="P392" s="185"/>
      <c r="Q392" s="185"/>
      <c r="R392" s="185"/>
      <c r="S392" s="185"/>
      <c r="T392" s="185"/>
      <c r="U392" s="185"/>
      <c r="V392" s="185"/>
      <c r="W392" s="185"/>
      <c r="X392" s="186"/>
      <c r="Y392" s="186"/>
      <c r="Z392" s="186"/>
      <c r="AA392" s="186"/>
      <c r="AB392" s="186"/>
      <c r="AC392" s="186"/>
      <c r="AD392" s="186"/>
      <c r="AE392" s="205"/>
      <c r="AF392" s="189"/>
      <c r="AG392" s="189"/>
      <c r="AH392" s="189"/>
      <c r="AI392" s="185"/>
      <c r="AJ392" s="185"/>
      <c r="AK392" s="185"/>
      <c r="AL392" s="185"/>
      <c r="AM392" s="185"/>
      <c r="AN392" s="185"/>
      <c r="AO392" s="185"/>
      <c r="AP392" s="185"/>
      <c r="AQ392" s="185"/>
      <c r="AR392" s="185"/>
      <c r="AS392" s="185"/>
      <c r="AT392" s="185"/>
      <c r="AU392" s="185"/>
      <c r="AV392" s="185"/>
      <c r="AW392" s="185"/>
      <c r="AX392" s="185"/>
      <c r="AY392" s="185"/>
      <c r="AZ392" s="185"/>
      <c r="BA392" s="185"/>
      <c r="BB392" s="185"/>
      <c r="BC392" s="185"/>
      <c r="BD392" s="185"/>
      <c r="BE392" s="185"/>
      <c r="BF392" s="185"/>
      <c r="BG392" s="185"/>
      <c r="BH392" s="185"/>
      <c r="BI392" s="185"/>
      <c r="BJ392" s="185"/>
      <c r="BK392" s="185"/>
      <c r="BL392" s="185"/>
      <c r="BM392" s="185"/>
      <c r="BN392" s="185"/>
      <c r="BO392" s="185"/>
      <c r="BP392" s="185"/>
      <c r="BQ392" s="185"/>
      <c r="BR392" s="185"/>
      <c r="BS392" s="185"/>
      <c r="BT392" s="185"/>
      <c r="BU392" s="185"/>
      <c r="BV392" s="185"/>
      <c r="BW392" s="185"/>
      <c r="BX392" s="185"/>
      <c r="BY392" s="185"/>
      <c r="BZ392" s="185"/>
      <c r="CA392" s="185"/>
      <c r="CB392" s="185"/>
      <c r="CC392" s="185"/>
      <c r="CD392" s="185"/>
      <c r="CE392" s="185"/>
      <c r="CF392" s="185"/>
      <c r="CG392" s="185"/>
      <c r="CH392" s="185"/>
      <c r="CI392" s="185"/>
      <c r="CJ392" s="185"/>
      <c r="CK392" s="185"/>
      <c r="CL392" s="185"/>
      <c r="CM392" s="185"/>
      <c r="CN392" s="185"/>
      <c r="CO392" s="185"/>
      <c r="CP392" s="185"/>
      <c r="CQ392" s="185"/>
      <c r="CR392" s="185"/>
      <c r="CS392" s="185"/>
      <c r="CT392" s="185"/>
      <c r="CU392" s="185"/>
      <c r="CV392" s="185"/>
      <c r="CW392" s="185"/>
      <c r="CX392" s="185"/>
      <c r="CY392" s="185"/>
      <c r="CZ392" s="185"/>
      <c r="DA392" s="185"/>
      <c r="DB392" s="185"/>
      <c r="DC392" s="185"/>
      <c r="DD392" s="185"/>
      <c r="DE392" s="185"/>
      <c r="DF392" s="185"/>
      <c r="DG392" s="185"/>
      <c r="DH392" s="185"/>
      <c r="DI392" s="185"/>
      <c r="DJ392" s="185"/>
      <c r="DK392" s="185"/>
      <c r="DL392" s="185"/>
      <c r="DM392" s="185"/>
      <c r="DN392" s="185"/>
      <c r="DO392" s="229"/>
    </row>
    <row r="393" spans="1:119" x14ac:dyDescent="0.2">
      <c r="A393" s="185"/>
      <c r="B393" s="185"/>
      <c r="C393" s="185"/>
      <c r="D393" s="185"/>
      <c r="E393" s="187"/>
      <c r="F393" s="185"/>
      <c r="G393" s="185"/>
      <c r="H393" s="187"/>
      <c r="I393" s="185"/>
      <c r="J393" s="185"/>
      <c r="K393" s="185"/>
      <c r="L393" s="185"/>
      <c r="M393" s="185"/>
      <c r="N393" s="185"/>
      <c r="O393" s="185"/>
      <c r="P393" s="185"/>
      <c r="Q393" s="185"/>
      <c r="R393" s="185"/>
      <c r="S393" s="185"/>
      <c r="T393" s="185"/>
      <c r="U393" s="185"/>
      <c r="V393" s="185"/>
      <c r="W393" s="185"/>
      <c r="X393" s="186"/>
      <c r="Y393" s="186"/>
      <c r="Z393" s="186"/>
      <c r="AA393" s="186"/>
      <c r="AB393" s="186"/>
      <c r="AC393" s="186"/>
      <c r="AD393" s="186"/>
      <c r="AE393" s="205"/>
      <c r="AF393" s="189"/>
      <c r="AG393" s="189"/>
      <c r="AH393" s="189"/>
      <c r="AI393" s="185"/>
      <c r="AJ393" s="185"/>
      <c r="AK393" s="185"/>
      <c r="AL393" s="185"/>
      <c r="AM393" s="185"/>
      <c r="AN393" s="185"/>
      <c r="AO393" s="185"/>
      <c r="AP393" s="185"/>
      <c r="AQ393" s="185"/>
      <c r="AR393" s="185"/>
      <c r="AS393" s="185"/>
      <c r="AT393" s="185"/>
      <c r="AU393" s="185"/>
      <c r="AV393" s="185"/>
      <c r="AW393" s="185"/>
      <c r="AX393" s="185"/>
      <c r="AY393" s="185"/>
      <c r="AZ393" s="185"/>
      <c r="BA393" s="185"/>
      <c r="BB393" s="185"/>
      <c r="BC393" s="185"/>
      <c r="BD393" s="185"/>
      <c r="BE393" s="185"/>
      <c r="BF393" s="185"/>
      <c r="BG393" s="185"/>
      <c r="BH393" s="185"/>
      <c r="BI393" s="185"/>
      <c r="BJ393" s="185"/>
      <c r="BK393" s="185"/>
      <c r="BL393" s="185"/>
      <c r="BM393" s="185"/>
      <c r="BN393" s="185"/>
      <c r="BO393" s="185"/>
      <c r="BP393" s="185"/>
      <c r="BQ393" s="185"/>
      <c r="BR393" s="185"/>
      <c r="BS393" s="185"/>
      <c r="BT393" s="185"/>
      <c r="BU393" s="185"/>
      <c r="BV393" s="185"/>
      <c r="BW393" s="185"/>
      <c r="BX393" s="185"/>
      <c r="BY393" s="185"/>
      <c r="BZ393" s="185"/>
      <c r="CA393" s="185"/>
      <c r="CB393" s="185"/>
      <c r="CC393" s="185"/>
      <c r="CD393" s="185"/>
      <c r="CE393" s="185"/>
      <c r="CF393" s="185"/>
      <c r="CG393" s="185"/>
      <c r="CH393" s="185"/>
      <c r="CI393" s="185"/>
      <c r="CJ393" s="185"/>
      <c r="CK393" s="185"/>
      <c r="CL393" s="185"/>
      <c r="CM393" s="185"/>
      <c r="CN393" s="185"/>
      <c r="CO393" s="185"/>
      <c r="CP393" s="185"/>
      <c r="CQ393" s="185"/>
      <c r="CR393" s="185"/>
      <c r="CS393" s="185"/>
      <c r="CT393" s="185"/>
      <c r="CU393" s="185"/>
      <c r="CV393" s="185"/>
      <c r="CW393" s="185"/>
      <c r="CX393" s="185"/>
      <c r="CY393" s="185"/>
      <c r="CZ393" s="185"/>
      <c r="DA393" s="185"/>
      <c r="DB393" s="185"/>
      <c r="DC393" s="185"/>
      <c r="DD393" s="185"/>
      <c r="DE393" s="185"/>
      <c r="DF393" s="185"/>
      <c r="DG393" s="185"/>
      <c r="DH393" s="185"/>
      <c r="DI393" s="185"/>
      <c r="DJ393" s="185"/>
      <c r="DK393" s="185"/>
      <c r="DL393" s="185"/>
      <c r="DM393" s="185"/>
      <c r="DN393" s="185"/>
      <c r="DO393" s="229"/>
    </row>
    <row r="394" spans="1:119" x14ac:dyDescent="0.2">
      <c r="A394" s="185"/>
      <c r="B394" s="185"/>
      <c r="C394" s="185"/>
      <c r="D394" s="185"/>
      <c r="E394" s="187"/>
      <c r="F394" s="185"/>
      <c r="G394" s="185"/>
      <c r="H394" s="187"/>
      <c r="I394" s="185"/>
      <c r="J394" s="185"/>
      <c r="K394" s="185"/>
      <c r="L394" s="185"/>
      <c r="M394" s="185"/>
      <c r="N394" s="185"/>
      <c r="O394" s="185"/>
      <c r="P394" s="185"/>
      <c r="Q394" s="185"/>
      <c r="R394" s="185"/>
      <c r="S394" s="185"/>
      <c r="T394" s="185"/>
      <c r="U394" s="185"/>
      <c r="V394" s="185"/>
      <c r="W394" s="185"/>
      <c r="X394" s="186"/>
      <c r="Y394" s="186"/>
      <c r="Z394" s="186"/>
      <c r="AA394" s="186"/>
      <c r="AB394" s="186"/>
      <c r="AC394" s="186"/>
      <c r="AD394" s="186"/>
      <c r="AE394" s="185"/>
      <c r="AF394" s="185"/>
      <c r="AG394" s="185"/>
      <c r="AH394" s="185"/>
      <c r="AI394" s="185"/>
      <c r="AJ394" s="185"/>
      <c r="AK394" s="185"/>
      <c r="AL394" s="185"/>
      <c r="AM394" s="185"/>
      <c r="AN394" s="185"/>
      <c r="AO394" s="185"/>
      <c r="AP394" s="185"/>
      <c r="AQ394" s="185"/>
      <c r="AR394" s="185"/>
      <c r="AS394" s="185"/>
      <c r="AT394" s="185"/>
      <c r="AU394" s="185"/>
      <c r="AV394" s="185"/>
      <c r="AW394" s="185"/>
      <c r="AX394" s="185"/>
      <c r="AY394" s="185"/>
      <c r="AZ394" s="185"/>
      <c r="BA394" s="185"/>
      <c r="BB394" s="185"/>
      <c r="BC394" s="185"/>
      <c r="BD394" s="185"/>
      <c r="BE394" s="185"/>
      <c r="BF394" s="185"/>
      <c r="BG394" s="185"/>
      <c r="BH394" s="185"/>
      <c r="BI394" s="185"/>
      <c r="BJ394" s="185"/>
      <c r="BK394" s="185"/>
      <c r="BL394" s="185"/>
      <c r="BM394" s="185"/>
      <c r="BN394" s="185"/>
      <c r="BO394" s="185"/>
      <c r="BP394" s="185"/>
      <c r="BQ394" s="185"/>
      <c r="BR394" s="185"/>
      <c r="BS394" s="185"/>
      <c r="BT394" s="185"/>
      <c r="BU394" s="185"/>
      <c r="BV394" s="185"/>
      <c r="BW394" s="185"/>
      <c r="BX394" s="185"/>
      <c r="BY394" s="185"/>
      <c r="BZ394" s="185"/>
      <c r="CA394" s="185"/>
      <c r="CB394" s="185"/>
      <c r="CC394" s="185"/>
      <c r="CD394" s="185"/>
      <c r="CE394" s="185"/>
      <c r="CF394" s="185"/>
      <c r="CG394" s="185"/>
      <c r="CH394" s="185"/>
      <c r="CI394" s="185"/>
      <c r="CJ394" s="185"/>
      <c r="CK394" s="185"/>
      <c r="CL394" s="185"/>
      <c r="CM394" s="185"/>
      <c r="CN394" s="185"/>
      <c r="CO394" s="185"/>
      <c r="CP394" s="185"/>
      <c r="CQ394" s="185"/>
      <c r="CR394" s="185"/>
      <c r="CS394" s="185"/>
      <c r="CT394" s="185"/>
      <c r="CU394" s="185"/>
      <c r="CV394" s="185"/>
      <c r="CW394" s="185"/>
      <c r="CX394" s="185"/>
      <c r="CY394" s="185"/>
      <c r="CZ394" s="185"/>
      <c r="DA394" s="185"/>
      <c r="DB394" s="185"/>
      <c r="DC394" s="185"/>
      <c r="DD394" s="185"/>
      <c r="DE394" s="185"/>
      <c r="DF394" s="185"/>
      <c r="DG394" s="185"/>
      <c r="DH394" s="185"/>
      <c r="DI394" s="185"/>
      <c r="DJ394" s="185"/>
      <c r="DK394" s="185"/>
      <c r="DL394" s="185"/>
      <c r="DM394" s="185"/>
      <c r="DN394" s="185"/>
      <c r="DO394" s="229"/>
    </row>
    <row r="395" spans="1:119" x14ac:dyDescent="0.2">
      <c r="A395" s="185"/>
      <c r="B395" s="185"/>
      <c r="C395" s="185"/>
      <c r="D395" s="185"/>
      <c r="E395" s="187"/>
      <c r="F395" s="185"/>
      <c r="G395" s="185"/>
      <c r="H395" s="187"/>
      <c r="I395" s="185"/>
      <c r="J395" s="185"/>
      <c r="K395" s="185"/>
      <c r="L395" s="185"/>
      <c r="M395" s="185"/>
      <c r="N395" s="185"/>
      <c r="O395" s="185"/>
      <c r="P395" s="185"/>
      <c r="Q395" s="185"/>
      <c r="R395" s="185"/>
      <c r="S395" s="185"/>
      <c r="T395" s="185"/>
      <c r="U395" s="185"/>
      <c r="V395" s="185"/>
      <c r="W395" s="185"/>
      <c r="X395" s="186"/>
      <c r="Y395" s="186"/>
      <c r="Z395" s="186"/>
      <c r="AA395" s="186"/>
      <c r="AB395" s="186"/>
      <c r="AC395" s="186"/>
      <c r="AD395" s="186"/>
      <c r="AE395" s="185"/>
      <c r="AF395" s="185"/>
      <c r="AG395" s="185"/>
      <c r="AH395" s="185"/>
      <c r="AI395" s="185"/>
      <c r="AJ395" s="185"/>
      <c r="AK395" s="185"/>
      <c r="AL395" s="185"/>
      <c r="AM395" s="185"/>
      <c r="AN395" s="185"/>
      <c r="AO395" s="185"/>
      <c r="AP395" s="185"/>
      <c r="AQ395" s="185"/>
      <c r="AR395" s="185"/>
      <c r="AS395" s="185"/>
      <c r="AT395" s="185"/>
      <c r="AU395" s="185"/>
      <c r="AV395" s="185"/>
      <c r="AW395" s="185"/>
      <c r="AX395" s="185"/>
      <c r="AY395" s="185"/>
      <c r="AZ395" s="185"/>
      <c r="BA395" s="185"/>
      <c r="BB395" s="185"/>
      <c r="BC395" s="185"/>
      <c r="BD395" s="185"/>
      <c r="BE395" s="185"/>
      <c r="BF395" s="185"/>
      <c r="BG395" s="185"/>
      <c r="BH395" s="185"/>
      <c r="BI395" s="185"/>
      <c r="BJ395" s="185"/>
      <c r="BK395" s="185"/>
      <c r="BL395" s="185"/>
      <c r="BM395" s="185"/>
      <c r="BN395" s="185"/>
      <c r="BO395" s="185"/>
      <c r="BP395" s="185"/>
      <c r="BQ395" s="185"/>
      <c r="BR395" s="185"/>
      <c r="BS395" s="185"/>
      <c r="BT395" s="185"/>
      <c r="BU395" s="185"/>
      <c r="BV395" s="185"/>
      <c r="BW395" s="185"/>
      <c r="BX395" s="185"/>
      <c r="BY395" s="185"/>
      <c r="BZ395" s="185"/>
      <c r="CA395" s="185"/>
      <c r="CB395" s="185"/>
      <c r="CC395" s="185"/>
      <c r="CD395" s="185"/>
      <c r="CE395" s="185"/>
      <c r="CF395" s="185"/>
      <c r="CG395" s="185"/>
      <c r="CH395" s="185"/>
      <c r="CI395" s="185"/>
      <c r="CJ395" s="185"/>
      <c r="CK395" s="185"/>
      <c r="CL395" s="185"/>
      <c r="CM395" s="185"/>
      <c r="CN395" s="185"/>
      <c r="CO395" s="185"/>
      <c r="CP395" s="185"/>
      <c r="CQ395" s="185"/>
      <c r="CR395" s="185"/>
      <c r="CS395" s="185"/>
      <c r="CT395" s="185"/>
      <c r="CU395" s="185"/>
      <c r="CV395" s="185"/>
      <c r="CW395" s="185"/>
      <c r="CX395" s="185"/>
      <c r="CY395" s="185"/>
      <c r="CZ395" s="185"/>
      <c r="DA395" s="185"/>
      <c r="DB395" s="185"/>
      <c r="DC395" s="185"/>
      <c r="DD395" s="185"/>
      <c r="DE395" s="185"/>
      <c r="DF395" s="185"/>
      <c r="DG395" s="185"/>
      <c r="DH395" s="185"/>
      <c r="DI395" s="185"/>
      <c r="DJ395" s="185"/>
      <c r="DK395" s="185"/>
      <c r="DL395" s="185"/>
      <c r="DM395" s="185"/>
      <c r="DN395" s="185"/>
      <c r="DO395" s="229"/>
    </row>
    <row r="396" spans="1:119" x14ac:dyDescent="0.2">
      <c r="A396" s="185"/>
      <c r="B396" s="185"/>
      <c r="C396" s="185"/>
      <c r="D396" s="185"/>
      <c r="E396" s="187"/>
      <c r="F396" s="185"/>
      <c r="G396" s="185"/>
      <c r="H396" s="187"/>
      <c r="I396" s="185"/>
      <c r="J396" s="185"/>
      <c r="K396" s="185"/>
      <c r="L396" s="185"/>
      <c r="M396" s="185"/>
      <c r="N396" s="185"/>
      <c r="O396" s="185"/>
      <c r="P396" s="185"/>
      <c r="Q396" s="185"/>
      <c r="R396" s="185"/>
      <c r="S396" s="185"/>
      <c r="T396" s="185"/>
      <c r="U396" s="185"/>
      <c r="V396" s="185"/>
      <c r="W396" s="185"/>
      <c r="X396" s="186"/>
      <c r="Y396" s="186"/>
      <c r="Z396" s="186"/>
      <c r="AA396" s="186"/>
      <c r="AB396" s="186"/>
      <c r="AC396" s="186"/>
      <c r="AD396" s="186"/>
      <c r="AE396" s="205"/>
      <c r="AF396" s="189"/>
      <c r="AG396" s="189"/>
      <c r="AH396" s="185"/>
      <c r="AI396" s="185"/>
      <c r="AJ396" s="185"/>
      <c r="AK396" s="185"/>
      <c r="AL396" s="185"/>
      <c r="AM396" s="185"/>
      <c r="AN396" s="185"/>
      <c r="AO396" s="185"/>
      <c r="AP396" s="185"/>
      <c r="AQ396" s="185"/>
      <c r="AR396" s="185"/>
      <c r="AS396" s="185"/>
      <c r="AT396" s="185"/>
      <c r="AU396" s="185"/>
      <c r="AV396" s="185"/>
      <c r="AW396" s="185"/>
      <c r="AX396" s="185"/>
      <c r="AY396" s="185"/>
      <c r="AZ396" s="185"/>
      <c r="BA396" s="185"/>
      <c r="BB396" s="185"/>
      <c r="BC396" s="185"/>
      <c r="BD396" s="185"/>
      <c r="BE396" s="185"/>
      <c r="BF396" s="185"/>
      <c r="BG396" s="185"/>
      <c r="BH396" s="185"/>
      <c r="BI396" s="185"/>
      <c r="BJ396" s="185"/>
      <c r="BK396" s="185"/>
      <c r="BL396" s="185"/>
      <c r="BM396" s="185"/>
      <c r="BN396" s="185"/>
      <c r="BO396" s="185"/>
      <c r="BP396" s="185"/>
      <c r="BQ396" s="185"/>
      <c r="BR396" s="185"/>
      <c r="BS396" s="185"/>
      <c r="BT396" s="185"/>
      <c r="BU396" s="185"/>
      <c r="BV396" s="185"/>
      <c r="BW396" s="185"/>
      <c r="BX396" s="185"/>
      <c r="BY396" s="185"/>
      <c r="BZ396" s="185"/>
      <c r="CA396" s="185"/>
      <c r="CB396" s="185"/>
      <c r="CC396" s="185"/>
      <c r="CD396" s="185"/>
      <c r="CE396" s="185"/>
      <c r="CF396" s="185"/>
      <c r="CG396" s="185"/>
      <c r="CH396" s="185"/>
      <c r="CI396" s="185"/>
      <c r="CJ396" s="185"/>
      <c r="CK396" s="185"/>
      <c r="CL396" s="185"/>
      <c r="CM396" s="185"/>
      <c r="CN396" s="185"/>
      <c r="CO396" s="185"/>
      <c r="CP396" s="185"/>
      <c r="CQ396" s="185"/>
      <c r="CR396" s="185"/>
      <c r="CS396" s="185"/>
      <c r="CT396" s="185"/>
      <c r="CU396" s="185"/>
      <c r="CV396" s="185"/>
      <c r="CW396" s="185"/>
      <c r="CX396" s="185"/>
      <c r="CY396" s="185"/>
      <c r="CZ396" s="185"/>
      <c r="DA396" s="185"/>
      <c r="DB396" s="185"/>
      <c r="DC396" s="185"/>
      <c r="DD396" s="185"/>
      <c r="DE396" s="185"/>
      <c r="DF396" s="185"/>
      <c r="DG396" s="185"/>
      <c r="DH396" s="185"/>
      <c r="DI396" s="185"/>
      <c r="DJ396" s="185"/>
      <c r="DK396" s="185"/>
      <c r="DL396" s="185"/>
      <c r="DM396" s="185"/>
      <c r="DN396" s="185"/>
      <c r="DO396" s="229"/>
    </row>
    <row r="397" spans="1:119" x14ac:dyDescent="0.2">
      <c r="A397" s="185"/>
      <c r="B397" s="185"/>
      <c r="C397" s="185"/>
      <c r="D397" s="185"/>
      <c r="E397" s="187"/>
      <c r="F397" s="185"/>
      <c r="G397" s="185"/>
      <c r="H397" s="187"/>
      <c r="I397" s="185"/>
      <c r="J397" s="185"/>
      <c r="K397" s="185"/>
      <c r="L397" s="185"/>
      <c r="M397" s="185"/>
      <c r="N397" s="185"/>
      <c r="O397" s="185"/>
      <c r="P397" s="185"/>
      <c r="Q397" s="185"/>
      <c r="R397" s="185"/>
      <c r="S397" s="185"/>
      <c r="T397" s="185"/>
      <c r="U397" s="185"/>
      <c r="V397" s="185"/>
      <c r="W397" s="185"/>
      <c r="X397" s="186"/>
      <c r="Y397" s="186"/>
      <c r="Z397" s="186"/>
      <c r="AA397" s="186"/>
      <c r="AB397" s="186"/>
      <c r="AC397" s="186"/>
      <c r="AD397" s="186"/>
      <c r="AE397" s="205"/>
      <c r="AF397" s="189"/>
      <c r="AG397" s="189"/>
      <c r="AH397" s="185"/>
      <c r="AI397" s="185"/>
      <c r="AJ397" s="185"/>
      <c r="AK397" s="185"/>
      <c r="AL397" s="185"/>
      <c r="AM397" s="185"/>
      <c r="AN397" s="185"/>
      <c r="AO397" s="185"/>
      <c r="AP397" s="185"/>
      <c r="AQ397" s="185"/>
      <c r="AR397" s="185"/>
      <c r="AS397" s="185"/>
      <c r="AT397" s="185"/>
      <c r="AU397" s="185"/>
      <c r="AV397" s="185"/>
      <c r="AW397" s="185"/>
      <c r="AX397" s="185"/>
      <c r="AY397" s="185"/>
      <c r="AZ397" s="185"/>
      <c r="BA397" s="185"/>
      <c r="BB397" s="185"/>
      <c r="BC397" s="185"/>
      <c r="BD397" s="185"/>
      <c r="BE397" s="185"/>
      <c r="BF397" s="185"/>
      <c r="BG397" s="185"/>
      <c r="BH397" s="185"/>
      <c r="BI397" s="185"/>
      <c r="BJ397" s="185"/>
      <c r="BK397" s="185"/>
      <c r="BL397" s="185"/>
      <c r="BM397" s="185"/>
      <c r="BN397" s="185"/>
      <c r="BO397" s="185"/>
      <c r="BP397" s="185"/>
      <c r="BQ397" s="185"/>
      <c r="BR397" s="185"/>
      <c r="BS397" s="185"/>
      <c r="BT397" s="185"/>
      <c r="BU397" s="185"/>
      <c r="BV397" s="185"/>
      <c r="BW397" s="185"/>
      <c r="BX397" s="185"/>
      <c r="BY397" s="185"/>
      <c r="BZ397" s="185"/>
      <c r="CA397" s="185"/>
      <c r="CB397" s="185"/>
      <c r="CC397" s="185"/>
      <c r="CD397" s="185"/>
      <c r="CE397" s="185"/>
      <c r="CF397" s="185"/>
      <c r="CG397" s="185"/>
      <c r="CH397" s="185"/>
      <c r="CI397" s="185"/>
      <c r="CJ397" s="185"/>
      <c r="CK397" s="185"/>
      <c r="CL397" s="185"/>
      <c r="CM397" s="185"/>
      <c r="CN397" s="185"/>
      <c r="CO397" s="185"/>
      <c r="CP397" s="185"/>
      <c r="CQ397" s="185"/>
      <c r="CR397" s="185"/>
      <c r="CS397" s="185"/>
      <c r="CT397" s="185"/>
      <c r="CU397" s="185"/>
      <c r="CV397" s="185"/>
      <c r="CW397" s="185"/>
      <c r="CX397" s="185"/>
      <c r="CY397" s="185"/>
      <c r="CZ397" s="185"/>
      <c r="DA397" s="185"/>
      <c r="DB397" s="185"/>
      <c r="DC397" s="185"/>
      <c r="DD397" s="185"/>
      <c r="DE397" s="185"/>
      <c r="DF397" s="185"/>
      <c r="DG397" s="185"/>
      <c r="DH397" s="185"/>
      <c r="DI397" s="185"/>
      <c r="DJ397" s="185"/>
      <c r="DK397" s="185"/>
      <c r="DL397" s="185"/>
      <c r="DM397" s="185"/>
      <c r="DN397" s="185"/>
      <c r="DO397" s="229"/>
    </row>
    <row r="398" spans="1:119" x14ac:dyDescent="0.2">
      <c r="A398" s="185"/>
      <c r="B398" s="185"/>
      <c r="C398" s="185"/>
      <c r="D398" s="185"/>
      <c r="E398" s="187"/>
      <c r="F398" s="185"/>
      <c r="G398" s="185"/>
      <c r="H398" s="187"/>
      <c r="I398" s="185"/>
      <c r="J398" s="185"/>
      <c r="K398" s="185"/>
      <c r="L398" s="185"/>
      <c r="M398" s="185"/>
      <c r="N398" s="185"/>
      <c r="O398" s="185"/>
      <c r="P398" s="185"/>
      <c r="Q398" s="185"/>
      <c r="R398" s="185"/>
      <c r="S398" s="185"/>
      <c r="T398" s="185"/>
      <c r="U398" s="185"/>
      <c r="V398" s="185"/>
      <c r="W398" s="185"/>
      <c r="X398" s="186"/>
      <c r="Y398" s="186"/>
      <c r="Z398" s="186"/>
      <c r="AA398" s="186"/>
      <c r="AB398" s="186"/>
      <c r="AC398" s="186"/>
      <c r="AD398" s="186"/>
      <c r="AE398" s="185"/>
      <c r="AF398" s="235"/>
      <c r="AG398" s="235"/>
      <c r="AH398" s="185"/>
      <c r="AI398" s="185"/>
      <c r="AJ398" s="185"/>
      <c r="AK398" s="185"/>
      <c r="AL398" s="185"/>
      <c r="AM398" s="185"/>
      <c r="AN398" s="185"/>
      <c r="AO398" s="185"/>
      <c r="AP398" s="185"/>
      <c r="AQ398" s="185"/>
      <c r="AR398" s="185"/>
      <c r="AS398" s="185"/>
      <c r="AT398" s="185"/>
      <c r="AU398" s="185"/>
      <c r="AV398" s="185"/>
      <c r="AW398" s="185"/>
      <c r="AX398" s="185"/>
      <c r="AY398" s="185"/>
      <c r="AZ398" s="185"/>
      <c r="BA398" s="185"/>
      <c r="BB398" s="185"/>
      <c r="BC398" s="185"/>
      <c r="BD398" s="185"/>
      <c r="BE398" s="185"/>
      <c r="BF398" s="185"/>
      <c r="BG398" s="185"/>
      <c r="BH398" s="185"/>
      <c r="BI398" s="185"/>
      <c r="BJ398" s="185"/>
      <c r="BK398" s="185"/>
      <c r="BL398" s="185"/>
      <c r="BM398" s="185"/>
      <c r="BN398" s="185"/>
      <c r="BO398" s="185"/>
      <c r="BP398" s="185"/>
      <c r="BQ398" s="185"/>
      <c r="BR398" s="185"/>
      <c r="BS398" s="185"/>
      <c r="BT398" s="185"/>
      <c r="BU398" s="185"/>
      <c r="BV398" s="185"/>
      <c r="BW398" s="185"/>
      <c r="BX398" s="185"/>
      <c r="BY398" s="185"/>
      <c r="BZ398" s="185"/>
      <c r="CA398" s="185"/>
      <c r="CB398" s="185"/>
      <c r="CC398" s="185"/>
      <c r="CD398" s="185"/>
      <c r="CE398" s="185"/>
      <c r="CF398" s="185"/>
      <c r="CG398" s="185"/>
      <c r="CH398" s="185"/>
      <c r="CI398" s="185"/>
      <c r="CJ398" s="185"/>
      <c r="CK398" s="185"/>
      <c r="CL398" s="185"/>
      <c r="CM398" s="185"/>
      <c r="CN398" s="185"/>
      <c r="CO398" s="185"/>
      <c r="CP398" s="185"/>
      <c r="CQ398" s="185"/>
      <c r="CR398" s="185"/>
      <c r="CS398" s="185"/>
      <c r="CT398" s="185"/>
      <c r="CU398" s="185"/>
      <c r="CV398" s="185"/>
      <c r="CW398" s="185"/>
      <c r="CX398" s="185"/>
      <c r="CY398" s="185"/>
      <c r="CZ398" s="185"/>
      <c r="DA398" s="185"/>
      <c r="DB398" s="185"/>
      <c r="DC398" s="185"/>
      <c r="DD398" s="185"/>
      <c r="DE398" s="185"/>
      <c r="DF398" s="185"/>
      <c r="DG398" s="185"/>
      <c r="DH398" s="185"/>
      <c r="DI398" s="185"/>
      <c r="DJ398" s="185"/>
      <c r="DK398" s="185"/>
      <c r="DL398" s="185"/>
      <c r="DM398" s="185"/>
      <c r="DN398" s="185"/>
      <c r="DO398" s="229"/>
    </row>
    <row r="399" spans="1:119" x14ac:dyDescent="0.2">
      <c r="A399" s="185"/>
      <c r="B399" s="185"/>
      <c r="C399" s="185"/>
      <c r="D399" s="185"/>
      <c r="E399" s="187"/>
      <c r="F399" s="185"/>
      <c r="G399" s="185"/>
      <c r="H399" s="187"/>
      <c r="I399" s="185"/>
      <c r="J399" s="185"/>
      <c r="K399" s="185"/>
      <c r="L399" s="185"/>
      <c r="M399" s="185"/>
      <c r="N399" s="185"/>
      <c r="O399" s="185"/>
      <c r="P399" s="185"/>
      <c r="Q399" s="185"/>
      <c r="R399" s="185"/>
      <c r="S399" s="185"/>
      <c r="T399" s="185"/>
      <c r="U399" s="185"/>
      <c r="V399" s="185"/>
      <c r="W399" s="185"/>
      <c r="X399" s="186"/>
      <c r="Y399" s="186"/>
      <c r="Z399" s="186"/>
      <c r="AA399" s="186"/>
      <c r="AB399" s="186"/>
      <c r="AC399" s="186"/>
      <c r="AD399" s="186"/>
      <c r="AE399" s="185"/>
      <c r="AF399" s="195"/>
      <c r="AG399" s="195"/>
      <c r="AH399" s="185"/>
      <c r="AI399" s="185"/>
      <c r="AJ399" s="185"/>
      <c r="AK399" s="185"/>
      <c r="AL399" s="185"/>
      <c r="AM399" s="185"/>
      <c r="AN399" s="185"/>
      <c r="AO399" s="185"/>
      <c r="AP399" s="185"/>
      <c r="AQ399" s="185"/>
      <c r="AR399" s="185"/>
      <c r="AS399" s="185"/>
      <c r="AT399" s="185"/>
      <c r="AU399" s="185"/>
      <c r="AV399" s="185"/>
      <c r="AW399" s="185"/>
      <c r="AX399" s="185"/>
      <c r="AY399" s="185"/>
      <c r="AZ399" s="185"/>
      <c r="BA399" s="185"/>
      <c r="BB399" s="185"/>
      <c r="BC399" s="185"/>
      <c r="BD399" s="185"/>
      <c r="BE399" s="185"/>
      <c r="BF399" s="185"/>
      <c r="BG399" s="185"/>
      <c r="BH399" s="185"/>
      <c r="BI399" s="185"/>
      <c r="BJ399" s="185"/>
      <c r="BK399" s="185"/>
      <c r="BL399" s="185"/>
      <c r="BM399" s="185"/>
      <c r="BN399" s="185"/>
      <c r="BO399" s="185"/>
      <c r="BP399" s="185"/>
      <c r="BQ399" s="185"/>
      <c r="BR399" s="185"/>
      <c r="BS399" s="185"/>
      <c r="BT399" s="185"/>
      <c r="BU399" s="185"/>
      <c r="BV399" s="185"/>
      <c r="BW399" s="185"/>
      <c r="BX399" s="185"/>
      <c r="BY399" s="185"/>
      <c r="BZ399" s="185"/>
      <c r="CA399" s="185"/>
      <c r="CB399" s="185"/>
      <c r="CC399" s="185"/>
      <c r="CD399" s="185"/>
      <c r="CE399" s="185"/>
      <c r="CF399" s="185"/>
      <c r="CG399" s="185"/>
      <c r="CH399" s="185"/>
      <c r="CI399" s="185"/>
      <c r="CJ399" s="185"/>
      <c r="CK399" s="185"/>
      <c r="CL399" s="185"/>
      <c r="CM399" s="185"/>
      <c r="CN399" s="185"/>
      <c r="CO399" s="185"/>
      <c r="CP399" s="185"/>
      <c r="CQ399" s="185"/>
      <c r="CR399" s="185"/>
      <c r="CS399" s="185"/>
      <c r="CT399" s="185"/>
      <c r="CU399" s="185"/>
      <c r="CV399" s="185"/>
      <c r="CW399" s="185"/>
      <c r="CX399" s="185"/>
      <c r="CY399" s="185"/>
      <c r="CZ399" s="185"/>
      <c r="DA399" s="185"/>
      <c r="DB399" s="185"/>
      <c r="DC399" s="185"/>
      <c r="DD399" s="185"/>
      <c r="DE399" s="185"/>
      <c r="DF399" s="185"/>
      <c r="DG399" s="185"/>
      <c r="DH399" s="185"/>
      <c r="DI399" s="185"/>
      <c r="DJ399" s="185"/>
      <c r="DK399" s="185"/>
      <c r="DL399" s="185"/>
      <c r="DM399" s="185"/>
      <c r="DN399" s="185"/>
      <c r="DO399" s="229"/>
    </row>
    <row r="400" spans="1:119" x14ac:dyDescent="0.2">
      <c r="A400" s="185"/>
      <c r="B400" s="185"/>
      <c r="C400" s="185"/>
      <c r="D400" s="185"/>
      <c r="E400" s="187"/>
      <c r="F400" s="185"/>
      <c r="G400" s="185"/>
      <c r="H400" s="187"/>
      <c r="I400" s="185"/>
      <c r="J400" s="185"/>
      <c r="K400" s="185"/>
      <c r="L400" s="185"/>
      <c r="M400" s="185"/>
      <c r="N400" s="185"/>
      <c r="O400" s="185"/>
      <c r="P400" s="185"/>
      <c r="Q400" s="185"/>
      <c r="R400" s="185"/>
      <c r="S400" s="185"/>
      <c r="T400" s="185"/>
      <c r="U400" s="185"/>
      <c r="V400" s="185"/>
      <c r="W400" s="185"/>
      <c r="X400" s="186"/>
      <c r="Y400" s="186"/>
      <c r="Z400" s="186"/>
      <c r="AA400" s="186"/>
      <c r="AB400" s="186"/>
      <c r="AC400" s="186"/>
      <c r="AD400" s="186"/>
      <c r="AE400" s="185"/>
      <c r="AF400" s="185"/>
      <c r="AG400" s="185"/>
      <c r="AH400" s="185"/>
      <c r="AI400" s="185"/>
      <c r="AJ400" s="185"/>
      <c r="AK400" s="185"/>
      <c r="AL400" s="185"/>
      <c r="AM400" s="185"/>
      <c r="AN400" s="185"/>
      <c r="AO400" s="185"/>
      <c r="AP400" s="185"/>
      <c r="AQ400" s="185"/>
      <c r="AR400" s="185"/>
      <c r="AS400" s="185"/>
      <c r="AT400" s="185"/>
      <c r="AU400" s="185"/>
      <c r="AV400" s="185"/>
      <c r="AW400" s="185"/>
      <c r="AX400" s="185"/>
      <c r="AY400" s="185"/>
      <c r="AZ400" s="185"/>
      <c r="BA400" s="185"/>
      <c r="BB400" s="185"/>
      <c r="BC400" s="185"/>
      <c r="BD400" s="185"/>
      <c r="BE400" s="185"/>
      <c r="BF400" s="185"/>
      <c r="BG400" s="185"/>
      <c r="BH400" s="185"/>
      <c r="BI400" s="185"/>
      <c r="BJ400" s="185"/>
      <c r="BK400" s="185"/>
      <c r="BL400" s="185"/>
      <c r="BM400" s="185"/>
      <c r="BN400" s="185"/>
      <c r="BO400" s="185"/>
      <c r="BP400" s="185"/>
      <c r="BQ400" s="185"/>
      <c r="BR400" s="185"/>
      <c r="BS400" s="185"/>
      <c r="BT400" s="185"/>
      <c r="BU400" s="185"/>
      <c r="BV400" s="185"/>
      <c r="BW400" s="185"/>
      <c r="BX400" s="185"/>
      <c r="BY400" s="185"/>
      <c r="BZ400" s="185"/>
      <c r="CA400" s="185"/>
      <c r="CB400" s="185"/>
      <c r="CC400" s="185"/>
      <c r="CD400" s="185"/>
      <c r="CE400" s="185"/>
      <c r="CF400" s="185"/>
      <c r="CG400" s="185"/>
      <c r="CH400" s="185"/>
      <c r="CI400" s="185"/>
      <c r="CJ400" s="185"/>
      <c r="CK400" s="185"/>
      <c r="CL400" s="185"/>
      <c r="CM400" s="185"/>
      <c r="CN400" s="185"/>
      <c r="CO400" s="185"/>
      <c r="CP400" s="185"/>
      <c r="CQ400" s="185"/>
      <c r="CR400" s="185"/>
      <c r="CS400" s="185"/>
      <c r="CT400" s="185"/>
      <c r="CU400" s="185"/>
      <c r="CV400" s="185"/>
      <c r="CW400" s="185"/>
      <c r="CX400" s="185"/>
      <c r="CY400" s="185"/>
      <c r="CZ400" s="185"/>
      <c r="DA400" s="185"/>
      <c r="DB400" s="185"/>
      <c r="DC400" s="185"/>
      <c r="DD400" s="185"/>
      <c r="DE400" s="185"/>
      <c r="DF400" s="185"/>
      <c r="DG400" s="185"/>
      <c r="DH400" s="185"/>
      <c r="DI400" s="185"/>
      <c r="DJ400" s="185"/>
      <c r="DK400" s="185"/>
      <c r="DL400" s="185"/>
      <c r="DM400" s="185"/>
      <c r="DN400" s="185"/>
      <c r="DO400" s="229"/>
    </row>
    <row r="401" spans="1:119" x14ac:dyDescent="0.2">
      <c r="A401" s="185"/>
      <c r="B401" s="185"/>
      <c r="C401" s="185"/>
      <c r="D401" s="185"/>
      <c r="E401" s="187"/>
      <c r="F401" s="185"/>
      <c r="G401" s="185"/>
      <c r="H401" s="187"/>
      <c r="I401" s="185"/>
      <c r="J401" s="185"/>
      <c r="K401" s="185"/>
      <c r="L401" s="185"/>
      <c r="M401" s="185"/>
      <c r="N401" s="185"/>
      <c r="O401" s="185"/>
      <c r="P401" s="185"/>
      <c r="Q401" s="185"/>
      <c r="R401" s="185"/>
      <c r="S401" s="185"/>
      <c r="T401" s="185"/>
      <c r="U401" s="185"/>
      <c r="V401" s="185"/>
      <c r="W401" s="185"/>
      <c r="X401" s="186"/>
      <c r="Y401" s="186"/>
      <c r="Z401" s="186"/>
      <c r="AA401" s="186"/>
      <c r="AB401" s="186"/>
      <c r="AC401" s="186"/>
      <c r="AD401" s="186"/>
      <c r="AE401" s="185"/>
      <c r="AF401" s="185"/>
      <c r="AG401" s="185"/>
      <c r="AH401" s="185"/>
      <c r="AI401" s="185"/>
      <c r="AJ401" s="185"/>
      <c r="AK401" s="185"/>
      <c r="AL401" s="185"/>
      <c r="AM401" s="185"/>
      <c r="AN401" s="185"/>
      <c r="AO401" s="185"/>
      <c r="AP401" s="185"/>
      <c r="AQ401" s="185"/>
      <c r="AR401" s="185"/>
      <c r="AS401" s="185"/>
      <c r="AT401" s="185"/>
      <c r="AU401" s="185"/>
      <c r="AV401" s="185"/>
      <c r="AW401" s="185"/>
      <c r="AX401" s="185"/>
      <c r="AY401" s="185"/>
      <c r="AZ401" s="185"/>
      <c r="BA401" s="185"/>
      <c r="BB401" s="185"/>
      <c r="BC401" s="185"/>
      <c r="BD401" s="185"/>
      <c r="BE401" s="185"/>
      <c r="BF401" s="185"/>
      <c r="BG401" s="185"/>
      <c r="BH401" s="185"/>
      <c r="BI401" s="185"/>
      <c r="BJ401" s="185"/>
      <c r="BK401" s="185"/>
      <c r="BL401" s="185"/>
      <c r="BM401" s="185"/>
      <c r="BN401" s="185"/>
      <c r="BO401" s="185"/>
      <c r="BP401" s="185"/>
      <c r="BQ401" s="185"/>
      <c r="BR401" s="185"/>
      <c r="BS401" s="185"/>
      <c r="BT401" s="185"/>
      <c r="BU401" s="185"/>
      <c r="BV401" s="185"/>
      <c r="BW401" s="185"/>
      <c r="BX401" s="185"/>
      <c r="BY401" s="185"/>
      <c r="BZ401" s="185"/>
      <c r="CA401" s="185"/>
      <c r="CB401" s="185"/>
      <c r="CC401" s="185"/>
      <c r="CD401" s="185"/>
      <c r="CE401" s="185"/>
      <c r="CF401" s="185"/>
      <c r="CG401" s="185"/>
      <c r="CH401" s="185"/>
      <c r="CI401" s="185"/>
      <c r="CJ401" s="185"/>
      <c r="CK401" s="185"/>
      <c r="CL401" s="185"/>
      <c r="CM401" s="185"/>
      <c r="CN401" s="185"/>
      <c r="CO401" s="185"/>
      <c r="CP401" s="185"/>
      <c r="CQ401" s="185"/>
      <c r="CR401" s="185"/>
      <c r="CS401" s="185"/>
      <c r="CT401" s="185"/>
      <c r="CU401" s="185"/>
      <c r="CV401" s="185"/>
      <c r="CW401" s="185"/>
      <c r="CX401" s="185"/>
      <c r="CY401" s="185"/>
      <c r="CZ401" s="185"/>
      <c r="DA401" s="185"/>
      <c r="DB401" s="185"/>
      <c r="DC401" s="185"/>
      <c r="DD401" s="185"/>
      <c r="DE401" s="185"/>
      <c r="DF401" s="185"/>
      <c r="DG401" s="185"/>
      <c r="DH401" s="185"/>
      <c r="DI401" s="185"/>
      <c r="DJ401" s="185"/>
      <c r="DK401" s="185"/>
      <c r="DL401" s="185"/>
      <c r="DM401" s="185"/>
      <c r="DN401" s="185"/>
      <c r="DO401" s="229"/>
    </row>
    <row r="402" spans="1:119" x14ac:dyDescent="0.2">
      <c r="A402" s="185"/>
      <c r="B402" s="185"/>
      <c r="C402" s="185"/>
      <c r="D402" s="185"/>
      <c r="E402" s="187"/>
      <c r="F402" s="185"/>
      <c r="G402" s="185"/>
      <c r="H402" s="187"/>
      <c r="I402" s="185"/>
      <c r="J402" s="185"/>
      <c r="K402" s="185"/>
      <c r="L402" s="185"/>
      <c r="M402" s="185"/>
      <c r="N402" s="185"/>
      <c r="O402" s="185"/>
      <c r="P402" s="185"/>
      <c r="Q402" s="185"/>
      <c r="R402" s="185"/>
      <c r="S402" s="185"/>
      <c r="T402" s="185"/>
      <c r="U402" s="185"/>
      <c r="V402" s="185"/>
      <c r="W402" s="185"/>
      <c r="X402" s="186"/>
      <c r="Y402" s="186"/>
      <c r="Z402" s="186"/>
      <c r="AA402" s="186"/>
      <c r="AB402" s="186"/>
      <c r="AC402" s="186"/>
      <c r="AD402" s="186"/>
      <c r="AE402" s="185"/>
      <c r="AF402" s="185"/>
      <c r="AG402" s="185"/>
      <c r="AH402" s="185"/>
      <c r="AI402" s="185"/>
      <c r="AJ402" s="185"/>
      <c r="AK402" s="185"/>
      <c r="AL402" s="185"/>
      <c r="AM402" s="185"/>
      <c r="AN402" s="185"/>
      <c r="AO402" s="185"/>
      <c r="AP402" s="185"/>
      <c r="AQ402" s="185"/>
      <c r="AR402" s="185"/>
      <c r="AS402" s="185"/>
      <c r="AT402" s="185"/>
      <c r="AU402" s="185"/>
      <c r="AV402" s="185"/>
      <c r="AW402" s="185"/>
      <c r="AX402" s="185"/>
      <c r="AY402" s="185"/>
      <c r="AZ402" s="185"/>
      <c r="BA402" s="185"/>
      <c r="BB402" s="185"/>
      <c r="BC402" s="185"/>
      <c r="BD402" s="185"/>
      <c r="BE402" s="185"/>
      <c r="BF402" s="185"/>
      <c r="BG402" s="185"/>
      <c r="BH402" s="185"/>
      <c r="BI402" s="185"/>
      <c r="BJ402" s="185"/>
      <c r="BK402" s="185"/>
      <c r="BL402" s="185"/>
      <c r="BM402" s="185"/>
      <c r="BN402" s="185"/>
      <c r="BO402" s="185"/>
      <c r="BP402" s="185"/>
      <c r="BQ402" s="185"/>
      <c r="BR402" s="185"/>
      <c r="BS402" s="185"/>
      <c r="BT402" s="185"/>
      <c r="BU402" s="185"/>
      <c r="BV402" s="185"/>
      <c r="BW402" s="185"/>
      <c r="BX402" s="185"/>
      <c r="BY402" s="185"/>
      <c r="BZ402" s="185"/>
      <c r="CA402" s="185"/>
      <c r="CB402" s="185"/>
      <c r="CC402" s="185"/>
      <c r="CD402" s="185"/>
      <c r="CE402" s="185"/>
      <c r="CF402" s="185"/>
      <c r="CG402" s="185"/>
      <c r="CH402" s="185"/>
      <c r="CI402" s="185"/>
      <c r="CJ402" s="185"/>
      <c r="CK402" s="185"/>
      <c r="CL402" s="185"/>
      <c r="CM402" s="185"/>
      <c r="CN402" s="185"/>
      <c r="CO402" s="185"/>
      <c r="CP402" s="185"/>
      <c r="CQ402" s="185"/>
      <c r="CR402" s="185"/>
      <c r="CS402" s="185"/>
      <c r="CT402" s="185"/>
      <c r="CU402" s="185"/>
      <c r="CV402" s="185"/>
      <c r="CW402" s="185"/>
      <c r="CX402" s="185"/>
      <c r="CY402" s="185"/>
      <c r="CZ402" s="185"/>
      <c r="DA402" s="185"/>
      <c r="DB402" s="185"/>
      <c r="DC402" s="185"/>
      <c r="DD402" s="185"/>
      <c r="DE402" s="185"/>
      <c r="DF402" s="185"/>
      <c r="DG402" s="185"/>
      <c r="DH402" s="185"/>
      <c r="DI402" s="185"/>
      <c r="DJ402" s="185"/>
      <c r="DK402" s="185"/>
      <c r="DL402" s="185"/>
      <c r="DM402" s="185"/>
      <c r="DN402" s="185"/>
      <c r="DO402" s="229"/>
    </row>
    <row r="403" spans="1:119" x14ac:dyDescent="0.2">
      <c r="A403" s="185"/>
      <c r="B403" s="185"/>
      <c r="C403" s="185"/>
      <c r="D403" s="185"/>
      <c r="E403" s="187"/>
      <c r="F403" s="185"/>
      <c r="G403" s="185"/>
      <c r="H403" s="187"/>
      <c r="I403" s="185"/>
      <c r="J403" s="185"/>
      <c r="K403" s="185"/>
      <c r="L403" s="185"/>
      <c r="M403" s="185"/>
      <c r="N403" s="185"/>
      <c r="O403" s="185"/>
      <c r="P403" s="185"/>
      <c r="Q403" s="185"/>
      <c r="R403" s="185"/>
      <c r="S403" s="185"/>
      <c r="T403" s="185"/>
      <c r="U403" s="185"/>
      <c r="V403" s="185"/>
      <c r="W403" s="185"/>
      <c r="X403" s="186"/>
      <c r="Y403" s="186"/>
      <c r="Z403" s="186"/>
      <c r="AA403" s="186"/>
      <c r="AB403" s="186"/>
      <c r="AC403" s="186"/>
      <c r="AD403" s="186"/>
      <c r="AE403" s="185"/>
      <c r="AF403" s="185"/>
      <c r="AG403" s="185"/>
      <c r="AH403" s="185"/>
      <c r="AI403" s="185"/>
      <c r="AJ403" s="185"/>
      <c r="AK403" s="185"/>
      <c r="AL403" s="185"/>
      <c r="AM403" s="185"/>
      <c r="AN403" s="185"/>
      <c r="AO403" s="185"/>
      <c r="AP403" s="185"/>
      <c r="AQ403" s="185"/>
      <c r="AR403" s="185"/>
      <c r="AS403" s="185"/>
      <c r="AT403" s="185"/>
      <c r="AU403" s="185"/>
      <c r="AV403" s="185"/>
      <c r="AW403" s="185"/>
      <c r="AX403" s="185"/>
      <c r="AY403" s="185"/>
      <c r="AZ403" s="185"/>
      <c r="BA403" s="185"/>
      <c r="BB403" s="185"/>
      <c r="BC403" s="185"/>
      <c r="BD403" s="185"/>
      <c r="BE403" s="185"/>
      <c r="BF403" s="185"/>
      <c r="BG403" s="185"/>
      <c r="BH403" s="185"/>
      <c r="BI403" s="185"/>
      <c r="BJ403" s="185"/>
      <c r="BK403" s="185"/>
      <c r="BL403" s="185"/>
      <c r="BM403" s="185"/>
      <c r="BN403" s="185"/>
      <c r="BO403" s="185"/>
      <c r="BP403" s="185"/>
      <c r="BQ403" s="185"/>
      <c r="BR403" s="185"/>
      <c r="BS403" s="185"/>
      <c r="BT403" s="185"/>
      <c r="BU403" s="185"/>
      <c r="BV403" s="185"/>
      <c r="BW403" s="185"/>
      <c r="BX403" s="185"/>
      <c r="BY403" s="185"/>
      <c r="BZ403" s="185"/>
      <c r="CA403" s="185"/>
      <c r="CB403" s="185"/>
      <c r="CC403" s="185"/>
      <c r="CD403" s="185"/>
      <c r="CE403" s="185"/>
      <c r="CF403" s="185"/>
      <c r="CG403" s="185"/>
      <c r="CH403" s="185"/>
      <c r="CI403" s="185"/>
      <c r="CJ403" s="185"/>
      <c r="CK403" s="185"/>
      <c r="CL403" s="185"/>
      <c r="CM403" s="185"/>
      <c r="CN403" s="185"/>
      <c r="CO403" s="185"/>
      <c r="CP403" s="185"/>
      <c r="CQ403" s="185"/>
      <c r="CR403" s="185"/>
      <c r="CS403" s="185"/>
      <c r="CT403" s="185"/>
      <c r="CU403" s="185"/>
      <c r="CV403" s="185"/>
      <c r="CW403" s="185"/>
      <c r="CX403" s="185"/>
      <c r="CY403" s="185"/>
      <c r="CZ403" s="185"/>
      <c r="DA403" s="185"/>
      <c r="DB403" s="185"/>
      <c r="DC403" s="185"/>
      <c r="DD403" s="185"/>
      <c r="DE403" s="185"/>
      <c r="DF403" s="185"/>
      <c r="DG403" s="185"/>
      <c r="DH403" s="185"/>
      <c r="DI403" s="185"/>
      <c r="DJ403" s="185"/>
      <c r="DK403" s="185"/>
      <c r="DL403" s="185"/>
      <c r="DM403" s="185"/>
      <c r="DN403" s="185"/>
      <c r="DO403" s="229"/>
    </row>
    <row r="404" spans="1:119" x14ac:dyDescent="0.2">
      <c r="A404" s="185"/>
      <c r="B404" s="185"/>
      <c r="C404" s="185"/>
      <c r="D404" s="185"/>
      <c r="E404" s="187"/>
      <c r="F404" s="185"/>
      <c r="G404" s="185"/>
      <c r="H404" s="187"/>
      <c r="I404" s="185"/>
      <c r="J404" s="185"/>
      <c r="K404" s="185"/>
      <c r="L404" s="185"/>
      <c r="M404" s="185"/>
      <c r="N404" s="185"/>
      <c r="O404" s="185"/>
      <c r="P404" s="185"/>
      <c r="Q404" s="185"/>
      <c r="R404" s="185"/>
      <c r="S404" s="185"/>
      <c r="T404" s="185"/>
      <c r="U404" s="185"/>
      <c r="V404" s="185"/>
      <c r="W404" s="185"/>
      <c r="X404" s="186"/>
      <c r="Y404" s="186"/>
      <c r="Z404" s="186"/>
      <c r="AA404" s="186"/>
      <c r="AB404" s="186"/>
      <c r="AC404" s="186"/>
      <c r="AD404" s="186"/>
      <c r="AE404" s="185"/>
      <c r="AF404" s="185"/>
      <c r="AG404" s="185"/>
      <c r="AH404" s="185"/>
      <c r="AI404" s="185"/>
      <c r="AJ404" s="185"/>
      <c r="AK404" s="185"/>
      <c r="AL404" s="185"/>
      <c r="AM404" s="185"/>
      <c r="AN404" s="185"/>
      <c r="AO404" s="185"/>
      <c r="AP404" s="185"/>
      <c r="AQ404" s="185"/>
      <c r="AR404" s="185"/>
      <c r="AS404" s="185"/>
      <c r="AT404" s="185"/>
      <c r="AU404" s="185"/>
      <c r="AV404" s="185"/>
      <c r="AW404" s="185"/>
      <c r="AX404" s="185"/>
      <c r="AY404" s="185"/>
      <c r="AZ404" s="185"/>
      <c r="BA404" s="185"/>
      <c r="BB404" s="185"/>
      <c r="BC404" s="185"/>
      <c r="BD404" s="185"/>
      <c r="BE404" s="185"/>
      <c r="BF404" s="185"/>
      <c r="BG404" s="185"/>
      <c r="BH404" s="185"/>
      <c r="BI404" s="185"/>
      <c r="BJ404" s="185"/>
      <c r="BK404" s="185"/>
      <c r="BL404" s="185"/>
      <c r="BM404" s="185"/>
      <c r="BN404" s="185"/>
      <c r="BO404" s="185"/>
      <c r="BP404" s="185"/>
      <c r="BQ404" s="185"/>
      <c r="BR404" s="185"/>
      <c r="BS404" s="185"/>
      <c r="BT404" s="185"/>
      <c r="BU404" s="185"/>
      <c r="BV404" s="185"/>
      <c r="BW404" s="185"/>
      <c r="BX404" s="185"/>
      <c r="BY404" s="185"/>
      <c r="BZ404" s="185"/>
      <c r="CA404" s="185"/>
      <c r="CB404" s="185"/>
      <c r="CC404" s="185"/>
      <c r="CD404" s="185"/>
      <c r="CE404" s="185"/>
      <c r="CF404" s="185"/>
      <c r="CG404" s="185"/>
      <c r="CH404" s="185"/>
      <c r="CI404" s="185"/>
      <c r="CJ404" s="185"/>
      <c r="CK404" s="185"/>
      <c r="CL404" s="185"/>
      <c r="CM404" s="185"/>
      <c r="CN404" s="185"/>
      <c r="CO404" s="185"/>
      <c r="CP404" s="185"/>
      <c r="CQ404" s="185"/>
      <c r="CR404" s="185"/>
      <c r="CS404" s="185"/>
      <c r="CT404" s="185"/>
      <c r="CU404" s="185"/>
      <c r="CV404" s="185"/>
      <c r="CW404" s="185"/>
      <c r="CX404" s="185"/>
      <c r="CY404" s="185"/>
      <c r="CZ404" s="185"/>
      <c r="DA404" s="185"/>
      <c r="DB404" s="185"/>
      <c r="DC404" s="185"/>
      <c r="DD404" s="185"/>
      <c r="DE404" s="185"/>
      <c r="DF404" s="185"/>
      <c r="DG404" s="185"/>
      <c r="DH404" s="185"/>
      <c r="DI404" s="185"/>
      <c r="DJ404" s="185"/>
      <c r="DK404" s="185"/>
      <c r="DL404" s="185"/>
      <c r="DM404" s="185"/>
      <c r="DN404" s="185"/>
      <c r="DO404" s="229"/>
    </row>
    <row r="405" spans="1:119" x14ac:dyDescent="0.2">
      <c r="A405" s="185"/>
      <c r="B405" s="185"/>
      <c r="C405" s="185"/>
      <c r="D405" s="185"/>
      <c r="E405" s="187"/>
      <c r="F405" s="185"/>
      <c r="G405" s="185"/>
      <c r="H405" s="187"/>
      <c r="I405" s="185"/>
      <c r="J405" s="185"/>
      <c r="K405" s="185"/>
      <c r="L405" s="185"/>
      <c r="M405" s="185"/>
      <c r="N405" s="185"/>
      <c r="O405" s="185"/>
      <c r="P405" s="185"/>
      <c r="Q405" s="185"/>
      <c r="R405" s="185"/>
      <c r="S405" s="185"/>
      <c r="T405" s="185"/>
      <c r="U405" s="185"/>
      <c r="V405" s="185"/>
      <c r="W405" s="185"/>
      <c r="X405" s="186"/>
      <c r="Y405" s="186"/>
      <c r="Z405" s="186"/>
      <c r="AA405" s="186"/>
      <c r="AB405" s="186"/>
      <c r="AC405" s="186"/>
      <c r="AD405" s="186"/>
      <c r="AE405" s="185"/>
      <c r="AF405" s="189"/>
      <c r="AG405" s="185"/>
      <c r="AH405" s="185"/>
      <c r="AI405" s="185"/>
      <c r="AJ405" s="185"/>
      <c r="AK405" s="185"/>
      <c r="AL405" s="185"/>
      <c r="AM405" s="185"/>
      <c r="AN405" s="185"/>
      <c r="AO405" s="185"/>
      <c r="AP405" s="185"/>
      <c r="AQ405" s="185"/>
      <c r="AR405" s="185"/>
      <c r="AS405" s="185"/>
      <c r="AT405" s="185"/>
      <c r="AU405" s="185"/>
      <c r="AV405" s="185"/>
      <c r="AW405" s="185"/>
      <c r="AX405" s="185"/>
      <c r="AY405" s="185"/>
      <c r="AZ405" s="185"/>
      <c r="BA405" s="185"/>
      <c r="BB405" s="185"/>
      <c r="BC405" s="185"/>
      <c r="BD405" s="185"/>
      <c r="BE405" s="185"/>
      <c r="BF405" s="185"/>
      <c r="BG405" s="185"/>
      <c r="BH405" s="185"/>
      <c r="BI405" s="185"/>
      <c r="BJ405" s="185"/>
      <c r="BK405" s="185"/>
      <c r="BL405" s="185"/>
      <c r="BM405" s="185"/>
      <c r="BN405" s="185"/>
      <c r="BO405" s="185"/>
      <c r="BP405" s="185"/>
      <c r="BQ405" s="185"/>
      <c r="BR405" s="185"/>
      <c r="BS405" s="185"/>
      <c r="BT405" s="185"/>
      <c r="BU405" s="185"/>
      <c r="BV405" s="185"/>
      <c r="BW405" s="185"/>
      <c r="BX405" s="185"/>
      <c r="BY405" s="185"/>
      <c r="BZ405" s="185"/>
      <c r="CA405" s="185"/>
      <c r="CB405" s="185"/>
      <c r="CC405" s="185"/>
      <c r="CD405" s="185"/>
      <c r="CE405" s="185"/>
      <c r="CF405" s="185"/>
      <c r="CG405" s="185"/>
      <c r="CH405" s="185"/>
      <c r="CI405" s="185"/>
      <c r="CJ405" s="185"/>
      <c r="CK405" s="185"/>
      <c r="CL405" s="185"/>
      <c r="CM405" s="185"/>
      <c r="CN405" s="185"/>
      <c r="CO405" s="185"/>
      <c r="CP405" s="185"/>
      <c r="CQ405" s="185"/>
      <c r="CR405" s="185"/>
      <c r="CS405" s="185"/>
      <c r="CT405" s="185"/>
      <c r="CU405" s="185"/>
      <c r="CV405" s="185"/>
      <c r="CW405" s="185"/>
      <c r="CX405" s="185"/>
      <c r="CY405" s="185"/>
      <c r="CZ405" s="185"/>
      <c r="DA405" s="185"/>
      <c r="DB405" s="185"/>
      <c r="DC405" s="185"/>
      <c r="DD405" s="185"/>
      <c r="DE405" s="185"/>
      <c r="DF405" s="185"/>
      <c r="DG405" s="185"/>
      <c r="DH405" s="185"/>
      <c r="DI405" s="185"/>
      <c r="DJ405" s="185"/>
      <c r="DK405" s="185"/>
      <c r="DL405" s="185"/>
      <c r="DM405" s="185"/>
      <c r="DN405" s="185"/>
      <c r="DO405" s="229"/>
    </row>
    <row r="406" spans="1:119" x14ac:dyDescent="0.2">
      <c r="A406" s="185"/>
      <c r="B406" s="185"/>
      <c r="C406" s="185"/>
      <c r="D406" s="185"/>
      <c r="E406" s="187"/>
      <c r="F406" s="185"/>
      <c r="G406" s="185"/>
      <c r="H406" s="187"/>
      <c r="I406" s="185"/>
      <c r="J406" s="185"/>
      <c r="K406" s="185"/>
      <c r="L406" s="185"/>
      <c r="M406" s="185"/>
      <c r="N406" s="185"/>
      <c r="O406" s="185"/>
      <c r="P406" s="185"/>
      <c r="Q406" s="185"/>
      <c r="R406" s="185"/>
      <c r="S406" s="185"/>
      <c r="T406" s="185"/>
      <c r="U406" s="185"/>
      <c r="V406" s="185"/>
      <c r="W406" s="185"/>
      <c r="X406" s="186"/>
      <c r="Y406" s="186"/>
      <c r="Z406" s="186"/>
      <c r="AA406" s="186"/>
      <c r="AB406" s="186"/>
      <c r="AC406" s="186"/>
      <c r="AD406" s="186"/>
      <c r="AE406" s="185"/>
      <c r="AF406" s="185"/>
      <c r="AG406" s="185"/>
      <c r="AH406" s="185"/>
      <c r="AI406" s="185"/>
      <c r="AJ406" s="185"/>
      <c r="AK406" s="185"/>
      <c r="AL406" s="185"/>
      <c r="AM406" s="185"/>
      <c r="AN406" s="185"/>
      <c r="AO406" s="185"/>
      <c r="AP406" s="185"/>
      <c r="AQ406" s="185"/>
      <c r="AR406" s="185"/>
      <c r="AS406" s="185"/>
      <c r="AT406" s="185"/>
      <c r="AU406" s="185"/>
      <c r="AV406" s="185"/>
      <c r="AW406" s="185"/>
      <c r="AX406" s="185"/>
      <c r="AY406" s="185"/>
      <c r="AZ406" s="185"/>
      <c r="BA406" s="185"/>
      <c r="BB406" s="185"/>
      <c r="BC406" s="185"/>
      <c r="BD406" s="185"/>
      <c r="BE406" s="185"/>
      <c r="BF406" s="185"/>
      <c r="BG406" s="185"/>
      <c r="BH406" s="185"/>
      <c r="BI406" s="185"/>
      <c r="BJ406" s="185"/>
      <c r="BK406" s="185"/>
      <c r="BL406" s="185"/>
      <c r="BM406" s="185"/>
      <c r="BN406" s="185"/>
      <c r="BO406" s="185"/>
      <c r="BP406" s="185"/>
      <c r="BQ406" s="185"/>
      <c r="BR406" s="185"/>
      <c r="BS406" s="185"/>
      <c r="BT406" s="185"/>
      <c r="BU406" s="185"/>
      <c r="BV406" s="185"/>
      <c r="BW406" s="185"/>
      <c r="BX406" s="185"/>
      <c r="BY406" s="185"/>
      <c r="BZ406" s="185"/>
      <c r="CA406" s="185"/>
      <c r="CB406" s="185"/>
      <c r="CC406" s="185"/>
      <c r="CD406" s="185"/>
      <c r="CE406" s="185"/>
      <c r="CF406" s="185"/>
      <c r="CG406" s="185"/>
      <c r="CH406" s="185"/>
      <c r="CI406" s="185"/>
      <c r="CJ406" s="185"/>
      <c r="CK406" s="185"/>
      <c r="CL406" s="185"/>
      <c r="CM406" s="185"/>
      <c r="CN406" s="185"/>
      <c r="CO406" s="185"/>
      <c r="CP406" s="185"/>
      <c r="CQ406" s="185"/>
      <c r="CR406" s="185"/>
      <c r="CS406" s="185"/>
      <c r="CT406" s="185"/>
      <c r="CU406" s="185"/>
      <c r="CV406" s="185"/>
      <c r="CW406" s="185"/>
      <c r="CX406" s="185"/>
      <c r="CY406" s="185"/>
      <c r="CZ406" s="185"/>
      <c r="DA406" s="185"/>
      <c r="DB406" s="185"/>
      <c r="DC406" s="185"/>
      <c r="DD406" s="185"/>
      <c r="DE406" s="185"/>
      <c r="DF406" s="185"/>
      <c r="DG406" s="185"/>
      <c r="DH406" s="185"/>
      <c r="DI406" s="185"/>
      <c r="DJ406" s="185"/>
      <c r="DK406" s="185"/>
      <c r="DL406" s="185"/>
      <c r="DM406" s="185"/>
      <c r="DN406" s="185"/>
      <c r="DO406" s="229"/>
    </row>
    <row r="407" spans="1:119" x14ac:dyDescent="0.2">
      <c r="A407" s="185"/>
      <c r="B407" s="185"/>
      <c r="C407" s="185"/>
      <c r="D407" s="185"/>
      <c r="E407" s="187"/>
      <c r="F407" s="185"/>
      <c r="G407" s="185"/>
      <c r="H407" s="187"/>
      <c r="I407" s="185"/>
      <c r="J407" s="185"/>
      <c r="K407" s="185"/>
      <c r="L407" s="185"/>
      <c r="M407" s="185"/>
      <c r="N407" s="185"/>
      <c r="O407" s="185"/>
      <c r="P407" s="185"/>
      <c r="Q407" s="185"/>
      <c r="R407" s="185"/>
      <c r="S407" s="185"/>
      <c r="T407" s="185"/>
      <c r="U407" s="185"/>
      <c r="V407" s="185"/>
      <c r="W407" s="185"/>
      <c r="X407" s="186"/>
      <c r="Y407" s="186"/>
      <c r="Z407" s="186"/>
      <c r="AA407" s="186"/>
      <c r="AB407" s="186"/>
      <c r="AC407" s="186"/>
      <c r="AD407" s="205"/>
      <c r="AE407" s="185"/>
      <c r="AF407" s="185"/>
      <c r="AG407" s="185"/>
      <c r="AH407" s="185"/>
      <c r="AI407" s="185"/>
      <c r="AJ407" s="185"/>
      <c r="AK407" s="185"/>
      <c r="AL407" s="185"/>
      <c r="AM407" s="185"/>
      <c r="AN407" s="185"/>
      <c r="AO407" s="185"/>
      <c r="AP407" s="185"/>
      <c r="AQ407" s="185"/>
      <c r="AR407" s="185"/>
      <c r="AS407" s="185"/>
      <c r="AT407" s="185"/>
      <c r="AU407" s="185"/>
      <c r="AV407" s="185"/>
      <c r="AW407" s="185"/>
      <c r="AX407" s="185"/>
      <c r="AY407" s="185"/>
      <c r="AZ407" s="185"/>
      <c r="BA407" s="185"/>
      <c r="BB407" s="185"/>
      <c r="BC407" s="185"/>
      <c r="BD407" s="185"/>
      <c r="BE407" s="185"/>
      <c r="BF407" s="185"/>
      <c r="BG407" s="185"/>
      <c r="BH407" s="185"/>
      <c r="BI407" s="185"/>
      <c r="BJ407" s="185"/>
      <c r="BK407" s="185"/>
      <c r="BL407" s="185"/>
      <c r="BM407" s="185"/>
      <c r="BN407" s="185"/>
      <c r="BO407" s="185"/>
      <c r="BP407" s="185"/>
      <c r="BQ407" s="185"/>
      <c r="BR407" s="185"/>
      <c r="BS407" s="185"/>
      <c r="BT407" s="185"/>
      <c r="BU407" s="185"/>
      <c r="BV407" s="185"/>
      <c r="BW407" s="185"/>
      <c r="BX407" s="185"/>
      <c r="BY407" s="185"/>
      <c r="BZ407" s="185"/>
      <c r="CA407" s="185"/>
      <c r="CB407" s="185"/>
      <c r="CC407" s="185"/>
      <c r="CD407" s="185"/>
      <c r="CE407" s="185"/>
      <c r="CF407" s="185"/>
      <c r="CG407" s="185"/>
      <c r="CH407" s="185"/>
      <c r="CI407" s="185"/>
      <c r="CJ407" s="185"/>
      <c r="CK407" s="185"/>
      <c r="CL407" s="185"/>
      <c r="CM407" s="185"/>
      <c r="CN407" s="185"/>
      <c r="CO407" s="185"/>
      <c r="CP407" s="185"/>
      <c r="CQ407" s="185"/>
      <c r="CR407" s="185"/>
      <c r="CS407" s="185"/>
      <c r="CT407" s="185"/>
      <c r="CU407" s="185"/>
      <c r="CV407" s="185"/>
      <c r="CW407" s="185"/>
      <c r="CX407" s="185"/>
      <c r="CY407" s="185"/>
      <c r="CZ407" s="185"/>
      <c r="DA407" s="185"/>
      <c r="DB407" s="185"/>
      <c r="DC407" s="185"/>
      <c r="DD407" s="185"/>
      <c r="DE407" s="185"/>
      <c r="DF407" s="185"/>
      <c r="DG407" s="185"/>
      <c r="DH407" s="185"/>
      <c r="DI407" s="185"/>
      <c r="DJ407" s="185"/>
      <c r="DK407" s="185"/>
      <c r="DL407" s="185"/>
      <c r="DM407" s="185"/>
      <c r="DN407" s="185"/>
      <c r="DO407" s="229"/>
    </row>
    <row r="408" spans="1:119" x14ac:dyDescent="0.2">
      <c r="A408" s="185"/>
      <c r="B408" s="185"/>
      <c r="C408" s="185"/>
      <c r="D408" s="185"/>
      <c r="E408" s="187"/>
      <c r="F408" s="185"/>
      <c r="G408" s="185"/>
      <c r="H408" s="187"/>
      <c r="I408" s="185"/>
      <c r="J408" s="185"/>
      <c r="K408" s="185"/>
      <c r="L408" s="185"/>
      <c r="M408" s="185"/>
      <c r="N408" s="185"/>
      <c r="O408" s="185"/>
      <c r="P408" s="185"/>
      <c r="Q408" s="185"/>
      <c r="R408" s="185"/>
      <c r="S408" s="185"/>
      <c r="T408" s="185"/>
      <c r="U408" s="185"/>
      <c r="V408" s="185"/>
      <c r="W408" s="185"/>
      <c r="X408" s="186"/>
      <c r="Y408" s="186"/>
      <c r="Z408" s="186"/>
      <c r="AA408" s="186"/>
      <c r="AB408" s="186"/>
      <c r="AC408" s="186"/>
      <c r="AD408" s="186"/>
      <c r="AE408" s="185"/>
      <c r="AF408" s="185"/>
      <c r="AG408" s="185"/>
      <c r="AH408" s="185"/>
      <c r="AI408" s="185"/>
      <c r="AJ408" s="185"/>
      <c r="AK408" s="185"/>
      <c r="AL408" s="185"/>
      <c r="AM408" s="185"/>
      <c r="AN408" s="185"/>
      <c r="AO408" s="185"/>
      <c r="AP408" s="185"/>
      <c r="AQ408" s="185"/>
      <c r="AR408" s="185"/>
      <c r="AS408" s="185"/>
      <c r="AT408" s="185"/>
      <c r="AU408" s="185"/>
      <c r="AV408" s="185"/>
      <c r="AW408" s="185"/>
      <c r="AX408" s="185"/>
      <c r="AY408" s="185"/>
      <c r="AZ408" s="185"/>
      <c r="BA408" s="185"/>
      <c r="BB408" s="185"/>
      <c r="BC408" s="185"/>
      <c r="BD408" s="185"/>
      <c r="BE408" s="185"/>
      <c r="BF408" s="185"/>
      <c r="BG408" s="185"/>
      <c r="BH408" s="185"/>
      <c r="BI408" s="185"/>
      <c r="BJ408" s="185"/>
      <c r="BK408" s="185"/>
      <c r="BL408" s="185"/>
      <c r="BM408" s="185"/>
      <c r="BN408" s="185"/>
      <c r="BO408" s="185"/>
      <c r="BP408" s="185"/>
      <c r="BQ408" s="185"/>
      <c r="BR408" s="185"/>
      <c r="BS408" s="185"/>
      <c r="BT408" s="185"/>
      <c r="BU408" s="185"/>
      <c r="BV408" s="185"/>
      <c r="BW408" s="185"/>
      <c r="BX408" s="185"/>
      <c r="BY408" s="185"/>
      <c r="BZ408" s="185"/>
      <c r="CA408" s="185"/>
      <c r="CB408" s="185"/>
      <c r="CC408" s="185"/>
      <c r="CD408" s="185"/>
      <c r="CE408" s="185"/>
      <c r="CF408" s="185"/>
      <c r="CG408" s="185"/>
      <c r="CH408" s="185"/>
      <c r="CI408" s="185"/>
      <c r="CJ408" s="185"/>
      <c r="CK408" s="185"/>
      <c r="CL408" s="185"/>
      <c r="CM408" s="185"/>
      <c r="CN408" s="185"/>
      <c r="CO408" s="185"/>
      <c r="CP408" s="185"/>
      <c r="CQ408" s="185"/>
      <c r="CR408" s="185"/>
      <c r="CS408" s="185"/>
      <c r="CT408" s="185"/>
      <c r="CU408" s="185"/>
      <c r="CV408" s="185"/>
      <c r="CW408" s="185"/>
      <c r="CX408" s="185"/>
      <c r="CY408" s="185"/>
      <c r="CZ408" s="185"/>
      <c r="DA408" s="185"/>
      <c r="DB408" s="185"/>
      <c r="DC408" s="185"/>
      <c r="DD408" s="185"/>
      <c r="DE408" s="185"/>
      <c r="DF408" s="185"/>
      <c r="DG408" s="185"/>
      <c r="DH408" s="185"/>
      <c r="DI408" s="185"/>
      <c r="DJ408" s="185"/>
      <c r="DK408" s="185"/>
      <c r="DL408" s="185"/>
      <c r="DM408" s="185"/>
      <c r="DN408" s="185"/>
      <c r="DO408" s="229"/>
    </row>
    <row r="409" spans="1:119" x14ac:dyDescent="0.2">
      <c r="A409" s="185"/>
      <c r="B409" s="185"/>
      <c r="C409" s="185"/>
      <c r="D409" s="185"/>
      <c r="E409" s="187"/>
      <c r="F409" s="185"/>
      <c r="G409" s="185"/>
      <c r="H409" s="187"/>
      <c r="I409" s="185"/>
      <c r="J409" s="185"/>
      <c r="K409" s="185"/>
      <c r="L409" s="185"/>
      <c r="M409" s="185"/>
      <c r="N409" s="185"/>
      <c r="O409" s="185"/>
      <c r="P409" s="185"/>
      <c r="Q409" s="185"/>
      <c r="R409" s="185"/>
      <c r="S409" s="185"/>
      <c r="T409" s="185"/>
      <c r="U409" s="185"/>
      <c r="V409" s="185"/>
      <c r="W409" s="185"/>
      <c r="X409" s="186"/>
      <c r="Y409" s="186"/>
      <c r="Z409" s="186"/>
      <c r="AA409" s="186"/>
      <c r="AB409" s="186"/>
      <c r="AC409" s="186"/>
      <c r="AD409" s="186"/>
      <c r="AE409" s="189"/>
      <c r="AF409" s="189"/>
      <c r="AG409" s="185"/>
      <c r="AH409" s="185"/>
      <c r="AI409" s="185"/>
      <c r="AJ409" s="185"/>
      <c r="AK409" s="185"/>
      <c r="AL409" s="185"/>
      <c r="AM409" s="185"/>
      <c r="AN409" s="185"/>
      <c r="AO409" s="185"/>
      <c r="AP409" s="185"/>
      <c r="AQ409" s="185"/>
      <c r="AR409" s="185"/>
      <c r="AS409" s="185"/>
      <c r="AT409" s="185"/>
      <c r="AU409" s="185"/>
      <c r="AV409" s="185"/>
      <c r="AW409" s="185"/>
      <c r="AX409" s="185"/>
      <c r="AY409" s="185"/>
      <c r="AZ409" s="185"/>
      <c r="BA409" s="185"/>
      <c r="BB409" s="185"/>
      <c r="BC409" s="185"/>
      <c r="BD409" s="185"/>
      <c r="BE409" s="185"/>
      <c r="BF409" s="185"/>
      <c r="BG409" s="185"/>
      <c r="BH409" s="185"/>
      <c r="BI409" s="185"/>
      <c r="BJ409" s="185"/>
      <c r="BK409" s="185"/>
      <c r="BL409" s="185"/>
      <c r="BM409" s="185"/>
      <c r="BN409" s="185"/>
      <c r="BO409" s="185"/>
      <c r="BP409" s="185"/>
      <c r="BQ409" s="185"/>
      <c r="BR409" s="185"/>
      <c r="BS409" s="185"/>
      <c r="BT409" s="185"/>
      <c r="BU409" s="185"/>
      <c r="BV409" s="185"/>
      <c r="BW409" s="185"/>
      <c r="BX409" s="185"/>
      <c r="BY409" s="185"/>
      <c r="BZ409" s="185"/>
      <c r="CA409" s="185"/>
      <c r="CB409" s="185"/>
      <c r="CC409" s="185"/>
      <c r="CD409" s="185"/>
      <c r="CE409" s="185"/>
      <c r="CF409" s="185"/>
      <c r="CG409" s="185"/>
      <c r="CH409" s="185"/>
      <c r="CI409" s="185"/>
      <c r="CJ409" s="185"/>
      <c r="CK409" s="185"/>
      <c r="CL409" s="185"/>
      <c r="CM409" s="185"/>
      <c r="CN409" s="185"/>
      <c r="CO409" s="185"/>
      <c r="CP409" s="185"/>
      <c r="CQ409" s="185"/>
      <c r="CR409" s="185"/>
      <c r="CS409" s="185"/>
      <c r="CT409" s="185"/>
      <c r="CU409" s="185"/>
      <c r="CV409" s="185"/>
      <c r="CW409" s="185"/>
      <c r="CX409" s="185"/>
      <c r="CY409" s="185"/>
      <c r="CZ409" s="185"/>
      <c r="DA409" s="185"/>
      <c r="DB409" s="185"/>
      <c r="DC409" s="185"/>
      <c r="DD409" s="185"/>
      <c r="DE409" s="185"/>
      <c r="DF409" s="185"/>
      <c r="DG409" s="185"/>
      <c r="DH409" s="185"/>
      <c r="DI409" s="185"/>
      <c r="DJ409" s="185"/>
      <c r="DK409" s="185"/>
      <c r="DL409" s="185"/>
      <c r="DM409" s="185"/>
      <c r="DN409" s="185"/>
      <c r="DO409" s="229"/>
    </row>
    <row r="410" spans="1:119" x14ac:dyDescent="0.2">
      <c r="A410" s="185"/>
      <c r="B410" s="185"/>
      <c r="C410" s="185"/>
      <c r="D410" s="185"/>
      <c r="E410" s="187"/>
      <c r="F410" s="185"/>
      <c r="G410" s="185"/>
      <c r="H410" s="187"/>
      <c r="I410" s="185"/>
      <c r="J410" s="185"/>
      <c r="K410" s="185"/>
      <c r="L410" s="185"/>
      <c r="M410" s="185"/>
      <c r="N410" s="185"/>
      <c r="O410" s="185"/>
      <c r="P410" s="185"/>
      <c r="Q410" s="185"/>
      <c r="R410" s="185"/>
      <c r="S410" s="185"/>
      <c r="T410" s="185"/>
      <c r="U410" s="185"/>
      <c r="V410" s="185"/>
      <c r="W410" s="185"/>
      <c r="X410" s="186"/>
      <c r="Y410" s="186"/>
      <c r="Z410" s="186"/>
      <c r="AA410" s="186"/>
      <c r="AB410" s="186"/>
      <c r="AC410" s="186"/>
      <c r="AD410" s="186"/>
      <c r="AE410" s="185"/>
      <c r="AF410" s="185"/>
      <c r="AG410" s="185"/>
      <c r="AH410" s="185"/>
      <c r="AI410" s="185"/>
      <c r="AJ410" s="185"/>
      <c r="AK410" s="185"/>
      <c r="AL410" s="185"/>
      <c r="AM410" s="185"/>
      <c r="AN410" s="185"/>
      <c r="AO410" s="185"/>
      <c r="AP410" s="185"/>
      <c r="AQ410" s="185"/>
      <c r="AR410" s="185"/>
      <c r="AS410" s="185"/>
      <c r="AT410" s="185"/>
      <c r="AU410" s="185"/>
      <c r="AV410" s="185"/>
      <c r="AW410" s="185"/>
      <c r="AX410" s="185"/>
      <c r="AY410" s="185"/>
      <c r="AZ410" s="185"/>
      <c r="BA410" s="185"/>
      <c r="BB410" s="185"/>
      <c r="BC410" s="185"/>
      <c r="BD410" s="185"/>
      <c r="BE410" s="185"/>
      <c r="BF410" s="185"/>
      <c r="BG410" s="185"/>
      <c r="BH410" s="185"/>
      <c r="BI410" s="185"/>
      <c r="BJ410" s="185"/>
      <c r="BK410" s="185"/>
      <c r="BL410" s="185"/>
      <c r="BM410" s="185"/>
      <c r="BN410" s="185"/>
      <c r="BO410" s="185"/>
      <c r="BP410" s="185"/>
      <c r="BQ410" s="185"/>
      <c r="BR410" s="185"/>
      <c r="BS410" s="185"/>
      <c r="BT410" s="185"/>
      <c r="BU410" s="185"/>
      <c r="BV410" s="185"/>
      <c r="BW410" s="185"/>
      <c r="BX410" s="185"/>
      <c r="BY410" s="185"/>
      <c r="BZ410" s="185"/>
      <c r="CA410" s="185"/>
      <c r="CB410" s="185"/>
      <c r="CC410" s="185"/>
      <c r="CD410" s="185"/>
      <c r="CE410" s="185"/>
      <c r="CF410" s="185"/>
      <c r="CG410" s="185"/>
      <c r="CH410" s="185"/>
      <c r="CI410" s="185"/>
      <c r="CJ410" s="185"/>
      <c r="CK410" s="185"/>
      <c r="CL410" s="185"/>
      <c r="CM410" s="185"/>
      <c r="CN410" s="185"/>
      <c r="CO410" s="185"/>
      <c r="CP410" s="185"/>
      <c r="CQ410" s="185"/>
      <c r="CR410" s="185"/>
      <c r="CS410" s="185"/>
      <c r="CT410" s="185"/>
      <c r="CU410" s="185"/>
      <c r="CV410" s="185"/>
      <c r="CW410" s="185"/>
      <c r="CX410" s="185"/>
      <c r="CY410" s="185"/>
      <c r="CZ410" s="185"/>
      <c r="DA410" s="185"/>
      <c r="DB410" s="185"/>
      <c r="DC410" s="185"/>
      <c r="DD410" s="185"/>
      <c r="DE410" s="185"/>
      <c r="DF410" s="185"/>
      <c r="DG410" s="185"/>
      <c r="DH410" s="185"/>
      <c r="DI410" s="185"/>
      <c r="DJ410" s="185"/>
      <c r="DK410" s="185"/>
      <c r="DL410" s="185"/>
      <c r="DM410" s="185"/>
      <c r="DN410" s="185"/>
      <c r="DO410" s="229"/>
    </row>
    <row r="411" spans="1:119" x14ac:dyDescent="0.2">
      <c r="A411" s="185"/>
      <c r="B411" s="185"/>
      <c r="C411" s="185"/>
      <c r="D411" s="185"/>
      <c r="E411" s="187"/>
      <c r="F411" s="185"/>
      <c r="G411" s="185"/>
      <c r="H411" s="187"/>
      <c r="I411" s="185"/>
      <c r="J411" s="185"/>
      <c r="K411" s="185"/>
      <c r="L411" s="185"/>
      <c r="M411" s="185"/>
      <c r="N411" s="185"/>
      <c r="O411" s="185"/>
      <c r="P411" s="185"/>
      <c r="Q411" s="185"/>
      <c r="R411" s="185"/>
      <c r="S411" s="185"/>
      <c r="T411" s="185"/>
      <c r="U411" s="185"/>
      <c r="V411" s="185"/>
      <c r="W411" s="185"/>
      <c r="X411" s="186"/>
      <c r="Y411" s="186"/>
      <c r="Z411" s="186"/>
      <c r="AA411" s="186"/>
      <c r="AB411" s="186"/>
      <c r="AC411" s="186"/>
      <c r="AD411" s="206"/>
      <c r="AE411" s="185"/>
      <c r="AF411" s="185"/>
      <c r="AG411" s="185"/>
      <c r="AH411" s="185"/>
      <c r="AI411" s="185"/>
      <c r="AJ411" s="185"/>
      <c r="AK411" s="185"/>
      <c r="AL411" s="185"/>
      <c r="AM411" s="185"/>
      <c r="AN411" s="185"/>
      <c r="AO411" s="185"/>
      <c r="AP411" s="185"/>
      <c r="AQ411" s="185"/>
      <c r="AR411" s="185"/>
      <c r="AS411" s="185"/>
      <c r="AT411" s="185"/>
      <c r="AU411" s="185"/>
      <c r="AV411" s="185"/>
      <c r="AW411" s="185"/>
      <c r="AX411" s="185"/>
      <c r="AY411" s="185"/>
      <c r="AZ411" s="185"/>
      <c r="BA411" s="185"/>
      <c r="BB411" s="185"/>
      <c r="BC411" s="185"/>
      <c r="BD411" s="185"/>
      <c r="BE411" s="185"/>
      <c r="BF411" s="185"/>
      <c r="BG411" s="185"/>
      <c r="BH411" s="185"/>
      <c r="BI411" s="185"/>
      <c r="BJ411" s="185"/>
      <c r="BK411" s="185"/>
      <c r="BL411" s="185"/>
      <c r="BM411" s="185"/>
      <c r="BN411" s="185"/>
      <c r="BO411" s="185"/>
      <c r="BP411" s="185"/>
      <c r="BQ411" s="185"/>
      <c r="BR411" s="185"/>
      <c r="BS411" s="185"/>
      <c r="BT411" s="185"/>
      <c r="BU411" s="185"/>
      <c r="BV411" s="185"/>
      <c r="BW411" s="185"/>
      <c r="BX411" s="185"/>
      <c r="BY411" s="185"/>
      <c r="BZ411" s="185"/>
      <c r="CA411" s="185"/>
      <c r="CB411" s="185"/>
      <c r="CC411" s="185"/>
      <c r="CD411" s="185"/>
      <c r="CE411" s="185"/>
      <c r="CF411" s="185"/>
      <c r="CG411" s="185"/>
      <c r="CH411" s="185"/>
      <c r="CI411" s="185"/>
      <c r="CJ411" s="185"/>
      <c r="CK411" s="185"/>
      <c r="CL411" s="185"/>
      <c r="CM411" s="185"/>
      <c r="CN411" s="185"/>
      <c r="CO411" s="185"/>
      <c r="CP411" s="185"/>
      <c r="CQ411" s="185"/>
      <c r="CR411" s="185"/>
      <c r="CS411" s="185"/>
      <c r="CT411" s="185"/>
      <c r="CU411" s="185"/>
      <c r="CV411" s="185"/>
      <c r="CW411" s="185"/>
      <c r="CX411" s="185"/>
      <c r="CY411" s="185"/>
      <c r="CZ411" s="185"/>
      <c r="DA411" s="185"/>
      <c r="DB411" s="185"/>
      <c r="DC411" s="185"/>
      <c r="DD411" s="185"/>
      <c r="DE411" s="185"/>
      <c r="DF411" s="185"/>
      <c r="DG411" s="185"/>
      <c r="DH411" s="185"/>
      <c r="DI411" s="185"/>
      <c r="DJ411" s="185"/>
      <c r="DK411" s="185"/>
      <c r="DL411" s="185"/>
      <c r="DM411" s="185"/>
      <c r="DN411" s="185"/>
      <c r="DO411" s="229"/>
    </row>
    <row r="412" spans="1:119" x14ac:dyDescent="0.2">
      <c r="A412" s="185"/>
      <c r="B412" s="185"/>
      <c r="C412" s="185"/>
      <c r="D412" s="185"/>
      <c r="E412" s="187"/>
      <c r="F412" s="185"/>
      <c r="G412" s="185"/>
      <c r="H412" s="187"/>
      <c r="I412" s="185"/>
      <c r="J412" s="185"/>
      <c r="K412" s="185"/>
      <c r="L412" s="185"/>
      <c r="M412" s="185"/>
      <c r="N412" s="185"/>
      <c r="O412" s="185"/>
      <c r="P412" s="185"/>
      <c r="Q412" s="185"/>
      <c r="R412" s="185"/>
      <c r="S412" s="185"/>
      <c r="T412" s="185"/>
      <c r="U412" s="185"/>
      <c r="V412" s="185"/>
      <c r="W412" s="185"/>
      <c r="X412" s="186"/>
      <c r="Y412" s="186"/>
      <c r="Z412" s="186"/>
      <c r="AA412" s="186"/>
      <c r="AB412" s="186"/>
      <c r="AC412" s="186"/>
      <c r="AD412" s="186"/>
      <c r="AE412" s="185"/>
      <c r="AF412" s="185"/>
      <c r="AG412" s="185"/>
      <c r="AH412" s="185"/>
      <c r="AI412" s="185"/>
      <c r="AJ412" s="185"/>
      <c r="AK412" s="185"/>
      <c r="AL412" s="185"/>
      <c r="AM412" s="185"/>
      <c r="AN412" s="185"/>
      <c r="AO412" s="185"/>
      <c r="AP412" s="185"/>
      <c r="AQ412" s="185"/>
      <c r="AR412" s="185"/>
      <c r="AS412" s="185"/>
      <c r="AT412" s="185"/>
      <c r="AU412" s="185"/>
      <c r="AV412" s="185"/>
      <c r="AW412" s="185"/>
      <c r="AX412" s="185"/>
      <c r="AY412" s="185"/>
      <c r="AZ412" s="185"/>
      <c r="BA412" s="185"/>
      <c r="BB412" s="185"/>
      <c r="BC412" s="185"/>
      <c r="BD412" s="185"/>
      <c r="BE412" s="185"/>
      <c r="BF412" s="185"/>
      <c r="BG412" s="185"/>
      <c r="BH412" s="185"/>
      <c r="BI412" s="185"/>
      <c r="BJ412" s="185"/>
      <c r="BK412" s="185"/>
      <c r="BL412" s="185"/>
      <c r="BM412" s="185"/>
      <c r="BN412" s="185"/>
      <c r="BO412" s="185"/>
      <c r="BP412" s="185"/>
      <c r="BQ412" s="185"/>
      <c r="BR412" s="185"/>
      <c r="BS412" s="185"/>
      <c r="BT412" s="185"/>
      <c r="BU412" s="185"/>
      <c r="BV412" s="185"/>
      <c r="BW412" s="185"/>
      <c r="BX412" s="185"/>
      <c r="BY412" s="185"/>
      <c r="BZ412" s="185"/>
      <c r="CA412" s="185"/>
      <c r="CB412" s="185"/>
      <c r="CC412" s="185"/>
      <c r="CD412" s="185"/>
      <c r="CE412" s="185"/>
      <c r="CF412" s="185"/>
      <c r="CG412" s="185"/>
      <c r="CH412" s="185"/>
      <c r="CI412" s="185"/>
      <c r="CJ412" s="185"/>
      <c r="CK412" s="185"/>
      <c r="CL412" s="185"/>
      <c r="CM412" s="185"/>
      <c r="CN412" s="185"/>
      <c r="CO412" s="185"/>
      <c r="CP412" s="185"/>
      <c r="CQ412" s="185"/>
      <c r="CR412" s="185"/>
      <c r="CS412" s="185"/>
      <c r="CT412" s="185"/>
      <c r="CU412" s="185"/>
      <c r="CV412" s="185"/>
      <c r="CW412" s="185"/>
      <c r="CX412" s="185"/>
      <c r="CY412" s="185"/>
      <c r="CZ412" s="185"/>
      <c r="DA412" s="185"/>
      <c r="DB412" s="185"/>
      <c r="DC412" s="185"/>
      <c r="DD412" s="185"/>
      <c r="DE412" s="185"/>
      <c r="DF412" s="185"/>
      <c r="DG412" s="185"/>
      <c r="DH412" s="185"/>
      <c r="DI412" s="185"/>
      <c r="DJ412" s="185"/>
      <c r="DK412" s="185"/>
      <c r="DL412" s="185"/>
      <c r="DM412" s="185"/>
      <c r="DN412" s="185"/>
      <c r="DO412" s="229"/>
    </row>
    <row r="413" spans="1:119" x14ac:dyDescent="0.2">
      <c r="A413" s="185"/>
      <c r="B413" s="185"/>
      <c r="C413" s="185"/>
      <c r="D413" s="185"/>
      <c r="E413" s="187"/>
      <c r="F413" s="185"/>
      <c r="G413" s="185"/>
      <c r="H413" s="187"/>
      <c r="I413" s="185"/>
      <c r="J413" s="185"/>
      <c r="K413" s="185"/>
      <c r="L413" s="185"/>
      <c r="M413" s="185"/>
      <c r="N413" s="185"/>
      <c r="O413" s="185"/>
      <c r="P413" s="185"/>
      <c r="Q413" s="185"/>
      <c r="R413" s="185"/>
      <c r="S413" s="185"/>
      <c r="T413" s="185"/>
      <c r="U413" s="185"/>
      <c r="V413" s="185"/>
      <c r="W413" s="185"/>
      <c r="X413" s="186"/>
      <c r="Y413" s="186"/>
      <c r="Z413" s="186"/>
      <c r="AA413" s="186"/>
      <c r="AB413" s="186"/>
      <c r="AC413" s="186"/>
      <c r="AD413" s="186"/>
      <c r="AE413" s="185"/>
      <c r="AF413" s="185"/>
      <c r="AG413" s="185"/>
      <c r="AH413" s="185"/>
      <c r="AI413" s="185"/>
      <c r="AJ413" s="185"/>
      <c r="AK413" s="185"/>
      <c r="AL413" s="185"/>
      <c r="AM413" s="185"/>
      <c r="AN413" s="185"/>
      <c r="AO413" s="185"/>
      <c r="AP413" s="185"/>
      <c r="AQ413" s="185"/>
      <c r="AR413" s="185"/>
      <c r="AS413" s="185"/>
      <c r="AT413" s="185"/>
      <c r="AU413" s="185"/>
      <c r="AV413" s="185"/>
      <c r="AW413" s="185"/>
      <c r="AX413" s="185"/>
      <c r="AY413" s="185"/>
      <c r="AZ413" s="185"/>
      <c r="BA413" s="185"/>
      <c r="BB413" s="185"/>
      <c r="BC413" s="185"/>
      <c r="BD413" s="185"/>
      <c r="BE413" s="185"/>
      <c r="BF413" s="185"/>
      <c r="BG413" s="185"/>
      <c r="BH413" s="185"/>
      <c r="BI413" s="185"/>
      <c r="BJ413" s="185"/>
      <c r="BK413" s="185"/>
      <c r="BL413" s="185"/>
      <c r="BM413" s="185"/>
      <c r="BN413" s="185"/>
      <c r="BO413" s="185"/>
      <c r="BP413" s="185"/>
      <c r="BQ413" s="185"/>
      <c r="BR413" s="185"/>
      <c r="BS413" s="185"/>
      <c r="BT413" s="185"/>
      <c r="BU413" s="185"/>
      <c r="BV413" s="185"/>
      <c r="BW413" s="185"/>
      <c r="BX413" s="185"/>
      <c r="BY413" s="185"/>
      <c r="BZ413" s="185"/>
      <c r="CA413" s="185"/>
      <c r="CB413" s="185"/>
      <c r="CC413" s="185"/>
      <c r="CD413" s="185"/>
      <c r="CE413" s="185"/>
      <c r="CF413" s="185"/>
      <c r="CG413" s="185"/>
      <c r="CH413" s="185"/>
      <c r="CI413" s="185"/>
      <c r="CJ413" s="185"/>
      <c r="CK413" s="185"/>
      <c r="CL413" s="185"/>
      <c r="CM413" s="185"/>
      <c r="CN413" s="185"/>
      <c r="CO413" s="185"/>
      <c r="CP413" s="185"/>
      <c r="CQ413" s="185"/>
      <c r="CR413" s="185"/>
      <c r="CS413" s="185"/>
      <c r="CT413" s="185"/>
      <c r="CU413" s="185"/>
      <c r="CV413" s="185"/>
      <c r="CW413" s="185"/>
      <c r="CX413" s="185"/>
      <c r="CY413" s="185"/>
      <c r="CZ413" s="185"/>
      <c r="DA413" s="185"/>
      <c r="DB413" s="185"/>
      <c r="DC413" s="185"/>
      <c r="DD413" s="185"/>
      <c r="DE413" s="185"/>
      <c r="DF413" s="185"/>
      <c r="DG413" s="185"/>
      <c r="DH413" s="185"/>
      <c r="DI413" s="185"/>
      <c r="DJ413" s="185"/>
      <c r="DK413" s="185"/>
      <c r="DL413" s="185"/>
      <c r="DM413" s="185"/>
      <c r="DN413" s="185"/>
      <c r="DO413" s="229"/>
    </row>
    <row r="414" spans="1:119" x14ac:dyDescent="0.2">
      <c r="A414" s="185"/>
      <c r="B414" s="185"/>
      <c r="C414" s="185"/>
      <c r="D414" s="185"/>
      <c r="E414" s="187"/>
      <c r="F414" s="185"/>
      <c r="G414" s="185"/>
      <c r="H414" s="187"/>
      <c r="I414" s="185"/>
      <c r="J414" s="185"/>
      <c r="K414" s="185"/>
      <c r="L414" s="185"/>
      <c r="M414" s="185"/>
      <c r="N414" s="185"/>
      <c r="O414" s="185"/>
      <c r="P414" s="185"/>
      <c r="Q414" s="185"/>
      <c r="R414" s="185"/>
      <c r="S414" s="185"/>
      <c r="T414" s="185"/>
      <c r="U414" s="185"/>
      <c r="V414" s="185"/>
      <c r="W414" s="185"/>
      <c r="X414" s="186"/>
      <c r="Y414" s="186"/>
      <c r="Z414" s="186"/>
      <c r="AA414" s="186"/>
      <c r="AB414" s="186"/>
      <c r="AC414" s="186"/>
      <c r="AD414" s="186"/>
      <c r="AE414" s="185"/>
      <c r="AF414" s="185"/>
      <c r="AG414" s="185"/>
      <c r="AH414" s="185"/>
      <c r="AI414" s="185"/>
      <c r="AJ414" s="185"/>
      <c r="AK414" s="185"/>
      <c r="AL414" s="185"/>
      <c r="AM414" s="185"/>
      <c r="AN414" s="185"/>
      <c r="AO414" s="185"/>
      <c r="AP414" s="185"/>
      <c r="AQ414" s="185"/>
      <c r="AR414" s="185"/>
      <c r="AS414" s="185"/>
      <c r="AT414" s="185"/>
      <c r="AU414" s="185"/>
      <c r="AV414" s="185"/>
      <c r="AW414" s="185"/>
      <c r="AX414" s="185"/>
      <c r="AY414" s="185"/>
      <c r="AZ414" s="185"/>
      <c r="BA414" s="185"/>
      <c r="BB414" s="185"/>
      <c r="BC414" s="185"/>
      <c r="BD414" s="185"/>
      <c r="BE414" s="185"/>
      <c r="BF414" s="185"/>
      <c r="BG414" s="185"/>
      <c r="BH414" s="185"/>
      <c r="BI414" s="185"/>
      <c r="BJ414" s="185"/>
      <c r="BK414" s="185"/>
      <c r="BL414" s="185"/>
      <c r="BM414" s="185"/>
      <c r="BN414" s="185"/>
      <c r="BO414" s="185"/>
      <c r="BP414" s="185"/>
      <c r="BQ414" s="185"/>
      <c r="BR414" s="185"/>
      <c r="BS414" s="185"/>
      <c r="BT414" s="185"/>
      <c r="BU414" s="185"/>
      <c r="BV414" s="185"/>
      <c r="BW414" s="185"/>
      <c r="BX414" s="185"/>
      <c r="BY414" s="185"/>
      <c r="BZ414" s="185"/>
      <c r="CA414" s="185"/>
      <c r="CB414" s="185"/>
      <c r="CC414" s="185"/>
      <c r="CD414" s="185"/>
      <c r="CE414" s="185"/>
      <c r="CF414" s="185"/>
      <c r="CG414" s="185"/>
      <c r="CH414" s="185"/>
      <c r="CI414" s="185"/>
      <c r="CJ414" s="185"/>
      <c r="CK414" s="185"/>
      <c r="CL414" s="185"/>
      <c r="CM414" s="185"/>
      <c r="CN414" s="185"/>
      <c r="CO414" s="185"/>
      <c r="CP414" s="185"/>
      <c r="CQ414" s="185"/>
      <c r="CR414" s="185"/>
      <c r="CS414" s="185"/>
      <c r="CT414" s="185"/>
      <c r="CU414" s="185"/>
      <c r="CV414" s="185"/>
      <c r="CW414" s="185"/>
      <c r="CX414" s="185"/>
      <c r="CY414" s="185"/>
      <c r="CZ414" s="185"/>
      <c r="DA414" s="185"/>
      <c r="DB414" s="185"/>
      <c r="DC414" s="185"/>
      <c r="DD414" s="185"/>
      <c r="DE414" s="185"/>
      <c r="DF414" s="185"/>
      <c r="DG414" s="185"/>
      <c r="DH414" s="185"/>
      <c r="DI414" s="185"/>
      <c r="DJ414" s="185"/>
      <c r="DK414" s="185"/>
      <c r="DL414" s="185"/>
      <c r="DM414" s="185"/>
      <c r="DN414" s="185"/>
      <c r="DO414" s="229"/>
    </row>
    <row r="415" spans="1:119" x14ac:dyDescent="0.2">
      <c r="A415" s="185"/>
      <c r="B415" s="185"/>
      <c r="C415" s="185"/>
      <c r="D415" s="185"/>
      <c r="E415" s="187"/>
      <c r="F415" s="185"/>
      <c r="G415" s="185"/>
      <c r="H415" s="187"/>
      <c r="I415" s="185"/>
      <c r="J415" s="185"/>
      <c r="K415" s="185"/>
      <c r="L415" s="185"/>
      <c r="M415" s="185"/>
      <c r="N415" s="185"/>
      <c r="O415" s="185"/>
      <c r="P415" s="185"/>
      <c r="Q415" s="185"/>
      <c r="R415" s="185"/>
      <c r="S415" s="185"/>
      <c r="T415" s="185"/>
      <c r="U415" s="185"/>
      <c r="V415" s="185"/>
      <c r="W415" s="185"/>
      <c r="X415" s="186"/>
      <c r="Y415" s="186"/>
      <c r="Z415" s="186"/>
      <c r="AA415" s="186"/>
      <c r="AB415" s="186"/>
      <c r="AC415" s="186"/>
      <c r="AD415" s="186"/>
      <c r="AE415" s="185"/>
      <c r="AF415" s="185"/>
      <c r="AG415" s="185"/>
      <c r="AH415" s="185"/>
      <c r="AI415" s="185"/>
      <c r="AJ415" s="185"/>
      <c r="AK415" s="185"/>
      <c r="AL415" s="185"/>
      <c r="AM415" s="185"/>
      <c r="AN415" s="185"/>
      <c r="AO415" s="185"/>
      <c r="AP415" s="185"/>
      <c r="AQ415" s="185"/>
      <c r="AR415" s="185"/>
      <c r="AS415" s="185"/>
      <c r="AT415" s="185"/>
      <c r="AU415" s="185"/>
      <c r="AV415" s="185"/>
      <c r="AW415" s="185"/>
      <c r="AX415" s="185"/>
      <c r="AY415" s="185"/>
      <c r="AZ415" s="185"/>
      <c r="BA415" s="185"/>
      <c r="BB415" s="185"/>
      <c r="BC415" s="185"/>
      <c r="BD415" s="185"/>
      <c r="BE415" s="185"/>
      <c r="BF415" s="185"/>
      <c r="BG415" s="185"/>
      <c r="BH415" s="185"/>
      <c r="BI415" s="185"/>
      <c r="BJ415" s="185"/>
      <c r="BK415" s="185"/>
      <c r="BL415" s="185"/>
      <c r="BM415" s="185"/>
      <c r="BN415" s="185"/>
      <c r="BO415" s="185"/>
      <c r="BP415" s="185"/>
      <c r="BQ415" s="185"/>
      <c r="BR415" s="185"/>
      <c r="BS415" s="185"/>
      <c r="BT415" s="185"/>
      <c r="BU415" s="185"/>
      <c r="BV415" s="185"/>
      <c r="BW415" s="185"/>
      <c r="BX415" s="185"/>
      <c r="BY415" s="185"/>
      <c r="BZ415" s="185"/>
      <c r="CA415" s="185"/>
      <c r="CB415" s="185"/>
      <c r="CC415" s="185"/>
      <c r="CD415" s="185"/>
      <c r="CE415" s="185"/>
      <c r="CF415" s="185"/>
      <c r="CG415" s="185"/>
      <c r="CH415" s="185"/>
      <c r="CI415" s="185"/>
      <c r="CJ415" s="185"/>
      <c r="CK415" s="185"/>
      <c r="CL415" s="185"/>
      <c r="CM415" s="185"/>
      <c r="CN415" s="185"/>
      <c r="CO415" s="185"/>
      <c r="CP415" s="185"/>
      <c r="CQ415" s="185"/>
      <c r="CR415" s="185"/>
      <c r="CS415" s="185"/>
      <c r="CT415" s="185"/>
      <c r="CU415" s="185"/>
      <c r="CV415" s="185"/>
      <c r="CW415" s="185"/>
      <c r="CX415" s="185"/>
      <c r="CY415" s="185"/>
      <c r="CZ415" s="185"/>
      <c r="DA415" s="185"/>
      <c r="DB415" s="185"/>
      <c r="DC415" s="185"/>
      <c r="DD415" s="185"/>
      <c r="DE415" s="185"/>
      <c r="DF415" s="185"/>
      <c r="DG415" s="185"/>
      <c r="DH415" s="185"/>
      <c r="DI415" s="185"/>
      <c r="DJ415" s="185"/>
      <c r="DK415" s="185"/>
      <c r="DL415" s="185"/>
      <c r="DM415" s="185"/>
      <c r="DN415" s="185"/>
      <c r="DO415" s="229"/>
    </row>
    <row r="416" spans="1:119" x14ac:dyDescent="0.2">
      <c r="A416" s="185"/>
      <c r="B416" s="185"/>
      <c r="C416" s="185"/>
      <c r="D416" s="185"/>
      <c r="E416" s="187"/>
      <c r="F416" s="185"/>
      <c r="G416" s="185"/>
      <c r="H416" s="187"/>
      <c r="I416" s="185"/>
      <c r="J416" s="185"/>
      <c r="K416" s="185"/>
      <c r="L416" s="185"/>
      <c r="M416" s="185"/>
      <c r="N416" s="185"/>
      <c r="O416" s="185"/>
      <c r="P416" s="185"/>
      <c r="Q416" s="185"/>
      <c r="R416" s="185"/>
      <c r="S416" s="185"/>
      <c r="T416" s="185"/>
      <c r="U416" s="185"/>
      <c r="V416" s="185"/>
      <c r="W416" s="185"/>
      <c r="X416" s="186"/>
      <c r="Y416" s="186"/>
      <c r="Z416" s="186"/>
      <c r="AA416" s="186"/>
      <c r="AB416" s="186"/>
      <c r="AC416" s="186"/>
      <c r="AD416" s="186"/>
      <c r="AE416" s="185"/>
      <c r="AF416" s="185"/>
      <c r="AG416" s="185"/>
      <c r="AH416" s="185"/>
      <c r="AI416" s="185"/>
      <c r="AJ416" s="185"/>
      <c r="AK416" s="185"/>
      <c r="AL416" s="185"/>
      <c r="AM416" s="185"/>
      <c r="AN416" s="185"/>
      <c r="AO416" s="185"/>
      <c r="AP416" s="185"/>
      <c r="AQ416" s="185"/>
      <c r="AR416" s="185"/>
      <c r="AS416" s="185"/>
      <c r="AT416" s="185"/>
      <c r="AU416" s="185"/>
      <c r="AV416" s="185"/>
      <c r="AW416" s="185"/>
      <c r="AX416" s="185"/>
      <c r="AY416" s="185"/>
      <c r="AZ416" s="185"/>
      <c r="BA416" s="185"/>
      <c r="BB416" s="185"/>
      <c r="BC416" s="185"/>
      <c r="BD416" s="185"/>
      <c r="BE416" s="185"/>
      <c r="BF416" s="185"/>
      <c r="BG416" s="185"/>
      <c r="BH416" s="185"/>
      <c r="BI416" s="185"/>
      <c r="BJ416" s="185"/>
      <c r="BK416" s="185"/>
      <c r="BL416" s="185"/>
      <c r="BM416" s="185"/>
      <c r="BN416" s="185"/>
      <c r="BO416" s="185"/>
      <c r="BP416" s="185"/>
      <c r="BQ416" s="185"/>
      <c r="BR416" s="185"/>
      <c r="BS416" s="185"/>
      <c r="BT416" s="185"/>
      <c r="BU416" s="185"/>
      <c r="BV416" s="185"/>
      <c r="BW416" s="185"/>
      <c r="BX416" s="185"/>
      <c r="BY416" s="185"/>
      <c r="BZ416" s="185"/>
      <c r="CA416" s="185"/>
      <c r="CB416" s="185"/>
      <c r="CC416" s="185"/>
      <c r="CD416" s="185"/>
      <c r="CE416" s="185"/>
      <c r="CF416" s="185"/>
      <c r="CG416" s="185"/>
      <c r="CH416" s="185"/>
      <c r="CI416" s="185"/>
      <c r="CJ416" s="185"/>
      <c r="CK416" s="185"/>
      <c r="CL416" s="185"/>
      <c r="CM416" s="185"/>
      <c r="CN416" s="185"/>
      <c r="CO416" s="185"/>
      <c r="CP416" s="185"/>
      <c r="CQ416" s="185"/>
      <c r="CR416" s="185"/>
      <c r="CS416" s="185"/>
      <c r="CT416" s="185"/>
      <c r="CU416" s="185"/>
      <c r="CV416" s="185"/>
      <c r="CW416" s="185"/>
      <c r="CX416" s="185"/>
      <c r="CY416" s="185"/>
      <c r="CZ416" s="185"/>
      <c r="DA416" s="185"/>
      <c r="DB416" s="185"/>
      <c r="DC416" s="185"/>
      <c r="DD416" s="185"/>
      <c r="DE416" s="185"/>
      <c r="DF416" s="185"/>
      <c r="DG416" s="185"/>
      <c r="DH416" s="185"/>
      <c r="DI416" s="185"/>
      <c r="DJ416" s="185"/>
      <c r="DK416" s="185"/>
      <c r="DL416" s="185"/>
      <c r="DM416" s="185"/>
      <c r="DN416" s="185"/>
      <c r="DO416" s="229"/>
    </row>
    <row r="417" spans="1:119" x14ac:dyDescent="0.2">
      <c r="A417" s="185"/>
      <c r="B417" s="185"/>
      <c r="C417" s="185"/>
      <c r="D417" s="185"/>
      <c r="E417" s="187"/>
      <c r="F417" s="185"/>
      <c r="G417" s="185"/>
      <c r="H417" s="187"/>
      <c r="I417" s="185"/>
      <c r="J417" s="185"/>
      <c r="K417" s="185"/>
      <c r="L417" s="185"/>
      <c r="M417" s="185"/>
      <c r="N417" s="185"/>
      <c r="O417" s="185"/>
      <c r="P417" s="185"/>
      <c r="Q417" s="185"/>
      <c r="R417" s="185"/>
      <c r="S417" s="185"/>
      <c r="T417" s="185"/>
      <c r="U417" s="185"/>
      <c r="V417" s="185"/>
      <c r="W417" s="185"/>
      <c r="X417" s="186"/>
      <c r="Y417" s="186"/>
      <c r="Z417" s="186"/>
      <c r="AA417" s="186"/>
      <c r="AB417" s="186"/>
      <c r="AC417" s="186"/>
      <c r="AD417" s="186"/>
      <c r="AE417" s="185"/>
      <c r="AF417" s="185"/>
      <c r="AG417" s="185"/>
      <c r="AH417" s="185"/>
      <c r="AI417" s="185"/>
      <c r="AJ417" s="185"/>
      <c r="AK417" s="185"/>
      <c r="AL417" s="185"/>
      <c r="AM417" s="185"/>
      <c r="AN417" s="185"/>
      <c r="AO417" s="185"/>
      <c r="AP417" s="185"/>
      <c r="AQ417" s="185"/>
      <c r="AR417" s="185"/>
      <c r="AS417" s="185"/>
      <c r="AT417" s="185"/>
      <c r="AU417" s="185"/>
      <c r="AV417" s="185"/>
      <c r="AW417" s="185"/>
      <c r="AX417" s="185"/>
      <c r="AY417" s="185"/>
      <c r="AZ417" s="185"/>
      <c r="BA417" s="185"/>
      <c r="BB417" s="185"/>
      <c r="BC417" s="185"/>
      <c r="BD417" s="185"/>
      <c r="BE417" s="185"/>
      <c r="BF417" s="185"/>
      <c r="BG417" s="185"/>
      <c r="BH417" s="185"/>
      <c r="BI417" s="185"/>
      <c r="BJ417" s="185"/>
      <c r="BK417" s="185"/>
      <c r="BL417" s="185"/>
      <c r="BM417" s="185"/>
      <c r="BN417" s="185"/>
      <c r="BO417" s="185"/>
      <c r="BP417" s="185"/>
      <c r="BQ417" s="185"/>
      <c r="BR417" s="185"/>
      <c r="BS417" s="185"/>
      <c r="BT417" s="185"/>
      <c r="BU417" s="185"/>
      <c r="BV417" s="185"/>
      <c r="BW417" s="185"/>
      <c r="BX417" s="185"/>
      <c r="BY417" s="185"/>
      <c r="BZ417" s="185"/>
      <c r="CA417" s="185"/>
      <c r="CB417" s="185"/>
      <c r="CC417" s="185"/>
      <c r="CD417" s="185"/>
      <c r="CE417" s="185"/>
      <c r="CF417" s="185"/>
      <c r="CG417" s="185"/>
      <c r="CH417" s="185"/>
      <c r="CI417" s="185"/>
      <c r="CJ417" s="185"/>
      <c r="CK417" s="185"/>
      <c r="CL417" s="185"/>
      <c r="CM417" s="185"/>
      <c r="CN417" s="185"/>
      <c r="CO417" s="185"/>
      <c r="CP417" s="185"/>
      <c r="CQ417" s="185"/>
      <c r="CR417" s="185"/>
      <c r="CS417" s="185"/>
      <c r="CT417" s="185"/>
      <c r="CU417" s="185"/>
      <c r="CV417" s="185"/>
      <c r="CW417" s="185"/>
      <c r="CX417" s="185"/>
      <c r="CY417" s="185"/>
      <c r="CZ417" s="185"/>
      <c r="DA417" s="185"/>
      <c r="DB417" s="185"/>
      <c r="DC417" s="185"/>
      <c r="DD417" s="185"/>
      <c r="DE417" s="185"/>
      <c r="DF417" s="185"/>
      <c r="DG417" s="185"/>
      <c r="DH417" s="185"/>
      <c r="DI417" s="185"/>
      <c r="DJ417" s="185"/>
      <c r="DK417" s="185"/>
      <c r="DL417" s="185"/>
      <c r="DM417" s="185"/>
      <c r="DN417" s="185"/>
      <c r="DO417" s="229"/>
    </row>
    <row r="418" spans="1:119" x14ac:dyDescent="0.2">
      <c r="A418" s="185"/>
      <c r="B418" s="185"/>
      <c r="C418" s="185"/>
      <c r="D418" s="185"/>
      <c r="E418" s="187"/>
      <c r="F418" s="185"/>
      <c r="G418" s="185"/>
      <c r="H418" s="187"/>
      <c r="I418" s="185"/>
      <c r="J418" s="185"/>
      <c r="K418" s="185"/>
      <c r="L418" s="185"/>
      <c r="M418" s="185"/>
      <c r="N418" s="185"/>
      <c r="O418" s="185"/>
      <c r="P418" s="185"/>
      <c r="Q418" s="185"/>
      <c r="R418" s="185"/>
      <c r="S418" s="185"/>
      <c r="T418" s="185"/>
      <c r="U418" s="185"/>
      <c r="V418" s="185"/>
      <c r="W418" s="185"/>
      <c r="X418" s="186"/>
      <c r="Y418" s="186"/>
      <c r="Z418" s="186"/>
      <c r="AA418" s="186"/>
      <c r="AB418" s="186"/>
      <c r="AC418" s="186"/>
      <c r="AD418" s="186"/>
      <c r="AE418" s="185"/>
      <c r="AF418" s="185"/>
      <c r="AG418" s="185"/>
      <c r="AH418" s="185"/>
      <c r="AI418" s="185"/>
      <c r="AJ418" s="185"/>
      <c r="AK418" s="185"/>
      <c r="AL418" s="185"/>
      <c r="AM418" s="185"/>
      <c r="AN418" s="185"/>
      <c r="AO418" s="185"/>
      <c r="AP418" s="185"/>
      <c r="AQ418" s="185"/>
      <c r="AR418" s="185"/>
      <c r="AS418" s="185"/>
      <c r="AT418" s="185"/>
      <c r="AU418" s="185"/>
      <c r="AV418" s="185"/>
      <c r="AW418" s="185"/>
      <c r="AX418" s="185"/>
      <c r="AY418" s="185"/>
      <c r="AZ418" s="185"/>
      <c r="BA418" s="185"/>
      <c r="BB418" s="185"/>
      <c r="BC418" s="185"/>
      <c r="BD418" s="185"/>
      <c r="BE418" s="185"/>
      <c r="BF418" s="185"/>
      <c r="BG418" s="185"/>
      <c r="BH418" s="185"/>
      <c r="BI418" s="185"/>
      <c r="BJ418" s="185"/>
      <c r="BK418" s="185"/>
      <c r="BL418" s="185"/>
      <c r="BM418" s="185"/>
      <c r="BN418" s="185"/>
      <c r="BO418" s="185"/>
      <c r="BP418" s="185"/>
      <c r="BQ418" s="185"/>
      <c r="BR418" s="185"/>
      <c r="BS418" s="185"/>
      <c r="BT418" s="185"/>
      <c r="BU418" s="185"/>
      <c r="BV418" s="185"/>
      <c r="BW418" s="185"/>
      <c r="BX418" s="185"/>
      <c r="BY418" s="185"/>
      <c r="BZ418" s="185"/>
      <c r="CA418" s="185"/>
      <c r="CB418" s="185"/>
      <c r="CC418" s="185"/>
      <c r="CD418" s="185"/>
      <c r="CE418" s="185"/>
      <c r="CF418" s="185"/>
      <c r="CG418" s="185"/>
      <c r="CH418" s="185"/>
      <c r="CI418" s="185"/>
      <c r="CJ418" s="185"/>
      <c r="CK418" s="185"/>
      <c r="CL418" s="185"/>
      <c r="CM418" s="185"/>
      <c r="CN418" s="185"/>
      <c r="CO418" s="185"/>
      <c r="CP418" s="185"/>
      <c r="CQ418" s="185"/>
      <c r="CR418" s="185"/>
      <c r="CS418" s="185"/>
      <c r="CT418" s="185"/>
      <c r="CU418" s="185"/>
      <c r="CV418" s="185"/>
      <c r="CW418" s="185"/>
      <c r="CX418" s="185"/>
      <c r="CY418" s="185"/>
      <c r="CZ418" s="185"/>
      <c r="DA418" s="185"/>
      <c r="DB418" s="185"/>
      <c r="DC418" s="185"/>
      <c r="DD418" s="185"/>
      <c r="DE418" s="185"/>
      <c r="DF418" s="185"/>
      <c r="DG418" s="185"/>
      <c r="DH418" s="185"/>
      <c r="DI418" s="185"/>
      <c r="DJ418" s="185"/>
      <c r="DK418" s="185"/>
      <c r="DL418" s="185"/>
      <c r="DM418" s="185"/>
      <c r="DN418" s="185"/>
      <c r="DO418" s="229"/>
    </row>
    <row r="419" spans="1:119" x14ac:dyDescent="0.2">
      <c r="A419" s="185"/>
      <c r="B419" s="185"/>
      <c r="C419" s="185"/>
      <c r="D419" s="185"/>
      <c r="E419" s="187"/>
      <c r="F419" s="185"/>
      <c r="G419" s="185"/>
      <c r="H419" s="187"/>
      <c r="I419" s="185"/>
      <c r="J419" s="185"/>
      <c r="K419" s="185"/>
      <c r="L419" s="185"/>
      <c r="M419" s="185"/>
      <c r="N419" s="185"/>
      <c r="O419" s="185"/>
      <c r="P419" s="185"/>
      <c r="Q419" s="185"/>
      <c r="R419" s="185"/>
      <c r="S419" s="185"/>
      <c r="T419" s="185"/>
      <c r="U419" s="185"/>
      <c r="V419" s="185"/>
      <c r="W419" s="185"/>
      <c r="X419" s="186"/>
      <c r="Y419" s="186"/>
      <c r="Z419" s="186"/>
      <c r="AA419" s="186"/>
      <c r="AB419" s="186"/>
      <c r="AC419" s="186"/>
      <c r="AD419" s="186"/>
      <c r="AE419" s="185"/>
      <c r="AF419" s="185"/>
      <c r="AG419" s="185"/>
      <c r="AH419" s="185"/>
      <c r="AI419" s="185"/>
      <c r="AJ419" s="185"/>
      <c r="AK419" s="185"/>
      <c r="AL419" s="185"/>
      <c r="AM419" s="185"/>
      <c r="AN419" s="185"/>
      <c r="AO419" s="185"/>
      <c r="AP419" s="185"/>
      <c r="AQ419" s="185"/>
      <c r="AR419" s="185"/>
      <c r="AS419" s="185"/>
      <c r="AT419" s="185"/>
      <c r="AU419" s="185"/>
      <c r="AV419" s="185"/>
      <c r="AW419" s="185"/>
      <c r="AX419" s="185"/>
      <c r="AY419" s="185"/>
      <c r="AZ419" s="185"/>
      <c r="BA419" s="185"/>
      <c r="BB419" s="185"/>
      <c r="BC419" s="185"/>
      <c r="BD419" s="185"/>
      <c r="BE419" s="185"/>
      <c r="BF419" s="185"/>
      <c r="BG419" s="185"/>
      <c r="BH419" s="185"/>
      <c r="BI419" s="185"/>
      <c r="BJ419" s="185"/>
      <c r="BK419" s="185"/>
      <c r="BL419" s="185"/>
      <c r="BM419" s="185"/>
      <c r="BN419" s="185"/>
      <c r="BO419" s="185"/>
      <c r="BP419" s="185"/>
      <c r="BQ419" s="185"/>
      <c r="BR419" s="185"/>
      <c r="BS419" s="185"/>
      <c r="BT419" s="185"/>
      <c r="BU419" s="185"/>
      <c r="BV419" s="185"/>
      <c r="BW419" s="185"/>
      <c r="BX419" s="185"/>
      <c r="BY419" s="185"/>
      <c r="BZ419" s="185"/>
      <c r="CA419" s="185"/>
      <c r="CB419" s="185"/>
      <c r="CC419" s="185"/>
      <c r="CD419" s="185"/>
      <c r="CE419" s="185"/>
      <c r="CF419" s="185"/>
      <c r="CG419" s="185"/>
      <c r="CH419" s="185"/>
      <c r="CI419" s="185"/>
      <c r="CJ419" s="185"/>
      <c r="CK419" s="185"/>
      <c r="CL419" s="185"/>
      <c r="CM419" s="185"/>
      <c r="CN419" s="185"/>
      <c r="CO419" s="185"/>
      <c r="CP419" s="185"/>
      <c r="CQ419" s="185"/>
      <c r="CR419" s="185"/>
      <c r="CS419" s="185"/>
      <c r="CT419" s="185"/>
      <c r="CU419" s="185"/>
      <c r="CV419" s="185"/>
      <c r="CW419" s="185"/>
      <c r="CX419" s="185"/>
      <c r="CY419" s="185"/>
      <c r="CZ419" s="185"/>
      <c r="DA419" s="185"/>
      <c r="DB419" s="185"/>
      <c r="DC419" s="185"/>
      <c r="DD419" s="185"/>
      <c r="DE419" s="185"/>
      <c r="DF419" s="185"/>
      <c r="DG419" s="185"/>
      <c r="DH419" s="185"/>
      <c r="DI419" s="185"/>
      <c r="DJ419" s="185"/>
      <c r="DK419" s="185"/>
      <c r="DL419" s="185"/>
      <c r="DM419" s="185"/>
      <c r="DN419" s="185"/>
      <c r="DO419" s="229"/>
    </row>
    <row r="420" spans="1:119" x14ac:dyDescent="0.2">
      <c r="A420" s="185"/>
      <c r="B420" s="185"/>
      <c r="C420" s="185"/>
      <c r="D420" s="185"/>
      <c r="E420" s="187"/>
      <c r="F420" s="185"/>
      <c r="G420" s="185"/>
      <c r="H420" s="187"/>
      <c r="I420" s="185"/>
      <c r="J420" s="185"/>
      <c r="K420" s="185"/>
      <c r="L420" s="185"/>
      <c r="M420" s="185"/>
      <c r="N420" s="185"/>
      <c r="O420" s="185"/>
      <c r="P420" s="185"/>
      <c r="Q420" s="185"/>
      <c r="R420" s="185"/>
      <c r="S420" s="185"/>
      <c r="T420" s="185"/>
      <c r="U420" s="185"/>
      <c r="V420" s="185"/>
      <c r="W420" s="185"/>
      <c r="X420" s="186"/>
      <c r="Y420" s="186"/>
      <c r="Z420" s="186"/>
      <c r="AA420" s="186"/>
      <c r="AB420" s="186"/>
      <c r="AC420" s="186"/>
      <c r="AD420" s="186"/>
      <c r="AE420" s="185"/>
      <c r="AF420" s="185"/>
      <c r="AG420" s="185"/>
      <c r="AH420" s="185"/>
      <c r="AI420" s="185"/>
      <c r="AJ420" s="185"/>
      <c r="AK420" s="185"/>
      <c r="AL420" s="185"/>
      <c r="AM420" s="185"/>
      <c r="AN420" s="185"/>
      <c r="AO420" s="185"/>
      <c r="AP420" s="185"/>
      <c r="AQ420" s="185"/>
      <c r="AR420" s="185"/>
      <c r="AS420" s="185"/>
      <c r="AT420" s="185"/>
      <c r="AU420" s="185"/>
      <c r="AV420" s="185"/>
      <c r="AW420" s="185"/>
      <c r="AX420" s="185"/>
      <c r="AY420" s="185"/>
      <c r="AZ420" s="185"/>
      <c r="BA420" s="185"/>
      <c r="BB420" s="185"/>
      <c r="BC420" s="185"/>
      <c r="BD420" s="185"/>
      <c r="BE420" s="185"/>
      <c r="BF420" s="185"/>
      <c r="BG420" s="185"/>
      <c r="BH420" s="185"/>
      <c r="BI420" s="185"/>
      <c r="BJ420" s="185"/>
      <c r="BK420" s="185"/>
      <c r="BL420" s="185"/>
      <c r="BM420" s="185"/>
      <c r="BN420" s="185"/>
      <c r="BO420" s="185"/>
      <c r="BP420" s="185"/>
      <c r="BQ420" s="185"/>
      <c r="BR420" s="185"/>
      <c r="BS420" s="185"/>
      <c r="BT420" s="185"/>
      <c r="BU420" s="185"/>
      <c r="BV420" s="185"/>
      <c r="BW420" s="185"/>
      <c r="BX420" s="185"/>
      <c r="BY420" s="185"/>
      <c r="BZ420" s="185"/>
      <c r="CA420" s="185"/>
      <c r="CB420" s="185"/>
      <c r="CC420" s="185"/>
      <c r="CD420" s="185"/>
      <c r="CE420" s="185"/>
      <c r="CF420" s="185"/>
      <c r="CG420" s="185"/>
      <c r="CH420" s="185"/>
      <c r="CI420" s="185"/>
      <c r="CJ420" s="185"/>
      <c r="CK420" s="185"/>
      <c r="CL420" s="185"/>
      <c r="CM420" s="185"/>
      <c r="CN420" s="185"/>
      <c r="CO420" s="185"/>
      <c r="CP420" s="185"/>
      <c r="CQ420" s="185"/>
      <c r="CR420" s="185"/>
      <c r="CS420" s="185"/>
      <c r="CT420" s="185"/>
      <c r="CU420" s="185"/>
      <c r="CV420" s="185"/>
      <c r="CW420" s="185"/>
      <c r="CX420" s="185"/>
      <c r="CY420" s="185"/>
      <c r="CZ420" s="185"/>
      <c r="DA420" s="185"/>
      <c r="DB420" s="185"/>
      <c r="DC420" s="185"/>
      <c r="DD420" s="185"/>
      <c r="DE420" s="185"/>
      <c r="DF420" s="185"/>
      <c r="DG420" s="185"/>
      <c r="DH420" s="185"/>
      <c r="DI420" s="185"/>
      <c r="DJ420" s="185"/>
      <c r="DK420" s="185"/>
      <c r="DL420" s="185"/>
      <c r="DM420" s="185"/>
      <c r="DN420" s="185"/>
      <c r="DO420" s="229"/>
    </row>
    <row r="421" spans="1:119" x14ac:dyDescent="0.2">
      <c r="A421" s="185"/>
      <c r="B421" s="185"/>
      <c r="C421" s="185"/>
      <c r="D421" s="185"/>
      <c r="E421" s="187"/>
      <c r="F421" s="185"/>
      <c r="G421" s="185"/>
      <c r="H421" s="187"/>
      <c r="I421" s="185"/>
      <c r="J421" s="185"/>
      <c r="K421" s="185"/>
      <c r="L421" s="185"/>
      <c r="M421" s="185"/>
      <c r="N421" s="185"/>
      <c r="O421" s="185"/>
      <c r="P421" s="185"/>
      <c r="Q421" s="185"/>
      <c r="R421" s="185"/>
      <c r="S421" s="185"/>
      <c r="T421" s="185"/>
      <c r="U421" s="185"/>
      <c r="V421" s="185"/>
      <c r="W421" s="185"/>
      <c r="X421" s="186"/>
      <c r="Y421" s="186"/>
      <c r="Z421" s="186"/>
      <c r="AA421" s="186"/>
      <c r="AB421" s="186"/>
      <c r="AC421" s="186"/>
      <c r="AD421" s="186"/>
      <c r="AE421" s="185"/>
      <c r="AF421" s="185"/>
      <c r="AG421" s="185"/>
      <c r="AH421" s="185"/>
      <c r="AI421" s="185"/>
      <c r="AJ421" s="185"/>
      <c r="AK421" s="185"/>
      <c r="AL421" s="185"/>
      <c r="AM421" s="185"/>
      <c r="AN421" s="185"/>
      <c r="AO421" s="185"/>
      <c r="AP421" s="185"/>
      <c r="AQ421" s="185"/>
      <c r="AR421" s="185"/>
      <c r="AS421" s="185"/>
      <c r="AT421" s="185"/>
      <c r="AU421" s="185"/>
      <c r="AV421" s="185"/>
      <c r="AW421" s="185"/>
      <c r="AX421" s="185"/>
      <c r="AY421" s="185"/>
      <c r="AZ421" s="185"/>
      <c r="BA421" s="185"/>
      <c r="BB421" s="185"/>
      <c r="BC421" s="185"/>
      <c r="BD421" s="185"/>
      <c r="BE421" s="185"/>
      <c r="BF421" s="185"/>
      <c r="BG421" s="185"/>
      <c r="BH421" s="185"/>
      <c r="BI421" s="185"/>
      <c r="BJ421" s="185"/>
      <c r="BK421" s="185"/>
      <c r="BL421" s="185"/>
      <c r="BM421" s="185"/>
      <c r="BN421" s="185"/>
      <c r="BO421" s="185"/>
      <c r="BP421" s="185"/>
      <c r="BQ421" s="185"/>
      <c r="BR421" s="185"/>
      <c r="BS421" s="185"/>
      <c r="BT421" s="185"/>
      <c r="BU421" s="185"/>
      <c r="BV421" s="185"/>
      <c r="BW421" s="185"/>
      <c r="BX421" s="185"/>
      <c r="BY421" s="185"/>
      <c r="BZ421" s="185"/>
      <c r="CA421" s="185"/>
      <c r="CB421" s="185"/>
      <c r="CC421" s="185"/>
      <c r="CD421" s="185"/>
      <c r="CE421" s="185"/>
      <c r="CF421" s="185"/>
      <c r="CG421" s="185"/>
      <c r="CH421" s="185"/>
      <c r="CI421" s="185"/>
      <c r="CJ421" s="185"/>
      <c r="CK421" s="185"/>
      <c r="CL421" s="185"/>
      <c r="CM421" s="185"/>
      <c r="CN421" s="185"/>
      <c r="CO421" s="185"/>
      <c r="CP421" s="185"/>
      <c r="CQ421" s="185"/>
      <c r="CR421" s="185"/>
      <c r="CS421" s="185"/>
      <c r="CT421" s="185"/>
      <c r="CU421" s="185"/>
      <c r="CV421" s="185"/>
      <c r="CW421" s="185"/>
      <c r="CX421" s="185"/>
      <c r="CY421" s="185"/>
      <c r="CZ421" s="185"/>
      <c r="DA421" s="185"/>
      <c r="DB421" s="185"/>
      <c r="DC421" s="185"/>
      <c r="DD421" s="185"/>
      <c r="DE421" s="185"/>
      <c r="DF421" s="185"/>
      <c r="DG421" s="185"/>
      <c r="DH421" s="185"/>
      <c r="DI421" s="185"/>
      <c r="DJ421" s="185"/>
      <c r="DK421" s="185"/>
      <c r="DL421" s="185"/>
      <c r="DM421" s="185"/>
      <c r="DN421" s="185"/>
      <c r="DO421" s="229"/>
    </row>
    <row r="422" spans="1:119" x14ac:dyDescent="0.2">
      <c r="A422" s="185"/>
      <c r="B422" s="185"/>
      <c r="C422" s="185"/>
      <c r="D422" s="185"/>
      <c r="E422" s="187"/>
      <c r="F422" s="185"/>
      <c r="G422" s="185"/>
      <c r="H422" s="187"/>
      <c r="I422" s="185"/>
      <c r="J422" s="185"/>
      <c r="K422" s="185"/>
      <c r="L422" s="185"/>
      <c r="M422" s="185"/>
      <c r="N422" s="185"/>
      <c r="O422" s="185"/>
      <c r="P422" s="185"/>
      <c r="Q422" s="185"/>
      <c r="R422" s="185"/>
      <c r="S422" s="185"/>
      <c r="T422" s="185"/>
      <c r="U422" s="185"/>
      <c r="V422" s="185"/>
      <c r="W422" s="185"/>
      <c r="X422" s="186"/>
      <c r="Y422" s="186"/>
      <c r="Z422" s="186"/>
      <c r="AA422" s="186"/>
      <c r="AB422" s="186"/>
      <c r="AC422" s="186"/>
      <c r="AD422" s="186"/>
      <c r="AE422" s="185"/>
      <c r="AF422" s="185"/>
      <c r="AG422" s="185"/>
      <c r="AH422" s="185"/>
      <c r="AI422" s="185"/>
      <c r="AJ422" s="185"/>
      <c r="AK422" s="185"/>
      <c r="AL422" s="185"/>
      <c r="AM422" s="185"/>
      <c r="AN422" s="185"/>
      <c r="AO422" s="185"/>
      <c r="AP422" s="185"/>
      <c r="AQ422" s="185"/>
      <c r="AR422" s="185"/>
      <c r="AS422" s="185"/>
      <c r="AT422" s="185"/>
      <c r="AU422" s="185"/>
      <c r="AV422" s="185"/>
      <c r="AW422" s="185"/>
      <c r="AX422" s="185"/>
      <c r="AY422" s="185"/>
      <c r="AZ422" s="185"/>
      <c r="BA422" s="185"/>
      <c r="BB422" s="185"/>
      <c r="BC422" s="185"/>
      <c r="BD422" s="185"/>
      <c r="BE422" s="185"/>
      <c r="BF422" s="185"/>
      <c r="BG422" s="185"/>
      <c r="BH422" s="185"/>
      <c r="BI422" s="185"/>
      <c r="BJ422" s="185"/>
      <c r="BK422" s="185"/>
      <c r="BL422" s="185"/>
      <c r="BM422" s="185"/>
      <c r="BN422" s="185"/>
      <c r="BO422" s="185"/>
      <c r="BP422" s="185"/>
      <c r="BQ422" s="185"/>
      <c r="BR422" s="185"/>
      <c r="BS422" s="185"/>
      <c r="BT422" s="185"/>
      <c r="BU422" s="185"/>
      <c r="BV422" s="185"/>
      <c r="BW422" s="185"/>
      <c r="BX422" s="185"/>
      <c r="BY422" s="185"/>
      <c r="BZ422" s="185"/>
      <c r="CA422" s="185"/>
      <c r="CB422" s="185"/>
      <c r="CC422" s="185"/>
      <c r="CD422" s="185"/>
      <c r="CE422" s="185"/>
      <c r="CF422" s="185"/>
      <c r="CG422" s="185"/>
      <c r="CH422" s="185"/>
      <c r="CI422" s="185"/>
      <c r="CJ422" s="185"/>
      <c r="CK422" s="185"/>
      <c r="CL422" s="185"/>
      <c r="CM422" s="185"/>
      <c r="CN422" s="185"/>
      <c r="CO422" s="185"/>
      <c r="CP422" s="185"/>
      <c r="CQ422" s="185"/>
      <c r="CR422" s="185"/>
      <c r="CS422" s="185"/>
      <c r="CT422" s="185"/>
      <c r="CU422" s="185"/>
      <c r="CV422" s="185"/>
      <c r="CW422" s="185"/>
      <c r="CX422" s="185"/>
      <c r="CY422" s="185"/>
      <c r="CZ422" s="185"/>
      <c r="DA422" s="185"/>
      <c r="DB422" s="185"/>
      <c r="DC422" s="185"/>
      <c r="DD422" s="185"/>
      <c r="DE422" s="185"/>
      <c r="DF422" s="185"/>
      <c r="DG422" s="185"/>
      <c r="DH422" s="185"/>
      <c r="DI422" s="185"/>
      <c r="DJ422" s="185"/>
      <c r="DK422" s="185"/>
      <c r="DL422" s="185"/>
      <c r="DM422" s="185"/>
      <c r="DN422" s="185"/>
      <c r="DO422" s="229"/>
    </row>
    <row r="423" spans="1:119" x14ac:dyDescent="0.2">
      <c r="A423" s="185"/>
      <c r="B423" s="185"/>
      <c r="C423" s="185"/>
      <c r="D423" s="185"/>
      <c r="E423" s="187"/>
      <c r="F423" s="185"/>
      <c r="G423" s="185"/>
      <c r="H423" s="187"/>
      <c r="I423" s="185"/>
      <c r="J423" s="185"/>
      <c r="K423" s="185"/>
      <c r="L423" s="185"/>
      <c r="M423" s="185"/>
      <c r="N423" s="185"/>
      <c r="O423" s="185"/>
      <c r="P423" s="185"/>
      <c r="Q423" s="185"/>
      <c r="R423" s="185"/>
      <c r="S423" s="185"/>
      <c r="T423" s="185"/>
      <c r="U423" s="185"/>
      <c r="V423" s="185"/>
      <c r="W423" s="185"/>
      <c r="X423" s="186"/>
      <c r="Y423" s="186"/>
      <c r="Z423" s="186"/>
      <c r="AA423" s="186"/>
      <c r="AB423" s="186"/>
      <c r="AC423" s="186"/>
      <c r="AD423" s="186"/>
      <c r="AE423" s="185"/>
      <c r="AF423" s="185"/>
      <c r="AG423" s="185"/>
      <c r="AH423" s="185"/>
      <c r="AI423" s="185"/>
      <c r="AJ423" s="185"/>
      <c r="AK423" s="185"/>
      <c r="AL423" s="185"/>
      <c r="AM423" s="185"/>
      <c r="AN423" s="185"/>
      <c r="AO423" s="185"/>
      <c r="AP423" s="185"/>
      <c r="AQ423" s="185"/>
      <c r="AR423" s="185"/>
      <c r="AS423" s="185"/>
      <c r="AT423" s="185"/>
      <c r="AU423" s="185"/>
      <c r="AV423" s="185"/>
      <c r="AW423" s="185"/>
      <c r="AX423" s="185"/>
      <c r="AY423" s="185"/>
      <c r="AZ423" s="185"/>
      <c r="BA423" s="185"/>
      <c r="BB423" s="185"/>
      <c r="BC423" s="185"/>
      <c r="BD423" s="185"/>
      <c r="BE423" s="185"/>
      <c r="BF423" s="185"/>
      <c r="BG423" s="185"/>
      <c r="BH423" s="185"/>
      <c r="BI423" s="185"/>
      <c r="BJ423" s="185"/>
      <c r="BK423" s="185"/>
      <c r="BL423" s="185"/>
      <c r="BM423" s="185"/>
      <c r="BN423" s="185"/>
      <c r="BO423" s="185"/>
      <c r="BP423" s="185"/>
      <c r="BQ423" s="185"/>
      <c r="BR423" s="185"/>
      <c r="BS423" s="185"/>
      <c r="BT423" s="185"/>
      <c r="BU423" s="185"/>
      <c r="BV423" s="185"/>
      <c r="BW423" s="185"/>
      <c r="BX423" s="185"/>
      <c r="BY423" s="185"/>
      <c r="BZ423" s="185"/>
      <c r="CA423" s="185"/>
      <c r="CB423" s="185"/>
      <c r="CC423" s="185"/>
      <c r="CD423" s="185"/>
      <c r="CE423" s="185"/>
      <c r="CF423" s="185"/>
      <c r="CG423" s="185"/>
      <c r="CH423" s="185"/>
      <c r="CI423" s="185"/>
      <c r="CJ423" s="185"/>
      <c r="CK423" s="185"/>
      <c r="CL423" s="185"/>
      <c r="CM423" s="185"/>
      <c r="CN423" s="185"/>
      <c r="CO423" s="185"/>
      <c r="CP423" s="185"/>
      <c r="CQ423" s="185"/>
      <c r="CR423" s="185"/>
      <c r="CS423" s="185"/>
      <c r="CT423" s="185"/>
      <c r="CU423" s="185"/>
      <c r="CV423" s="185"/>
      <c r="CW423" s="185"/>
      <c r="CX423" s="185"/>
      <c r="CY423" s="185"/>
      <c r="CZ423" s="185"/>
      <c r="DA423" s="185"/>
      <c r="DB423" s="185"/>
      <c r="DC423" s="185"/>
      <c r="DD423" s="185"/>
      <c r="DE423" s="185"/>
      <c r="DF423" s="185"/>
      <c r="DG423" s="185"/>
      <c r="DH423" s="185"/>
      <c r="DI423" s="185"/>
      <c r="DJ423" s="185"/>
      <c r="DK423" s="185"/>
      <c r="DL423" s="185"/>
      <c r="DM423" s="185"/>
      <c r="DN423" s="185"/>
      <c r="DO423" s="229"/>
    </row>
    <row r="424" spans="1:119" x14ac:dyDescent="0.2">
      <c r="A424" s="185"/>
      <c r="B424" s="185"/>
      <c r="C424" s="185"/>
      <c r="D424" s="185"/>
      <c r="E424" s="187"/>
      <c r="F424" s="185"/>
      <c r="G424" s="185"/>
      <c r="H424" s="187"/>
      <c r="I424" s="185"/>
      <c r="J424" s="185"/>
      <c r="K424" s="185"/>
      <c r="L424" s="185"/>
      <c r="M424" s="185"/>
      <c r="N424" s="185"/>
      <c r="O424" s="185"/>
      <c r="P424" s="185"/>
      <c r="Q424" s="185"/>
      <c r="R424" s="185"/>
      <c r="S424" s="185"/>
      <c r="T424" s="185"/>
      <c r="U424" s="185"/>
      <c r="V424" s="185"/>
      <c r="W424" s="185"/>
      <c r="X424" s="186"/>
      <c r="Y424" s="186"/>
      <c r="Z424" s="186"/>
      <c r="AA424" s="186"/>
      <c r="AB424" s="186"/>
      <c r="AC424" s="186"/>
      <c r="AD424" s="186"/>
      <c r="AE424" s="185"/>
      <c r="AF424" s="185"/>
      <c r="AG424" s="185"/>
      <c r="AH424" s="185"/>
      <c r="AI424" s="185"/>
      <c r="AJ424" s="185"/>
      <c r="AK424" s="185"/>
      <c r="AL424" s="185"/>
      <c r="AM424" s="185"/>
      <c r="AN424" s="185"/>
      <c r="AO424" s="185"/>
      <c r="AP424" s="185"/>
      <c r="AQ424" s="185"/>
      <c r="AR424" s="185"/>
      <c r="AS424" s="185"/>
      <c r="AT424" s="185"/>
      <c r="AU424" s="185"/>
      <c r="AV424" s="185"/>
      <c r="AW424" s="185"/>
      <c r="AX424" s="185"/>
      <c r="AY424" s="185"/>
      <c r="AZ424" s="185"/>
      <c r="BA424" s="185"/>
      <c r="BB424" s="185"/>
      <c r="BC424" s="185"/>
      <c r="BD424" s="185"/>
      <c r="BE424" s="185"/>
      <c r="BF424" s="185"/>
      <c r="BG424" s="185"/>
      <c r="BH424" s="185"/>
      <c r="BI424" s="185"/>
      <c r="BJ424" s="185"/>
      <c r="BK424" s="185"/>
      <c r="BL424" s="185"/>
      <c r="BM424" s="185"/>
      <c r="BN424" s="185"/>
      <c r="BO424" s="185"/>
      <c r="BP424" s="185"/>
      <c r="BQ424" s="185"/>
      <c r="BR424" s="185"/>
      <c r="BS424" s="185"/>
      <c r="BT424" s="185"/>
      <c r="BU424" s="185"/>
      <c r="BV424" s="185"/>
      <c r="BW424" s="185"/>
      <c r="BX424" s="185"/>
      <c r="BY424" s="185"/>
      <c r="BZ424" s="185"/>
      <c r="CA424" s="185"/>
      <c r="CB424" s="185"/>
      <c r="CC424" s="185"/>
      <c r="CD424" s="185"/>
      <c r="CE424" s="185"/>
      <c r="CF424" s="185"/>
      <c r="CG424" s="185"/>
      <c r="CH424" s="185"/>
      <c r="CI424" s="185"/>
      <c r="CJ424" s="185"/>
      <c r="CK424" s="185"/>
      <c r="CL424" s="185"/>
      <c r="CM424" s="185"/>
      <c r="CN424" s="185"/>
      <c r="CO424" s="185"/>
      <c r="CP424" s="185"/>
      <c r="CQ424" s="185"/>
      <c r="CR424" s="185"/>
      <c r="CS424" s="185"/>
      <c r="CT424" s="185"/>
      <c r="CU424" s="185"/>
      <c r="CV424" s="185"/>
      <c r="CW424" s="185"/>
      <c r="CX424" s="185"/>
      <c r="CY424" s="185"/>
      <c r="CZ424" s="185"/>
      <c r="DA424" s="185"/>
      <c r="DB424" s="185"/>
      <c r="DC424" s="185"/>
      <c r="DD424" s="185"/>
      <c r="DE424" s="185"/>
      <c r="DF424" s="185"/>
      <c r="DG424" s="185"/>
      <c r="DH424" s="185"/>
      <c r="DI424" s="185"/>
      <c r="DJ424" s="185"/>
      <c r="DK424" s="185"/>
      <c r="DL424" s="185"/>
      <c r="DM424" s="185"/>
      <c r="DN424" s="185"/>
      <c r="DO424" s="229"/>
    </row>
    <row r="425" spans="1:119" x14ac:dyDescent="0.2">
      <c r="A425" s="185"/>
      <c r="B425" s="185"/>
      <c r="C425" s="185"/>
      <c r="D425" s="185"/>
      <c r="E425" s="187"/>
      <c r="F425" s="185"/>
      <c r="G425" s="185"/>
      <c r="H425" s="187"/>
      <c r="I425" s="185"/>
      <c r="J425" s="185"/>
      <c r="K425" s="185"/>
      <c r="L425" s="185"/>
      <c r="M425" s="185"/>
      <c r="N425" s="185"/>
      <c r="O425" s="185"/>
      <c r="P425" s="185"/>
      <c r="Q425" s="185"/>
      <c r="R425" s="185"/>
      <c r="S425" s="185"/>
      <c r="T425" s="185"/>
      <c r="U425" s="185"/>
      <c r="V425" s="185"/>
      <c r="W425" s="185"/>
      <c r="X425" s="186"/>
      <c r="Y425" s="186"/>
      <c r="Z425" s="186"/>
      <c r="AA425" s="186"/>
      <c r="AB425" s="186"/>
      <c r="AC425" s="186"/>
      <c r="AD425" s="186"/>
      <c r="AE425" s="185"/>
      <c r="AF425" s="185"/>
      <c r="AG425" s="185"/>
      <c r="AH425" s="185"/>
      <c r="AI425" s="185"/>
      <c r="AJ425" s="185"/>
      <c r="AK425" s="185"/>
      <c r="AL425" s="185"/>
      <c r="AM425" s="185"/>
      <c r="AN425" s="185"/>
      <c r="AO425" s="185"/>
      <c r="AP425" s="185"/>
      <c r="AQ425" s="185"/>
      <c r="AR425" s="185"/>
      <c r="AS425" s="185"/>
      <c r="AT425" s="185"/>
      <c r="AU425" s="185"/>
      <c r="AV425" s="185"/>
      <c r="AW425" s="185"/>
      <c r="AX425" s="185"/>
      <c r="AY425" s="185"/>
      <c r="AZ425" s="185"/>
      <c r="BA425" s="185"/>
      <c r="BB425" s="185"/>
      <c r="BC425" s="185"/>
      <c r="BD425" s="185"/>
      <c r="BE425" s="185"/>
      <c r="BF425" s="185"/>
      <c r="BG425" s="185"/>
      <c r="BH425" s="185"/>
      <c r="BI425" s="185"/>
      <c r="BJ425" s="185"/>
      <c r="BK425" s="185"/>
      <c r="BL425" s="185"/>
      <c r="BM425" s="185"/>
      <c r="BN425" s="185"/>
      <c r="BO425" s="185"/>
      <c r="BP425" s="185"/>
      <c r="BQ425" s="185"/>
      <c r="BR425" s="185"/>
      <c r="BS425" s="185"/>
      <c r="BT425" s="185"/>
      <c r="BU425" s="185"/>
      <c r="BV425" s="185"/>
      <c r="BW425" s="185"/>
      <c r="BX425" s="185"/>
      <c r="BY425" s="185"/>
      <c r="BZ425" s="185"/>
      <c r="CA425" s="185"/>
      <c r="CB425" s="185"/>
      <c r="CC425" s="185"/>
      <c r="CD425" s="185"/>
      <c r="CE425" s="185"/>
      <c r="CF425" s="185"/>
      <c r="CG425" s="185"/>
      <c r="CH425" s="185"/>
      <c r="CI425" s="185"/>
      <c r="CJ425" s="185"/>
      <c r="CK425" s="185"/>
      <c r="CL425" s="185"/>
      <c r="CM425" s="185"/>
      <c r="CN425" s="185"/>
      <c r="CO425" s="185"/>
      <c r="CP425" s="185"/>
      <c r="CQ425" s="185"/>
      <c r="CR425" s="185"/>
      <c r="CS425" s="185"/>
      <c r="CT425" s="185"/>
      <c r="CU425" s="185"/>
      <c r="CV425" s="185"/>
      <c r="CW425" s="185"/>
      <c r="CX425" s="185"/>
      <c r="CY425" s="185"/>
      <c r="CZ425" s="185"/>
      <c r="DA425" s="185"/>
      <c r="DB425" s="185"/>
      <c r="DC425" s="185"/>
      <c r="DD425" s="185"/>
      <c r="DE425" s="185"/>
      <c r="DF425" s="185"/>
      <c r="DG425" s="185"/>
      <c r="DH425" s="185"/>
      <c r="DI425" s="185"/>
      <c r="DJ425" s="185"/>
      <c r="DK425" s="185"/>
      <c r="DL425" s="185"/>
      <c r="DM425" s="185"/>
      <c r="DN425" s="185"/>
      <c r="DO425" s="229"/>
    </row>
    <row r="426" spans="1:119" x14ac:dyDescent="0.2">
      <c r="A426" s="185"/>
      <c r="B426" s="185"/>
      <c r="C426" s="185"/>
      <c r="D426" s="185"/>
      <c r="E426" s="187"/>
      <c r="F426" s="185"/>
      <c r="G426" s="185"/>
      <c r="H426" s="187"/>
      <c r="I426" s="185"/>
      <c r="J426" s="185"/>
      <c r="K426" s="185"/>
      <c r="L426" s="185"/>
      <c r="M426" s="185"/>
      <c r="N426" s="185"/>
      <c r="O426" s="185"/>
      <c r="P426" s="185"/>
      <c r="Q426" s="185"/>
      <c r="R426" s="185"/>
      <c r="S426" s="185"/>
      <c r="T426" s="185"/>
      <c r="U426" s="185"/>
      <c r="V426" s="185"/>
      <c r="W426" s="185"/>
      <c r="X426" s="186"/>
      <c r="Y426" s="186"/>
      <c r="Z426" s="186"/>
      <c r="AA426" s="186"/>
      <c r="AB426" s="186"/>
      <c r="AC426" s="186"/>
      <c r="AD426" s="186"/>
      <c r="AE426" s="185"/>
      <c r="AF426" s="185"/>
      <c r="AG426" s="185"/>
      <c r="AH426" s="185"/>
      <c r="AI426" s="185"/>
      <c r="AJ426" s="185"/>
      <c r="AK426" s="185"/>
      <c r="AL426" s="185"/>
      <c r="AM426" s="185"/>
      <c r="AN426" s="185"/>
      <c r="AO426" s="185"/>
      <c r="AP426" s="185"/>
      <c r="AQ426" s="185"/>
      <c r="AR426" s="185"/>
      <c r="AS426" s="185"/>
      <c r="AT426" s="185"/>
      <c r="AU426" s="185"/>
      <c r="AV426" s="185"/>
      <c r="AW426" s="185"/>
      <c r="AX426" s="185"/>
      <c r="AY426" s="185"/>
      <c r="AZ426" s="185"/>
      <c r="BA426" s="185"/>
      <c r="BB426" s="185"/>
      <c r="BC426" s="185"/>
      <c r="BD426" s="185"/>
      <c r="BE426" s="185"/>
      <c r="BF426" s="185"/>
      <c r="BG426" s="185"/>
      <c r="BH426" s="185"/>
      <c r="BI426" s="185"/>
      <c r="BJ426" s="185"/>
      <c r="BK426" s="185"/>
      <c r="BL426" s="185"/>
      <c r="BM426" s="185"/>
      <c r="BN426" s="185"/>
      <c r="BO426" s="185"/>
      <c r="BP426" s="185"/>
      <c r="BQ426" s="185"/>
      <c r="BR426" s="185"/>
      <c r="BS426" s="185"/>
      <c r="BT426" s="185"/>
      <c r="BU426" s="185"/>
      <c r="BV426" s="185"/>
      <c r="BW426" s="185"/>
      <c r="BX426" s="185"/>
      <c r="BY426" s="185"/>
      <c r="BZ426" s="185"/>
      <c r="CA426" s="185"/>
      <c r="CB426" s="185"/>
      <c r="CC426" s="185"/>
      <c r="CD426" s="185"/>
      <c r="CE426" s="185"/>
      <c r="CF426" s="185"/>
      <c r="CG426" s="185"/>
      <c r="CH426" s="185"/>
      <c r="CI426" s="185"/>
      <c r="CJ426" s="185"/>
      <c r="CK426" s="185"/>
      <c r="CL426" s="185"/>
      <c r="CM426" s="185"/>
      <c r="CN426" s="185"/>
      <c r="CO426" s="185"/>
      <c r="CP426" s="185"/>
      <c r="CQ426" s="185"/>
      <c r="CR426" s="185"/>
      <c r="CS426" s="185"/>
      <c r="CT426" s="185"/>
      <c r="CU426" s="185"/>
      <c r="CV426" s="185"/>
      <c r="CW426" s="185"/>
      <c r="CX426" s="185"/>
      <c r="CY426" s="185"/>
      <c r="CZ426" s="185"/>
      <c r="DA426" s="185"/>
      <c r="DB426" s="185"/>
      <c r="DC426" s="185"/>
      <c r="DD426" s="185"/>
      <c r="DE426" s="185"/>
      <c r="DF426" s="185"/>
      <c r="DG426" s="185"/>
      <c r="DH426" s="185"/>
      <c r="DI426" s="185"/>
      <c r="DJ426" s="185"/>
      <c r="DK426" s="185"/>
      <c r="DL426" s="185"/>
      <c r="DM426" s="185"/>
      <c r="DN426" s="185"/>
      <c r="DO426" s="229"/>
    </row>
    <row r="427" spans="1:119" x14ac:dyDescent="0.2">
      <c r="A427" s="185"/>
      <c r="B427" s="185"/>
      <c r="C427" s="185"/>
      <c r="D427" s="185"/>
      <c r="E427" s="187"/>
      <c r="F427" s="185"/>
      <c r="G427" s="185"/>
      <c r="H427" s="187"/>
      <c r="I427" s="185"/>
      <c r="J427" s="185"/>
      <c r="K427" s="185"/>
      <c r="L427" s="185"/>
      <c r="M427" s="185"/>
      <c r="N427" s="185"/>
      <c r="O427" s="185"/>
      <c r="P427" s="185"/>
      <c r="Q427" s="185"/>
      <c r="R427" s="185"/>
      <c r="S427" s="185"/>
      <c r="T427" s="185"/>
      <c r="U427" s="185"/>
      <c r="V427" s="185"/>
      <c r="W427" s="185"/>
      <c r="X427" s="186"/>
      <c r="Y427" s="186"/>
      <c r="Z427" s="186"/>
      <c r="AA427" s="186"/>
      <c r="AB427" s="186"/>
      <c r="AC427" s="186"/>
      <c r="AD427" s="186"/>
      <c r="AE427" s="185"/>
      <c r="AF427" s="185"/>
      <c r="AG427" s="185"/>
      <c r="AH427" s="185"/>
      <c r="AI427" s="185"/>
      <c r="AJ427" s="185"/>
      <c r="AK427" s="185"/>
      <c r="AL427" s="185"/>
      <c r="AM427" s="185"/>
      <c r="AN427" s="185"/>
      <c r="AO427" s="185"/>
      <c r="AP427" s="185"/>
      <c r="AQ427" s="185"/>
      <c r="AR427" s="185"/>
      <c r="AS427" s="185"/>
      <c r="AT427" s="185"/>
      <c r="AU427" s="185"/>
      <c r="AV427" s="185"/>
      <c r="AW427" s="185"/>
      <c r="AX427" s="185"/>
      <c r="AY427" s="185"/>
      <c r="AZ427" s="185"/>
      <c r="BA427" s="185"/>
      <c r="BB427" s="185"/>
      <c r="BC427" s="185"/>
      <c r="BD427" s="185"/>
      <c r="BE427" s="185"/>
      <c r="BF427" s="185"/>
      <c r="BG427" s="185"/>
      <c r="BH427" s="185"/>
      <c r="BI427" s="185"/>
      <c r="BJ427" s="185"/>
      <c r="BK427" s="185"/>
      <c r="BL427" s="185"/>
      <c r="BM427" s="185"/>
      <c r="BN427" s="185"/>
      <c r="BO427" s="185"/>
      <c r="BP427" s="185"/>
      <c r="BQ427" s="185"/>
      <c r="BR427" s="185"/>
      <c r="BS427" s="185"/>
      <c r="BT427" s="185"/>
      <c r="BU427" s="185"/>
      <c r="BV427" s="185"/>
      <c r="BW427" s="185"/>
      <c r="BX427" s="185"/>
      <c r="BY427" s="185"/>
      <c r="BZ427" s="185"/>
      <c r="CA427" s="185"/>
      <c r="CB427" s="185"/>
      <c r="CC427" s="185"/>
      <c r="CD427" s="185"/>
      <c r="CE427" s="185"/>
      <c r="CF427" s="185"/>
      <c r="CG427" s="185"/>
      <c r="CH427" s="185"/>
      <c r="CI427" s="185"/>
      <c r="CJ427" s="185"/>
      <c r="CK427" s="185"/>
      <c r="CL427" s="185"/>
      <c r="CM427" s="185"/>
      <c r="CN427" s="185"/>
      <c r="CO427" s="185"/>
      <c r="CP427" s="185"/>
      <c r="CQ427" s="185"/>
      <c r="CR427" s="185"/>
      <c r="CS427" s="185"/>
      <c r="CT427" s="185"/>
      <c r="CU427" s="185"/>
      <c r="CV427" s="185"/>
      <c r="CW427" s="185"/>
      <c r="CX427" s="185"/>
      <c r="CY427" s="185"/>
      <c r="CZ427" s="185"/>
      <c r="DA427" s="185"/>
      <c r="DB427" s="185"/>
      <c r="DC427" s="185"/>
      <c r="DD427" s="185"/>
      <c r="DE427" s="185"/>
      <c r="DF427" s="185"/>
      <c r="DG427" s="185"/>
      <c r="DH427" s="185"/>
      <c r="DI427" s="185"/>
      <c r="DJ427" s="185"/>
      <c r="DK427" s="185"/>
      <c r="DL427" s="185"/>
      <c r="DM427" s="185"/>
      <c r="DN427" s="185"/>
      <c r="DO427" s="229"/>
    </row>
    <row r="428" spans="1:119" x14ac:dyDescent="0.2">
      <c r="A428" s="185"/>
      <c r="B428" s="185"/>
      <c r="C428" s="185"/>
      <c r="D428" s="185"/>
      <c r="E428" s="187"/>
      <c r="F428" s="185"/>
      <c r="G428" s="185"/>
      <c r="H428" s="187"/>
      <c r="I428" s="185"/>
      <c r="J428" s="185"/>
      <c r="K428" s="185"/>
      <c r="L428" s="185"/>
      <c r="M428" s="185"/>
      <c r="N428" s="185"/>
      <c r="O428" s="185"/>
      <c r="P428" s="185"/>
      <c r="Q428" s="185"/>
      <c r="R428" s="185"/>
      <c r="S428" s="185"/>
      <c r="T428" s="185"/>
      <c r="U428" s="185"/>
      <c r="V428" s="185"/>
      <c r="W428" s="185"/>
      <c r="X428" s="186"/>
      <c r="Y428" s="186"/>
      <c r="Z428" s="186"/>
      <c r="AA428" s="186"/>
      <c r="AB428" s="186"/>
      <c r="AC428" s="186"/>
      <c r="AD428" s="186"/>
      <c r="AE428" s="185"/>
      <c r="AF428" s="185"/>
      <c r="AG428" s="185"/>
      <c r="AH428" s="185"/>
      <c r="AI428" s="185"/>
      <c r="AJ428" s="185"/>
      <c r="AK428" s="185"/>
      <c r="AL428" s="185"/>
      <c r="AM428" s="185"/>
      <c r="AN428" s="185"/>
      <c r="AO428" s="185"/>
      <c r="AP428" s="185"/>
      <c r="AQ428" s="185"/>
      <c r="AR428" s="185"/>
      <c r="AS428" s="185"/>
      <c r="AT428" s="185"/>
      <c r="AU428" s="185"/>
      <c r="AV428" s="185"/>
      <c r="AW428" s="185"/>
      <c r="AX428" s="185"/>
      <c r="AY428" s="185"/>
      <c r="AZ428" s="185"/>
      <c r="BA428" s="185"/>
      <c r="BB428" s="185"/>
      <c r="BC428" s="185"/>
      <c r="BD428" s="185"/>
      <c r="BE428" s="185"/>
      <c r="BF428" s="185"/>
      <c r="BG428" s="185"/>
      <c r="BH428" s="185"/>
      <c r="BI428" s="185"/>
      <c r="BJ428" s="185"/>
      <c r="BK428" s="185"/>
      <c r="BL428" s="185"/>
      <c r="BM428" s="185"/>
      <c r="BN428" s="185"/>
      <c r="BO428" s="185"/>
      <c r="BP428" s="185"/>
      <c r="BQ428" s="185"/>
      <c r="BR428" s="185"/>
      <c r="BS428" s="185"/>
      <c r="BT428" s="185"/>
      <c r="BU428" s="185"/>
      <c r="BV428" s="185"/>
      <c r="BW428" s="185"/>
      <c r="BX428" s="185"/>
      <c r="BY428" s="185"/>
      <c r="BZ428" s="185"/>
      <c r="CA428" s="185"/>
      <c r="CB428" s="185"/>
      <c r="CC428" s="185"/>
      <c r="CD428" s="185"/>
      <c r="CE428" s="185"/>
      <c r="CF428" s="185"/>
      <c r="CG428" s="185"/>
      <c r="CH428" s="185"/>
      <c r="CI428" s="185"/>
      <c r="CJ428" s="185"/>
      <c r="CK428" s="185"/>
      <c r="CL428" s="185"/>
      <c r="CM428" s="185"/>
      <c r="CN428" s="185"/>
      <c r="CO428" s="185"/>
      <c r="CP428" s="185"/>
      <c r="CQ428" s="185"/>
      <c r="CR428" s="185"/>
      <c r="CS428" s="185"/>
      <c r="CT428" s="185"/>
      <c r="CU428" s="185"/>
      <c r="CV428" s="185"/>
      <c r="CW428" s="185"/>
      <c r="CX428" s="185"/>
      <c r="CY428" s="185"/>
      <c r="CZ428" s="185"/>
      <c r="DA428" s="185"/>
      <c r="DB428" s="185"/>
      <c r="DC428" s="185"/>
      <c r="DD428" s="185"/>
      <c r="DE428" s="185"/>
      <c r="DF428" s="185"/>
      <c r="DG428" s="185"/>
      <c r="DH428" s="185"/>
      <c r="DI428" s="185"/>
      <c r="DJ428" s="185"/>
      <c r="DK428" s="185"/>
      <c r="DL428" s="185"/>
      <c r="DM428" s="185"/>
      <c r="DN428" s="185"/>
      <c r="DO428" s="229"/>
    </row>
    <row r="429" spans="1:119" x14ac:dyDescent="0.2">
      <c r="A429" s="185"/>
      <c r="B429" s="185"/>
      <c r="C429" s="185"/>
      <c r="D429" s="185"/>
      <c r="E429" s="187"/>
      <c r="F429" s="185"/>
      <c r="G429" s="185"/>
      <c r="H429" s="187"/>
      <c r="I429" s="185"/>
      <c r="J429" s="185"/>
      <c r="K429" s="185"/>
      <c r="L429" s="185"/>
      <c r="M429" s="185"/>
      <c r="N429" s="185"/>
      <c r="O429" s="185"/>
      <c r="P429" s="185"/>
      <c r="Q429" s="185"/>
      <c r="R429" s="185"/>
      <c r="S429" s="185"/>
      <c r="T429" s="185"/>
      <c r="U429" s="185"/>
      <c r="V429" s="185"/>
      <c r="W429" s="185"/>
      <c r="X429" s="186"/>
      <c r="Y429" s="186"/>
      <c r="Z429" s="186"/>
      <c r="AA429" s="186"/>
      <c r="AB429" s="186"/>
      <c r="AC429" s="186"/>
      <c r="AD429" s="186"/>
      <c r="AE429" s="185"/>
      <c r="AF429" s="185"/>
      <c r="AG429" s="185"/>
      <c r="AH429" s="185"/>
      <c r="AI429" s="185"/>
      <c r="AJ429" s="185"/>
      <c r="AK429" s="185"/>
      <c r="AL429" s="185"/>
      <c r="AM429" s="185"/>
      <c r="AN429" s="185"/>
      <c r="AO429" s="185"/>
      <c r="AP429" s="185"/>
      <c r="AQ429" s="185"/>
      <c r="AR429" s="185"/>
      <c r="AS429" s="185"/>
      <c r="AT429" s="185"/>
      <c r="AU429" s="185"/>
      <c r="AV429" s="185"/>
      <c r="AW429" s="185"/>
      <c r="AX429" s="185"/>
      <c r="AY429" s="185"/>
      <c r="AZ429" s="185"/>
      <c r="BA429" s="185"/>
      <c r="BB429" s="185"/>
      <c r="BC429" s="185"/>
      <c r="BD429" s="185"/>
      <c r="BE429" s="185"/>
      <c r="BF429" s="185"/>
      <c r="BG429" s="185"/>
      <c r="BH429" s="185"/>
      <c r="BI429" s="185"/>
      <c r="BJ429" s="185"/>
      <c r="BK429" s="185"/>
      <c r="BL429" s="185"/>
      <c r="BM429" s="185"/>
      <c r="BN429" s="185"/>
      <c r="BO429" s="185"/>
      <c r="BP429" s="185"/>
      <c r="BQ429" s="185"/>
      <c r="BR429" s="185"/>
      <c r="BS429" s="185"/>
      <c r="BT429" s="185"/>
      <c r="BU429" s="185"/>
      <c r="BV429" s="185"/>
      <c r="BW429" s="185"/>
      <c r="BX429" s="185"/>
      <c r="BY429" s="185"/>
      <c r="BZ429" s="185"/>
      <c r="CA429" s="185"/>
      <c r="CB429" s="185"/>
      <c r="CC429" s="185"/>
      <c r="CD429" s="185"/>
      <c r="CE429" s="185"/>
      <c r="CF429" s="185"/>
      <c r="CG429" s="185"/>
      <c r="CH429" s="185"/>
      <c r="CI429" s="185"/>
      <c r="CJ429" s="185"/>
      <c r="CK429" s="185"/>
      <c r="CL429" s="185"/>
      <c r="CM429" s="185"/>
      <c r="CN429" s="185"/>
      <c r="CO429" s="185"/>
      <c r="CP429" s="185"/>
      <c r="CQ429" s="185"/>
      <c r="CR429" s="185"/>
      <c r="CS429" s="185"/>
      <c r="CT429" s="185"/>
      <c r="CU429" s="185"/>
      <c r="CV429" s="185"/>
      <c r="CW429" s="185"/>
      <c r="CX429" s="185"/>
      <c r="CY429" s="185"/>
      <c r="CZ429" s="185"/>
      <c r="DA429" s="185"/>
      <c r="DB429" s="185"/>
      <c r="DC429" s="185"/>
      <c r="DD429" s="185"/>
      <c r="DE429" s="185"/>
      <c r="DF429" s="185"/>
      <c r="DG429" s="185"/>
      <c r="DH429" s="185"/>
      <c r="DI429" s="185"/>
      <c r="DJ429" s="185"/>
      <c r="DK429" s="185"/>
      <c r="DL429" s="185"/>
      <c r="DM429" s="185"/>
      <c r="DN429" s="185"/>
      <c r="DO429" s="229"/>
    </row>
    <row r="430" spans="1:119" x14ac:dyDescent="0.2">
      <c r="A430" s="185"/>
      <c r="B430" s="185"/>
      <c r="C430" s="185"/>
      <c r="D430" s="185"/>
      <c r="E430" s="187"/>
      <c r="F430" s="185"/>
      <c r="G430" s="185"/>
      <c r="H430" s="187"/>
      <c r="I430" s="185"/>
      <c r="J430" s="185"/>
      <c r="K430" s="185"/>
      <c r="L430" s="185"/>
      <c r="M430" s="185"/>
      <c r="N430" s="185"/>
      <c r="O430" s="185"/>
      <c r="P430" s="185"/>
      <c r="Q430" s="185"/>
      <c r="R430" s="185"/>
      <c r="S430" s="185"/>
      <c r="T430" s="185"/>
      <c r="U430" s="185"/>
      <c r="V430" s="185"/>
      <c r="W430" s="185"/>
      <c r="X430" s="186"/>
      <c r="Y430" s="186"/>
      <c r="Z430" s="186"/>
      <c r="AA430" s="186"/>
      <c r="AB430" s="186"/>
      <c r="AC430" s="186"/>
      <c r="AD430" s="186"/>
      <c r="AE430" s="185"/>
      <c r="AF430" s="185"/>
      <c r="AG430" s="185"/>
      <c r="AH430" s="185"/>
      <c r="AI430" s="185"/>
      <c r="AJ430" s="185"/>
      <c r="AK430" s="185"/>
      <c r="AL430" s="185"/>
      <c r="AM430" s="185"/>
      <c r="AN430" s="185"/>
      <c r="AO430" s="185"/>
      <c r="AP430" s="185"/>
      <c r="AQ430" s="185"/>
      <c r="AR430" s="185"/>
      <c r="AS430" s="185"/>
      <c r="AT430" s="185"/>
      <c r="AU430" s="185"/>
      <c r="AV430" s="185"/>
      <c r="AW430" s="185"/>
      <c r="AX430" s="185"/>
      <c r="AY430" s="185"/>
      <c r="AZ430" s="185"/>
      <c r="BA430" s="185"/>
      <c r="BB430" s="185"/>
      <c r="BC430" s="185"/>
      <c r="BD430" s="185"/>
      <c r="BE430" s="185"/>
      <c r="BF430" s="185"/>
      <c r="BG430" s="185"/>
      <c r="BH430" s="185"/>
      <c r="BI430" s="185"/>
      <c r="BJ430" s="185"/>
      <c r="BK430" s="185"/>
      <c r="BL430" s="185"/>
      <c r="BM430" s="185"/>
      <c r="BN430" s="185"/>
      <c r="BO430" s="185"/>
      <c r="BP430" s="185"/>
      <c r="BQ430" s="185"/>
      <c r="BR430" s="185"/>
      <c r="BS430" s="185"/>
      <c r="BT430" s="185"/>
      <c r="BU430" s="185"/>
      <c r="BV430" s="185"/>
      <c r="BW430" s="185"/>
      <c r="BX430" s="185"/>
      <c r="BY430" s="185"/>
      <c r="BZ430" s="185"/>
      <c r="CA430" s="185"/>
      <c r="CB430" s="185"/>
      <c r="CC430" s="185"/>
      <c r="CD430" s="185"/>
      <c r="CE430" s="185"/>
      <c r="CF430" s="185"/>
      <c r="CG430" s="185"/>
      <c r="CH430" s="185"/>
      <c r="CI430" s="185"/>
      <c r="CJ430" s="185"/>
      <c r="CK430" s="185"/>
      <c r="CL430" s="185"/>
      <c r="CM430" s="185"/>
      <c r="CN430" s="185"/>
      <c r="CO430" s="185"/>
      <c r="CP430" s="185"/>
      <c r="CQ430" s="185"/>
      <c r="CR430" s="185"/>
      <c r="CS430" s="185"/>
      <c r="CT430" s="185"/>
      <c r="CU430" s="185"/>
      <c r="CV430" s="185"/>
      <c r="CW430" s="185"/>
      <c r="CX430" s="185"/>
      <c r="CY430" s="185"/>
      <c r="CZ430" s="185"/>
      <c r="DA430" s="185"/>
      <c r="DB430" s="185"/>
      <c r="DC430" s="185"/>
      <c r="DD430" s="185"/>
      <c r="DE430" s="185"/>
      <c r="DF430" s="185"/>
      <c r="DG430" s="185"/>
      <c r="DH430" s="185"/>
      <c r="DI430" s="185"/>
      <c r="DJ430" s="185"/>
      <c r="DK430" s="185"/>
      <c r="DL430" s="185"/>
      <c r="DM430" s="185"/>
      <c r="DN430" s="185"/>
      <c r="DO430" s="229"/>
    </row>
    <row r="431" spans="1:119" x14ac:dyDescent="0.2">
      <c r="A431" s="185"/>
      <c r="B431" s="185"/>
      <c r="C431" s="185"/>
      <c r="D431" s="185"/>
      <c r="E431" s="187"/>
      <c r="F431" s="185"/>
      <c r="G431" s="185"/>
      <c r="H431" s="187"/>
      <c r="I431" s="185"/>
      <c r="J431" s="185"/>
      <c r="K431" s="185"/>
      <c r="L431" s="185"/>
      <c r="M431" s="185"/>
      <c r="N431" s="185"/>
      <c r="O431" s="185"/>
      <c r="P431" s="185"/>
      <c r="Q431" s="185"/>
      <c r="R431" s="185"/>
      <c r="S431" s="185"/>
      <c r="T431" s="185"/>
      <c r="U431" s="185"/>
      <c r="V431" s="185"/>
      <c r="W431" s="185"/>
      <c r="X431" s="186"/>
      <c r="Y431" s="186"/>
      <c r="Z431" s="186"/>
      <c r="AA431" s="186"/>
      <c r="AB431" s="186"/>
      <c r="AC431" s="186"/>
      <c r="AD431" s="186"/>
      <c r="AE431" s="185"/>
      <c r="AF431" s="185"/>
      <c r="AG431" s="185"/>
      <c r="AH431" s="185"/>
      <c r="AI431" s="185"/>
      <c r="AJ431" s="185"/>
      <c r="AK431" s="185"/>
      <c r="AL431" s="185"/>
      <c r="AM431" s="185"/>
      <c r="AN431" s="185"/>
      <c r="AO431" s="185"/>
      <c r="AP431" s="185"/>
      <c r="AQ431" s="185"/>
      <c r="AR431" s="185"/>
      <c r="AS431" s="185"/>
      <c r="AT431" s="185"/>
      <c r="AU431" s="185"/>
      <c r="AV431" s="185"/>
      <c r="AW431" s="185"/>
      <c r="AX431" s="185"/>
      <c r="AY431" s="185"/>
      <c r="AZ431" s="185"/>
      <c r="BA431" s="185"/>
      <c r="BB431" s="185"/>
      <c r="BC431" s="185"/>
      <c r="BD431" s="185"/>
      <c r="BE431" s="185"/>
      <c r="BF431" s="185"/>
      <c r="BG431" s="185"/>
      <c r="BH431" s="185"/>
      <c r="BI431" s="185"/>
      <c r="BJ431" s="185"/>
      <c r="BK431" s="185"/>
      <c r="BL431" s="185"/>
      <c r="BM431" s="185"/>
      <c r="BN431" s="185"/>
      <c r="BO431" s="185"/>
      <c r="BP431" s="185"/>
      <c r="BQ431" s="185"/>
      <c r="BR431" s="185"/>
      <c r="BS431" s="185"/>
      <c r="BT431" s="185"/>
      <c r="BU431" s="185"/>
      <c r="BV431" s="185"/>
      <c r="BW431" s="185"/>
      <c r="BX431" s="185"/>
      <c r="BY431" s="185"/>
      <c r="BZ431" s="185"/>
      <c r="CA431" s="185"/>
      <c r="CB431" s="185"/>
      <c r="CC431" s="185"/>
      <c r="CD431" s="185"/>
      <c r="CE431" s="185"/>
      <c r="CF431" s="185"/>
      <c r="CG431" s="185"/>
      <c r="CH431" s="185"/>
      <c r="CI431" s="185"/>
      <c r="CJ431" s="185"/>
      <c r="CK431" s="185"/>
      <c r="CL431" s="185"/>
      <c r="CM431" s="185"/>
      <c r="CN431" s="185"/>
      <c r="CO431" s="185"/>
      <c r="CP431" s="185"/>
      <c r="CQ431" s="185"/>
      <c r="CR431" s="185"/>
      <c r="CS431" s="185"/>
      <c r="CT431" s="185"/>
      <c r="CU431" s="185"/>
      <c r="CV431" s="185"/>
      <c r="CW431" s="185"/>
      <c r="CX431" s="185"/>
      <c r="CY431" s="185"/>
      <c r="CZ431" s="185"/>
      <c r="DA431" s="185"/>
      <c r="DB431" s="185"/>
      <c r="DC431" s="185"/>
      <c r="DD431" s="185"/>
      <c r="DE431" s="185"/>
      <c r="DF431" s="185"/>
      <c r="DG431" s="185"/>
      <c r="DH431" s="185"/>
      <c r="DI431" s="185"/>
      <c r="DJ431" s="185"/>
      <c r="DK431" s="185"/>
      <c r="DL431" s="185"/>
      <c r="DM431" s="185"/>
      <c r="DN431" s="185"/>
      <c r="DO431" s="229"/>
    </row>
    <row r="432" spans="1:119" x14ac:dyDescent="0.2">
      <c r="A432" s="185"/>
      <c r="B432" s="185"/>
      <c r="C432" s="185"/>
      <c r="D432" s="185"/>
      <c r="E432" s="187"/>
      <c r="F432" s="185"/>
      <c r="G432" s="185"/>
      <c r="H432" s="187"/>
      <c r="I432" s="185"/>
      <c r="J432" s="185"/>
      <c r="K432" s="185"/>
      <c r="L432" s="185"/>
      <c r="M432" s="185"/>
      <c r="N432" s="185"/>
      <c r="O432" s="185"/>
      <c r="P432" s="185"/>
      <c r="Q432" s="185"/>
      <c r="R432" s="185"/>
      <c r="S432" s="185"/>
      <c r="T432" s="185"/>
      <c r="U432" s="185"/>
      <c r="V432" s="185"/>
      <c r="W432" s="185"/>
      <c r="X432" s="186"/>
      <c r="Y432" s="186"/>
      <c r="Z432" s="186"/>
      <c r="AA432" s="186"/>
      <c r="AB432" s="186"/>
      <c r="AC432" s="186"/>
      <c r="AD432" s="186"/>
      <c r="AE432" s="185"/>
      <c r="AF432" s="185"/>
      <c r="AG432" s="185"/>
      <c r="AH432" s="185"/>
      <c r="AI432" s="185"/>
      <c r="AJ432" s="185"/>
      <c r="AK432" s="185"/>
      <c r="AL432" s="185"/>
      <c r="AM432" s="185"/>
      <c r="AN432" s="185"/>
      <c r="AO432" s="185"/>
      <c r="AP432" s="185"/>
      <c r="AQ432" s="185"/>
      <c r="AR432" s="185"/>
      <c r="AS432" s="185"/>
      <c r="AT432" s="185"/>
      <c r="AU432" s="185"/>
      <c r="AV432" s="185"/>
      <c r="AW432" s="185"/>
      <c r="AX432" s="185"/>
      <c r="AY432" s="185"/>
      <c r="AZ432" s="185"/>
      <c r="BA432" s="185"/>
      <c r="BB432" s="185"/>
      <c r="BC432" s="185"/>
      <c r="BD432" s="185"/>
      <c r="BE432" s="185"/>
      <c r="BF432" s="185"/>
      <c r="BG432" s="185"/>
      <c r="BH432" s="185"/>
      <c r="BI432" s="185"/>
      <c r="BJ432" s="185"/>
      <c r="BK432" s="185"/>
      <c r="BL432" s="185"/>
      <c r="BM432" s="185"/>
      <c r="BN432" s="185"/>
      <c r="BO432" s="185"/>
      <c r="BP432" s="185"/>
      <c r="BQ432" s="185"/>
      <c r="BR432" s="185"/>
      <c r="BS432" s="185"/>
      <c r="BT432" s="185"/>
      <c r="BU432" s="185"/>
      <c r="BV432" s="185"/>
      <c r="BW432" s="185"/>
      <c r="BX432" s="185"/>
      <c r="BY432" s="185"/>
      <c r="BZ432" s="185"/>
      <c r="CA432" s="185"/>
      <c r="CB432" s="185"/>
      <c r="CC432" s="185"/>
      <c r="CD432" s="185"/>
      <c r="CE432" s="185"/>
      <c r="CF432" s="185"/>
      <c r="CG432" s="185"/>
      <c r="CH432" s="185"/>
      <c r="CI432" s="185"/>
      <c r="CJ432" s="185"/>
      <c r="CK432" s="185"/>
      <c r="CL432" s="185"/>
      <c r="CM432" s="185"/>
      <c r="CN432" s="185"/>
      <c r="CO432" s="185"/>
      <c r="CP432" s="185"/>
      <c r="CQ432" s="185"/>
      <c r="CR432" s="185"/>
      <c r="CS432" s="185"/>
      <c r="CT432" s="185"/>
      <c r="CU432" s="185"/>
      <c r="CV432" s="185"/>
      <c r="CW432" s="185"/>
      <c r="CX432" s="185"/>
      <c r="CY432" s="185"/>
      <c r="CZ432" s="185"/>
      <c r="DA432" s="185"/>
      <c r="DB432" s="185"/>
      <c r="DC432" s="185"/>
      <c r="DD432" s="185"/>
      <c r="DE432" s="185"/>
      <c r="DF432" s="185"/>
      <c r="DG432" s="185"/>
      <c r="DH432" s="185"/>
      <c r="DI432" s="185"/>
      <c r="DJ432" s="185"/>
      <c r="DK432" s="185"/>
      <c r="DL432" s="185"/>
      <c r="DM432" s="185"/>
      <c r="DN432" s="185"/>
      <c r="DO432" s="229"/>
    </row>
    <row r="433" spans="1:119" x14ac:dyDescent="0.2">
      <c r="A433" s="185"/>
      <c r="B433" s="185"/>
      <c r="C433" s="185"/>
      <c r="D433" s="185"/>
      <c r="E433" s="187"/>
      <c r="F433" s="185"/>
      <c r="G433" s="185"/>
      <c r="H433" s="187"/>
      <c r="I433" s="185"/>
      <c r="J433" s="185"/>
      <c r="K433" s="185"/>
      <c r="L433" s="185"/>
      <c r="M433" s="185"/>
      <c r="N433" s="185"/>
      <c r="O433" s="185"/>
      <c r="P433" s="185"/>
      <c r="Q433" s="185"/>
      <c r="R433" s="185"/>
      <c r="S433" s="185"/>
      <c r="T433" s="185"/>
      <c r="U433" s="185"/>
      <c r="V433" s="185"/>
      <c r="W433" s="185"/>
      <c r="X433" s="186"/>
      <c r="Y433" s="186"/>
      <c r="Z433" s="186"/>
      <c r="AA433" s="186"/>
      <c r="AB433" s="186"/>
      <c r="AC433" s="186"/>
      <c r="AD433" s="186"/>
      <c r="AE433" s="185"/>
      <c r="AF433" s="185"/>
      <c r="AG433" s="185"/>
      <c r="AH433" s="185"/>
      <c r="AI433" s="185"/>
      <c r="AJ433" s="185"/>
      <c r="AK433" s="185"/>
      <c r="AL433" s="185"/>
      <c r="AM433" s="185"/>
      <c r="AN433" s="185"/>
      <c r="AO433" s="185"/>
      <c r="AP433" s="185"/>
      <c r="AQ433" s="185"/>
      <c r="AR433" s="185"/>
      <c r="AS433" s="185"/>
      <c r="AT433" s="185"/>
      <c r="AU433" s="185"/>
      <c r="AV433" s="185"/>
      <c r="AW433" s="185"/>
      <c r="AX433" s="185"/>
      <c r="AY433" s="185"/>
      <c r="AZ433" s="185"/>
      <c r="BA433" s="185"/>
      <c r="BB433" s="185"/>
      <c r="BC433" s="185"/>
      <c r="BD433" s="185"/>
      <c r="BE433" s="185"/>
      <c r="BF433" s="185"/>
      <c r="BG433" s="185"/>
      <c r="BH433" s="185"/>
      <c r="BI433" s="185"/>
      <c r="BJ433" s="185"/>
      <c r="BK433" s="185"/>
      <c r="BL433" s="185"/>
      <c r="BM433" s="185"/>
      <c r="BN433" s="185"/>
      <c r="BO433" s="185"/>
      <c r="BP433" s="185"/>
      <c r="BQ433" s="185"/>
      <c r="BR433" s="185"/>
      <c r="BS433" s="185"/>
      <c r="BT433" s="185"/>
      <c r="BU433" s="185"/>
      <c r="BV433" s="185"/>
      <c r="BW433" s="185"/>
      <c r="BX433" s="185"/>
      <c r="BY433" s="185"/>
      <c r="BZ433" s="185"/>
      <c r="CA433" s="185"/>
      <c r="CB433" s="185"/>
      <c r="CC433" s="185"/>
      <c r="CD433" s="185"/>
      <c r="CE433" s="185"/>
      <c r="CF433" s="185"/>
      <c r="CG433" s="185"/>
      <c r="CH433" s="185"/>
      <c r="CI433" s="185"/>
      <c r="CJ433" s="185"/>
      <c r="CK433" s="185"/>
      <c r="CL433" s="185"/>
      <c r="CM433" s="185"/>
      <c r="CN433" s="185"/>
      <c r="CO433" s="185"/>
      <c r="CP433" s="185"/>
      <c r="CQ433" s="185"/>
      <c r="CR433" s="185"/>
      <c r="CS433" s="185"/>
      <c r="CT433" s="185"/>
      <c r="CU433" s="185"/>
      <c r="CV433" s="185"/>
      <c r="CW433" s="185"/>
      <c r="CX433" s="185"/>
      <c r="CY433" s="185"/>
      <c r="CZ433" s="185"/>
      <c r="DA433" s="185"/>
      <c r="DB433" s="185"/>
      <c r="DC433" s="185"/>
      <c r="DD433" s="185"/>
      <c r="DE433" s="185"/>
      <c r="DF433" s="185"/>
      <c r="DG433" s="185"/>
      <c r="DH433" s="185"/>
      <c r="DI433" s="185"/>
      <c r="DJ433" s="185"/>
      <c r="DK433" s="185"/>
      <c r="DL433" s="185"/>
      <c r="DM433" s="185"/>
      <c r="DN433" s="185"/>
      <c r="DO433" s="229"/>
    </row>
    <row r="434" spans="1:119" x14ac:dyDescent="0.2">
      <c r="A434" s="185"/>
      <c r="B434" s="185"/>
      <c r="C434" s="185"/>
      <c r="D434" s="185"/>
      <c r="E434" s="187"/>
      <c r="F434" s="185"/>
      <c r="G434" s="185"/>
      <c r="H434" s="187"/>
      <c r="I434" s="185"/>
      <c r="J434" s="185"/>
      <c r="K434" s="185"/>
      <c r="L434" s="185"/>
      <c r="M434" s="185"/>
      <c r="N434" s="185"/>
      <c r="O434" s="185"/>
      <c r="P434" s="185"/>
      <c r="Q434" s="185"/>
      <c r="R434" s="185"/>
      <c r="S434" s="185"/>
      <c r="T434" s="185"/>
      <c r="U434" s="185"/>
      <c r="V434" s="185"/>
      <c r="W434" s="185"/>
      <c r="X434" s="186"/>
      <c r="Y434" s="186"/>
      <c r="Z434" s="186"/>
      <c r="AA434" s="186"/>
      <c r="AB434" s="186"/>
      <c r="AC434" s="186"/>
      <c r="AD434" s="186"/>
      <c r="AE434" s="185"/>
      <c r="AF434" s="185"/>
      <c r="AG434" s="185"/>
      <c r="AH434" s="185"/>
      <c r="AI434" s="185"/>
      <c r="AJ434" s="185"/>
      <c r="AK434" s="185"/>
      <c r="AL434" s="185"/>
      <c r="AM434" s="185"/>
      <c r="AN434" s="185"/>
      <c r="AO434" s="185"/>
      <c r="AP434" s="185"/>
      <c r="AQ434" s="185"/>
      <c r="AR434" s="185"/>
      <c r="AS434" s="185"/>
      <c r="AT434" s="185"/>
      <c r="AU434" s="185"/>
      <c r="AV434" s="185"/>
      <c r="AW434" s="185"/>
      <c r="AX434" s="185"/>
      <c r="AY434" s="185"/>
      <c r="AZ434" s="185"/>
      <c r="BA434" s="185"/>
      <c r="BB434" s="185"/>
      <c r="BC434" s="185"/>
      <c r="BD434" s="185"/>
      <c r="BE434" s="185"/>
      <c r="BF434" s="185"/>
      <c r="BG434" s="185"/>
      <c r="BH434" s="185"/>
      <c r="BI434" s="185"/>
      <c r="BJ434" s="185"/>
      <c r="BK434" s="185"/>
      <c r="BL434" s="185"/>
      <c r="BM434" s="185"/>
      <c r="BN434" s="185"/>
      <c r="BO434" s="185"/>
      <c r="BP434" s="185"/>
      <c r="BQ434" s="185"/>
      <c r="BR434" s="185"/>
      <c r="BS434" s="185"/>
      <c r="BT434" s="185"/>
      <c r="BU434" s="185"/>
      <c r="BV434" s="185"/>
      <c r="BW434" s="185"/>
      <c r="BX434" s="185"/>
      <c r="BY434" s="185"/>
      <c r="BZ434" s="185"/>
      <c r="CA434" s="185"/>
      <c r="CB434" s="185"/>
      <c r="CC434" s="185"/>
      <c r="CD434" s="185"/>
      <c r="CE434" s="185"/>
      <c r="CF434" s="185"/>
      <c r="CG434" s="185"/>
      <c r="CH434" s="185"/>
      <c r="CI434" s="185"/>
      <c r="CJ434" s="185"/>
      <c r="CK434" s="185"/>
      <c r="CL434" s="185"/>
      <c r="CM434" s="185"/>
      <c r="CN434" s="185"/>
      <c r="CO434" s="185"/>
      <c r="CP434" s="185"/>
      <c r="CQ434" s="185"/>
      <c r="CR434" s="185"/>
      <c r="CS434" s="185"/>
      <c r="CT434" s="185"/>
      <c r="CU434" s="185"/>
      <c r="CV434" s="185"/>
      <c r="CW434" s="185"/>
      <c r="CX434" s="185"/>
      <c r="CY434" s="185"/>
      <c r="CZ434" s="185"/>
      <c r="DA434" s="185"/>
      <c r="DB434" s="185"/>
      <c r="DC434" s="185"/>
      <c r="DD434" s="185"/>
      <c r="DE434" s="185"/>
      <c r="DF434" s="185"/>
      <c r="DG434" s="185"/>
      <c r="DH434" s="185"/>
      <c r="DI434" s="185"/>
      <c r="DJ434" s="185"/>
      <c r="DK434" s="185"/>
      <c r="DL434" s="185"/>
      <c r="DM434" s="185"/>
      <c r="DN434" s="185"/>
      <c r="DO434" s="229"/>
    </row>
    <row r="435" spans="1:119" x14ac:dyDescent="0.2">
      <c r="A435" s="185"/>
      <c r="B435" s="185"/>
      <c r="C435" s="185"/>
      <c r="D435" s="185"/>
      <c r="E435" s="187"/>
      <c r="F435" s="185"/>
      <c r="G435" s="185"/>
      <c r="H435" s="187"/>
      <c r="I435" s="185"/>
      <c r="J435" s="185"/>
      <c r="K435" s="185"/>
      <c r="L435" s="185"/>
      <c r="M435" s="185"/>
      <c r="N435" s="185"/>
      <c r="O435" s="185"/>
      <c r="P435" s="185"/>
      <c r="Q435" s="185"/>
      <c r="R435" s="185"/>
      <c r="S435" s="185"/>
      <c r="T435" s="185"/>
      <c r="U435" s="185"/>
      <c r="V435" s="185"/>
      <c r="W435" s="185"/>
      <c r="X435" s="186"/>
      <c r="Y435" s="186"/>
      <c r="Z435" s="186"/>
      <c r="AA435" s="186"/>
      <c r="AB435" s="186"/>
      <c r="AC435" s="186"/>
      <c r="AD435" s="186"/>
      <c r="AE435" s="185"/>
      <c r="AF435" s="185"/>
      <c r="AG435" s="185"/>
      <c r="AH435" s="185"/>
      <c r="AI435" s="185"/>
      <c r="AJ435" s="185"/>
      <c r="AK435" s="185"/>
      <c r="AL435" s="185"/>
      <c r="AM435" s="185"/>
      <c r="AN435" s="185"/>
      <c r="AO435" s="185"/>
      <c r="AP435" s="185"/>
      <c r="AQ435" s="185"/>
      <c r="AR435" s="185"/>
      <c r="AS435" s="185"/>
      <c r="AT435" s="185"/>
      <c r="AU435" s="185"/>
      <c r="AV435" s="185"/>
      <c r="AW435" s="185"/>
      <c r="AX435" s="185"/>
      <c r="AY435" s="185"/>
      <c r="AZ435" s="185"/>
      <c r="BA435" s="185"/>
      <c r="BB435" s="185"/>
      <c r="BC435" s="185"/>
      <c r="BD435" s="185"/>
      <c r="BE435" s="185"/>
      <c r="BF435" s="185"/>
      <c r="BG435" s="185"/>
      <c r="BH435" s="185"/>
      <c r="BI435" s="185"/>
      <c r="BJ435" s="185"/>
      <c r="BK435" s="185"/>
      <c r="BL435" s="185"/>
      <c r="BM435" s="185"/>
      <c r="BN435" s="185"/>
      <c r="BO435" s="185"/>
      <c r="BP435" s="185"/>
      <c r="BQ435" s="185"/>
      <c r="BR435" s="185"/>
      <c r="BS435" s="185"/>
      <c r="BT435" s="185"/>
      <c r="BU435" s="185"/>
      <c r="BV435" s="185"/>
      <c r="BW435" s="185"/>
      <c r="BX435" s="185"/>
      <c r="BY435" s="185"/>
      <c r="BZ435" s="185"/>
      <c r="CA435" s="185"/>
      <c r="CB435" s="185"/>
      <c r="CC435" s="185"/>
      <c r="CD435" s="185"/>
      <c r="CE435" s="185"/>
      <c r="CF435" s="185"/>
      <c r="CG435" s="185"/>
      <c r="CH435" s="185"/>
      <c r="CI435" s="185"/>
      <c r="CJ435" s="185"/>
      <c r="CK435" s="185"/>
      <c r="CL435" s="185"/>
      <c r="CM435" s="185"/>
      <c r="CN435" s="185"/>
      <c r="CO435" s="185"/>
      <c r="CP435" s="185"/>
      <c r="CQ435" s="185"/>
      <c r="CR435" s="185"/>
      <c r="CS435" s="185"/>
      <c r="CT435" s="185"/>
      <c r="CU435" s="185"/>
      <c r="CV435" s="185"/>
      <c r="CW435" s="185"/>
      <c r="CX435" s="185"/>
      <c r="CY435" s="185"/>
      <c r="CZ435" s="185"/>
      <c r="DA435" s="185"/>
      <c r="DB435" s="185"/>
      <c r="DC435" s="185"/>
      <c r="DD435" s="185"/>
      <c r="DE435" s="185"/>
      <c r="DF435" s="185"/>
      <c r="DG435" s="185"/>
      <c r="DH435" s="185"/>
      <c r="DI435" s="185"/>
      <c r="DJ435" s="185"/>
      <c r="DK435" s="185"/>
      <c r="DL435" s="185"/>
      <c r="DM435" s="185"/>
      <c r="DN435" s="185"/>
      <c r="DO435" s="229"/>
    </row>
    <row r="436" spans="1:119" x14ac:dyDescent="0.2">
      <c r="A436" s="185"/>
      <c r="B436" s="185"/>
      <c r="C436" s="185"/>
      <c r="D436" s="185"/>
      <c r="E436" s="187"/>
      <c r="F436" s="185"/>
      <c r="G436" s="185"/>
      <c r="H436" s="187"/>
      <c r="I436" s="185"/>
      <c r="J436" s="185"/>
      <c r="K436" s="185"/>
      <c r="L436" s="185"/>
      <c r="M436" s="185"/>
      <c r="N436" s="185"/>
      <c r="O436" s="185"/>
      <c r="P436" s="185"/>
      <c r="Q436" s="185"/>
      <c r="R436" s="185"/>
      <c r="S436" s="185"/>
      <c r="T436" s="185"/>
      <c r="U436" s="185"/>
      <c r="V436" s="185"/>
      <c r="W436" s="185"/>
      <c r="X436" s="186"/>
      <c r="Y436" s="186"/>
      <c r="Z436" s="186"/>
      <c r="AA436" s="186"/>
      <c r="AB436" s="186"/>
      <c r="AC436" s="186"/>
      <c r="AD436" s="186"/>
      <c r="AE436" s="185"/>
      <c r="AF436" s="185"/>
      <c r="AG436" s="185"/>
      <c r="AH436" s="185"/>
      <c r="AI436" s="185"/>
      <c r="AJ436" s="185"/>
      <c r="AK436" s="185"/>
      <c r="AL436" s="185"/>
      <c r="AM436" s="185"/>
      <c r="AN436" s="185"/>
      <c r="AO436" s="185"/>
      <c r="AP436" s="185"/>
      <c r="AQ436" s="185"/>
      <c r="AR436" s="185"/>
      <c r="AS436" s="185"/>
      <c r="AT436" s="185"/>
      <c r="AU436" s="185"/>
      <c r="AV436" s="185"/>
      <c r="AW436" s="185"/>
      <c r="AX436" s="185"/>
      <c r="AY436" s="185"/>
      <c r="AZ436" s="185"/>
      <c r="BA436" s="185"/>
      <c r="BB436" s="185"/>
      <c r="BC436" s="185"/>
      <c r="BD436" s="185"/>
      <c r="BE436" s="185"/>
      <c r="BF436" s="185"/>
      <c r="BG436" s="185"/>
      <c r="BH436" s="185"/>
      <c r="BI436" s="185"/>
      <c r="BJ436" s="185"/>
      <c r="BK436" s="185"/>
      <c r="BL436" s="185"/>
      <c r="BM436" s="185"/>
      <c r="BN436" s="185"/>
      <c r="BO436" s="185"/>
      <c r="BP436" s="185"/>
      <c r="BQ436" s="185"/>
      <c r="BR436" s="185"/>
      <c r="BS436" s="185"/>
      <c r="BT436" s="185"/>
      <c r="BU436" s="185"/>
      <c r="BV436" s="185"/>
      <c r="BW436" s="185"/>
      <c r="BX436" s="185"/>
      <c r="BY436" s="185"/>
      <c r="BZ436" s="185"/>
      <c r="CA436" s="185"/>
      <c r="CB436" s="185"/>
      <c r="CC436" s="185"/>
      <c r="CD436" s="185"/>
      <c r="CE436" s="185"/>
      <c r="CF436" s="185"/>
      <c r="CG436" s="185"/>
      <c r="CH436" s="185"/>
      <c r="CI436" s="185"/>
      <c r="CJ436" s="185"/>
      <c r="CK436" s="185"/>
      <c r="CL436" s="185"/>
      <c r="CM436" s="185"/>
      <c r="CN436" s="185"/>
      <c r="CO436" s="185"/>
      <c r="CP436" s="185"/>
      <c r="CQ436" s="185"/>
      <c r="CR436" s="185"/>
      <c r="CS436" s="185"/>
      <c r="CT436" s="185"/>
      <c r="CU436" s="185"/>
      <c r="CV436" s="185"/>
      <c r="CW436" s="185"/>
      <c r="CX436" s="185"/>
      <c r="CY436" s="185"/>
      <c r="CZ436" s="185"/>
      <c r="DA436" s="185"/>
      <c r="DB436" s="185"/>
      <c r="DC436" s="185"/>
      <c r="DD436" s="185"/>
      <c r="DE436" s="185"/>
      <c r="DF436" s="185"/>
      <c r="DG436" s="185"/>
      <c r="DH436" s="185"/>
      <c r="DI436" s="185"/>
      <c r="DJ436" s="185"/>
      <c r="DK436" s="185"/>
      <c r="DL436" s="185"/>
      <c r="DM436" s="185"/>
      <c r="DN436" s="185"/>
      <c r="DO436" s="229"/>
    </row>
    <row r="437" spans="1:119" x14ac:dyDescent="0.2">
      <c r="A437" s="185"/>
      <c r="B437" s="185"/>
      <c r="C437" s="185"/>
      <c r="D437" s="185"/>
      <c r="E437" s="187"/>
      <c r="F437" s="185"/>
      <c r="G437" s="185"/>
      <c r="H437" s="187"/>
      <c r="I437" s="185"/>
      <c r="J437" s="185"/>
      <c r="K437" s="185"/>
      <c r="L437" s="185"/>
      <c r="M437" s="185"/>
      <c r="N437" s="185"/>
      <c r="O437" s="185"/>
      <c r="P437" s="185"/>
      <c r="Q437" s="185"/>
      <c r="R437" s="185"/>
      <c r="S437" s="185"/>
      <c r="T437" s="185"/>
      <c r="U437" s="185"/>
      <c r="V437" s="185"/>
      <c r="W437" s="185"/>
      <c r="X437" s="186"/>
      <c r="Y437" s="186"/>
      <c r="Z437" s="186"/>
      <c r="AA437" s="186"/>
      <c r="AB437" s="186"/>
      <c r="AC437" s="186"/>
      <c r="AD437" s="186"/>
      <c r="AE437" s="185"/>
      <c r="AF437" s="185"/>
      <c r="AG437" s="185"/>
      <c r="AH437" s="185"/>
      <c r="AI437" s="185"/>
      <c r="AJ437" s="185"/>
      <c r="AK437" s="185"/>
      <c r="AL437" s="185"/>
      <c r="AM437" s="185"/>
      <c r="AN437" s="185"/>
      <c r="AO437" s="185"/>
      <c r="AP437" s="185"/>
      <c r="AQ437" s="185"/>
      <c r="AR437" s="185"/>
      <c r="AS437" s="185"/>
      <c r="AT437" s="185"/>
      <c r="AU437" s="185"/>
      <c r="AV437" s="185"/>
      <c r="AW437" s="185"/>
      <c r="AX437" s="185"/>
      <c r="AY437" s="185"/>
      <c r="AZ437" s="185"/>
      <c r="BA437" s="185"/>
      <c r="BB437" s="185"/>
      <c r="BC437" s="185"/>
      <c r="BD437" s="185"/>
      <c r="BE437" s="185"/>
      <c r="BF437" s="185"/>
      <c r="BG437" s="185"/>
      <c r="BH437" s="185"/>
      <c r="BI437" s="185"/>
      <c r="BJ437" s="185"/>
      <c r="BK437" s="185"/>
      <c r="BL437" s="185"/>
      <c r="BM437" s="185"/>
      <c r="BN437" s="185"/>
      <c r="BO437" s="185"/>
      <c r="BP437" s="185"/>
      <c r="BQ437" s="185"/>
      <c r="BR437" s="185"/>
      <c r="BS437" s="185"/>
      <c r="BT437" s="185"/>
      <c r="BU437" s="185"/>
      <c r="BV437" s="185"/>
      <c r="BW437" s="185"/>
      <c r="BX437" s="185"/>
      <c r="BY437" s="185"/>
      <c r="BZ437" s="185"/>
      <c r="CA437" s="185"/>
      <c r="CB437" s="185"/>
      <c r="CC437" s="185"/>
      <c r="CD437" s="185"/>
      <c r="CE437" s="185"/>
      <c r="CF437" s="185"/>
      <c r="CG437" s="185"/>
      <c r="CH437" s="185"/>
      <c r="CI437" s="185"/>
      <c r="CJ437" s="185"/>
      <c r="CK437" s="185"/>
      <c r="CL437" s="185"/>
      <c r="CM437" s="185"/>
      <c r="CN437" s="185"/>
      <c r="CO437" s="185"/>
      <c r="CP437" s="185"/>
      <c r="CQ437" s="185"/>
      <c r="CR437" s="185"/>
      <c r="CS437" s="185"/>
      <c r="CT437" s="185"/>
      <c r="CU437" s="185"/>
      <c r="CV437" s="185"/>
      <c r="CW437" s="185"/>
      <c r="CX437" s="185"/>
      <c r="CY437" s="185"/>
      <c r="CZ437" s="185"/>
      <c r="DA437" s="185"/>
      <c r="DB437" s="185"/>
      <c r="DC437" s="185"/>
      <c r="DD437" s="185"/>
      <c r="DE437" s="185"/>
      <c r="DF437" s="185"/>
      <c r="DG437" s="185"/>
      <c r="DH437" s="185"/>
      <c r="DI437" s="185"/>
      <c r="DJ437" s="185"/>
      <c r="DK437" s="185"/>
      <c r="DL437" s="185"/>
      <c r="DM437" s="185"/>
      <c r="DN437" s="185"/>
      <c r="DO437" s="229"/>
    </row>
    <row r="438" spans="1:119" x14ac:dyDescent="0.2">
      <c r="A438" s="185"/>
      <c r="B438" s="185"/>
      <c r="C438" s="185"/>
      <c r="D438" s="185"/>
      <c r="E438" s="187"/>
      <c r="F438" s="185"/>
      <c r="G438" s="185"/>
      <c r="H438" s="187"/>
      <c r="I438" s="185"/>
      <c r="J438" s="185"/>
      <c r="K438" s="185"/>
      <c r="L438" s="185"/>
      <c r="M438" s="185"/>
      <c r="N438" s="185"/>
      <c r="O438" s="185"/>
      <c r="P438" s="185"/>
      <c r="Q438" s="185"/>
      <c r="R438" s="185"/>
      <c r="S438" s="185"/>
      <c r="T438" s="185"/>
      <c r="U438" s="185"/>
      <c r="V438" s="185"/>
      <c r="W438" s="185"/>
      <c r="X438" s="186"/>
      <c r="Y438" s="186"/>
      <c r="Z438" s="186"/>
      <c r="AA438" s="186"/>
      <c r="AB438" s="186"/>
      <c r="AC438" s="186"/>
      <c r="AD438" s="186"/>
      <c r="AE438" s="185"/>
      <c r="AF438" s="185"/>
      <c r="AG438" s="185"/>
      <c r="AH438" s="185"/>
      <c r="AI438" s="185"/>
      <c r="AJ438" s="185"/>
      <c r="AK438" s="185"/>
      <c r="AL438" s="185"/>
      <c r="AM438" s="185"/>
      <c r="AN438" s="185"/>
      <c r="AO438" s="185"/>
      <c r="AP438" s="185"/>
      <c r="AQ438" s="185"/>
      <c r="AR438" s="185"/>
      <c r="AS438" s="185"/>
      <c r="AT438" s="185"/>
      <c r="AU438" s="185"/>
      <c r="AV438" s="185"/>
      <c r="AW438" s="185"/>
      <c r="AX438" s="185"/>
      <c r="AY438" s="185"/>
      <c r="AZ438" s="185"/>
      <c r="BA438" s="185"/>
      <c r="BB438" s="185"/>
      <c r="BC438" s="185"/>
      <c r="BD438" s="185"/>
      <c r="BE438" s="185"/>
      <c r="BF438" s="185"/>
      <c r="BG438" s="185"/>
      <c r="BH438" s="185"/>
      <c r="BI438" s="185"/>
      <c r="BJ438" s="185"/>
      <c r="BK438" s="185"/>
      <c r="BL438" s="185"/>
      <c r="BM438" s="185"/>
      <c r="BN438" s="185"/>
      <c r="BO438" s="185"/>
      <c r="BP438" s="185"/>
      <c r="BQ438" s="185"/>
      <c r="BR438" s="185"/>
      <c r="BS438" s="185"/>
      <c r="BT438" s="185"/>
      <c r="BU438" s="185"/>
      <c r="BV438" s="185"/>
      <c r="BW438" s="185"/>
      <c r="BX438" s="185"/>
      <c r="BY438" s="185"/>
      <c r="BZ438" s="185"/>
      <c r="CA438" s="185"/>
      <c r="CB438" s="185"/>
      <c r="CC438" s="185"/>
      <c r="CD438" s="185"/>
      <c r="CE438" s="185"/>
      <c r="CF438" s="185"/>
      <c r="CG438" s="185"/>
      <c r="CH438" s="185"/>
      <c r="CI438" s="185"/>
      <c r="CJ438" s="185"/>
      <c r="CK438" s="185"/>
      <c r="CL438" s="185"/>
      <c r="CM438" s="185"/>
      <c r="CN438" s="185"/>
      <c r="CO438" s="185"/>
      <c r="CP438" s="185"/>
      <c r="CQ438" s="185"/>
      <c r="CR438" s="185"/>
      <c r="CS438" s="185"/>
      <c r="CT438" s="185"/>
      <c r="CU438" s="185"/>
      <c r="CV438" s="185"/>
      <c r="CW438" s="185"/>
      <c r="CX438" s="185"/>
      <c r="CY438" s="185"/>
      <c r="CZ438" s="185"/>
      <c r="DA438" s="185"/>
      <c r="DB438" s="185"/>
      <c r="DC438" s="185"/>
      <c r="DD438" s="185"/>
      <c r="DE438" s="185"/>
      <c r="DF438" s="185"/>
      <c r="DG438" s="185"/>
      <c r="DH438" s="185"/>
      <c r="DI438" s="185"/>
      <c r="DJ438" s="185"/>
      <c r="DK438" s="185"/>
      <c r="DL438" s="185"/>
      <c r="DM438" s="185"/>
      <c r="DN438" s="185"/>
      <c r="DO438" s="229"/>
    </row>
    <row r="439" spans="1:119" x14ac:dyDescent="0.2">
      <c r="A439" s="185"/>
      <c r="B439" s="185"/>
      <c r="C439" s="185"/>
      <c r="D439" s="185"/>
      <c r="E439" s="187"/>
      <c r="F439" s="185"/>
      <c r="G439" s="185"/>
      <c r="H439" s="187"/>
      <c r="I439" s="185"/>
      <c r="J439" s="185"/>
      <c r="K439" s="185"/>
      <c r="L439" s="185"/>
      <c r="M439" s="185"/>
      <c r="N439" s="185"/>
      <c r="O439" s="185"/>
      <c r="P439" s="185"/>
      <c r="Q439" s="185"/>
      <c r="R439" s="185"/>
      <c r="S439" s="185"/>
      <c r="T439" s="185"/>
      <c r="U439" s="185"/>
      <c r="V439" s="185"/>
      <c r="W439" s="185"/>
      <c r="X439" s="186"/>
      <c r="Y439" s="186"/>
      <c r="Z439" s="186"/>
      <c r="AA439" s="186"/>
      <c r="AB439" s="186"/>
      <c r="AC439" s="186"/>
      <c r="AD439" s="186"/>
      <c r="AE439" s="185"/>
      <c r="AF439" s="185"/>
      <c r="AG439" s="185"/>
      <c r="AH439" s="185"/>
      <c r="AI439" s="185"/>
      <c r="AJ439" s="185"/>
      <c r="AK439" s="185"/>
      <c r="AL439" s="185"/>
      <c r="AM439" s="185"/>
      <c r="AN439" s="185"/>
      <c r="AO439" s="185"/>
      <c r="AP439" s="185"/>
      <c r="AQ439" s="185"/>
      <c r="AR439" s="185"/>
      <c r="AS439" s="185"/>
      <c r="AT439" s="185"/>
      <c r="AU439" s="185"/>
      <c r="AV439" s="185"/>
      <c r="AW439" s="185"/>
      <c r="AX439" s="185"/>
      <c r="AY439" s="185"/>
      <c r="AZ439" s="185"/>
      <c r="BA439" s="185"/>
      <c r="BB439" s="185"/>
      <c r="BC439" s="185"/>
      <c r="BD439" s="185"/>
      <c r="BE439" s="185"/>
      <c r="BF439" s="185"/>
      <c r="BG439" s="185"/>
      <c r="BH439" s="185"/>
      <c r="BI439" s="185"/>
      <c r="BJ439" s="185"/>
      <c r="BK439" s="185"/>
      <c r="BL439" s="185"/>
      <c r="BM439" s="185"/>
      <c r="BN439" s="185"/>
      <c r="BO439" s="185"/>
      <c r="BP439" s="185"/>
      <c r="BQ439" s="185"/>
      <c r="BR439" s="185"/>
      <c r="BS439" s="185"/>
      <c r="BT439" s="185"/>
      <c r="BU439" s="185"/>
      <c r="BV439" s="185"/>
      <c r="BW439" s="185"/>
      <c r="BX439" s="185"/>
      <c r="BY439" s="185"/>
      <c r="BZ439" s="185"/>
      <c r="CA439" s="185"/>
      <c r="CB439" s="185"/>
      <c r="CC439" s="185"/>
      <c r="CD439" s="185"/>
      <c r="CE439" s="185"/>
      <c r="CF439" s="185"/>
      <c r="CG439" s="185"/>
      <c r="CH439" s="185"/>
      <c r="CI439" s="185"/>
      <c r="CJ439" s="185"/>
      <c r="CK439" s="185"/>
      <c r="CL439" s="185"/>
      <c r="CM439" s="185"/>
      <c r="CN439" s="185"/>
      <c r="CO439" s="185"/>
      <c r="CP439" s="185"/>
      <c r="CQ439" s="185"/>
      <c r="CR439" s="185"/>
      <c r="CS439" s="185"/>
      <c r="CT439" s="185"/>
      <c r="CU439" s="185"/>
      <c r="CV439" s="185"/>
      <c r="CW439" s="185"/>
      <c r="CX439" s="185"/>
      <c r="CY439" s="185"/>
      <c r="CZ439" s="185"/>
      <c r="DA439" s="185"/>
      <c r="DB439" s="185"/>
      <c r="DC439" s="185"/>
      <c r="DD439" s="185"/>
      <c r="DE439" s="185"/>
      <c r="DF439" s="185"/>
      <c r="DG439" s="185"/>
      <c r="DH439" s="185"/>
      <c r="DI439" s="185"/>
      <c r="DJ439" s="185"/>
      <c r="DK439" s="185"/>
      <c r="DL439" s="185"/>
      <c r="DM439" s="185"/>
      <c r="DN439" s="185"/>
      <c r="DO439" s="229"/>
    </row>
    <row r="440" spans="1:119" x14ac:dyDescent="0.2">
      <c r="A440" s="185"/>
      <c r="B440" s="185"/>
      <c r="C440" s="185"/>
      <c r="D440" s="185"/>
      <c r="E440" s="187"/>
      <c r="F440" s="185"/>
      <c r="G440" s="185"/>
      <c r="H440" s="187"/>
      <c r="I440" s="185"/>
      <c r="J440" s="185"/>
      <c r="K440" s="185"/>
      <c r="L440" s="185"/>
      <c r="M440" s="185"/>
      <c r="N440" s="185"/>
      <c r="O440" s="185"/>
      <c r="P440" s="185"/>
      <c r="Q440" s="185"/>
      <c r="R440" s="185"/>
      <c r="S440" s="185"/>
      <c r="T440" s="185"/>
      <c r="U440" s="185"/>
      <c r="V440" s="185"/>
      <c r="W440" s="185"/>
      <c r="X440" s="186"/>
      <c r="Y440" s="186"/>
      <c r="Z440" s="186"/>
      <c r="AA440" s="186"/>
      <c r="AB440" s="186"/>
      <c r="AC440" s="186"/>
      <c r="AD440" s="186"/>
      <c r="AE440" s="185"/>
      <c r="AF440" s="185"/>
      <c r="AG440" s="185"/>
      <c r="AH440" s="185"/>
      <c r="AI440" s="185"/>
      <c r="AJ440" s="185"/>
      <c r="AK440" s="185"/>
      <c r="AL440" s="185"/>
      <c r="AM440" s="185"/>
      <c r="AN440" s="185"/>
      <c r="AO440" s="185"/>
      <c r="AP440" s="185"/>
      <c r="AQ440" s="185"/>
      <c r="AR440" s="185"/>
      <c r="AS440" s="185"/>
      <c r="AT440" s="185"/>
      <c r="AU440" s="185"/>
      <c r="AV440" s="185"/>
      <c r="AW440" s="185"/>
      <c r="AX440" s="185"/>
      <c r="AY440" s="185"/>
      <c r="AZ440" s="185"/>
      <c r="BA440" s="185"/>
      <c r="BB440" s="185"/>
      <c r="BC440" s="185"/>
      <c r="BD440" s="185"/>
      <c r="BE440" s="185"/>
      <c r="BF440" s="185"/>
      <c r="BG440" s="185"/>
      <c r="BH440" s="185"/>
      <c r="BI440" s="185"/>
      <c r="BJ440" s="185"/>
      <c r="BK440" s="185"/>
      <c r="BL440" s="185"/>
      <c r="BM440" s="185"/>
      <c r="BN440" s="185"/>
      <c r="BO440" s="185"/>
      <c r="BP440" s="185"/>
      <c r="BQ440" s="185"/>
      <c r="BR440" s="185"/>
      <c r="BS440" s="185"/>
      <c r="BT440" s="185"/>
      <c r="BU440" s="185"/>
      <c r="BV440" s="185"/>
      <c r="BW440" s="185"/>
      <c r="BX440" s="185"/>
      <c r="BY440" s="185"/>
      <c r="BZ440" s="185"/>
      <c r="CA440" s="185"/>
      <c r="CB440" s="185"/>
      <c r="CC440" s="185"/>
      <c r="CD440" s="185"/>
      <c r="CE440" s="185"/>
      <c r="CF440" s="185"/>
      <c r="CG440" s="185"/>
      <c r="CH440" s="185"/>
      <c r="CI440" s="185"/>
      <c r="CJ440" s="185"/>
      <c r="CK440" s="185"/>
      <c r="CL440" s="185"/>
      <c r="CM440" s="185"/>
      <c r="CN440" s="185"/>
      <c r="CO440" s="185"/>
      <c r="CP440" s="185"/>
      <c r="CQ440" s="185"/>
      <c r="CR440" s="185"/>
      <c r="CS440" s="185"/>
      <c r="CT440" s="185"/>
      <c r="CU440" s="185"/>
      <c r="CV440" s="185"/>
      <c r="CW440" s="185"/>
      <c r="CX440" s="185"/>
      <c r="CY440" s="185"/>
      <c r="CZ440" s="185"/>
      <c r="DA440" s="185"/>
      <c r="DB440" s="185"/>
      <c r="DC440" s="185"/>
      <c r="DD440" s="185"/>
      <c r="DE440" s="185"/>
      <c r="DF440" s="185"/>
      <c r="DG440" s="185"/>
      <c r="DH440" s="185"/>
      <c r="DI440" s="185"/>
      <c r="DJ440" s="185"/>
      <c r="DK440" s="185"/>
      <c r="DL440" s="185"/>
      <c r="DM440" s="185"/>
      <c r="DN440" s="185"/>
      <c r="DO440" s="229"/>
    </row>
    <row r="441" spans="1:119" x14ac:dyDescent="0.2">
      <c r="A441" s="185"/>
      <c r="B441" s="185"/>
      <c r="C441" s="185"/>
      <c r="D441" s="185"/>
      <c r="E441" s="187"/>
      <c r="F441" s="185"/>
      <c r="G441" s="185"/>
      <c r="H441" s="187"/>
      <c r="I441" s="185"/>
      <c r="J441" s="185"/>
      <c r="K441" s="185"/>
      <c r="L441" s="185"/>
      <c r="M441" s="185"/>
      <c r="N441" s="185"/>
      <c r="O441" s="185"/>
      <c r="P441" s="185"/>
      <c r="Q441" s="185"/>
      <c r="R441" s="185"/>
      <c r="S441" s="185"/>
      <c r="T441" s="185"/>
      <c r="U441" s="185"/>
      <c r="V441" s="185"/>
      <c r="W441" s="185"/>
      <c r="X441" s="186"/>
      <c r="Y441" s="186"/>
      <c r="Z441" s="186"/>
      <c r="AA441" s="186"/>
      <c r="AB441" s="186"/>
      <c r="AC441" s="186"/>
      <c r="AD441" s="186"/>
      <c r="AE441" s="185"/>
      <c r="AF441" s="185"/>
      <c r="AG441" s="185"/>
      <c r="AH441" s="185"/>
      <c r="AI441" s="185"/>
      <c r="AJ441" s="185"/>
      <c r="AK441" s="185"/>
      <c r="AL441" s="185"/>
      <c r="AM441" s="185"/>
      <c r="AN441" s="185"/>
      <c r="AO441" s="185"/>
      <c r="AP441" s="185"/>
      <c r="AQ441" s="185"/>
      <c r="AR441" s="185"/>
      <c r="AS441" s="185"/>
      <c r="AT441" s="185"/>
      <c r="AU441" s="185"/>
      <c r="AV441" s="185"/>
      <c r="AW441" s="185"/>
      <c r="AX441" s="185"/>
      <c r="AY441" s="185"/>
      <c r="AZ441" s="185"/>
      <c r="BA441" s="185"/>
      <c r="BB441" s="185"/>
      <c r="BC441" s="185"/>
      <c r="BD441" s="185"/>
      <c r="BE441" s="185"/>
      <c r="BF441" s="185"/>
      <c r="BG441" s="185"/>
      <c r="BH441" s="185"/>
      <c r="BI441" s="185"/>
      <c r="BJ441" s="185"/>
      <c r="BK441" s="185"/>
      <c r="BL441" s="185"/>
      <c r="BM441" s="185"/>
      <c r="BN441" s="185"/>
      <c r="BO441" s="185"/>
      <c r="BP441" s="185"/>
      <c r="BQ441" s="185"/>
      <c r="BR441" s="185"/>
      <c r="BS441" s="185"/>
      <c r="BT441" s="185"/>
      <c r="BU441" s="185"/>
      <c r="BV441" s="185"/>
      <c r="BW441" s="185"/>
      <c r="BX441" s="185"/>
      <c r="BY441" s="185"/>
      <c r="BZ441" s="185"/>
      <c r="CA441" s="185"/>
      <c r="CB441" s="185"/>
      <c r="CC441" s="185"/>
      <c r="CD441" s="185"/>
      <c r="CE441" s="185"/>
      <c r="CF441" s="185"/>
      <c r="CG441" s="185"/>
      <c r="CH441" s="185"/>
      <c r="CI441" s="185"/>
      <c r="CJ441" s="185"/>
      <c r="CK441" s="185"/>
      <c r="CL441" s="185"/>
      <c r="CM441" s="185"/>
      <c r="CN441" s="185"/>
      <c r="CO441" s="185"/>
      <c r="CP441" s="185"/>
      <c r="CQ441" s="185"/>
      <c r="CR441" s="185"/>
      <c r="CS441" s="185"/>
      <c r="CT441" s="185"/>
      <c r="CU441" s="185"/>
      <c r="CV441" s="185"/>
      <c r="CW441" s="185"/>
      <c r="CX441" s="185"/>
      <c r="CY441" s="185"/>
      <c r="CZ441" s="185"/>
      <c r="DA441" s="185"/>
      <c r="DB441" s="185"/>
      <c r="DC441" s="185"/>
      <c r="DD441" s="185"/>
      <c r="DE441" s="185"/>
      <c r="DF441" s="185"/>
      <c r="DG441" s="185"/>
      <c r="DH441" s="185"/>
      <c r="DI441" s="185"/>
      <c r="DJ441" s="185"/>
      <c r="DK441" s="185"/>
      <c r="DL441" s="185"/>
      <c r="DM441" s="185"/>
      <c r="DN441" s="185"/>
      <c r="DO441" s="229"/>
    </row>
    <row r="442" spans="1:119" x14ac:dyDescent="0.2">
      <c r="A442" s="185"/>
      <c r="B442" s="185"/>
      <c r="C442" s="185"/>
      <c r="D442" s="185"/>
      <c r="E442" s="187"/>
      <c r="F442" s="185"/>
      <c r="G442" s="185"/>
      <c r="H442" s="187"/>
      <c r="I442" s="185"/>
      <c r="J442" s="185"/>
      <c r="K442" s="185"/>
      <c r="L442" s="185"/>
      <c r="M442" s="185"/>
      <c r="N442" s="185"/>
      <c r="O442" s="185"/>
      <c r="P442" s="185"/>
      <c r="Q442" s="185"/>
      <c r="R442" s="185"/>
      <c r="S442" s="185"/>
      <c r="T442" s="185"/>
      <c r="U442" s="185"/>
      <c r="V442" s="185"/>
      <c r="W442" s="185"/>
      <c r="X442" s="186"/>
      <c r="Y442" s="186"/>
      <c r="Z442" s="186"/>
      <c r="AA442" s="186"/>
      <c r="AB442" s="186"/>
      <c r="AC442" s="186"/>
      <c r="AD442" s="186"/>
      <c r="AE442" s="185"/>
      <c r="AF442" s="185"/>
      <c r="AG442" s="185"/>
      <c r="AH442" s="185"/>
      <c r="AI442" s="185"/>
      <c r="AJ442" s="185"/>
      <c r="AK442" s="185"/>
      <c r="AL442" s="185"/>
      <c r="AM442" s="185"/>
      <c r="AN442" s="185"/>
      <c r="AO442" s="185"/>
      <c r="AP442" s="185"/>
      <c r="AQ442" s="185"/>
      <c r="AR442" s="185"/>
      <c r="AS442" s="185"/>
      <c r="AT442" s="185"/>
      <c r="AU442" s="185"/>
      <c r="AV442" s="185"/>
      <c r="AW442" s="185"/>
      <c r="AX442" s="185"/>
      <c r="AY442" s="185"/>
      <c r="AZ442" s="185"/>
      <c r="BA442" s="185"/>
      <c r="BB442" s="185"/>
      <c r="BC442" s="185"/>
      <c r="BD442" s="185"/>
      <c r="BE442" s="185"/>
      <c r="BF442" s="185"/>
      <c r="BG442" s="185"/>
      <c r="BH442" s="185"/>
      <c r="BI442" s="185"/>
      <c r="BJ442" s="185"/>
      <c r="BK442" s="185"/>
      <c r="BL442" s="185"/>
      <c r="BM442" s="185"/>
      <c r="BN442" s="185"/>
      <c r="BO442" s="185"/>
      <c r="BP442" s="185"/>
      <c r="BQ442" s="185"/>
      <c r="BR442" s="185"/>
      <c r="BS442" s="185"/>
      <c r="BT442" s="185"/>
      <c r="BU442" s="185"/>
      <c r="BV442" s="185"/>
      <c r="BW442" s="185"/>
      <c r="BX442" s="185"/>
      <c r="BY442" s="185"/>
      <c r="BZ442" s="185"/>
      <c r="CA442" s="185"/>
      <c r="CB442" s="185"/>
      <c r="CC442" s="185"/>
      <c r="CD442" s="185"/>
      <c r="CE442" s="185"/>
      <c r="CF442" s="185"/>
      <c r="CG442" s="185"/>
      <c r="CH442" s="185"/>
      <c r="CI442" s="185"/>
      <c r="CJ442" s="185"/>
      <c r="CK442" s="185"/>
      <c r="CL442" s="185"/>
      <c r="CM442" s="185"/>
      <c r="CN442" s="185"/>
      <c r="CO442" s="185"/>
      <c r="CP442" s="185"/>
      <c r="CQ442" s="185"/>
      <c r="CR442" s="185"/>
      <c r="CS442" s="185"/>
      <c r="CT442" s="185"/>
      <c r="CU442" s="185"/>
      <c r="CV442" s="185"/>
      <c r="CW442" s="185"/>
      <c r="CX442" s="185"/>
      <c r="CY442" s="185"/>
      <c r="CZ442" s="185"/>
      <c r="DA442" s="185"/>
      <c r="DB442" s="185"/>
      <c r="DC442" s="185"/>
      <c r="DD442" s="185"/>
      <c r="DE442" s="185"/>
      <c r="DF442" s="185"/>
      <c r="DG442" s="185"/>
      <c r="DH442" s="185"/>
      <c r="DI442" s="185"/>
      <c r="DJ442" s="185"/>
      <c r="DK442" s="185"/>
      <c r="DL442" s="185"/>
      <c r="DM442" s="185"/>
      <c r="DN442" s="185"/>
      <c r="DO442" s="229"/>
    </row>
    <row r="443" spans="1:119" x14ac:dyDescent="0.2">
      <c r="A443" s="185"/>
      <c r="B443" s="185"/>
      <c r="C443" s="185"/>
      <c r="D443" s="185"/>
      <c r="E443" s="187"/>
      <c r="F443" s="185"/>
      <c r="G443" s="185"/>
      <c r="H443" s="187"/>
      <c r="I443" s="185"/>
      <c r="J443" s="185"/>
      <c r="K443" s="185"/>
      <c r="L443" s="185"/>
      <c r="M443" s="185"/>
      <c r="N443" s="185"/>
      <c r="O443" s="185"/>
      <c r="P443" s="185"/>
      <c r="Q443" s="185"/>
      <c r="R443" s="185"/>
      <c r="S443" s="185"/>
      <c r="T443" s="185"/>
      <c r="U443" s="185"/>
      <c r="V443" s="185"/>
      <c r="W443" s="185"/>
      <c r="X443" s="186"/>
      <c r="Y443" s="186"/>
      <c r="Z443" s="186"/>
      <c r="AA443" s="186"/>
      <c r="AB443" s="186"/>
      <c r="AC443" s="186"/>
      <c r="AD443" s="186"/>
      <c r="AE443" s="185"/>
      <c r="AF443" s="185"/>
      <c r="AG443" s="185"/>
      <c r="AH443" s="185"/>
      <c r="AI443" s="185"/>
      <c r="AJ443" s="185"/>
      <c r="AK443" s="185"/>
      <c r="AL443" s="185"/>
      <c r="AM443" s="185"/>
      <c r="AN443" s="185"/>
      <c r="AO443" s="185"/>
      <c r="AP443" s="185"/>
      <c r="AQ443" s="185"/>
      <c r="AR443" s="185"/>
      <c r="AS443" s="185"/>
      <c r="AT443" s="185"/>
      <c r="AU443" s="185"/>
      <c r="AV443" s="185"/>
      <c r="AW443" s="185"/>
      <c r="AX443" s="185"/>
      <c r="AY443" s="185"/>
      <c r="AZ443" s="185"/>
      <c r="BA443" s="185"/>
      <c r="BB443" s="185"/>
      <c r="BC443" s="185"/>
      <c r="BD443" s="185"/>
      <c r="BE443" s="185"/>
      <c r="BF443" s="185"/>
      <c r="BG443" s="185"/>
      <c r="BH443" s="185"/>
      <c r="BI443" s="185"/>
      <c r="BJ443" s="185"/>
      <c r="BK443" s="185"/>
      <c r="BL443" s="185"/>
      <c r="BM443" s="185"/>
      <c r="BN443" s="185"/>
      <c r="BO443" s="185"/>
      <c r="BP443" s="185"/>
      <c r="BQ443" s="185"/>
      <c r="BR443" s="185"/>
      <c r="BS443" s="185"/>
      <c r="BT443" s="185"/>
      <c r="BU443" s="185"/>
      <c r="BV443" s="185"/>
      <c r="BW443" s="185"/>
      <c r="BX443" s="185"/>
      <c r="BY443" s="185"/>
      <c r="BZ443" s="185"/>
      <c r="CA443" s="185"/>
      <c r="CB443" s="185"/>
      <c r="CC443" s="185"/>
      <c r="CD443" s="185"/>
      <c r="CE443" s="185"/>
      <c r="CF443" s="185"/>
      <c r="CG443" s="185"/>
      <c r="CH443" s="185"/>
      <c r="CI443" s="185"/>
      <c r="CJ443" s="185"/>
      <c r="CK443" s="185"/>
      <c r="CL443" s="185"/>
      <c r="CM443" s="185"/>
      <c r="CN443" s="185"/>
      <c r="CO443" s="185"/>
      <c r="CP443" s="185"/>
      <c r="CQ443" s="185"/>
      <c r="CR443" s="185"/>
      <c r="CS443" s="185"/>
      <c r="CT443" s="185"/>
      <c r="CU443" s="185"/>
      <c r="CV443" s="185"/>
      <c r="CW443" s="185"/>
      <c r="CX443" s="185"/>
      <c r="CY443" s="185"/>
      <c r="CZ443" s="185"/>
      <c r="DA443" s="185"/>
      <c r="DB443" s="185"/>
      <c r="DC443" s="185"/>
      <c r="DD443" s="185"/>
      <c r="DE443" s="185"/>
      <c r="DF443" s="185"/>
      <c r="DG443" s="185"/>
      <c r="DH443" s="185"/>
      <c r="DI443" s="185"/>
      <c r="DJ443" s="185"/>
      <c r="DK443" s="185"/>
      <c r="DL443" s="185"/>
      <c r="DM443" s="185"/>
      <c r="DN443" s="185"/>
      <c r="DO443" s="229"/>
    </row>
    <row r="444" spans="1:119" x14ac:dyDescent="0.2">
      <c r="A444" s="185"/>
      <c r="B444" s="185"/>
      <c r="C444" s="185"/>
      <c r="D444" s="185"/>
      <c r="E444" s="187"/>
      <c r="F444" s="185"/>
      <c r="G444" s="185"/>
      <c r="H444" s="187"/>
      <c r="I444" s="185"/>
      <c r="J444" s="185"/>
      <c r="K444" s="185"/>
      <c r="L444" s="185"/>
      <c r="M444" s="185"/>
      <c r="N444" s="185"/>
      <c r="O444" s="185"/>
      <c r="P444" s="185"/>
      <c r="Q444" s="185"/>
      <c r="R444" s="185"/>
      <c r="S444" s="185"/>
      <c r="T444" s="185"/>
      <c r="U444" s="185"/>
      <c r="V444" s="185"/>
      <c r="W444" s="185"/>
      <c r="X444" s="186"/>
      <c r="Y444" s="186"/>
      <c r="Z444" s="186"/>
      <c r="AA444" s="186"/>
      <c r="AB444" s="186"/>
      <c r="AC444" s="186"/>
      <c r="AD444" s="186"/>
      <c r="AE444" s="185"/>
      <c r="AF444" s="185"/>
      <c r="AG444" s="185"/>
      <c r="AH444" s="185"/>
      <c r="AI444" s="185"/>
      <c r="AJ444" s="185"/>
      <c r="AK444" s="185"/>
      <c r="AL444" s="185"/>
      <c r="AM444" s="185"/>
      <c r="AN444" s="185"/>
      <c r="AO444" s="185"/>
      <c r="AP444" s="185"/>
      <c r="AQ444" s="185"/>
      <c r="AR444" s="185"/>
      <c r="AS444" s="185"/>
      <c r="AT444" s="185"/>
      <c r="AU444" s="185"/>
      <c r="AV444" s="185"/>
      <c r="AW444" s="185"/>
      <c r="AX444" s="185"/>
      <c r="AY444" s="185"/>
      <c r="AZ444" s="185"/>
      <c r="BA444" s="185"/>
      <c r="BB444" s="185"/>
      <c r="BC444" s="185"/>
      <c r="BD444" s="185"/>
      <c r="BE444" s="185"/>
      <c r="BF444" s="185"/>
      <c r="BG444" s="185"/>
      <c r="BH444" s="185"/>
      <c r="BI444" s="185"/>
      <c r="BJ444" s="185"/>
      <c r="BK444" s="185"/>
      <c r="BL444" s="185"/>
      <c r="BM444" s="185"/>
      <c r="BN444" s="185"/>
      <c r="BO444" s="185"/>
      <c r="BP444" s="185"/>
      <c r="BQ444" s="185"/>
      <c r="BR444" s="185"/>
      <c r="BS444" s="185"/>
      <c r="BT444" s="185"/>
      <c r="BU444" s="185"/>
      <c r="BV444" s="185"/>
      <c r="BW444" s="185"/>
      <c r="BX444" s="185"/>
      <c r="BY444" s="185"/>
      <c r="BZ444" s="185"/>
      <c r="CA444" s="185"/>
      <c r="CB444" s="185"/>
      <c r="CC444" s="185"/>
      <c r="CD444" s="185"/>
      <c r="CE444" s="185"/>
      <c r="CF444" s="185"/>
      <c r="CG444" s="185"/>
      <c r="CH444" s="185"/>
      <c r="CI444" s="185"/>
      <c r="CJ444" s="185"/>
      <c r="CK444" s="185"/>
      <c r="CL444" s="185"/>
      <c r="CM444" s="185"/>
      <c r="CN444" s="185"/>
      <c r="CO444" s="185"/>
      <c r="CP444" s="185"/>
      <c r="CQ444" s="185"/>
      <c r="CR444" s="185"/>
      <c r="CS444" s="185"/>
      <c r="CT444" s="185"/>
      <c r="CU444" s="185"/>
      <c r="CV444" s="185"/>
      <c r="CW444" s="185"/>
      <c r="CX444" s="185"/>
      <c r="CY444" s="185"/>
      <c r="CZ444" s="185"/>
      <c r="DA444" s="185"/>
      <c r="DB444" s="185"/>
      <c r="DC444" s="185"/>
      <c r="DD444" s="185"/>
      <c r="DE444" s="185"/>
      <c r="DF444" s="185"/>
      <c r="DG444" s="185"/>
      <c r="DH444" s="185"/>
      <c r="DI444" s="185"/>
      <c r="DJ444" s="185"/>
      <c r="DK444" s="185"/>
      <c r="DL444" s="185"/>
      <c r="DM444" s="185"/>
      <c r="DN444" s="185"/>
      <c r="DO444" s="229"/>
    </row>
    <row r="445" spans="1:119" x14ac:dyDescent="0.2">
      <c r="A445" s="185"/>
      <c r="B445" s="185"/>
      <c r="C445" s="185"/>
      <c r="D445" s="185"/>
      <c r="E445" s="187"/>
      <c r="F445" s="185"/>
      <c r="G445" s="185"/>
      <c r="H445" s="187"/>
      <c r="I445" s="185"/>
      <c r="J445" s="185"/>
      <c r="K445" s="185"/>
      <c r="L445" s="185"/>
      <c r="M445" s="185"/>
      <c r="N445" s="185"/>
      <c r="O445" s="185"/>
      <c r="P445" s="185"/>
      <c r="Q445" s="185"/>
      <c r="R445" s="185"/>
      <c r="S445" s="185"/>
      <c r="T445" s="185"/>
      <c r="U445" s="185"/>
      <c r="V445" s="185"/>
      <c r="W445" s="185"/>
      <c r="X445" s="186"/>
      <c r="Y445" s="186"/>
      <c r="Z445" s="186"/>
      <c r="AA445" s="186"/>
      <c r="AB445" s="186"/>
      <c r="AC445" s="186"/>
      <c r="AD445" s="186"/>
      <c r="AE445" s="185"/>
      <c r="AF445" s="185"/>
      <c r="AG445" s="185"/>
      <c r="AH445" s="185"/>
      <c r="AI445" s="185"/>
      <c r="AJ445" s="185"/>
      <c r="AK445" s="185"/>
      <c r="AL445" s="185"/>
      <c r="AM445" s="185"/>
      <c r="AN445" s="185"/>
      <c r="AO445" s="185"/>
      <c r="AP445" s="185"/>
      <c r="AQ445" s="185"/>
      <c r="AR445" s="185"/>
      <c r="AS445" s="185"/>
      <c r="AT445" s="185"/>
      <c r="AU445" s="185"/>
      <c r="AV445" s="185"/>
      <c r="AW445" s="185"/>
      <c r="AX445" s="185"/>
      <c r="AY445" s="185"/>
      <c r="AZ445" s="185"/>
      <c r="BA445" s="185"/>
      <c r="BB445" s="185"/>
      <c r="BC445" s="185"/>
      <c r="BD445" s="185"/>
      <c r="BE445" s="185"/>
      <c r="BF445" s="185"/>
      <c r="BG445" s="185"/>
      <c r="BH445" s="185"/>
      <c r="BI445" s="185"/>
      <c r="BJ445" s="185"/>
      <c r="BK445" s="185"/>
      <c r="BL445" s="185"/>
      <c r="BM445" s="185"/>
      <c r="BN445" s="185"/>
      <c r="BO445" s="185"/>
      <c r="BP445" s="185"/>
      <c r="BQ445" s="185"/>
      <c r="BR445" s="185"/>
      <c r="BS445" s="185"/>
      <c r="BT445" s="185"/>
      <c r="BU445" s="185"/>
      <c r="BV445" s="185"/>
      <c r="BW445" s="185"/>
      <c r="BX445" s="185"/>
      <c r="BY445" s="185"/>
      <c r="BZ445" s="185"/>
      <c r="CA445" s="185"/>
      <c r="CB445" s="185"/>
      <c r="CC445" s="185"/>
      <c r="CD445" s="185"/>
      <c r="CE445" s="185"/>
      <c r="CF445" s="185"/>
      <c r="CG445" s="185"/>
      <c r="CH445" s="185"/>
      <c r="CI445" s="185"/>
      <c r="CJ445" s="185"/>
      <c r="CK445" s="185"/>
      <c r="CL445" s="185"/>
      <c r="CM445" s="185"/>
      <c r="CN445" s="185"/>
      <c r="CO445" s="185"/>
      <c r="CP445" s="185"/>
      <c r="CQ445" s="185"/>
      <c r="CR445" s="185"/>
      <c r="CS445" s="185"/>
      <c r="CT445" s="185"/>
      <c r="CU445" s="185"/>
      <c r="CV445" s="185"/>
      <c r="CW445" s="185"/>
      <c r="CX445" s="185"/>
      <c r="CY445" s="185"/>
      <c r="CZ445" s="185"/>
      <c r="DA445" s="185"/>
      <c r="DB445" s="185"/>
      <c r="DC445" s="185"/>
      <c r="DD445" s="185"/>
      <c r="DE445" s="185"/>
      <c r="DF445" s="185"/>
      <c r="DG445" s="185"/>
      <c r="DH445" s="185"/>
      <c r="DI445" s="185"/>
      <c r="DJ445" s="185"/>
      <c r="DK445" s="185"/>
      <c r="DL445" s="185"/>
      <c r="DM445" s="185"/>
      <c r="DN445" s="185"/>
      <c r="DO445" s="229"/>
    </row>
    <row r="446" spans="1:119" x14ac:dyDescent="0.2">
      <c r="A446" s="185"/>
      <c r="B446" s="185"/>
      <c r="C446" s="185"/>
      <c r="D446" s="185"/>
      <c r="E446" s="187"/>
      <c r="F446" s="185"/>
      <c r="G446" s="185"/>
      <c r="H446" s="187"/>
      <c r="I446" s="185"/>
      <c r="J446" s="185"/>
      <c r="K446" s="185"/>
      <c r="L446" s="185"/>
      <c r="M446" s="185"/>
      <c r="N446" s="185"/>
      <c r="O446" s="185"/>
      <c r="P446" s="185"/>
      <c r="Q446" s="185"/>
      <c r="R446" s="185"/>
      <c r="S446" s="185"/>
      <c r="T446" s="185"/>
      <c r="U446" s="185"/>
      <c r="V446" s="185"/>
      <c r="W446" s="185"/>
      <c r="X446" s="186"/>
      <c r="Y446" s="186"/>
      <c r="Z446" s="186"/>
      <c r="AA446" s="186"/>
      <c r="AB446" s="186"/>
      <c r="AC446" s="186"/>
      <c r="AD446" s="186"/>
      <c r="AE446" s="185"/>
      <c r="AF446" s="185"/>
      <c r="AG446" s="185"/>
      <c r="AH446" s="185"/>
      <c r="AI446" s="185"/>
      <c r="AJ446" s="185"/>
      <c r="AK446" s="185"/>
      <c r="AL446" s="185"/>
      <c r="AM446" s="185"/>
      <c r="AN446" s="185"/>
      <c r="AO446" s="185"/>
      <c r="AP446" s="185"/>
      <c r="AQ446" s="185"/>
      <c r="AR446" s="185"/>
      <c r="AS446" s="185"/>
      <c r="AT446" s="185"/>
      <c r="AU446" s="185"/>
      <c r="AV446" s="185"/>
      <c r="AW446" s="185"/>
      <c r="AX446" s="185"/>
      <c r="AY446" s="185"/>
      <c r="AZ446" s="185"/>
      <c r="BA446" s="185"/>
      <c r="BB446" s="185"/>
      <c r="BC446" s="185"/>
      <c r="BD446" s="185"/>
      <c r="BE446" s="185"/>
      <c r="BF446" s="185"/>
      <c r="BG446" s="185"/>
      <c r="BH446" s="185"/>
      <c r="BI446" s="185"/>
      <c r="BJ446" s="185"/>
      <c r="BK446" s="185"/>
      <c r="BL446" s="185"/>
      <c r="BM446" s="185"/>
      <c r="BN446" s="185"/>
      <c r="BO446" s="185"/>
      <c r="BP446" s="185"/>
      <c r="BQ446" s="185"/>
      <c r="BR446" s="185"/>
      <c r="BS446" s="185"/>
      <c r="BT446" s="185"/>
      <c r="BU446" s="185"/>
      <c r="BV446" s="185"/>
      <c r="BW446" s="185"/>
      <c r="BX446" s="185"/>
      <c r="BY446" s="185"/>
      <c r="BZ446" s="185"/>
      <c r="CA446" s="185"/>
      <c r="CB446" s="185"/>
      <c r="CC446" s="185"/>
      <c r="CD446" s="185"/>
      <c r="CE446" s="185"/>
      <c r="CF446" s="185"/>
      <c r="CG446" s="185"/>
      <c r="CH446" s="185"/>
      <c r="CI446" s="185"/>
      <c r="CJ446" s="185"/>
      <c r="CK446" s="185"/>
      <c r="CL446" s="185"/>
      <c r="CM446" s="185"/>
      <c r="CN446" s="185"/>
      <c r="CO446" s="185"/>
      <c r="CP446" s="185"/>
      <c r="CQ446" s="185"/>
      <c r="CR446" s="185"/>
      <c r="CS446" s="185"/>
      <c r="CT446" s="185"/>
      <c r="CU446" s="185"/>
      <c r="CV446" s="185"/>
      <c r="CW446" s="185"/>
      <c r="CX446" s="185"/>
      <c r="CY446" s="185"/>
      <c r="CZ446" s="185"/>
      <c r="DA446" s="185"/>
      <c r="DB446" s="185"/>
      <c r="DC446" s="185"/>
      <c r="DD446" s="185"/>
      <c r="DE446" s="185"/>
      <c r="DF446" s="185"/>
      <c r="DG446" s="185"/>
      <c r="DH446" s="185"/>
      <c r="DI446" s="185"/>
      <c r="DJ446" s="185"/>
      <c r="DK446" s="185"/>
      <c r="DL446" s="185"/>
      <c r="DM446" s="185"/>
      <c r="DN446" s="185"/>
      <c r="DO446" s="229"/>
    </row>
    <row r="447" spans="1:119" x14ac:dyDescent="0.2">
      <c r="A447" s="185"/>
      <c r="B447" s="185"/>
      <c r="C447" s="185"/>
      <c r="D447" s="185"/>
      <c r="E447" s="187"/>
      <c r="F447" s="185"/>
      <c r="G447" s="185"/>
      <c r="H447" s="187"/>
      <c r="I447" s="185"/>
      <c r="J447" s="185"/>
      <c r="K447" s="185"/>
      <c r="L447" s="185"/>
      <c r="M447" s="185"/>
      <c r="N447" s="185"/>
      <c r="O447" s="185"/>
      <c r="P447" s="185"/>
      <c r="Q447" s="185"/>
      <c r="R447" s="185"/>
      <c r="S447" s="185"/>
      <c r="T447" s="185"/>
      <c r="U447" s="185"/>
      <c r="V447" s="185"/>
      <c r="W447" s="185"/>
      <c r="X447" s="186"/>
      <c r="Y447" s="186"/>
      <c r="Z447" s="186"/>
      <c r="AA447" s="186"/>
      <c r="AB447" s="186"/>
      <c r="AC447" s="186"/>
      <c r="AD447" s="186"/>
      <c r="AE447" s="185"/>
      <c r="AF447" s="185"/>
      <c r="AG447" s="185"/>
      <c r="AH447" s="185"/>
      <c r="AI447" s="185"/>
      <c r="AJ447" s="185"/>
      <c r="AK447" s="185"/>
      <c r="AL447" s="185"/>
      <c r="AM447" s="185"/>
      <c r="AN447" s="185"/>
      <c r="AO447" s="185"/>
      <c r="AP447" s="185"/>
      <c r="AQ447" s="185"/>
      <c r="AR447" s="185"/>
      <c r="AS447" s="185"/>
      <c r="AT447" s="185"/>
      <c r="AU447" s="185"/>
      <c r="AV447" s="185"/>
      <c r="AW447" s="185"/>
      <c r="AX447" s="185"/>
      <c r="AY447" s="185"/>
      <c r="AZ447" s="185"/>
      <c r="BA447" s="185"/>
      <c r="BB447" s="185"/>
      <c r="BC447" s="185"/>
      <c r="BD447" s="185"/>
      <c r="BE447" s="185"/>
      <c r="BF447" s="185"/>
      <c r="BG447" s="185"/>
      <c r="BH447" s="185"/>
      <c r="BI447" s="185"/>
      <c r="BJ447" s="185"/>
      <c r="BK447" s="185"/>
      <c r="BL447" s="185"/>
      <c r="BM447" s="185"/>
      <c r="BN447" s="185"/>
      <c r="BO447" s="185"/>
      <c r="BP447" s="185"/>
      <c r="BQ447" s="185"/>
      <c r="BR447" s="185"/>
      <c r="BS447" s="185"/>
      <c r="BT447" s="185"/>
      <c r="BU447" s="185"/>
      <c r="BV447" s="185"/>
      <c r="BW447" s="185"/>
      <c r="BX447" s="185"/>
      <c r="BY447" s="185"/>
      <c r="BZ447" s="185"/>
      <c r="CA447" s="185"/>
      <c r="CB447" s="185"/>
      <c r="CC447" s="185"/>
      <c r="CD447" s="185"/>
      <c r="CE447" s="185"/>
      <c r="CF447" s="185"/>
      <c r="CG447" s="185"/>
      <c r="CH447" s="185"/>
      <c r="CI447" s="185"/>
      <c r="CJ447" s="185"/>
      <c r="CK447" s="185"/>
      <c r="CL447" s="185"/>
      <c r="CM447" s="185"/>
      <c r="CN447" s="185"/>
      <c r="CO447" s="185"/>
      <c r="CP447" s="185"/>
      <c r="CQ447" s="185"/>
      <c r="CR447" s="185"/>
      <c r="CS447" s="185"/>
      <c r="CT447" s="185"/>
      <c r="CU447" s="185"/>
      <c r="CV447" s="185"/>
      <c r="CW447" s="185"/>
      <c r="CX447" s="185"/>
      <c r="CY447" s="185"/>
      <c r="CZ447" s="185"/>
      <c r="DA447" s="185"/>
      <c r="DB447" s="185"/>
      <c r="DC447" s="185"/>
      <c r="DD447" s="185"/>
      <c r="DE447" s="185"/>
      <c r="DF447" s="185"/>
      <c r="DG447" s="185"/>
      <c r="DH447" s="185"/>
      <c r="DI447" s="185"/>
      <c r="DJ447" s="185"/>
      <c r="DK447" s="185"/>
      <c r="DL447" s="185"/>
      <c r="DM447" s="185"/>
      <c r="DN447" s="185"/>
      <c r="DO447" s="229"/>
    </row>
    <row r="448" spans="1:119" x14ac:dyDescent="0.2">
      <c r="A448" s="185"/>
      <c r="B448" s="185"/>
      <c r="C448" s="185"/>
      <c r="D448" s="185"/>
      <c r="E448" s="187"/>
      <c r="F448" s="185"/>
      <c r="G448" s="185"/>
      <c r="H448" s="187"/>
      <c r="I448" s="185"/>
      <c r="J448" s="185"/>
      <c r="K448" s="185"/>
      <c r="L448" s="185"/>
      <c r="M448" s="185"/>
      <c r="N448" s="185"/>
      <c r="O448" s="185"/>
      <c r="P448" s="185"/>
      <c r="Q448" s="185"/>
      <c r="R448" s="185"/>
      <c r="S448" s="185"/>
      <c r="T448" s="185"/>
      <c r="U448" s="185"/>
      <c r="V448" s="185"/>
      <c r="W448" s="185"/>
      <c r="X448" s="186"/>
      <c r="Y448" s="186"/>
      <c r="Z448" s="186"/>
      <c r="AA448" s="186"/>
      <c r="AB448" s="186"/>
      <c r="AC448" s="186"/>
      <c r="AD448" s="186"/>
      <c r="AE448" s="185"/>
      <c r="AF448" s="185"/>
      <c r="AG448" s="185"/>
      <c r="AH448" s="185"/>
      <c r="AI448" s="185"/>
      <c r="AJ448" s="185"/>
      <c r="AK448" s="185"/>
      <c r="AL448" s="185"/>
      <c r="AM448" s="185"/>
      <c r="AN448" s="185"/>
      <c r="AO448" s="185"/>
      <c r="AP448" s="185"/>
      <c r="AQ448" s="185"/>
      <c r="AR448" s="185"/>
      <c r="AS448" s="185"/>
      <c r="AT448" s="185"/>
      <c r="AU448" s="185"/>
      <c r="AV448" s="185"/>
      <c r="AW448" s="185"/>
      <c r="AX448" s="185"/>
      <c r="AY448" s="185"/>
      <c r="AZ448" s="185"/>
      <c r="BA448" s="185"/>
      <c r="BB448" s="185"/>
      <c r="BC448" s="185"/>
      <c r="BD448" s="185"/>
      <c r="BE448" s="185"/>
      <c r="BF448" s="185"/>
      <c r="BG448" s="185"/>
      <c r="BH448" s="185"/>
      <c r="BI448" s="185"/>
      <c r="BJ448" s="185"/>
      <c r="BK448" s="185"/>
      <c r="BL448" s="185"/>
      <c r="BM448" s="185"/>
      <c r="BN448" s="185"/>
      <c r="BO448" s="185"/>
      <c r="BP448" s="185"/>
      <c r="BQ448" s="185"/>
      <c r="BR448" s="185"/>
      <c r="BS448" s="185"/>
      <c r="BT448" s="185"/>
      <c r="BU448" s="185"/>
      <c r="BV448" s="185"/>
      <c r="BW448" s="185"/>
      <c r="BX448" s="185"/>
      <c r="BY448" s="185"/>
      <c r="BZ448" s="185"/>
      <c r="CA448" s="185"/>
      <c r="CB448" s="185"/>
      <c r="CC448" s="185"/>
      <c r="CD448" s="185"/>
      <c r="CE448" s="185"/>
      <c r="CF448" s="185"/>
      <c r="CG448" s="185"/>
      <c r="CH448" s="185"/>
      <c r="CI448" s="185"/>
      <c r="CJ448" s="185"/>
      <c r="CK448" s="185"/>
      <c r="CL448" s="185"/>
      <c r="CM448" s="185"/>
      <c r="CN448" s="185"/>
      <c r="CO448" s="185"/>
      <c r="CP448" s="185"/>
      <c r="CQ448" s="185"/>
      <c r="CR448" s="185"/>
      <c r="CS448" s="185"/>
      <c r="CT448" s="185"/>
      <c r="CU448" s="185"/>
      <c r="CV448" s="185"/>
      <c r="CW448" s="185"/>
      <c r="CX448" s="185"/>
      <c r="CY448" s="185"/>
      <c r="CZ448" s="185"/>
      <c r="DA448" s="185"/>
      <c r="DB448" s="185"/>
      <c r="DC448" s="185"/>
      <c r="DD448" s="185"/>
      <c r="DE448" s="185"/>
      <c r="DF448" s="185"/>
      <c r="DG448" s="185"/>
      <c r="DH448" s="185"/>
      <c r="DI448" s="185"/>
      <c r="DJ448" s="185"/>
      <c r="DK448" s="185"/>
      <c r="DL448" s="185"/>
      <c r="DM448" s="185"/>
      <c r="DN448" s="185"/>
      <c r="DO448" s="229"/>
    </row>
    <row r="449" spans="1:119" x14ac:dyDescent="0.2">
      <c r="A449" s="185"/>
      <c r="B449" s="185"/>
      <c r="C449" s="185"/>
      <c r="D449" s="185"/>
      <c r="E449" s="187"/>
      <c r="F449" s="185"/>
      <c r="G449" s="185"/>
      <c r="H449" s="187"/>
      <c r="I449" s="185"/>
      <c r="J449" s="185"/>
      <c r="K449" s="185"/>
      <c r="L449" s="185"/>
      <c r="M449" s="185"/>
      <c r="N449" s="185"/>
      <c r="O449" s="185"/>
      <c r="P449" s="185"/>
      <c r="Q449" s="185"/>
      <c r="R449" s="185"/>
      <c r="S449" s="185"/>
      <c r="T449" s="185"/>
      <c r="U449" s="185"/>
      <c r="V449" s="185"/>
      <c r="W449" s="185"/>
      <c r="X449" s="186"/>
      <c r="Y449" s="186"/>
      <c r="Z449" s="186"/>
      <c r="AA449" s="186"/>
      <c r="AB449" s="186"/>
      <c r="AC449" s="186"/>
      <c r="AD449" s="186"/>
      <c r="AE449" s="185"/>
      <c r="AF449" s="185"/>
      <c r="AG449" s="185"/>
      <c r="AH449" s="185"/>
      <c r="AI449" s="185"/>
      <c r="AJ449" s="185"/>
      <c r="AK449" s="185"/>
      <c r="AL449" s="185"/>
      <c r="AM449" s="185"/>
      <c r="AN449" s="185"/>
      <c r="AO449" s="185"/>
      <c r="AP449" s="185"/>
      <c r="AQ449" s="185"/>
      <c r="AR449" s="185"/>
      <c r="AS449" s="185"/>
      <c r="AT449" s="185"/>
      <c r="AU449" s="185"/>
      <c r="AV449" s="185"/>
      <c r="AW449" s="185"/>
      <c r="AX449" s="185"/>
      <c r="AY449" s="185"/>
      <c r="AZ449" s="185"/>
      <c r="BA449" s="185"/>
      <c r="BB449" s="185"/>
      <c r="BC449" s="185"/>
      <c r="BD449" s="185"/>
      <c r="BE449" s="185"/>
      <c r="BF449" s="185"/>
      <c r="BG449" s="185"/>
      <c r="BH449" s="185"/>
      <c r="BI449" s="185"/>
      <c r="BJ449" s="185"/>
      <c r="BK449" s="185"/>
      <c r="BL449" s="185"/>
      <c r="BM449" s="185"/>
      <c r="BN449" s="185"/>
      <c r="BO449" s="185"/>
      <c r="BP449" s="185"/>
      <c r="BQ449" s="185"/>
      <c r="BR449" s="185"/>
      <c r="BS449" s="185"/>
      <c r="BT449" s="185"/>
      <c r="BU449" s="185"/>
      <c r="BV449" s="185"/>
      <c r="BW449" s="185"/>
      <c r="BX449" s="185"/>
      <c r="BY449" s="185"/>
      <c r="BZ449" s="185"/>
      <c r="CA449" s="185"/>
      <c r="CB449" s="185"/>
      <c r="CC449" s="185"/>
      <c r="CD449" s="185"/>
      <c r="CE449" s="185"/>
      <c r="CF449" s="185"/>
      <c r="CG449" s="185"/>
      <c r="CH449" s="185"/>
      <c r="CI449" s="185"/>
      <c r="CJ449" s="185"/>
      <c r="CK449" s="185"/>
      <c r="CL449" s="185"/>
      <c r="CM449" s="185"/>
      <c r="CN449" s="185"/>
      <c r="CO449" s="185"/>
      <c r="CP449" s="185"/>
      <c r="CQ449" s="185"/>
      <c r="CR449" s="185"/>
      <c r="CS449" s="185"/>
      <c r="CT449" s="185"/>
      <c r="CU449" s="185"/>
      <c r="CV449" s="185"/>
      <c r="CW449" s="185"/>
      <c r="CX449" s="185"/>
      <c r="CY449" s="185"/>
      <c r="CZ449" s="185"/>
      <c r="DA449" s="185"/>
      <c r="DB449" s="185"/>
      <c r="DC449" s="185"/>
      <c r="DD449" s="185"/>
      <c r="DE449" s="185"/>
      <c r="DF449" s="185"/>
      <c r="DG449" s="185"/>
      <c r="DH449" s="185"/>
      <c r="DI449" s="185"/>
      <c r="DJ449" s="185"/>
      <c r="DK449" s="185"/>
      <c r="DL449" s="185"/>
      <c r="DM449" s="185"/>
      <c r="DN449" s="185"/>
      <c r="DO449" s="229"/>
    </row>
    <row r="450" spans="1:119" x14ac:dyDescent="0.2">
      <c r="O450" s="240"/>
      <c r="AC450" s="186"/>
      <c r="AD450" s="186"/>
      <c r="AE450" s="185"/>
      <c r="AF450" s="185"/>
      <c r="AG450" s="185"/>
      <c r="AH450" s="185"/>
    </row>
    <row r="451" spans="1:119" x14ac:dyDescent="0.2">
      <c r="O451" s="240"/>
      <c r="AC451" s="186"/>
      <c r="AD451" s="186"/>
      <c r="AE451" s="185"/>
      <c r="AF451" s="185"/>
      <c r="AG451" s="185"/>
      <c r="AH451" s="185"/>
    </row>
    <row r="452" spans="1:119" x14ac:dyDescent="0.2">
      <c r="O452" s="240"/>
      <c r="AC452" s="186"/>
      <c r="AD452" s="186"/>
      <c r="AE452" s="185"/>
      <c r="AF452" s="185"/>
      <c r="AG452" s="185"/>
      <c r="AH452" s="185"/>
    </row>
    <row r="453" spans="1:119" x14ac:dyDescent="0.2">
      <c r="O453" s="240"/>
      <c r="AC453" s="186"/>
      <c r="AD453" s="186"/>
      <c r="AE453" s="185"/>
      <c r="AF453" s="185"/>
      <c r="AG453" s="185"/>
      <c r="AH453" s="185"/>
    </row>
    <row r="454" spans="1:119" x14ac:dyDescent="0.2">
      <c r="O454" s="240"/>
      <c r="AC454" s="186"/>
      <c r="AD454" s="186"/>
      <c r="AE454" s="185"/>
      <c r="AF454" s="185"/>
      <c r="AG454" s="185"/>
      <c r="AH454" s="185"/>
    </row>
    <row r="455" spans="1:119" x14ac:dyDescent="0.2">
      <c r="O455" s="240"/>
      <c r="AC455" s="186"/>
      <c r="AD455" s="186"/>
      <c r="AE455" s="185"/>
      <c r="AF455" s="185"/>
      <c r="AG455" s="185"/>
      <c r="AH455" s="185"/>
    </row>
    <row r="456" spans="1:119" x14ac:dyDescent="0.2">
      <c r="O456" s="240"/>
      <c r="AC456" s="186"/>
      <c r="AD456" s="186"/>
      <c r="AE456" s="185"/>
      <c r="AF456" s="185"/>
      <c r="AG456" s="185"/>
      <c r="AH456" s="185"/>
    </row>
    <row r="457" spans="1:119" x14ac:dyDescent="0.2">
      <c r="O457" s="240"/>
      <c r="AC457" s="186"/>
      <c r="AD457" s="186"/>
      <c r="AE457" s="185"/>
      <c r="AF457" s="185"/>
      <c r="AG457" s="185"/>
      <c r="AH457" s="185"/>
    </row>
    <row r="458" spans="1:119" x14ac:dyDescent="0.2">
      <c r="O458" s="240"/>
      <c r="AC458" s="186"/>
      <c r="AD458" s="186"/>
      <c r="AE458" s="185"/>
      <c r="AF458" s="185"/>
      <c r="AG458" s="185"/>
      <c r="AH458" s="185"/>
    </row>
    <row r="459" spans="1:119" x14ac:dyDescent="0.2">
      <c r="O459" s="240"/>
      <c r="AC459" s="186"/>
      <c r="AD459" s="186"/>
      <c r="AE459" s="185"/>
      <c r="AF459" s="185"/>
      <c r="AG459" s="185"/>
      <c r="AH459" s="185"/>
    </row>
    <row r="460" spans="1:119" x14ac:dyDescent="0.2">
      <c r="O460" s="240"/>
      <c r="AC460" s="186"/>
      <c r="AD460" s="186"/>
      <c r="AE460" s="185"/>
      <c r="AF460" s="185"/>
      <c r="AG460" s="185"/>
      <c r="AH460" s="185"/>
    </row>
    <row r="461" spans="1:119" x14ac:dyDescent="0.2">
      <c r="O461" s="240"/>
      <c r="AC461" s="186"/>
      <c r="AD461" s="186"/>
      <c r="AE461" s="185"/>
      <c r="AF461" s="185"/>
      <c r="AG461" s="185"/>
      <c r="AH461" s="185"/>
    </row>
    <row r="462" spans="1:119" x14ac:dyDescent="0.2">
      <c r="O462" s="240"/>
      <c r="AC462" s="186"/>
      <c r="AD462" s="186"/>
      <c r="AE462" s="185"/>
      <c r="AF462" s="185"/>
      <c r="AG462" s="185"/>
      <c r="AH462" s="185"/>
    </row>
    <row r="463" spans="1:119" x14ac:dyDescent="0.2">
      <c r="O463" s="240"/>
      <c r="AC463" s="186"/>
      <c r="AD463" s="186"/>
      <c r="AE463" s="185"/>
      <c r="AF463" s="185"/>
      <c r="AG463" s="185"/>
      <c r="AH463" s="185"/>
    </row>
    <row r="464" spans="1:119" x14ac:dyDescent="0.2">
      <c r="O464" s="240"/>
      <c r="AC464" s="186"/>
      <c r="AD464" s="186"/>
      <c r="AE464" s="185"/>
      <c r="AF464" s="185"/>
      <c r="AG464" s="185"/>
      <c r="AH464" s="185"/>
    </row>
    <row r="465" spans="15:34" x14ac:dyDescent="0.2">
      <c r="O465" s="240"/>
      <c r="AC465" s="186"/>
      <c r="AD465" s="186"/>
      <c r="AE465" s="185"/>
      <c r="AF465" s="185"/>
      <c r="AG465" s="185"/>
      <c r="AH465" s="185"/>
    </row>
    <row r="466" spans="15:34" x14ac:dyDescent="0.2">
      <c r="O466" s="240"/>
    </row>
    <row r="467" spans="15:34" x14ac:dyDescent="0.2">
      <c r="O467" s="240"/>
    </row>
    <row r="468" spans="15:34" x14ac:dyDescent="0.2">
      <c r="O468" s="240"/>
    </row>
    <row r="469" spans="15:34" x14ac:dyDescent="0.2">
      <c r="O469" s="240"/>
    </row>
    <row r="470" spans="15:34" x14ac:dyDescent="0.2">
      <c r="O470" s="240"/>
    </row>
    <row r="471" spans="15:34" x14ac:dyDescent="0.2">
      <c r="O471" s="240"/>
    </row>
    <row r="472" spans="15:34" x14ac:dyDescent="0.2">
      <c r="O472" s="240"/>
    </row>
    <row r="473" spans="15:34" x14ac:dyDescent="0.2">
      <c r="O473" s="240"/>
    </row>
    <row r="474" spans="15:34" x14ac:dyDescent="0.2">
      <c r="O474" s="240"/>
    </row>
    <row r="475" spans="15:34" x14ac:dyDescent="0.2">
      <c r="O475" s="240"/>
    </row>
    <row r="476" spans="15:34" x14ac:dyDescent="0.2">
      <c r="O476" s="240"/>
    </row>
    <row r="477" spans="15:34" x14ac:dyDescent="0.2">
      <c r="O477" s="240"/>
    </row>
    <row r="478" spans="15:34" x14ac:dyDescent="0.2">
      <c r="O478" s="240"/>
    </row>
    <row r="479" spans="15:34" x14ac:dyDescent="0.2">
      <c r="O479" s="240"/>
    </row>
    <row r="480" spans="15:34" x14ac:dyDescent="0.2">
      <c r="O480" s="240"/>
    </row>
    <row r="481" spans="15:15" x14ac:dyDescent="0.2">
      <c r="O481" s="240"/>
    </row>
    <row r="482" spans="15:15" x14ac:dyDescent="0.2">
      <c r="O482" s="240"/>
    </row>
    <row r="483" spans="15:15" x14ac:dyDescent="0.2">
      <c r="O483" s="240"/>
    </row>
    <row r="484" spans="15:15" x14ac:dyDescent="0.2">
      <c r="O484" s="240"/>
    </row>
    <row r="485" spans="15:15" x14ac:dyDescent="0.2">
      <c r="O485" s="240"/>
    </row>
    <row r="486" spans="15:15" x14ac:dyDescent="0.2">
      <c r="O486" s="240"/>
    </row>
    <row r="487" spans="15:15" x14ac:dyDescent="0.2">
      <c r="O487" s="240"/>
    </row>
    <row r="488" spans="15:15" x14ac:dyDescent="0.2">
      <c r="O488" s="242"/>
    </row>
  </sheetData>
  <mergeCells count="20">
    <mergeCell ref="A348:AD348"/>
    <mergeCell ref="Z6:AA6"/>
    <mergeCell ref="A1:DN4"/>
    <mergeCell ref="A5:AD5"/>
    <mergeCell ref="DO5:DO6"/>
    <mergeCell ref="AE6:AI6"/>
    <mergeCell ref="AJ6:AN6"/>
    <mergeCell ref="AO6:AS6"/>
    <mergeCell ref="AT6:AX6"/>
    <mergeCell ref="AY6:BC6"/>
    <mergeCell ref="BX6:CB6"/>
    <mergeCell ref="CC6:CG6"/>
    <mergeCell ref="CH5:CR5"/>
    <mergeCell ref="CS5:DC5"/>
    <mergeCell ref="BD6:BH6"/>
    <mergeCell ref="BI6:BM6"/>
    <mergeCell ref="AE5:CG5"/>
    <mergeCell ref="BN6:BR6"/>
    <mergeCell ref="BS6:BW6"/>
    <mergeCell ref="DD5:DN5"/>
  </mergeCells>
  <conditionalFormatting sqref="U11:V11">
    <cfRule type="duplicateValues" dxfId="88" priority="612"/>
  </conditionalFormatting>
  <conditionalFormatting sqref="U17 U19">
    <cfRule type="duplicateValues" dxfId="87" priority="608"/>
  </conditionalFormatting>
  <conditionalFormatting sqref="U17">
    <cfRule type="duplicateValues" dxfId="86" priority="609"/>
  </conditionalFormatting>
  <conditionalFormatting sqref="U23">
    <cfRule type="duplicateValues" dxfId="85" priority="606"/>
  </conditionalFormatting>
  <conditionalFormatting sqref="U23">
    <cfRule type="duplicateValues" dxfId="84" priority="607"/>
  </conditionalFormatting>
  <conditionalFormatting sqref="U126">
    <cfRule type="duplicateValues" dxfId="83" priority="605"/>
  </conditionalFormatting>
  <conditionalFormatting sqref="U127">
    <cfRule type="duplicateValues" dxfId="82" priority="604"/>
  </conditionalFormatting>
  <conditionalFormatting sqref="U128">
    <cfRule type="duplicateValues" dxfId="81" priority="603"/>
  </conditionalFormatting>
  <conditionalFormatting sqref="U130">
    <cfRule type="duplicateValues" dxfId="80" priority="602"/>
  </conditionalFormatting>
  <conditionalFormatting sqref="U131">
    <cfRule type="duplicateValues" dxfId="79" priority="601"/>
  </conditionalFormatting>
  <conditionalFormatting sqref="U132:U133">
    <cfRule type="duplicateValues" dxfId="78" priority="600"/>
  </conditionalFormatting>
  <conditionalFormatting sqref="U134">
    <cfRule type="duplicateValues" dxfId="77" priority="599"/>
  </conditionalFormatting>
  <conditionalFormatting sqref="U137">
    <cfRule type="duplicateValues" dxfId="76" priority="598"/>
  </conditionalFormatting>
  <conditionalFormatting sqref="U189 U191">
    <cfRule type="duplicateValues" dxfId="75" priority="595"/>
  </conditionalFormatting>
  <conditionalFormatting sqref="U190">
    <cfRule type="duplicateValues" dxfId="74" priority="594"/>
  </conditionalFormatting>
  <conditionalFormatting sqref="U192">
    <cfRule type="duplicateValues" dxfId="73" priority="592"/>
  </conditionalFormatting>
  <conditionalFormatting sqref="U192">
    <cfRule type="duplicateValues" dxfId="72" priority="593"/>
  </conditionalFormatting>
  <conditionalFormatting sqref="Q195">
    <cfRule type="duplicateValues" dxfId="71" priority="587"/>
  </conditionalFormatting>
  <conditionalFormatting sqref="Q195">
    <cfRule type="duplicateValues" dxfId="70" priority="588"/>
  </conditionalFormatting>
  <conditionalFormatting sqref="Q195">
    <cfRule type="duplicateValues" dxfId="69" priority="589"/>
  </conditionalFormatting>
  <conditionalFormatting sqref="U195">
    <cfRule type="duplicateValues" dxfId="68" priority="584"/>
  </conditionalFormatting>
  <conditionalFormatting sqref="U195">
    <cfRule type="duplicateValues" dxfId="67" priority="585"/>
  </conditionalFormatting>
  <conditionalFormatting sqref="U195">
    <cfRule type="duplicateValues" dxfId="66" priority="586"/>
  </conditionalFormatting>
  <conditionalFormatting sqref="U196:U200 U193:U194">
    <cfRule type="duplicateValues" dxfId="65" priority="590"/>
  </conditionalFormatting>
  <conditionalFormatting sqref="U196:U200">
    <cfRule type="duplicateValues" dxfId="64" priority="591"/>
  </conditionalFormatting>
  <conditionalFormatting sqref="V202">
    <cfRule type="duplicateValues" dxfId="63" priority="582"/>
  </conditionalFormatting>
  <conditionalFormatting sqref="V202">
    <cfRule type="duplicateValues" dxfId="62" priority="583"/>
  </conditionalFormatting>
  <conditionalFormatting sqref="V204:V205">
    <cfRule type="duplicateValues" dxfId="61" priority="580"/>
  </conditionalFormatting>
  <conditionalFormatting sqref="V204:V205">
    <cfRule type="duplicateValues" dxfId="60" priority="581"/>
  </conditionalFormatting>
  <conditionalFormatting sqref="V207">
    <cfRule type="duplicateValues" dxfId="59" priority="578"/>
  </conditionalFormatting>
  <conditionalFormatting sqref="V207">
    <cfRule type="duplicateValues" dxfId="58" priority="579"/>
  </conditionalFormatting>
  <conditionalFormatting sqref="V209">
    <cfRule type="duplicateValues" dxfId="57" priority="576"/>
  </conditionalFormatting>
  <conditionalFormatting sqref="V209">
    <cfRule type="duplicateValues" dxfId="56" priority="577"/>
  </conditionalFormatting>
  <conditionalFormatting sqref="V211:V212">
    <cfRule type="duplicateValues" dxfId="55" priority="574"/>
  </conditionalFormatting>
  <conditionalFormatting sqref="V211:V212">
    <cfRule type="duplicateValues" dxfId="54" priority="575"/>
  </conditionalFormatting>
  <conditionalFormatting sqref="U214:U215">
    <cfRule type="duplicateValues" dxfId="53" priority="572"/>
  </conditionalFormatting>
  <conditionalFormatting sqref="U214:U215">
    <cfRule type="duplicateValues" dxfId="52" priority="573"/>
  </conditionalFormatting>
  <conditionalFormatting sqref="U216">
    <cfRule type="duplicateValues" dxfId="51" priority="570"/>
  </conditionalFormatting>
  <conditionalFormatting sqref="U216">
    <cfRule type="duplicateValues" dxfId="50" priority="571"/>
  </conditionalFormatting>
  <conditionalFormatting sqref="U217">
    <cfRule type="duplicateValues" dxfId="49" priority="568"/>
  </conditionalFormatting>
  <conditionalFormatting sqref="U217">
    <cfRule type="duplicateValues" dxfId="48" priority="569"/>
  </conditionalFormatting>
  <conditionalFormatting sqref="U218">
    <cfRule type="duplicateValues" dxfId="47" priority="566"/>
  </conditionalFormatting>
  <conditionalFormatting sqref="U218">
    <cfRule type="duplicateValues" dxfId="46" priority="567"/>
  </conditionalFormatting>
  <conditionalFormatting sqref="U275">
    <cfRule type="duplicateValues" dxfId="45" priority="564"/>
  </conditionalFormatting>
  <conditionalFormatting sqref="U275">
    <cfRule type="duplicateValues" dxfId="44" priority="565"/>
  </conditionalFormatting>
  <conditionalFormatting sqref="Q137 Q135:R135 Q128 R129:R134">
    <cfRule type="duplicateValues" dxfId="43" priority="559"/>
  </conditionalFormatting>
  <conditionalFormatting sqref="V17:V19">
    <cfRule type="duplicateValues" dxfId="42" priority="77"/>
  </conditionalFormatting>
  <conditionalFormatting sqref="V17:V19">
    <cfRule type="duplicateValues" dxfId="41" priority="78"/>
  </conditionalFormatting>
  <conditionalFormatting sqref="V23">
    <cfRule type="duplicateValues" dxfId="40" priority="75"/>
  </conditionalFormatting>
  <conditionalFormatting sqref="V23">
    <cfRule type="duplicateValues" dxfId="39" priority="76"/>
  </conditionalFormatting>
  <conditionalFormatting sqref="V126">
    <cfRule type="duplicateValues" dxfId="38" priority="74"/>
  </conditionalFormatting>
  <conditionalFormatting sqref="V127">
    <cfRule type="duplicateValues" dxfId="37" priority="73"/>
  </conditionalFormatting>
  <conditionalFormatting sqref="V130">
    <cfRule type="duplicateValues" dxfId="36" priority="72"/>
  </conditionalFormatting>
  <conditionalFormatting sqref="V131">
    <cfRule type="duplicateValues" dxfId="35" priority="71"/>
  </conditionalFormatting>
  <conditionalFormatting sqref="V132:V133">
    <cfRule type="duplicateValues" dxfId="34" priority="70"/>
  </conditionalFormatting>
  <conditionalFormatting sqref="V134">
    <cfRule type="duplicateValues" dxfId="33" priority="69"/>
  </conditionalFormatting>
  <conditionalFormatting sqref="R137">
    <cfRule type="duplicateValues" dxfId="32" priority="68"/>
  </conditionalFormatting>
  <conditionalFormatting sqref="V137">
    <cfRule type="duplicateValues" dxfId="31" priority="67"/>
  </conditionalFormatting>
  <conditionalFormatting sqref="R195">
    <cfRule type="duplicateValues" dxfId="30" priority="64"/>
  </conditionalFormatting>
  <conditionalFormatting sqref="R195">
    <cfRule type="duplicateValues" dxfId="29" priority="65"/>
  </conditionalFormatting>
  <conditionalFormatting sqref="R195">
    <cfRule type="duplicateValues" dxfId="28" priority="66"/>
  </conditionalFormatting>
  <conditionalFormatting sqref="V189 V191">
    <cfRule type="duplicateValues" dxfId="27" priority="63"/>
  </conditionalFormatting>
  <conditionalFormatting sqref="V190">
    <cfRule type="duplicateValues" dxfId="26" priority="62"/>
  </conditionalFormatting>
  <conditionalFormatting sqref="V192">
    <cfRule type="duplicateValues" dxfId="25" priority="60"/>
  </conditionalFormatting>
  <conditionalFormatting sqref="V192">
    <cfRule type="duplicateValues" dxfId="24" priority="61"/>
  </conditionalFormatting>
  <conditionalFormatting sqref="V195">
    <cfRule type="duplicateValues" dxfId="23" priority="55"/>
  </conditionalFormatting>
  <conditionalFormatting sqref="V195">
    <cfRule type="duplicateValues" dxfId="22" priority="56"/>
  </conditionalFormatting>
  <conditionalFormatting sqref="V195">
    <cfRule type="duplicateValues" dxfId="21" priority="57"/>
  </conditionalFormatting>
  <conditionalFormatting sqref="V196:V200 V193:V194">
    <cfRule type="duplicateValues" dxfId="20" priority="58"/>
  </conditionalFormatting>
  <conditionalFormatting sqref="V196:V200">
    <cfRule type="duplicateValues" dxfId="19" priority="59"/>
  </conditionalFormatting>
  <conditionalFormatting sqref="V214:V215">
    <cfRule type="duplicateValues" dxfId="18" priority="53"/>
  </conditionalFormatting>
  <conditionalFormatting sqref="V214:V215">
    <cfRule type="duplicateValues" dxfId="17" priority="54"/>
  </conditionalFormatting>
  <conditionalFormatting sqref="V216">
    <cfRule type="duplicateValues" dxfId="16" priority="51"/>
  </conditionalFormatting>
  <conditionalFormatting sqref="V216">
    <cfRule type="duplicateValues" dxfId="15" priority="52"/>
  </conditionalFormatting>
  <conditionalFormatting sqref="V217">
    <cfRule type="duplicateValues" dxfId="14" priority="49"/>
  </conditionalFormatting>
  <conditionalFormatting sqref="V217">
    <cfRule type="duplicateValues" dxfId="13" priority="50"/>
  </conditionalFormatting>
  <conditionalFormatting sqref="V218">
    <cfRule type="duplicateValues" dxfId="12" priority="47"/>
  </conditionalFormatting>
  <conditionalFormatting sqref="V218">
    <cfRule type="duplicateValues" dxfId="11" priority="48"/>
  </conditionalFormatting>
  <conditionalFormatting sqref="V275">
    <cfRule type="duplicateValues" dxfId="10" priority="45"/>
  </conditionalFormatting>
  <conditionalFormatting sqref="V275">
    <cfRule type="duplicateValues" dxfId="9" priority="46"/>
  </conditionalFormatting>
  <conditionalFormatting sqref="U279">
    <cfRule type="duplicateValues" dxfId="8" priority="43"/>
  </conditionalFormatting>
  <conditionalFormatting sqref="U279">
    <cfRule type="duplicateValues" dxfId="7" priority="44"/>
  </conditionalFormatting>
  <conditionalFormatting sqref="V279">
    <cfRule type="duplicateValues" dxfId="6" priority="41"/>
  </conditionalFormatting>
  <conditionalFormatting sqref="V279">
    <cfRule type="duplicateValues" dxfId="5" priority="42"/>
  </conditionalFormatting>
  <conditionalFormatting sqref="V135">
    <cfRule type="duplicateValues" dxfId="4" priority="40"/>
  </conditionalFormatting>
  <conditionalFormatting sqref="U202 U204:U205 U207 U209 U211:U212">
    <cfRule type="duplicateValues" dxfId="3" priority="38"/>
  </conditionalFormatting>
  <conditionalFormatting sqref="U202">
    <cfRule type="duplicateValues" dxfId="2" priority="39"/>
  </conditionalFormatting>
  <conditionalFormatting sqref="U18">
    <cfRule type="duplicateValues" dxfId="1" priority="16"/>
  </conditionalFormatting>
  <conditionalFormatting sqref="U18">
    <cfRule type="duplicateValues" dxfId="0" priority="17"/>
  </conditionalFormatting>
  <hyperlinks>
    <hyperlink ref="G111" r:id="rId1" display="https://app.powerbi.com/view?r=eyJrIjoiNmUyZjc2ZDgtODg3OC00OTg2LWE5NDEtYTQyZjM2NzM2ZmQ2IiwidCI6IjFhMDY3M2M2LTI0ZTEtNDc2ZC1iYjRkLWJhNmE5MWEzYzU4OCIsImMiOjR9"/>
    <hyperlink ref="G114" r:id="rId2" display="https://app.powerbi.com/view?r=eyJrIjoiNmUyZjc2ZDgtODg3OC00OTg2LWE5NDEtYTQyZjM2NzM2ZmQ2IiwidCI6IjFhMDY3M2M2LTI0ZTEtNDc2ZC1iYjRkLWJhNmE5MWEzYzU4OCIsImMiOjR9"/>
    <hyperlink ref="G116" r:id="rId3" display="https://app.powerbi.com/view?r=eyJrIjoiNmUyZjc2ZDgtODg3OC00OTg2LWE5NDEtYTQyZjM2NzM2ZmQ2IiwidCI6IjFhMDY3M2M2LTI0ZTEtNDc2ZC1iYjRkLWJhNmE5MWEzYzU4OCIsImMiOjR9"/>
    <hyperlink ref="G115" r:id="rId4" display="https://app.powerbi.com/view?r=eyJrIjoiNmUyZjc2ZDgtODg3OC00OTg2LWE5NDEtYTQyZjM2NzM2ZmQ2IiwidCI6IjFhMDY3M2M2LTI0ZTEtNDc2ZC1iYjRkLWJhNmE5MWEzYzU4OCIsImMiOjR9"/>
    <hyperlink ref="G109" r:id="rId5" display="https://app.powerbi.com/view?r=eyJrIjoiNmUyZjc2ZDgtODg3OC00OTg2LWE5NDEtYTQyZjM2NzM2ZmQ2IiwidCI6IjFhMDY3M2M2LTI0ZTEtNDc2ZC1iYjRkLWJhNmE5MWEzYzU4OCIsImMiOjR9"/>
    <hyperlink ref="G119" r:id="rId6" display="https://app.powerbi.com/view?r=eyJrIjoiNmUyZjc2ZDgtODg3OC00OTg2LWE5NDEtYTQyZjM2NzM2ZmQ2IiwidCI6IjFhMDY3M2M2LTI0ZTEtNDc2ZC1iYjRkLWJhNmE5MWEzYzU4OCIsImMiOjR9"/>
    <hyperlink ref="G123" r:id="rId7" display="https://app.powerbi.com/view?r=eyJrIjoiNmUyZjc2ZDgtODg3OC00OTg2LWE5NDEtYTQyZjM2NzM2ZmQ2IiwidCI6IjFhMDY3M2M2LTI0ZTEtNDc2ZC1iYjRkLWJhNmE5MWEzYzU4OCIsImMiOjR9"/>
  </hyperlinks>
  <pageMargins left="0.7" right="0.7" top="0.75" bottom="0.75" header="0.3" footer="0.3"/>
  <pageSetup orientation="portrait" horizontalDpi="360" verticalDpi="360" r:id="rId8"/>
  <drawing r:id="rId9"/>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XEQ54"/>
  <sheetViews>
    <sheetView showGridLines="0" zoomScale="80" zoomScaleNormal="80" workbookViewId="0">
      <selection sqref="A1:F1"/>
    </sheetView>
  </sheetViews>
  <sheetFormatPr baseColWidth="10" defaultRowHeight="15.75" x14ac:dyDescent="0.25"/>
  <cols>
    <col min="1" max="1" width="11.42578125" style="33"/>
    <col min="2" max="2" width="16.140625" style="33" customWidth="1"/>
    <col min="3" max="3" width="57.42578125" style="33" customWidth="1"/>
    <col min="4" max="4" width="32.140625" style="25" customWidth="1"/>
    <col min="5" max="5" width="27.140625" style="25" customWidth="1"/>
    <col min="6" max="6" width="26" style="25" customWidth="1"/>
    <col min="7" max="7" width="20.5703125" style="19" bestFit="1" customWidth="1"/>
    <col min="8" max="8" width="11.42578125" style="19"/>
    <col min="9" max="9" width="23.5703125" style="19" bestFit="1" customWidth="1"/>
    <col min="10" max="10" width="9.42578125" style="19" customWidth="1"/>
    <col min="11" max="11" width="53.85546875" style="19" customWidth="1"/>
    <col min="12" max="12" width="25.7109375" style="19" customWidth="1"/>
    <col min="13" max="13" width="11.85546875" style="19" customWidth="1"/>
    <col min="14" max="14" width="24.7109375" style="19" customWidth="1"/>
    <col min="15" max="15" width="21.5703125" style="19" customWidth="1"/>
    <col min="16" max="16" width="27.28515625" style="19" customWidth="1"/>
    <col min="17" max="17" width="15.85546875" style="19" customWidth="1"/>
    <col min="18" max="16384" width="11.42578125" style="19"/>
  </cols>
  <sheetData>
    <row r="1" spans="1:17" ht="15" customHeight="1" x14ac:dyDescent="0.2">
      <c r="A1" s="274" t="s">
        <v>1727</v>
      </c>
      <c r="B1" s="274"/>
      <c r="C1" s="274"/>
      <c r="D1" s="274"/>
      <c r="E1" s="274"/>
      <c r="F1" s="274"/>
    </row>
    <row r="2" spans="1:17" x14ac:dyDescent="0.25">
      <c r="A2" s="20" t="s">
        <v>1581</v>
      </c>
      <c r="B2" s="20" t="s">
        <v>1582</v>
      </c>
      <c r="C2" s="20" t="s">
        <v>1583</v>
      </c>
      <c r="D2" s="21" t="s">
        <v>1726</v>
      </c>
      <c r="E2" s="21" t="s">
        <v>1616</v>
      </c>
      <c r="F2" s="21" t="s">
        <v>1617</v>
      </c>
    </row>
    <row r="3" spans="1:17" x14ac:dyDescent="0.25">
      <c r="A3" s="34">
        <v>1</v>
      </c>
      <c r="B3" s="35" t="s">
        <v>19</v>
      </c>
      <c r="C3" s="36"/>
      <c r="D3" s="56">
        <f>SUM(D4:D22)</f>
        <v>274840500141.39999</v>
      </c>
      <c r="E3" s="56">
        <f>SUM(E4:E22)</f>
        <v>244257111609.03329</v>
      </c>
      <c r="F3" s="56">
        <f>SUM(F4:F22)</f>
        <v>238266458478.03329</v>
      </c>
    </row>
    <row r="4" spans="1:17" ht="32.25" customHeight="1" x14ac:dyDescent="0.2">
      <c r="A4" s="13">
        <v>1</v>
      </c>
      <c r="B4" s="13">
        <f>'F-PLA-05 PLAN INDIC 2020'!N9</f>
        <v>1202</v>
      </c>
      <c r="C4" s="59" t="str">
        <f>'F-PLA-05 PLAN INDIC 2020'!O9</f>
        <v>Promoción al acceso a la justicia."Tú y yo con justicia"</v>
      </c>
      <c r="D4" s="57">
        <f>'F-PLA-05 PLAN INDIC 2020'!AF9</f>
        <v>115128400</v>
      </c>
      <c r="E4" s="57">
        <f>'F-PLA-05 PLAN INDIC 2020'!AG9</f>
        <v>43593231</v>
      </c>
      <c r="F4" s="57">
        <f>'F-PLA-05 PLAN INDIC 2020'!AH9</f>
        <v>43593231</v>
      </c>
    </row>
    <row r="5" spans="1:17" ht="30" x14ac:dyDescent="0.2">
      <c r="A5" s="13">
        <v>2</v>
      </c>
      <c r="B5" s="13">
        <f>'F-PLA-05 PLAN INDIC 2020'!N12</f>
        <v>1203</v>
      </c>
      <c r="C5" s="59" t="str">
        <f>'F-PLA-05 PLAN INDIC 2020'!O12</f>
        <v>Promoción de los métodos de resolución de conflictos. "Tú y yo resolvemos los conflictos"</v>
      </c>
      <c r="D5" s="57">
        <f>'F-PLA-05 PLAN INDIC 2020'!AF12</f>
        <v>15000000</v>
      </c>
      <c r="E5" s="57">
        <f>'F-PLA-05 PLAN INDIC 2020'!AG12</f>
        <v>3620000</v>
      </c>
      <c r="F5" s="57">
        <f>'F-PLA-05 PLAN INDIC 2020'!AH12</f>
        <v>3620000</v>
      </c>
      <c r="J5" s="22" t="s">
        <v>1581</v>
      </c>
      <c r="K5" s="22" t="s">
        <v>1728</v>
      </c>
      <c r="L5" s="22" t="s">
        <v>1618</v>
      </c>
      <c r="M5" s="22" t="s">
        <v>1619</v>
      </c>
      <c r="N5" s="22" t="s">
        <v>1614</v>
      </c>
      <c r="O5" s="22" t="s">
        <v>1620</v>
      </c>
      <c r="P5" s="22" t="s">
        <v>1615</v>
      </c>
      <c r="Q5" s="22" t="s">
        <v>1621</v>
      </c>
    </row>
    <row r="6" spans="1:17" ht="45" x14ac:dyDescent="0.2">
      <c r="A6" s="13">
        <f>A5+1</f>
        <v>3</v>
      </c>
      <c r="B6" s="13">
        <f>'F-PLA-05 PLAN INDIC 2020'!N14</f>
        <v>1206</v>
      </c>
      <c r="C6" s="59" t="str">
        <f>'F-PLA-05 PLAN INDIC 2020'!O14</f>
        <v>Sistema penitenciario y carcelario en el marco de los derechos humanos. "Quindío respeta derechos penitenciarios"</v>
      </c>
      <c r="D6" s="57">
        <f>'F-PLA-05 PLAN INDIC 2020'!AF14</f>
        <v>15000000</v>
      </c>
      <c r="E6" s="57">
        <f>'F-PLA-05 PLAN INDIC 2020'!AG14</f>
        <v>3886666</v>
      </c>
      <c r="F6" s="57">
        <f>'F-PLA-05 PLAN INDIC 2020'!AH14</f>
        <v>3886666</v>
      </c>
      <c r="J6" s="13">
        <f>A3</f>
        <v>1</v>
      </c>
      <c r="K6" s="55" t="str">
        <f>B3</f>
        <v>INCLUSIÓN SOCIAL Y EQUIDAD</v>
      </c>
      <c r="L6" s="51">
        <f>'F-PLA-05 PLAN INDIC 2020'!AF8</f>
        <v>274840500141.39999</v>
      </c>
      <c r="M6" s="52">
        <f>L6/L6</f>
        <v>1</v>
      </c>
      <c r="N6" s="53">
        <f>'F-PLA-05 PLAN INDIC 2020'!AG8</f>
        <v>244257111609.03329</v>
      </c>
      <c r="O6" s="54">
        <f>N6/L6</f>
        <v>0.88872313754111143</v>
      </c>
      <c r="P6" s="53">
        <f>'F-PLA-05 PLAN INDIC 2020'!AH8</f>
        <v>238266458478.03329</v>
      </c>
      <c r="Q6" s="54">
        <f>P6/L6</f>
        <v>0.86692630218417566</v>
      </c>
    </row>
    <row r="7" spans="1:17" ht="30" x14ac:dyDescent="0.2">
      <c r="A7" s="13">
        <f t="shared" ref="A7:A22" si="0">A6+1</f>
        <v>4</v>
      </c>
      <c r="B7" s="13">
        <f>'F-PLA-05 PLAN INDIC 2020'!N16</f>
        <v>1903</v>
      </c>
      <c r="C7" s="59" t="str">
        <f>'F-PLA-05 PLAN INDIC 2020'!O16</f>
        <v xml:space="preserve">Inspección, vigilancia y control. "Tú y yo con salud certificada" </v>
      </c>
      <c r="D7" s="57">
        <f>'F-PLA-05 PLAN INDIC 2020'!AF16</f>
        <v>3706899934.8600001</v>
      </c>
      <c r="E7" s="57">
        <f>'F-PLA-05 PLAN INDIC 2020'!AG16</f>
        <v>2350788972</v>
      </c>
      <c r="F7" s="57">
        <f>'F-PLA-05 PLAN INDIC 2020'!AH16</f>
        <v>2317710680</v>
      </c>
      <c r="G7" s="25"/>
      <c r="J7" s="13">
        <v>2</v>
      </c>
      <c r="K7" s="55" t="str">
        <f>B23</f>
        <v>PRODUCTIVIDAD Y COMPETITIVIDAD</v>
      </c>
      <c r="L7" s="51">
        <f>'F-PLA-05 PLAN INDIC 2020'!AF187</f>
        <v>18735671102.82</v>
      </c>
      <c r="M7" s="52">
        <f>L7/L7</f>
        <v>1</v>
      </c>
      <c r="N7" s="53">
        <f>'F-PLA-05 PLAN INDIC 2020'!AG187</f>
        <v>17224626369</v>
      </c>
      <c r="O7" s="54">
        <f>N7/L7</f>
        <v>0.91934931364200956</v>
      </c>
      <c r="P7" s="53">
        <f>'F-PLA-05 PLAN INDIC 2020'!AH187</f>
        <v>9837873963</v>
      </c>
      <c r="Q7" s="54">
        <f>P7/L7</f>
        <v>0.52508788764546854</v>
      </c>
    </row>
    <row r="8" spans="1:17" ht="30" x14ac:dyDescent="0.2">
      <c r="A8" s="13">
        <f t="shared" si="0"/>
        <v>5</v>
      </c>
      <c r="B8" s="13">
        <f>'F-PLA-05 PLAN INDIC 2020'!N37</f>
        <v>1905</v>
      </c>
      <c r="C8" s="59" t="str">
        <f>'F-PLA-05 PLAN INDIC 2020'!O37</f>
        <v>Salud Pública, "Tú y yo con salud de calidad"</v>
      </c>
      <c r="D8" s="57">
        <f>'F-PLA-05 PLAN INDIC 2020'!AF37</f>
        <v>6527893531.2399998</v>
      </c>
      <c r="E8" s="57">
        <f>'F-PLA-05 PLAN INDIC 2020'!AG37</f>
        <v>4430225822.3299999</v>
      </c>
      <c r="F8" s="57">
        <f>'F-PLA-05 PLAN INDIC 2020'!AH37</f>
        <v>3929943811.3299999</v>
      </c>
      <c r="J8" s="13">
        <v>3</v>
      </c>
      <c r="K8" s="55" t="str">
        <f>B38</f>
        <v>TERRITORIO, AMBIENTE Y DESARROLLO SOSTENIBLE</v>
      </c>
      <c r="L8" s="51">
        <f>'F-PLA-05 PLAN INDIC 2020'!AF248</f>
        <v>92686939190.660004</v>
      </c>
      <c r="M8" s="52">
        <f>L8/L8</f>
        <v>1</v>
      </c>
      <c r="N8" s="53">
        <f>'F-PLA-05 PLAN INDIC 2020'!AG248</f>
        <v>20810641156.849998</v>
      </c>
      <c r="O8" s="54">
        <f>N8/L8</f>
        <v>0.22452614509194055</v>
      </c>
      <c r="P8" s="53">
        <f>'F-PLA-05 PLAN INDIC 2020'!AH248</f>
        <v>11183504325.85</v>
      </c>
      <c r="Q8" s="54">
        <f>P8/L8</f>
        <v>0.1206589021441864</v>
      </c>
    </row>
    <row r="9" spans="1:17" ht="30" x14ac:dyDescent="0.2">
      <c r="A9" s="13">
        <f t="shared" si="0"/>
        <v>6</v>
      </c>
      <c r="B9" s="13">
        <f>'F-PLA-05 PLAN INDIC 2020'!N60</f>
        <v>1906</v>
      </c>
      <c r="C9" s="59" t="str">
        <f>'F-PLA-05 PLAN INDIC 2020'!O60</f>
        <v>Aseguramiento y Prestación integral de servicios de salud. "Tú y yo con servicios de salud"</v>
      </c>
      <c r="D9" s="57">
        <f>'F-PLA-05 PLAN INDIC 2020'!AF60</f>
        <v>55153849039.220001</v>
      </c>
      <c r="E9" s="57">
        <f>'F-PLA-05 PLAN INDIC 2020'!AG60</f>
        <v>48846835920.440002</v>
      </c>
      <c r="F9" s="57">
        <f>'F-PLA-05 PLAN INDIC 2020'!AH60</f>
        <v>45240731668.440002</v>
      </c>
      <c r="J9" s="13">
        <v>4</v>
      </c>
      <c r="K9" s="55" t="str">
        <f>B49</f>
        <v>LIDERAZGO, GOBERNABILIDAD Y TRANSPARENCIA</v>
      </c>
      <c r="L9" s="51">
        <f>'F-PLA-05 PLAN INDIC 2020'!AF303</f>
        <v>5528882739.7399998</v>
      </c>
      <c r="M9" s="52">
        <f>L9/L9</f>
        <v>1</v>
      </c>
      <c r="N9" s="53">
        <f>'F-PLA-05 PLAN INDIC 2020'!AG303</f>
        <v>4122279349.3299999</v>
      </c>
      <c r="O9" s="54">
        <f>N9/L9</f>
        <v>0.74558993984449262</v>
      </c>
      <c r="P9" s="53">
        <f>'F-PLA-05 PLAN INDIC 2020'!AH303</f>
        <v>4042234335.3299999</v>
      </c>
      <c r="Q9" s="54">
        <f>P9/L9</f>
        <v>0.73111232876682231</v>
      </c>
    </row>
    <row r="10" spans="1:17" ht="45" x14ac:dyDescent="0.2">
      <c r="A10" s="13">
        <f t="shared" si="0"/>
        <v>7</v>
      </c>
      <c r="B10" s="13">
        <f>'F-PLA-05 PLAN INDIC 2020'!N73</f>
        <v>2201</v>
      </c>
      <c r="C10" s="59" t="str">
        <f>'F-PLA-05 PLAN INDIC 2020'!O73</f>
        <v>Calidad, cobertura y fortalecimiento de la educación inicial, prescolar, básica y media." Tú y yo con educación y de calidad"</v>
      </c>
      <c r="D10" s="57">
        <f>'F-PLA-05 PLAN INDIC 2020'!AF73</f>
        <v>186930439980.70999</v>
      </c>
      <c r="E10" s="57">
        <f>'F-PLA-05 PLAN INDIC 2020'!AG73</f>
        <v>176502385309.12332</v>
      </c>
      <c r="F10" s="57">
        <f>'F-PLA-05 PLAN INDIC 2020'!AH73</f>
        <v>175289019606.12332</v>
      </c>
      <c r="G10" s="25"/>
      <c r="J10" s="26"/>
      <c r="K10" s="27" t="s">
        <v>1622</v>
      </c>
      <c r="L10" s="28">
        <f>SUM(L6:L9)</f>
        <v>391791993174.62</v>
      </c>
      <c r="M10" s="23">
        <f>L10/L10</f>
        <v>1</v>
      </c>
      <c r="N10" s="29">
        <f>SUM(N6:N9)</f>
        <v>286414658484.21332</v>
      </c>
      <c r="O10" s="24">
        <f>N10/L10</f>
        <v>0.7310375491940172</v>
      </c>
      <c r="P10" s="29">
        <f>SUM(P6:P9)</f>
        <v>263330071102.21329</v>
      </c>
      <c r="Q10" s="24">
        <f>P10/L10</f>
        <v>0.67211703069400963</v>
      </c>
    </row>
    <row r="11" spans="1:17" ht="45" x14ac:dyDescent="0.2">
      <c r="A11" s="13">
        <f t="shared" si="0"/>
        <v>8</v>
      </c>
      <c r="B11" s="13">
        <f>'F-PLA-05 PLAN INDIC 2020'!N108</f>
        <v>2301</v>
      </c>
      <c r="C11" s="59" t="str">
        <f>'F-PLA-05 PLAN INDIC 2020'!O108</f>
        <v>Facilitar el acceso y uso de las Tecnologías de la Información y las Comunicaciones (TIC) en todo el territorio nacional. "Tú y yo somos ciudadanos TIC"</v>
      </c>
      <c r="D11" s="57">
        <f>'F-PLA-05 PLAN INDIC 2020'!AF108</f>
        <v>200000000</v>
      </c>
      <c r="E11" s="57">
        <f>'F-PLA-05 PLAN INDIC 2020'!AG108</f>
        <v>189971698</v>
      </c>
      <c r="F11" s="57">
        <f>'F-PLA-05 PLAN INDIC 2020'!AH108</f>
        <v>189971698</v>
      </c>
    </row>
    <row r="12" spans="1:17" ht="60" x14ac:dyDescent="0.2">
      <c r="A12" s="13">
        <f t="shared" si="0"/>
        <v>9</v>
      </c>
      <c r="B12" s="13">
        <f>'F-PLA-05 PLAN INDIC 2020'!N118</f>
        <v>2302</v>
      </c>
      <c r="C12" s="59" t="str">
        <f>'F-PLA-05 PLAN INDIC 2020'!O118</f>
        <v>Fomento del desarrollo de aplicaciones, software y contenidos para impulsar la apropiación de las Tecnologías de la Información y las Comunicaciones (TIC) "Quindío paraiso empresarial TIC-Quindío TIC"</v>
      </c>
      <c r="D12" s="57">
        <f>'F-PLA-05 PLAN INDIC 2020'!AF118</f>
        <v>7164000</v>
      </c>
      <c r="E12" s="57">
        <f>'F-PLA-05 PLAN INDIC 2020'!AG118</f>
        <v>6628000</v>
      </c>
      <c r="F12" s="57">
        <f>'F-PLA-05 PLAN INDIC 2020'!AH118</f>
        <v>6628000</v>
      </c>
    </row>
    <row r="13" spans="1:17" ht="30" x14ac:dyDescent="0.2">
      <c r="A13" s="13">
        <f t="shared" si="0"/>
        <v>10</v>
      </c>
      <c r="B13" s="14">
        <f>'F-PLA-05 PLAN INDIC 2020'!N125</f>
        <v>3301</v>
      </c>
      <c r="C13" s="60" t="str">
        <f>'F-PLA-05 PLAN INDIC 2020'!O125</f>
        <v>Promoción y acceso efectivo a procesos culturales y artísticos. "Tú y yo somos cultura Quindiana"</v>
      </c>
      <c r="D13" s="57">
        <f>'F-PLA-05 PLAN INDIC 2020'!AF125</f>
        <v>5987588140.0199995</v>
      </c>
      <c r="E13" s="57">
        <f>'F-PLA-05 PLAN INDIC 2020'!AG125</f>
        <v>1297825992.8299999</v>
      </c>
      <c r="F13" s="57">
        <f>'F-PLA-05 PLAN INDIC 2020'!AH125</f>
        <v>1296007492.8299999</v>
      </c>
    </row>
    <row r="14" spans="1:17" ht="45" x14ac:dyDescent="0.2">
      <c r="A14" s="13">
        <f t="shared" si="0"/>
        <v>11</v>
      </c>
      <c r="B14" s="14">
        <f>'F-PLA-05 PLAN INDIC 2020'!N136</f>
        <v>3302</v>
      </c>
      <c r="C14" s="60" t="str">
        <f>'F-PLA-05 PLAN INDIC 2020'!O136</f>
        <v>Gestión, protección y salvaguardia del patrimonio cultural colombiano. "Tú y yo protectores del patrimonio cultural"</v>
      </c>
      <c r="D14" s="57">
        <f>'F-PLA-05 PLAN INDIC 2020'!AF136</f>
        <v>405194764.30000001</v>
      </c>
      <c r="E14" s="57">
        <f>'F-PLA-05 PLAN INDIC 2020'!AG136</f>
        <v>376520000</v>
      </c>
      <c r="F14" s="57">
        <f>'F-PLA-05 PLAN INDIC 2020'!AH136</f>
        <v>376520000</v>
      </c>
    </row>
    <row r="15" spans="1:17" ht="30" x14ac:dyDescent="0.2">
      <c r="A15" s="13">
        <f t="shared" si="0"/>
        <v>12</v>
      </c>
      <c r="B15" s="13">
        <f>'F-PLA-05 PLAN INDIC 2020'!N139</f>
        <v>4101</v>
      </c>
      <c r="C15" s="59" t="str">
        <f>'F-PLA-05 PLAN INDIC 2020'!O139</f>
        <v>Atención, asistencia y reparación integral a las víctimas. "Tú y yo con reparación integral"</v>
      </c>
      <c r="D15" s="57">
        <f>'F-PLA-05 PLAN INDIC 2020'!AF139</f>
        <v>522730761</v>
      </c>
      <c r="E15" s="57">
        <f>'F-PLA-05 PLAN INDIC 2020'!AG139</f>
        <v>181023648</v>
      </c>
      <c r="F15" s="57">
        <f>'F-PLA-05 PLAN INDIC 2020'!AH139</f>
        <v>181023648</v>
      </c>
    </row>
    <row r="16" spans="1:17" ht="45" x14ac:dyDescent="0.2">
      <c r="A16" s="13">
        <f t="shared" si="0"/>
        <v>13</v>
      </c>
      <c r="B16" s="13">
        <f>'F-PLA-05 PLAN INDIC 2020'!N145</f>
        <v>4102</v>
      </c>
      <c r="C16" s="59" t="str">
        <f>'F-PLA-05 PLAN INDIC 2020'!O145</f>
        <v>Desarrollo integral de niñas, niños, adolescentes y sus familias. "Tú y yo niños, niñas y adolescentes con desarrollo integral"</v>
      </c>
      <c r="D16" s="57">
        <f>'F-PLA-05 PLAN INDIC 2020'!AF145</f>
        <v>687297832</v>
      </c>
      <c r="E16" s="57">
        <f>'F-PLA-05 PLAN INDIC 2020'!AG145</f>
        <v>576237043</v>
      </c>
      <c r="F16" s="57">
        <f>'F-PLA-05 PLAN INDIC 2020'!AH145</f>
        <v>576237043</v>
      </c>
    </row>
    <row r="17" spans="1:6" ht="45" x14ac:dyDescent="0.2">
      <c r="A17" s="13">
        <f t="shared" si="0"/>
        <v>14</v>
      </c>
      <c r="B17" s="13">
        <f>'F-PLA-05 PLAN INDIC 2020'!N156</f>
        <v>4103</v>
      </c>
      <c r="C17" s="59" t="str">
        <f>'F-PLA-05 PLAN INDIC 2020'!O156</f>
        <v>Inclusión social y productiva para la población en situación de vulnerabilidad. "Tú y yo, población vulnerable incluida"</v>
      </c>
      <c r="D17" s="57">
        <f>'F-PLA-05 PLAN INDIC 2020'!AF156</f>
        <v>248758667</v>
      </c>
      <c r="E17" s="57">
        <f>'F-PLA-05 PLAN INDIC 2020'!AG156</f>
        <v>172830615</v>
      </c>
      <c r="F17" s="57">
        <f>'F-PLA-05 PLAN INDIC 2020'!AH156</f>
        <v>172830615</v>
      </c>
    </row>
    <row r="18" spans="1:6" ht="45" x14ac:dyDescent="0.2">
      <c r="A18" s="13">
        <f t="shared" si="0"/>
        <v>15</v>
      </c>
      <c r="B18" s="13">
        <f>'F-PLA-05 PLAN INDIC 2020'!N165</f>
        <v>4104</v>
      </c>
      <c r="C18" s="59" t="str">
        <f>'F-PLA-05 PLAN INDIC 2020'!O165</f>
        <v>Atención integral de población en situación permanente de desprotección social y/o familiar. "Tú y yo con atención integral"</v>
      </c>
      <c r="D18" s="57">
        <f>'F-PLA-05 PLAN INDIC 2020'!AF165</f>
        <v>4368478160.3899994</v>
      </c>
      <c r="E18" s="57">
        <f>'F-PLA-05 PLAN INDIC 2020'!AG165</f>
        <v>3711056134</v>
      </c>
      <c r="F18" s="57">
        <f>'F-PLA-05 PLAN INDIC 2020'!AH165</f>
        <v>3711056134</v>
      </c>
    </row>
    <row r="19" spans="1:6" ht="45" x14ac:dyDescent="0.2">
      <c r="A19" s="13">
        <f t="shared" si="0"/>
        <v>16</v>
      </c>
      <c r="B19" s="13">
        <f>'F-PLA-05 PLAN INDIC 2020'!N172</f>
        <v>4301</v>
      </c>
      <c r="C19" s="59" t="str">
        <f>'F-PLA-05 PLAN INDIC 2020'!O172</f>
        <v>Fomento a la recreación, la actividad física y el deporte para desarrollar entornos de convivencia y paz. "Tú y yo en la recreación y el deporte"</v>
      </c>
      <c r="D19" s="57">
        <f>'F-PLA-05 PLAN INDIC 2020'!AF172</f>
        <v>6108450956.0699997</v>
      </c>
      <c r="E19" s="57">
        <f>'F-PLA-05 PLAN INDIC 2020'!AG172</f>
        <v>4301110983.3099995</v>
      </c>
      <c r="F19" s="57">
        <f>'F-PLA-05 PLAN INDIC 2020'!AH172</f>
        <v>3665106610.3100004</v>
      </c>
    </row>
    <row r="20" spans="1:6" ht="39.75" customHeight="1" x14ac:dyDescent="0.2">
      <c r="A20" s="13">
        <f t="shared" si="0"/>
        <v>17</v>
      </c>
      <c r="B20" s="13">
        <f>'F-PLA-05 PLAN INDIC 2020'!N178</f>
        <v>4302</v>
      </c>
      <c r="C20" s="59" t="str">
        <f>'F-PLA-05 PLAN INDIC 2020'!O178</f>
        <v>Formación y preparación de deportistas. "Tú y yo campeones"</v>
      </c>
      <c r="D20" s="57">
        <f>'F-PLA-05 PLAN INDIC 2020'!AF178</f>
        <v>1329713916.5799999</v>
      </c>
      <c r="E20" s="57">
        <f>'F-PLA-05 PLAN INDIC 2020'!AG178</f>
        <v>791137707</v>
      </c>
      <c r="F20" s="57">
        <f>'F-PLA-05 PLAN INDIC 2020'!AH178</f>
        <v>791137707</v>
      </c>
    </row>
    <row r="21" spans="1:6" ht="30" x14ac:dyDescent="0.2">
      <c r="A21" s="13">
        <f t="shared" si="0"/>
        <v>18</v>
      </c>
      <c r="B21" s="13">
        <f>'F-PLA-05 PLAN INDIC 2020'!N182</f>
        <v>4501</v>
      </c>
      <c r="C21" s="59" t="str">
        <f>'F-PLA-05 PLAN INDIC 2020'!O182</f>
        <v>Fortalecimiento de la convivencia y la seguridad ciudadana. "Tú y yo seguros"</v>
      </c>
      <c r="D21" s="57">
        <f>'F-PLA-05 PLAN INDIC 2020'!AF182</f>
        <v>2267073558.0099998</v>
      </c>
      <c r="E21" s="57">
        <f>'F-PLA-05 PLAN INDIC 2020'!AG182</f>
        <v>256745722</v>
      </c>
      <c r="F21" s="57">
        <f>'F-PLA-05 PLAN INDIC 2020'!AH182</f>
        <v>256745722</v>
      </c>
    </row>
    <row r="22" spans="1:6" ht="45" x14ac:dyDescent="0.2">
      <c r="A22" s="13">
        <f t="shared" si="0"/>
        <v>19</v>
      </c>
      <c r="B22" s="13">
        <f>'F-PLA-05 PLAN INDIC 2020'!N185</f>
        <v>2202</v>
      </c>
      <c r="C22" s="59" t="str">
        <f>'F-PLA-05 PLAN INDIC 2020'!O185</f>
        <v>Fortalecimiento de la educación media para la articulación con la educación superior o terciaria. "Tú y yo preparados para la educación superior"</v>
      </c>
      <c r="D22" s="57">
        <f>'F-PLA-05 PLAN INDIC 2020'!AF185</f>
        <v>243838500</v>
      </c>
      <c r="E22" s="57">
        <f>'F-PLA-05 PLAN INDIC 2020'!AG185</f>
        <v>214688145</v>
      </c>
      <c r="F22" s="57">
        <f>'F-PLA-05 PLAN INDIC 2020'!AH185</f>
        <v>214688145</v>
      </c>
    </row>
    <row r="23" spans="1:6" x14ac:dyDescent="0.25">
      <c r="A23" s="34">
        <v>2</v>
      </c>
      <c r="B23" s="35" t="s">
        <v>33</v>
      </c>
      <c r="C23" s="37"/>
      <c r="D23" s="56">
        <f>SUM(D24:D37)</f>
        <v>18735671102.82</v>
      </c>
      <c r="E23" s="56">
        <f>SUM(E24:E37)</f>
        <v>17224626369</v>
      </c>
      <c r="F23" s="56">
        <f>SUM(F24:F37)</f>
        <v>9837873963</v>
      </c>
    </row>
    <row r="24" spans="1:6" ht="45" x14ac:dyDescent="0.2">
      <c r="A24" s="13">
        <f>A22+1</f>
        <v>20</v>
      </c>
      <c r="B24" s="13">
        <f>'F-PLA-05 PLAN INDIC 2020'!N188</f>
        <v>1702</v>
      </c>
      <c r="C24" s="59" t="str">
        <f>'F-PLA-05 PLAN INDIC 2020'!O188</f>
        <v>Inclusión productiva de pequeños productores rurales. "Tú y yo con oportunidades para el pequeño campesino"</v>
      </c>
      <c r="D24" s="57">
        <f>'F-PLA-05 PLAN INDIC 2020'!AF188</f>
        <v>10549775601.970001</v>
      </c>
      <c r="E24" s="57">
        <f>'F-PLA-05 PLAN INDIC 2020'!AG188</f>
        <v>10160348120</v>
      </c>
      <c r="F24" s="57">
        <f>'F-PLA-05 PLAN INDIC 2020'!AH188</f>
        <v>5330043292</v>
      </c>
    </row>
    <row r="25" spans="1:6" ht="45" x14ac:dyDescent="0.2">
      <c r="A25" s="13">
        <f>A24+1</f>
        <v>21</v>
      </c>
      <c r="B25" s="13">
        <f>'F-PLA-05 PLAN INDIC 2020'!N201</f>
        <v>1703</v>
      </c>
      <c r="C25" s="59" t="str">
        <f>'F-PLA-05 PLAN INDIC 2020'!O201</f>
        <v>Servicios financieros y gestión del riesgo para las actividades agropecuarias y rurales. "Tú y yo con un campo protegido"</v>
      </c>
      <c r="D25" s="57">
        <f>'F-PLA-05 PLAN INDIC 2020'!AF201</f>
        <v>3058849383</v>
      </c>
      <c r="E25" s="57">
        <f>'F-PLA-05 PLAN INDIC 2020'!AG201</f>
        <v>3034274382</v>
      </c>
      <c r="F25" s="57">
        <f>'F-PLA-05 PLAN INDIC 2020'!AH201</f>
        <v>1209032944</v>
      </c>
    </row>
    <row r="26" spans="1:6" ht="30" x14ac:dyDescent="0.2">
      <c r="A26" s="13">
        <f t="shared" ref="A26:A37" si="1">A25+1</f>
        <v>22</v>
      </c>
      <c r="B26" s="13">
        <f>'F-PLA-05 PLAN INDIC 2020'!N203</f>
        <v>1704</v>
      </c>
      <c r="C26" s="59" t="str">
        <f>'F-PLA-05 PLAN INDIC 2020'!O203</f>
        <v>Ordenamiento social y uso productivo del territorio rural. "Tú y yo con un campo planificado"</v>
      </c>
      <c r="D26" s="57">
        <f>'F-PLA-05 PLAN INDIC 2020'!AF203</f>
        <v>40000000</v>
      </c>
      <c r="E26" s="57">
        <f>'F-PLA-05 PLAN INDIC 2020'!AG203</f>
        <v>39606648</v>
      </c>
      <c r="F26" s="57">
        <f>'F-PLA-05 PLAN INDIC 2020'!AH203</f>
        <v>39606648</v>
      </c>
    </row>
    <row r="27" spans="1:6" ht="30" x14ac:dyDescent="0.2">
      <c r="A27" s="13">
        <f t="shared" si="1"/>
        <v>23</v>
      </c>
      <c r="B27" s="13">
        <f>'F-PLA-05 PLAN INDIC 2020'!N206</f>
        <v>1706</v>
      </c>
      <c r="C27" s="59" t="str">
        <f>'F-PLA-05 PLAN INDIC 2020'!O206</f>
        <v>Aprovechamiento de mercados externos. "Tú y yo a los mercados internacionales"</v>
      </c>
      <c r="D27" s="57">
        <f>'F-PLA-05 PLAN INDIC 2020'!AF206</f>
        <v>12800000</v>
      </c>
      <c r="E27" s="57">
        <f>'F-PLA-05 PLAN INDIC 2020'!AG206</f>
        <v>5000000</v>
      </c>
      <c r="F27" s="57">
        <f>'F-PLA-05 PLAN INDIC 2020'!AH206</f>
        <v>5000000</v>
      </c>
    </row>
    <row r="28" spans="1:6" ht="30" x14ac:dyDescent="0.2">
      <c r="A28" s="13">
        <f t="shared" si="1"/>
        <v>24</v>
      </c>
      <c r="B28" s="13">
        <f>'F-PLA-05 PLAN INDIC 2020'!N208</f>
        <v>1707</v>
      </c>
      <c r="C28" s="59" t="str">
        <f>'F-PLA-05 PLAN INDIC 2020'!O208</f>
        <v>Sanidad agropecuaria e inocuidad agroalimentaria. "Tú y yo con un agro saludable"</v>
      </c>
      <c r="D28" s="57">
        <f>'F-PLA-05 PLAN INDIC 2020'!AF208</f>
        <v>50000000</v>
      </c>
      <c r="E28" s="57">
        <f>'F-PLA-05 PLAN INDIC 2020'!AG208</f>
        <v>47223333</v>
      </c>
      <c r="F28" s="57">
        <f>'F-PLA-05 PLAN INDIC 2020'!AH208</f>
        <v>47223333</v>
      </c>
    </row>
    <row r="29" spans="1:6" ht="30" x14ac:dyDescent="0.2">
      <c r="A29" s="13">
        <f t="shared" si="1"/>
        <v>25</v>
      </c>
      <c r="B29" s="13">
        <f>'F-PLA-05 PLAN INDIC 2020'!N210</f>
        <v>1708</v>
      </c>
      <c r="C29" s="59" t="str">
        <f>'F-PLA-05 PLAN INDIC 2020'!O210</f>
        <v>Ciencia, tecnología e innovación agropecuaria. "Tú y yo con un agro interconectado"</v>
      </c>
      <c r="D29" s="57">
        <f>'F-PLA-05 PLAN INDIC 2020'!AF210</f>
        <v>30519269</v>
      </c>
      <c r="E29" s="57">
        <f>'F-PLA-05 PLAN INDIC 2020'!AG210</f>
        <v>25366665</v>
      </c>
      <c r="F29" s="57">
        <f>'F-PLA-05 PLAN INDIC 2020'!AH210</f>
        <v>25366665</v>
      </c>
    </row>
    <row r="30" spans="1:6" ht="30" x14ac:dyDescent="0.2">
      <c r="A30" s="13">
        <f t="shared" si="1"/>
        <v>26</v>
      </c>
      <c r="B30" s="13">
        <f>'F-PLA-05 PLAN INDIC 2020'!N213</f>
        <v>1709</v>
      </c>
      <c r="C30" s="59" t="str">
        <f>'F-PLA-05 PLAN INDIC 2020'!O213</f>
        <v>Infraestructura productiva y comercialización. "Tú y yo con agro competitivo"</v>
      </c>
      <c r="D30" s="57">
        <f>'F-PLA-05 PLAN INDIC 2020'!AF213</f>
        <v>77000000</v>
      </c>
      <c r="E30" s="57">
        <f>'F-PLA-05 PLAN INDIC 2020'!AG213</f>
        <v>67845000</v>
      </c>
      <c r="F30" s="57">
        <f>'F-PLA-05 PLAN INDIC 2020'!AH213</f>
        <v>67845000</v>
      </c>
    </row>
    <row r="31" spans="1:6" ht="30" x14ac:dyDescent="0.2">
      <c r="A31" s="13">
        <f t="shared" si="1"/>
        <v>27</v>
      </c>
      <c r="B31" s="13">
        <f>'F-PLA-05 PLAN INDIC 2020'!N219</f>
        <v>2102</v>
      </c>
      <c r="C31" s="59" t="str">
        <f>'F-PLA-05 PLAN INDIC 2020'!O219</f>
        <v xml:space="preserve">Consolidación productiva del sector de energía eléctrica  </v>
      </c>
      <c r="D31" s="57">
        <f>'F-PLA-05 PLAN INDIC 2020'!AF219</f>
        <v>0</v>
      </c>
      <c r="E31" s="57">
        <f>'F-PLA-05 PLAN INDIC 2020'!AG219</f>
        <v>0</v>
      </c>
      <c r="F31" s="57">
        <f>'F-PLA-05 PLAN INDIC 2020'!AH219</f>
        <v>0</v>
      </c>
    </row>
    <row r="32" spans="1:6" ht="30" x14ac:dyDescent="0.2">
      <c r="A32" s="13">
        <f t="shared" si="1"/>
        <v>28</v>
      </c>
      <c r="B32" s="13">
        <f>'F-PLA-05 PLAN INDIC 2020'!N221</f>
        <v>3502</v>
      </c>
      <c r="C32" s="59" t="str">
        <f>'F-PLA-05 PLAN INDIC 2020'!O221</f>
        <v xml:space="preserve">Productividad y competitividad de las empresas colombianas. "Tú y yo con empresas competitivas" </v>
      </c>
      <c r="D32" s="57">
        <f>'F-PLA-05 PLAN INDIC 2020'!AF221</f>
        <v>1584204071.8499999</v>
      </c>
      <c r="E32" s="57">
        <f>'F-PLA-05 PLAN INDIC 2020'!AG221</f>
        <v>806257883</v>
      </c>
      <c r="F32" s="57">
        <f>'F-PLA-05 PLAN INDIC 2020'!AH221</f>
        <v>806257883</v>
      </c>
    </row>
    <row r="33" spans="1:6" ht="30" x14ac:dyDescent="0.2">
      <c r="A33" s="13">
        <f t="shared" si="1"/>
        <v>29</v>
      </c>
      <c r="B33" s="13">
        <f>'F-PLA-05 PLAN INDIC 2020'!N231</f>
        <v>3602</v>
      </c>
      <c r="C33" s="59" t="str">
        <f>'F-PLA-05 PLAN INDIC 2020'!O231</f>
        <v>Generación y formalización del empleo. "Tú y yo con empleo de calidad"</v>
      </c>
      <c r="D33" s="57">
        <f>'F-PLA-05 PLAN INDIC 2020'!AF231</f>
        <v>1235685000</v>
      </c>
      <c r="E33" s="57">
        <f>'F-PLA-05 PLAN INDIC 2020'!AG231</f>
        <v>1126359998</v>
      </c>
      <c r="F33" s="57">
        <f>'F-PLA-05 PLAN INDIC 2020'!AH231</f>
        <v>1126359998</v>
      </c>
    </row>
    <row r="34" spans="1:6" ht="30" x14ac:dyDescent="0.2">
      <c r="A34" s="13">
        <f t="shared" si="1"/>
        <v>30</v>
      </c>
      <c r="B34" s="13">
        <f>'F-PLA-05 PLAN INDIC 2020'!N236</f>
        <v>3604</v>
      </c>
      <c r="C34" s="59" t="str">
        <f>'F-PLA-05 PLAN INDIC 2020'!O236</f>
        <v>Derechos fundamentales del trabajo y fortalecimiento del diálogo social. "Tú y yo con una niñez protegida"</v>
      </c>
      <c r="D34" s="57">
        <f>'F-PLA-05 PLAN INDIC 2020'!AF236</f>
        <v>25000000</v>
      </c>
      <c r="E34" s="57">
        <f>'F-PLA-05 PLAN INDIC 2020'!AG236</f>
        <v>0</v>
      </c>
      <c r="F34" s="57">
        <f>'F-PLA-05 PLAN INDIC 2020'!AH236</f>
        <v>0</v>
      </c>
    </row>
    <row r="35" spans="1:6" ht="18.75" customHeight="1" x14ac:dyDescent="0.2">
      <c r="A35" s="13">
        <f t="shared" si="1"/>
        <v>31</v>
      </c>
      <c r="B35" s="13">
        <f>'F-PLA-05 PLAN INDIC 2020'!N238</f>
        <v>3902</v>
      </c>
      <c r="C35" s="59" t="str">
        <f>'F-PLA-05 PLAN INDIC 2020'!O238</f>
        <v>Investigación con calidad e impacto</v>
      </c>
      <c r="D35" s="57">
        <f>'F-PLA-05 PLAN INDIC 2020'!AF238</f>
        <v>1999837777</v>
      </c>
      <c r="E35" s="57">
        <f>'F-PLA-05 PLAN INDIC 2020'!AG238</f>
        <v>1861269540</v>
      </c>
      <c r="F35" s="57">
        <f>'F-PLA-05 PLAN INDIC 2020'!AH238</f>
        <v>1130063400</v>
      </c>
    </row>
    <row r="36" spans="1:6" ht="30" x14ac:dyDescent="0.2">
      <c r="A36" s="13">
        <f t="shared" si="1"/>
        <v>32</v>
      </c>
      <c r="B36" s="13" t="str">
        <f>'F-PLA-05 PLAN INDIC 2020'!N241</f>
        <v>3903</v>
      </c>
      <c r="C36" s="59" t="str">
        <f>'F-PLA-05 PLAN INDIC 2020'!O241</f>
        <v xml:space="preserve">Desarrollo tecnológico e innovación para el crecimiento empresarial </v>
      </c>
      <c r="D36" s="57">
        <f>'F-PLA-05 PLAN INDIC 2020'!AF241</f>
        <v>54000000</v>
      </c>
      <c r="E36" s="57">
        <f>'F-PLA-05 PLAN INDIC 2020'!AG241</f>
        <v>51074800</v>
      </c>
      <c r="F36" s="57">
        <f>'F-PLA-05 PLAN INDIC 2020'!AH241</f>
        <v>51074800</v>
      </c>
    </row>
    <row r="37" spans="1:6" ht="30" x14ac:dyDescent="0.2">
      <c r="A37" s="13">
        <f t="shared" si="1"/>
        <v>33</v>
      </c>
      <c r="B37" s="13" t="str">
        <f>'F-PLA-05 PLAN INDIC 2020'!N245</f>
        <v>3904</v>
      </c>
      <c r="C37" s="59" t="str">
        <f>'F-PLA-05 PLAN INDIC 2020'!O245</f>
        <v>Generación de una cultura que valora y gestiona el conocimiento y la innovación.</v>
      </c>
      <c r="D37" s="57">
        <f>'F-PLA-05 PLAN INDIC 2020'!AF245</f>
        <v>18000000</v>
      </c>
      <c r="E37" s="57">
        <f>'F-PLA-05 PLAN INDIC 2020'!AG245</f>
        <v>0</v>
      </c>
      <c r="F37" s="57">
        <f>'F-PLA-05 PLAN INDIC 2020'!AH245</f>
        <v>0</v>
      </c>
    </row>
    <row r="38" spans="1:6" x14ac:dyDescent="0.25">
      <c r="A38" s="34">
        <v>3</v>
      </c>
      <c r="B38" s="35" t="s">
        <v>41</v>
      </c>
      <c r="C38" s="37"/>
      <c r="D38" s="56">
        <f>SUM(D39:D48)</f>
        <v>92686939190.660004</v>
      </c>
      <c r="E38" s="56">
        <f>SUM(E39:E48)</f>
        <v>20810641156.849998</v>
      </c>
      <c r="F38" s="56">
        <f>SUM(F39:F48)</f>
        <v>11183504325.85</v>
      </c>
    </row>
    <row r="39" spans="1:6" ht="30" x14ac:dyDescent="0.2">
      <c r="A39" s="13">
        <f>A37+1</f>
        <v>34</v>
      </c>
      <c r="B39" s="13">
        <f>'F-PLA-05 PLAN INDIC 2020'!N249</f>
        <v>2402</v>
      </c>
      <c r="C39" s="59" t="str">
        <f>'F-PLA-05 PLAN INDIC 2020'!O249</f>
        <v>Infraestructura red vial regional. "Tú y yo con movilidad vial"</v>
      </c>
      <c r="D39" s="57">
        <f>'F-PLA-05 PLAN INDIC 2020'!AF249</f>
        <v>41977984939.940002</v>
      </c>
      <c r="E39" s="57">
        <f>'F-PLA-05 PLAN INDIC 2020'!AG249</f>
        <v>865702370.37</v>
      </c>
      <c r="F39" s="57">
        <f>'F-PLA-05 PLAN INDIC 2020'!AH249</f>
        <v>784548030.37</v>
      </c>
    </row>
    <row r="40" spans="1:6" ht="15" x14ac:dyDescent="0.2">
      <c r="A40" s="13">
        <f t="shared" ref="A40:A48" si="2">A39+1</f>
        <v>35</v>
      </c>
      <c r="B40" s="13">
        <f>'F-PLA-05 PLAN INDIC 2020'!N255</f>
        <v>2409</v>
      </c>
      <c r="C40" s="59" t="str">
        <f>'F-PLA-05 PLAN INDIC 2020'!O255</f>
        <v>Seguridad de Transporte. "Tú y yo seguros en la vía"</v>
      </c>
      <c r="D40" s="57">
        <f>'F-PLA-05 PLAN INDIC 2020'!AF255</f>
        <v>107000000</v>
      </c>
      <c r="E40" s="57">
        <f>'F-PLA-05 PLAN INDIC 2020'!AG255</f>
        <v>52352000</v>
      </c>
      <c r="F40" s="57">
        <f>'F-PLA-05 PLAN INDIC 2020'!AH255</f>
        <v>52352000</v>
      </c>
    </row>
    <row r="41" spans="1:6" ht="45" x14ac:dyDescent="0.2">
      <c r="A41" s="13">
        <f t="shared" si="2"/>
        <v>36</v>
      </c>
      <c r="B41" s="13" t="str">
        <f>'F-PLA-05 PLAN INDIC 2020'!N260</f>
        <v>3201</v>
      </c>
      <c r="C41" s="59" t="str">
        <f>'F-PLA-05 PLAN INDIC 2020'!O260</f>
        <v>Fortalecimiento del desempeño ambiental de los sectores productivos. "Tú y yo guardianes de la biodiversidad.</v>
      </c>
      <c r="D41" s="57">
        <f>'F-PLA-05 PLAN INDIC 2020'!AF260</f>
        <v>40000000</v>
      </c>
      <c r="E41" s="57">
        <f>'F-PLA-05 PLAN INDIC 2020'!AG260</f>
        <v>17400000</v>
      </c>
      <c r="F41" s="57">
        <f>'F-PLA-05 PLAN INDIC 2020'!AH260</f>
        <v>17400000</v>
      </c>
    </row>
    <row r="42" spans="1:6" ht="30" x14ac:dyDescent="0.2">
      <c r="A42" s="13">
        <f t="shared" si="2"/>
        <v>37</v>
      </c>
      <c r="B42" s="13" t="str">
        <f>'F-PLA-05 PLAN INDIC 2020'!N263</f>
        <v>3202</v>
      </c>
      <c r="C42" s="59" t="str">
        <f>'F-PLA-05 PLAN INDIC 2020'!O263</f>
        <v>Conservación de la biodiversidad y sus servicios ecosistémicos. "Tú y yo en territorios biodiversos"</v>
      </c>
      <c r="D42" s="57">
        <f>'F-PLA-05 PLAN INDIC 2020'!AF263</f>
        <v>11024083662</v>
      </c>
      <c r="E42" s="57">
        <f>'F-PLA-05 PLAN INDIC 2020'!AG263</f>
        <v>472118329</v>
      </c>
      <c r="F42" s="57">
        <f>'F-PLA-05 PLAN INDIC 2020'!AH263</f>
        <v>387918329</v>
      </c>
    </row>
    <row r="43" spans="1:6" ht="30" x14ac:dyDescent="0.2">
      <c r="A43" s="13">
        <f t="shared" si="2"/>
        <v>38</v>
      </c>
      <c r="B43" s="13" t="str">
        <f>'F-PLA-05 PLAN INDIC 2020'!N271</f>
        <v>3204</v>
      </c>
      <c r="C43" s="59" t="str">
        <f>'F-PLA-05 PLAN INDIC 2020'!O271</f>
        <v>Gestión de la información y el conocimiento ambiental. "Tú y yo conscientes con la naturaleza"</v>
      </c>
      <c r="D43" s="57">
        <f>'F-PLA-05 PLAN INDIC 2020'!AF271</f>
        <v>1082857957</v>
      </c>
      <c r="E43" s="57">
        <f>'F-PLA-05 PLAN INDIC 2020'!AG271</f>
        <v>1055672250</v>
      </c>
      <c r="F43" s="57">
        <f>'F-PLA-05 PLAN INDIC 2020'!AH271</f>
        <v>697934207</v>
      </c>
    </row>
    <row r="44" spans="1:6" ht="30" x14ac:dyDescent="0.2">
      <c r="A44" s="13">
        <f t="shared" si="2"/>
        <v>39</v>
      </c>
      <c r="B44" s="13">
        <f>'F-PLA-05 PLAN INDIC 2020'!N274</f>
        <v>3205</v>
      </c>
      <c r="C44" s="59" t="str">
        <f>'F-PLA-05 PLAN INDIC 2020'!O274</f>
        <v>Ordenamiento Ambiental Territorial. "Tú y yo planificamos con sentido ambiental"</v>
      </c>
      <c r="D44" s="57">
        <f>'F-PLA-05 PLAN INDIC 2020'!AF274</f>
        <v>32240356093</v>
      </c>
      <c r="E44" s="57">
        <f>'F-PLA-05 PLAN INDIC 2020'!AG274</f>
        <v>13150653513</v>
      </c>
      <c r="F44" s="57">
        <f>'F-PLA-05 PLAN INDIC 2020'!AH274</f>
        <v>5502435281</v>
      </c>
    </row>
    <row r="45" spans="1:6" ht="45" x14ac:dyDescent="0.2">
      <c r="A45" s="13">
        <f t="shared" si="2"/>
        <v>40</v>
      </c>
      <c r="B45" s="13" t="str">
        <f>'F-PLA-05 PLAN INDIC 2020'!N280</f>
        <v>3206</v>
      </c>
      <c r="C45" s="59" t="str">
        <f>'F-PLA-05 PLAN INDIC 2020'!O280</f>
        <v>Gestión del cambio climático para un desarrollo bajo en carbono y resiliente al clima. "Tú y yo preparados para el cambio climático"</v>
      </c>
      <c r="D45" s="57">
        <f>'F-PLA-05 PLAN INDIC 2020'!AF280</f>
        <v>2390025863</v>
      </c>
      <c r="E45" s="57">
        <f>'F-PLA-05 PLAN INDIC 2020'!AG280</f>
        <v>1760064796</v>
      </c>
      <c r="F45" s="57">
        <f>'F-PLA-05 PLAN INDIC 2020'!AH280</f>
        <v>304238580</v>
      </c>
    </row>
    <row r="46" spans="1:6" ht="30" x14ac:dyDescent="0.2">
      <c r="A46" s="13">
        <f t="shared" si="2"/>
        <v>41</v>
      </c>
      <c r="B46" s="14" t="str">
        <f>'F-PLA-05 PLAN INDIC 2020'!N284</f>
        <v>4001</v>
      </c>
      <c r="C46" s="60" t="str">
        <f>'F-PLA-05 PLAN INDIC 2020'!O284</f>
        <v>Acceso a soluciones de vivienda. "Tú y yo con vivienda digna"</v>
      </c>
      <c r="D46" s="57">
        <f>'F-PLA-05 PLAN INDIC 2020'!AF284</f>
        <v>540091726.37</v>
      </c>
      <c r="E46" s="57">
        <f>'F-PLA-05 PLAN INDIC 2020'!AG284</f>
        <v>356783841.48000002</v>
      </c>
      <c r="F46" s="57">
        <f>'F-PLA-05 PLAN INDIC 2020'!AH284</f>
        <v>356783841.48000002</v>
      </c>
    </row>
    <row r="47" spans="1:6" ht="30" x14ac:dyDescent="0.2">
      <c r="A47" s="13">
        <f t="shared" si="2"/>
        <v>42</v>
      </c>
      <c r="B47" s="13">
        <f>'F-PLA-05 PLAN INDIC 2020'!N292</f>
        <v>4003</v>
      </c>
      <c r="C47" s="59" t="str">
        <f>'F-PLA-05 PLAN INDIC 2020'!O292</f>
        <v>Acceso de la población a los servicios de agua potable y saneamiento básico. "Tú y yo con calidad del agua"</v>
      </c>
      <c r="D47" s="57">
        <f>'F-PLA-05 PLAN INDIC 2020'!AF292</f>
        <v>2885729741.0500002</v>
      </c>
      <c r="E47" s="57">
        <f>'F-PLA-05 PLAN INDIC 2020'!AG292</f>
        <v>2766983630</v>
      </c>
      <c r="F47" s="57">
        <f>'F-PLA-05 PLAN INDIC 2020'!AH292</f>
        <v>2766983630</v>
      </c>
    </row>
    <row r="48" spans="1:6" ht="30" x14ac:dyDescent="0.2">
      <c r="A48" s="13">
        <f t="shared" si="2"/>
        <v>43</v>
      </c>
      <c r="B48" s="15">
        <f>'F-PLA-05 PLAN INDIC 2020'!N299</f>
        <v>4503</v>
      </c>
      <c r="C48" s="61" t="str">
        <f>'F-PLA-05 PLAN INDIC 2020'!O299</f>
        <v>Gestión del riesgo de desastres y emergencias. "Tú y yo preparados en gestión del riesgo"</v>
      </c>
      <c r="D48" s="57">
        <f>'F-PLA-05 PLAN INDIC 2020'!AF299</f>
        <v>398809208.30000001</v>
      </c>
      <c r="E48" s="57">
        <f>'F-PLA-05 PLAN INDIC 2020'!AG299</f>
        <v>312910427</v>
      </c>
      <c r="F48" s="57">
        <f>'F-PLA-05 PLAN INDIC 2020'!AH299</f>
        <v>312910427</v>
      </c>
    </row>
    <row r="49" spans="1:16371" s="32" customFormat="1" x14ac:dyDescent="0.25">
      <c r="A49" s="38">
        <v>4</v>
      </c>
      <c r="B49" s="39" t="s">
        <v>6</v>
      </c>
      <c r="C49" s="40"/>
      <c r="D49" s="56">
        <f>SUM(D50:D52)</f>
        <v>5528882739.7399998</v>
      </c>
      <c r="E49" s="56">
        <f>SUM(E50:E52)</f>
        <v>4122279349.3299999</v>
      </c>
      <c r="F49" s="56">
        <f>SUM(F50:F52)</f>
        <v>4042234335.3299999</v>
      </c>
      <c r="G49" s="16"/>
      <c r="H49" s="17"/>
      <c r="I49" s="30"/>
      <c r="J49" s="31"/>
      <c r="K49" s="17"/>
      <c r="L49" s="30"/>
      <c r="M49" s="30"/>
      <c r="N49" s="31"/>
      <c r="O49" s="31"/>
      <c r="P49" s="16"/>
      <c r="Q49" s="17"/>
      <c r="R49" s="30"/>
      <c r="S49" s="31"/>
      <c r="T49" s="16"/>
      <c r="U49" s="17"/>
      <c r="V49" s="30"/>
      <c r="W49" s="31"/>
      <c r="X49" s="16"/>
      <c r="Y49" s="17"/>
      <c r="Z49" s="30"/>
      <c r="AA49" s="31"/>
      <c r="AB49" s="16"/>
      <c r="AC49" s="17"/>
      <c r="AD49" s="30"/>
      <c r="AE49" s="31"/>
      <c r="AF49" s="16"/>
      <c r="AG49" s="17"/>
      <c r="AH49" s="30"/>
      <c r="AI49" s="31"/>
      <c r="AJ49" s="16"/>
      <c r="AK49" s="17"/>
      <c r="AL49" s="30"/>
      <c r="AM49" s="31"/>
      <c r="AN49" s="16"/>
      <c r="AO49" s="17"/>
      <c r="AP49" s="30"/>
      <c r="AQ49" s="31"/>
      <c r="AR49" s="16"/>
      <c r="AS49" s="17"/>
      <c r="AT49" s="30"/>
      <c r="AU49" s="31"/>
      <c r="AV49" s="16"/>
      <c r="AW49" s="17"/>
      <c r="AX49" s="30"/>
      <c r="AY49" s="31"/>
      <c r="AZ49" s="16"/>
      <c r="BA49" s="17"/>
      <c r="BB49" s="30"/>
      <c r="BC49" s="31"/>
      <c r="BD49" s="16"/>
      <c r="BE49" s="17"/>
      <c r="BF49" s="30"/>
      <c r="BG49" s="31"/>
      <c r="BH49" s="16"/>
      <c r="BI49" s="17"/>
      <c r="BJ49" s="30"/>
      <c r="BK49" s="31"/>
      <c r="BL49" s="16"/>
      <c r="BM49" s="17"/>
      <c r="BN49" s="30"/>
      <c r="BO49" s="31"/>
      <c r="BP49" s="16"/>
      <c r="BQ49" s="17"/>
      <c r="BR49" s="30"/>
      <c r="BS49" s="31"/>
      <c r="BT49" s="16"/>
      <c r="BU49" s="17"/>
      <c r="BV49" s="30"/>
      <c r="BW49" s="31"/>
      <c r="BX49" s="16"/>
      <c r="BY49" s="17"/>
      <c r="BZ49" s="30"/>
      <c r="CA49" s="31"/>
      <c r="CB49" s="16"/>
      <c r="CC49" s="17"/>
      <c r="CD49" s="30"/>
      <c r="CE49" s="31"/>
      <c r="CF49" s="16"/>
      <c r="CG49" s="17"/>
      <c r="CH49" s="30"/>
      <c r="CI49" s="31"/>
      <c r="CJ49" s="16"/>
      <c r="CK49" s="17"/>
      <c r="CL49" s="30"/>
      <c r="CM49" s="31"/>
      <c r="CN49" s="16"/>
      <c r="CO49" s="17"/>
      <c r="CP49" s="30"/>
      <c r="CQ49" s="31"/>
      <c r="CR49" s="16"/>
      <c r="CS49" s="17"/>
      <c r="CT49" s="30"/>
      <c r="CU49" s="31"/>
      <c r="CV49" s="16"/>
      <c r="CW49" s="17"/>
      <c r="CX49" s="30"/>
      <c r="CY49" s="31"/>
      <c r="CZ49" s="16"/>
      <c r="DA49" s="17"/>
      <c r="DB49" s="30"/>
      <c r="DC49" s="31"/>
      <c r="DD49" s="16"/>
      <c r="DE49" s="17"/>
      <c r="DF49" s="30"/>
      <c r="DG49" s="31"/>
      <c r="DH49" s="16"/>
      <c r="DI49" s="17"/>
      <c r="DJ49" s="30"/>
      <c r="DK49" s="31"/>
      <c r="DL49" s="16"/>
      <c r="DM49" s="17"/>
      <c r="DN49" s="30"/>
      <c r="DO49" s="31"/>
      <c r="DP49" s="16"/>
      <c r="DQ49" s="17"/>
      <c r="DR49" s="30"/>
      <c r="DS49" s="31"/>
      <c r="DT49" s="16"/>
      <c r="DU49" s="17"/>
      <c r="DV49" s="30"/>
      <c r="DW49" s="31"/>
      <c r="DX49" s="16"/>
      <c r="DY49" s="17"/>
      <c r="DZ49" s="30"/>
      <c r="EA49" s="31"/>
      <c r="EB49" s="16"/>
      <c r="EC49" s="17"/>
      <c r="ED49" s="30"/>
      <c r="EE49" s="31"/>
      <c r="EF49" s="16"/>
      <c r="EG49" s="17"/>
      <c r="EH49" s="30"/>
      <c r="EI49" s="31"/>
      <c r="EJ49" s="16"/>
      <c r="EK49" s="17"/>
      <c r="EL49" s="30"/>
      <c r="EM49" s="31"/>
      <c r="EN49" s="16"/>
      <c r="EO49" s="17"/>
      <c r="EP49" s="30"/>
      <c r="EQ49" s="31"/>
      <c r="ER49" s="16"/>
      <c r="ES49" s="17"/>
      <c r="ET49" s="30"/>
      <c r="EU49" s="31"/>
      <c r="EV49" s="16"/>
      <c r="EW49" s="17"/>
      <c r="EX49" s="30"/>
      <c r="EY49" s="31"/>
      <c r="EZ49" s="16"/>
      <c r="FA49" s="17"/>
      <c r="FB49" s="30"/>
      <c r="FC49" s="31"/>
      <c r="FD49" s="16"/>
      <c r="FE49" s="17"/>
      <c r="FF49" s="30"/>
      <c r="FG49" s="31"/>
      <c r="FH49" s="16"/>
      <c r="FI49" s="17"/>
      <c r="FJ49" s="30"/>
      <c r="FK49" s="31"/>
      <c r="FL49" s="16"/>
      <c r="FM49" s="17"/>
      <c r="FN49" s="30"/>
      <c r="FO49" s="31"/>
      <c r="FP49" s="16"/>
      <c r="FQ49" s="17"/>
      <c r="FR49" s="30"/>
      <c r="FS49" s="31"/>
      <c r="FT49" s="16"/>
      <c r="FU49" s="17"/>
      <c r="FV49" s="30"/>
      <c r="FW49" s="31"/>
      <c r="FX49" s="16"/>
      <c r="FY49" s="17"/>
      <c r="FZ49" s="30"/>
      <c r="GA49" s="31"/>
      <c r="GB49" s="16"/>
      <c r="GC49" s="17"/>
      <c r="GD49" s="30"/>
      <c r="GE49" s="31"/>
      <c r="GF49" s="16"/>
      <c r="GG49" s="17"/>
      <c r="GH49" s="30"/>
      <c r="GI49" s="31"/>
      <c r="GJ49" s="16"/>
      <c r="GK49" s="17"/>
      <c r="GL49" s="30"/>
      <c r="GM49" s="31"/>
      <c r="GN49" s="16"/>
      <c r="GO49" s="17"/>
      <c r="GP49" s="30"/>
      <c r="GQ49" s="31"/>
      <c r="GR49" s="16"/>
      <c r="GS49" s="17"/>
      <c r="GT49" s="30"/>
      <c r="GU49" s="31"/>
      <c r="GV49" s="16"/>
      <c r="GW49" s="17"/>
      <c r="GX49" s="30"/>
      <c r="GY49" s="31"/>
      <c r="GZ49" s="16"/>
      <c r="HA49" s="17"/>
      <c r="HB49" s="30"/>
      <c r="HC49" s="31"/>
      <c r="HD49" s="16"/>
      <c r="HE49" s="17"/>
      <c r="HF49" s="30"/>
      <c r="HG49" s="31"/>
      <c r="HH49" s="16"/>
      <c r="HI49" s="17"/>
      <c r="HJ49" s="30"/>
      <c r="HK49" s="31"/>
      <c r="HL49" s="16"/>
      <c r="HM49" s="17"/>
      <c r="HN49" s="30"/>
      <c r="HO49" s="31"/>
      <c r="HP49" s="16"/>
      <c r="HQ49" s="17"/>
      <c r="HR49" s="30"/>
      <c r="HS49" s="31"/>
      <c r="HT49" s="16"/>
      <c r="HU49" s="17"/>
      <c r="HV49" s="30"/>
      <c r="HW49" s="31"/>
      <c r="HX49" s="16"/>
      <c r="HY49" s="17"/>
      <c r="HZ49" s="30"/>
      <c r="IA49" s="31"/>
      <c r="IB49" s="16"/>
      <c r="IC49" s="17"/>
      <c r="ID49" s="30"/>
      <c r="IE49" s="31"/>
      <c r="IF49" s="16"/>
      <c r="IG49" s="17"/>
      <c r="IH49" s="30"/>
      <c r="II49" s="31"/>
      <c r="IJ49" s="16"/>
      <c r="IK49" s="17"/>
      <c r="IL49" s="30"/>
      <c r="IM49" s="31"/>
      <c r="IN49" s="16"/>
      <c r="IO49" s="17"/>
      <c r="IP49" s="30"/>
      <c r="IQ49" s="31"/>
      <c r="IR49" s="16"/>
      <c r="IS49" s="17"/>
      <c r="IT49" s="30"/>
      <c r="IU49" s="31"/>
      <c r="IV49" s="16"/>
      <c r="IW49" s="17"/>
      <c r="IX49" s="30"/>
      <c r="IY49" s="31"/>
      <c r="IZ49" s="16"/>
      <c r="JA49" s="17"/>
      <c r="JB49" s="30"/>
      <c r="JC49" s="31"/>
      <c r="JD49" s="16"/>
      <c r="JE49" s="17"/>
      <c r="JF49" s="30"/>
      <c r="JG49" s="31"/>
      <c r="JH49" s="16"/>
      <c r="JI49" s="17"/>
      <c r="JJ49" s="30"/>
      <c r="JK49" s="31"/>
      <c r="JL49" s="16"/>
      <c r="JM49" s="17"/>
      <c r="JN49" s="30"/>
      <c r="JO49" s="31"/>
      <c r="JP49" s="16"/>
      <c r="JQ49" s="17"/>
      <c r="JR49" s="30"/>
      <c r="JS49" s="31"/>
      <c r="JT49" s="16"/>
      <c r="JU49" s="17"/>
      <c r="JV49" s="30"/>
      <c r="JW49" s="31"/>
      <c r="JX49" s="16"/>
      <c r="JY49" s="17"/>
      <c r="JZ49" s="30"/>
      <c r="KA49" s="31"/>
      <c r="KB49" s="16"/>
      <c r="KC49" s="17"/>
      <c r="KD49" s="30"/>
      <c r="KE49" s="31"/>
      <c r="KF49" s="16"/>
      <c r="KG49" s="17"/>
      <c r="KH49" s="30"/>
      <c r="KI49" s="31"/>
      <c r="KJ49" s="16"/>
      <c r="KK49" s="17"/>
      <c r="KL49" s="30"/>
      <c r="KM49" s="31"/>
      <c r="KN49" s="16"/>
      <c r="KO49" s="17"/>
      <c r="KP49" s="30"/>
      <c r="KQ49" s="31"/>
      <c r="KR49" s="16"/>
      <c r="KS49" s="17"/>
      <c r="KT49" s="30"/>
      <c r="KU49" s="31"/>
      <c r="KV49" s="16"/>
      <c r="KW49" s="17"/>
      <c r="KX49" s="30"/>
      <c r="KY49" s="31"/>
      <c r="KZ49" s="16"/>
      <c r="LA49" s="17"/>
      <c r="LB49" s="30"/>
      <c r="LC49" s="31"/>
      <c r="LD49" s="16"/>
      <c r="LE49" s="17"/>
      <c r="LF49" s="30"/>
      <c r="LG49" s="31"/>
      <c r="LH49" s="16"/>
      <c r="LI49" s="17"/>
      <c r="LJ49" s="30"/>
      <c r="LK49" s="31"/>
      <c r="LL49" s="16"/>
      <c r="LM49" s="17"/>
      <c r="LN49" s="30"/>
      <c r="LO49" s="31"/>
      <c r="LP49" s="16"/>
      <c r="LQ49" s="17"/>
      <c r="LR49" s="30"/>
      <c r="LS49" s="31"/>
      <c r="LT49" s="16"/>
      <c r="LU49" s="17"/>
      <c r="LV49" s="30"/>
      <c r="LW49" s="31"/>
      <c r="LX49" s="16"/>
      <c r="LY49" s="17"/>
      <c r="LZ49" s="30"/>
      <c r="MA49" s="31"/>
      <c r="MB49" s="16"/>
      <c r="MC49" s="17"/>
      <c r="MD49" s="30"/>
      <c r="ME49" s="31"/>
      <c r="MF49" s="16"/>
      <c r="MG49" s="17"/>
      <c r="MH49" s="30"/>
      <c r="MI49" s="31"/>
      <c r="MJ49" s="16"/>
      <c r="MK49" s="17"/>
      <c r="ML49" s="30"/>
      <c r="MM49" s="31"/>
      <c r="MN49" s="16"/>
      <c r="MO49" s="17"/>
      <c r="MP49" s="30"/>
      <c r="MQ49" s="31"/>
      <c r="MR49" s="16"/>
      <c r="MS49" s="17"/>
      <c r="MT49" s="30"/>
      <c r="MU49" s="31"/>
      <c r="MV49" s="16"/>
      <c r="MW49" s="17"/>
      <c r="MX49" s="30"/>
      <c r="MY49" s="31"/>
      <c r="MZ49" s="16"/>
      <c r="NA49" s="17"/>
      <c r="NB49" s="30"/>
      <c r="NC49" s="31"/>
      <c r="ND49" s="16"/>
      <c r="NE49" s="17"/>
      <c r="NF49" s="30"/>
      <c r="NG49" s="31"/>
      <c r="NH49" s="16"/>
      <c r="NI49" s="17"/>
      <c r="NJ49" s="30"/>
      <c r="NK49" s="31"/>
      <c r="NL49" s="16"/>
      <c r="NM49" s="17"/>
      <c r="NN49" s="30"/>
      <c r="NO49" s="31"/>
      <c r="NP49" s="16"/>
      <c r="NQ49" s="17"/>
      <c r="NR49" s="30"/>
      <c r="NS49" s="31"/>
      <c r="NT49" s="16"/>
      <c r="NU49" s="17"/>
      <c r="NV49" s="30"/>
      <c r="NW49" s="31"/>
      <c r="NX49" s="16"/>
      <c r="NY49" s="17"/>
      <c r="NZ49" s="30"/>
      <c r="OA49" s="31"/>
      <c r="OB49" s="16"/>
      <c r="OC49" s="17"/>
      <c r="OD49" s="30"/>
      <c r="OE49" s="31"/>
      <c r="OF49" s="16"/>
      <c r="OG49" s="17"/>
      <c r="OH49" s="30"/>
      <c r="OI49" s="31"/>
      <c r="OJ49" s="16"/>
      <c r="OK49" s="17"/>
      <c r="OL49" s="30"/>
      <c r="OM49" s="31"/>
      <c r="ON49" s="16"/>
      <c r="OO49" s="17"/>
      <c r="OP49" s="30"/>
      <c r="OQ49" s="31"/>
      <c r="OR49" s="16"/>
      <c r="OS49" s="17"/>
      <c r="OT49" s="30"/>
      <c r="OU49" s="31"/>
      <c r="OV49" s="16"/>
      <c r="OW49" s="17"/>
      <c r="OX49" s="30"/>
      <c r="OY49" s="31"/>
      <c r="OZ49" s="16"/>
      <c r="PA49" s="17"/>
      <c r="PB49" s="30"/>
      <c r="PC49" s="31"/>
      <c r="PD49" s="16"/>
      <c r="PE49" s="17"/>
      <c r="PF49" s="30"/>
      <c r="PG49" s="31"/>
      <c r="PH49" s="16"/>
      <c r="PI49" s="17"/>
      <c r="PJ49" s="30"/>
      <c r="PK49" s="31"/>
      <c r="PL49" s="16"/>
      <c r="PM49" s="17"/>
      <c r="PN49" s="30"/>
      <c r="PO49" s="31"/>
      <c r="PP49" s="16"/>
      <c r="PQ49" s="17"/>
      <c r="PR49" s="30"/>
      <c r="PS49" s="31"/>
      <c r="PT49" s="16"/>
      <c r="PU49" s="17"/>
      <c r="PV49" s="30"/>
      <c r="PW49" s="31"/>
      <c r="PX49" s="16"/>
      <c r="PY49" s="17"/>
      <c r="PZ49" s="30"/>
      <c r="QA49" s="31"/>
      <c r="QB49" s="16"/>
      <c r="QC49" s="17"/>
      <c r="QD49" s="30"/>
      <c r="QE49" s="31"/>
      <c r="QF49" s="16"/>
      <c r="QG49" s="17"/>
      <c r="QH49" s="30"/>
      <c r="QI49" s="31"/>
      <c r="QJ49" s="16"/>
      <c r="QK49" s="17"/>
      <c r="QL49" s="30"/>
      <c r="QM49" s="31"/>
      <c r="QN49" s="16"/>
      <c r="QO49" s="17"/>
      <c r="QP49" s="30"/>
      <c r="QQ49" s="31"/>
      <c r="QR49" s="16"/>
      <c r="QS49" s="17"/>
      <c r="QT49" s="30"/>
      <c r="QU49" s="31"/>
      <c r="QV49" s="16"/>
      <c r="QW49" s="17"/>
      <c r="QX49" s="30"/>
      <c r="QY49" s="31"/>
      <c r="QZ49" s="16"/>
      <c r="RA49" s="17"/>
      <c r="RB49" s="30"/>
      <c r="RC49" s="31"/>
      <c r="RD49" s="16"/>
      <c r="RE49" s="17"/>
      <c r="RF49" s="30"/>
      <c r="RG49" s="31"/>
      <c r="RH49" s="16"/>
      <c r="RI49" s="17"/>
      <c r="RJ49" s="30"/>
      <c r="RK49" s="31"/>
      <c r="RL49" s="16"/>
      <c r="RM49" s="17"/>
      <c r="RN49" s="30"/>
      <c r="RO49" s="31"/>
      <c r="RP49" s="16"/>
      <c r="RQ49" s="17"/>
      <c r="RR49" s="30"/>
      <c r="RS49" s="31"/>
      <c r="RT49" s="16"/>
      <c r="RU49" s="17"/>
      <c r="RV49" s="30"/>
      <c r="RW49" s="31"/>
      <c r="RX49" s="16"/>
      <c r="RY49" s="17"/>
      <c r="RZ49" s="30"/>
      <c r="SA49" s="31"/>
      <c r="SB49" s="16"/>
      <c r="SC49" s="17"/>
      <c r="SD49" s="30"/>
      <c r="SE49" s="31"/>
      <c r="SF49" s="16"/>
      <c r="SG49" s="17"/>
      <c r="SH49" s="30"/>
      <c r="SI49" s="31"/>
      <c r="SJ49" s="16"/>
      <c r="SK49" s="17"/>
      <c r="SL49" s="30"/>
      <c r="SM49" s="31"/>
      <c r="SN49" s="16"/>
      <c r="SO49" s="17"/>
      <c r="SP49" s="30"/>
      <c r="SQ49" s="31"/>
      <c r="SR49" s="16"/>
      <c r="SS49" s="17"/>
      <c r="ST49" s="30"/>
      <c r="SU49" s="31"/>
      <c r="SV49" s="16"/>
      <c r="SW49" s="17"/>
      <c r="SX49" s="30"/>
      <c r="SY49" s="31"/>
      <c r="SZ49" s="16"/>
      <c r="TA49" s="17"/>
      <c r="TB49" s="30"/>
      <c r="TC49" s="31"/>
      <c r="TD49" s="16"/>
      <c r="TE49" s="17"/>
      <c r="TF49" s="30"/>
      <c r="TG49" s="31"/>
      <c r="TH49" s="16"/>
      <c r="TI49" s="17"/>
      <c r="TJ49" s="30"/>
      <c r="TK49" s="31"/>
      <c r="TL49" s="16"/>
      <c r="TM49" s="17"/>
      <c r="TN49" s="30"/>
      <c r="TO49" s="31"/>
      <c r="TP49" s="16"/>
      <c r="TQ49" s="17"/>
      <c r="TR49" s="30"/>
      <c r="TS49" s="31"/>
      <c r="TT49" s="16"/>
      <c r="TU49" s="17"/>
      <c r="TV49" s="30"/>
      <c r="TW49" s="31"/>
      <c r="TX49" s="16"/>
      <c r="TY49" s="17"/>
      <c r="TZ49" s="30"/>
      <c r="UA49" s="31"/>
      <c r="UB49" s="16"/>
      <c r="UC49" s="17"/>
      <c r="UD49" s="30"/>
      <c r="UE49" s="31"/>
      <c r="UF49" s="16"/>
      <c r="UG49" s="17"/>
      <c r="UH49" s="30"/>
      <c r="UI49" s="31"/>
      <c r="UJ49" s="16"/>
      <c r="UK49" s="17"/>
      <c r="UL49" s="30"/>
      <c r="UM49" s="31"/>
      <c r="UN49" s="16"/>
      <c r="UO49" s="17"/>
      <c r="UP49" s="30"/>
      <c r="UQ49" s="31"/>
      <c r="UR49" s="16"/>
      <c r="US49" s="17"/>
      <c r="UT49" s="30"/>
      <c r="UU49" s="31"/>
      <c r="UV49" s="16"/>
      <c r="UW49" s="17"/>
      <c r="UX49" s="30"/>
      <c r="UY49" s="31"/>
      <c r="UZ49" s="16"/>
      <c r="VA49" s="17"/>
      <c r="VB49" s="30"/>
      <c r="VC49" s="31"/>
      <c r="VD49" s="16"/>
      <c r="VE49" s="17"/>
      <c r="VF49" s="30"/>
      <c r="VG49" s="31"/>
      <c r="VH49" s="16"/>
      <c r="VI49" s="17"/>
      <c r="VJ49" s="30"/>
      <c r="VK49" s="31"/>
      <c r="VL49" s="16"/>
      <c r="VM49" s="17"/>
      <c r="VN49" s="30"/>
      <c r="VO49" s="31"/>
      <c r="VP49" s="16"/>
      <c r="VQ49" s="17"/>
      <c r="VR49" s="30"/>
      <c r="VS49" s="31"/>
      <c r="VT49" s="16"/>
      <c r="VU49" s="17"/>
      <c r="VV49" s="30"/>
      <c r="VW49" s="31"/>
      <c r="VX49" s="16"/>
      <c r="VY49" s="17"/>
      <c r="VZ49" s="30"/>
      <c r="WA49" s="31"/>
      <c r="WB49" s="16"/>
      <c r="WC49" s="17"/>
      <c r="WD49" s="30"/>
      <c r="WE49" s="31"/>
      <c r="WF49" s="16"/>
      <c r="WG49" s="17"/>
      <c r="WH49" s="30"/>
      <c r="WI49" s="31"/>
      <c r="WJ49" s="16"/>
      <c r="WK49" s="17"/>
      <c r="WL49" s="30"/>
      <c r="WM49" s="31"/>
      <c r="WN49" s="16"/>
      <c r="WO49" s="17"/>
      <c r="WP49" s="30"/>
      <c r="WQ49" s="31"/>
      <c r="WR49" s="16"/>
      <c r="WS49" s="17"/>
      <c r="WT49" s="30"/>
      <c r="WU49" s="31"/>
      <c r="WV49" s="16"/>
      <c r="WW49" s="17"/>
      <c r="WX49" s="30"/>
      <c r="WY49" s="31"/>
      <c r="WZ49" s="16"/>
      <c r="XA49" s="17"/>
      <c r="XB49" s="30"/>
      <c r="XC49" s="31"/>
      <c r="XD49" s="16"/>
      <c r="XE49" s="17"/>
      <c r="XF49" s="30"/>
      <c r="XG49" s="31"/>
      <c r="XH49" s="16"/>
      <c r="XI49" s="17"/>
      <c r="XJ49" s="30"/>
      <c r="XK49" s="31"/>
      <c r="XL49" s="16"/>
      <c r="XM49" s="17"/>
      <c r="XN49" s="30"/>
      <c r="XO49" s="31"/>
      <c r="XP49" s="16"/>
      <c r="XQ49" s="17"/>
      <c r="XR49" s="30"/>
      <c r="XS49" s="31"/>
      <c r="XT49" s="16"/>
      <c r="XU49" s="17"/>
      <c r="XV49" s="30"/>
      <c r="XW49" s="31"/>
      <c r="XX49" s="16"/>
      <c r="XY49" s="17"/>
      <c r="XZ49" s="30"/>
      <c r="YA49" s="31"/>
      <c r="YB49" s="16"/>
      <c r="YC49" s="17"/>
      <c r="YD49" s="30"/>
      <c r="YE49" s="31"/>
      <c r="YF49" s="16"/>
      <c r="YG49" s="17"/>
      <c r="YH49" s="30"/>
      <c r="YI49" s="31"/>
      <c r="YJ49" s="16"/>
      <c r="YK49" s="17"/>
      <c r="YL49" s="30"/>
      <c r="YM49" s="31"/>
      <c r="YN49" s="16"/>
      <c r="YO49" s="17"/>
      <c r="YP49" s="30"/>
      <c r="YQ49" s="31"/>
      <c r="YR49" s="16"/>
      <c r="YS49" s="17"/>
      <c r="YT49" s="30"/>
      <c r="YU49" s="31"/>
      <c r="YV49" s="16"/>
      <c r="YW49" s="17"/>
      <c r="YX49" s="30"/>
      <c r="YY49" s="31"/>
      <c r="YZ49" s="16"/>
      <c r="ZA49" s="17"/>
      <c r="ZB49" s="30"/>
      <c r="ZC49" s="31"/>
      <c r="ZD49" s="16"/>
      <c r="ZE49" s="17"/>
      <c r="ZF49" s="30"/>
      <c r="ZG49" s="31"/>
      <c r="ZH49" s="16"/>
      <c r="ZI49" s="17"/>
      <c r="ZJ49" s="30"/>
      <c r="ZK49" s="31"/>
      <c r="ZL49" s="16"/>
      <c r="ZM49" s="17"/>
      <c r="ZN49" s="30"/>
      <c r="ZO49" s="31"/>
      <c r="ZP49" s="16"/>
      <c r="ZQ49" s="17"/>
      <c r="ZR49" s="30"/>
      <c r="ZS49" s="31"/>
      <c r="ZT49" s="16"/>
      <c r="ZU49" s="17"/>
      <c r="ZV49" s="30"/>
      <c r="ZW49" s="31"/>
      <c r="ZX49" s="16"/>
      <c r="ZY49" s="17"/>
      <c r="ZZ49" s="30"/>
      <c r="AAA49" s="31"/>
      <c r="AAB49" s="16"/>
      <c r="AAC49" s="17"/>
      <c r="AAD49" s="30"/>
      <c r="AAE49" s="31"/>
      <c r="AAF49" s="16"/>
      <c r="AAG49" s="17"/>
      <c r="AAH49" s="30"/>
      <c r="AAI49" s="31"/>
      <c r="AAJ49" s="16"/>
      <c r="AAK49" s="17"/>
      <c r="AAL49" s="30"/>
      <c r="AAM49" s="31"/>
      <c r="AAN49" s="16"/>
      <c r="AAO49" s="17"/>
      <c r="AAP49" s="30"/>
      <c r="AAQ49" s="31"/>
      <c r="AAR49" s="16"/>
      <c r="AAS49" s="17"/>
      <c r="AAT49" s="30"/>
      <c r="AAU49" s="31"/>
      <c r="AAV49" s="16"/>
      <c r="AAW49" s="17"/>
      <c r="AAX49" s="30"/>
      <c r="AAY49" s="31"/>
      <c r="AAZ49" s="16"/>
      <c r="ABA49" s="17"/>
      <c r="ABB49" s="30"/>
      <c r="ABC49" s="31"/>
      <c r="ABD49" s="16"/>
      <c r="ABE49" s="17"/>
      <c r="ABF49" s="30"/>
      <c r="ABG49" s="31"/>
      <c r="ABH49" s="16"/>
      <c r="ABI49" s="17"/>
      <c r="ABJ49" s="30"/>
      <c r="ABK49" s="31"/>
      <c r="ABL49" s="16"/>
      <c r="ABM49" s="17"/>
      <c r="ABN49" s="30"/>
      <c r="ABO49" s="31"/>
      <c r="ABP49" s="16"/>
      <c r="ABQ49" s="17"/>
      <c r="ABR49" s="30"/>
      <c r="ABS49" s="31"/>
      <c r="ABT49" s="16"/>
      <c r="ABU49" s="17"/>
      <c r="ABV49" s="30"/>
      <c r="ABW49" s="31"/>
      <c r="ABX49" s="16"/>
      <c r="ABY49" s="17"/>
      <c r="ABZ49" s="30"/>
      <c r="ACA49" s="31"/>
      <c r="ACB49" s="16"/>
      <c r="ACC49" s="17"/>
      <c r="ACD49" s="30"/>
      <c r="ACE49" s="31"/>
      <c r="ACF49" s="16"/>
      <c r="ACG49" s="17"/>
      <c r="ACH49" s="30"/>
      <c r="ACI49" s="31"/>
      <c r="ACJ49" s="16"/>
      <c r="ACK49" s="17"/>
      <c r="ACL49" s="30"/>
      <c r="ACM49" s="31"/>
      <c r="ACN49" s="16"/>
      <c r="ACO49" s="17"/>
      <c r="ACP49" s="30"/>
      <c r="ACQ49" s="31"/>
      <c r="ACR49" s="16"/>
      <c r="ACS49" s="17"/>
      <c r="ACT49" s="30"/>
      <c r="ACU49" s="31"/>
      <c r="ACV49" s="16"/>
      <c r="ACW49" s="17"/>
      <c r="ACX49" s="30"/>
      <c r="ACY49" s="31"/>
      <c r="ACZ49" s="16"/>
      <c r="ADA49" s="17"/>
      <c r="ADB49" s="30"/>
      <c r="ADC49" s="31"/>
      <c r="ADD49" s="16"/>
      <c r="ADE49" s="17"/>
      <c r="ADF49" s="30"/>
      <c r="ADG49" s="31"/>
      <c r="ADH49" s="16"/>
      <c r="ADI49" s="17"/>
      <c r="ADJ49" s="30"/>
      <c r="ADK49" s="31"/>
      <c r="ADL49" s="16"/>
      <c r="ADM49" s="17"/>
      <c r="ADN49" s="30"/>
      <c r="ADO49" s="31"/>
      <c r="ADP49" s="16"/>
      <c r="ADQ49" s="17"/>
      <c r="ADR49" s="30"/>
      <c r="ADS49" s="31"/>
      <c r="ADT49" s="16"/>
      <c r="ADU49" s="17"/>
      <c r="ADV49" s="30"/>
      <c r="ADW49" s="31"/>
      <c r="ADX49" s="16"/>
      <c r="ADY49" s="17"/>
      <c r="ADZ49" s="30"/>
      <c r="AEA49" s="31"/>
      <c r="AEB49" s="16"/>
      <c r="AEC49" s="17"/>
      <c r="AED49" s="30"/>
      <c r="AEE49" s="31"/>
      <c r="AEF49" s="16"/>
      <c r="AEG49" s="17"/>
      <c r="AEH49" s="30"/>
      <c r="AEI49" s="31"/>
      <c r="AEJ49" s="16"/>
      <c r="AEK49" s="17"/>
      <c r="AEL49" s="30"/>
      <c r="AEM49" s="31"/>
      <c r="AEN49" s="16"/>
      <c r="AEO49" s="17"/>
      <c r="AEP49" s="30"/>
      <c r="AEQ49" s="31"/>
      <c r="AER49" s="16"/>
      <c r="AES49" s="17"/>
      <c r="AET49" s="30"/>
      <c r="AEU49" s="31"/>
      <c r="AEV49" s="16"/>
      <c r="AEW49" s="17"/>
      <c r="AEX49" s="30"/>
      <c r="AEY49" s="31"/>
      <c r="AEZ49" s="16"/>
      <c r="AFA49" s="17"/>
      <c r="AFB49" s="30"/>
      <c r="AFC49" s="31"/>
      <c r="AFD49" s="16"/>
      <c r="AFE49" s="17"/>
      <c r="AFF49" s="30"/>
      <c r="AFG49" s="31"/>
      <c r="AFH49" s="16"/>
      <c r="AFI49" s="17"/>
      <c r="AFJ49" s="30"/>
      <c r="AFK49" s="31"/>
      <c r="AFL49" s="16"/>
      <c r="AFM49" s="17"/>
      <c r="AFN49" s="30"/>
      <c r="AFO49" s="31"/>
      <c r="AFP49" s="16"/>
      <c r="AFQ49" s="17"/>
      <c r="AFR49" s="30"/>
      <c r="AFS49" s="31"/>
      <c r="AFT49" s="16"/>
      <c r="AFU49" s="17"/>
      <c r="AFV49" s="30"/>
      <c r="AFW49" s="31"/>
      <c r="AFX49" s="16"/>
      <c r="AFY49" s="17"/>
      <c r="AFZ49" s="30"/>
      <c r="AGA49" s="31"/>
      <c r="AGB49" s="16"/>
      <c r="AGC49" s="17"/>
      <c r="AGD49" s="30"/>
      <c r="AGE49" s="31"/>
      <c r="AGF49" s="16"/>
      <c r="AGG49" s="17"/>
      <c r="AGH49" s="30"/>
      <c r="AGI49" s="31"/>
      <c r="AGJ49" s="16"/>
      <c r="AGK49" s="17"/>
      <c r="AGL49" s="30"/>
      <c r="AGM49" s="31"/>
      <c r="AGN49" s="16"/>
      <c r="AGO49" s="17"/>
      <c r="AGP49" s="30"/>
      <c r="AGQ49" s="31"/>
      <c r="AGR49" s="16"/>
      <c r="AGS49" s="17"/>
      <c r="AGT49" s="30"/>
      <c r="AGU49" s="31"/>
      <c r="AGV49" s="16"/>
      <c r="AGW49" s="17"/>
      <c r="AGX49" s="30"/>
      <c r="AGY49" s="31"/>
      <c r="AGZ49" s="16"/>
      <c r="AHA49" s="17"/>
      <c r="AHB49" s="30"/>
      <c r="AHC49" s="31"/>
      <c r="AHD49" s="16"/>
      <c r="AHE49" s="17"/>
      <c r="AHF49" s="30"/>
      <c r="AHG49" s="31"/>
      <c r="AHH49" s="16"/>
      <c r="AHI49" s="17"/>
      <c r="AHJ49" s="30"/>
      <c r="AHK49" s="31"/>
      <c r="AHL49" s="16"/>
      <c r="AHM49" s="17"/>
      <c r="AHN49" s="30"/>
      <c r="AHO49" s="31"/>
      <c r="AHP49" s="16"/>
      <c r="AHQ49" s="17"/>
      <c r="AHR49" s="30"/>
      <c r="AHS49" s="31"/>
      <c r="AHT49" s="16"/>
      <c r="AHU49" s="17"/>
      <c r="AHV49" s="30"/>
      <c r="AHW49" s="31"/>
      <c r="AHX49" s="16"/>
      <c r="AHY49" s="17"/>
      <c r="AHZ49" s="30"/>
      <c r="AIA49" s="31"/>
      <c r="AIB49" s="16"/>
      <c r="AIC49" s="17"/>
      <c r="AID49" s="30"/>
      <c r="AIE49" s="31"/>
      <c r="AIF49" s="16"/>
      <c r="AIG49" s="17"/>
      <c r="AIH49" s="30"/>
      <c r="AII49" s="31"/>
      <c r="AIJ49" s="16"/>
      <c r="AIK49" s="17"/>
      <c r="AIL49" s="30"/>
      <c r="AIM49" s="31"/>
      <c r="AIN49" s="16"/>
      <c r="AIO49" s="17"/>
      <c r="AIP49" s="30"/>
      <c r="AIQ49" s="31"/>
      <c r="AIR49" s="16"/>
      <c r="AIS49" s="17"/>
      <c r="AIT49" s="30"/>
      <c r="AIU49" s="31"/>
      <c r="AIV49" s="16"/>
      <c r="AIW49" s="17"/>
      <c r="AIX49" s="30"/>
      <c r="AIY49" s="31"/>
      <c r="AIZ49" s="16"/>
      <c r="AJA49" s="17"/>
      <c r="AJB49" s="30"/>
      <c r="AJC49" s="31"/>
      <c r="AJD49" s="16"/>
      <c r="AJE49" s="17"/>
      <c r="AJF49" s="30"/>
      <c r="AJG49" s="31"/>
      <c r="AJH49" s="16"/>
      <c r="AJI49" s="17"/>
      <c r="AJJ49" s="30"/>
      <c r="AJK49" s="31"/>
      <c r="AJL49" s="16"/>
      <c r="AJM49" s="17"/>
      <c r="AJN49" s="30"/>
      <c r="AJO49" s="31"/>
      <c r="AJP49" s="16"/>
      <c r="AJQ49" s="17"/>
      <c r="AJR49" s="30"/>
      <c r="AJS49" s="31"/>
      <c r="AJT49" s="16"/>
      <c r="AJU49" s="17"/>
      <c r="AJV49" s="30"/>
      <c r="AJW49" s="31"/>
      <c r="AJX49" s="16"/>
      <c r="AJY49" s="17"/>
      <c r="AJZ49" s="30"/>
      <c r="AKA49" s="31"/>
      <c r="AKB49" s="16"/>
      <c r="AKC49" s="17"/>
      <c r="AKD49" s="30"/>
      <c r="AKE49" s="31"/>
      <c r="AKF49" s="16"/>
      <c r="AKG49" s="17"/>
      <c r="AKH49" s="30"/>
      <c r="AKI49" s="31"/>
      <c r="AKJ49" s="16"/>
      <c r="AKK49" s="17"/>
      <c r="AKL49" s="30"/>
      <c r="AKM49" s="31"/>
      <c r="AKN49" s="16"/>
      <c r="AKO49" s="17"/>
      <c r="AKP49" s="30"/>
      <c r="AKQ49" s="31"/>
      <c r="AKR49" s="16"/>
      <c r="AKS49" s="17"/>
      <c r="AKT49" s="30"/>
      <c r="AKU49" s="31"/>
      <c r="AKV49" s="16"/>
      <c r="AKW49" s="17"/>
      <c r="AKX49" s="30"/>
      <c r="AKY49" s="31"/>
      <c r="AKZ49" s="16"/>
      <c r="ALA49" s="17"/>
      <c r="ALB49" s="30"/>
      <c r="ALC49" s="31"/>
      <c r="ALD49" s="16"/>
      <c r="ALE49" s="17"/>
      <c r="ALF49" s="30"/>
      <c r="ALG49" s="31"/>
      <c r="ALH49" s="16"/>
      <c r="ALI49" s="17"/>
      <c r="ALJ49" s="30"/>
      <c r="ALK49" s="31"/>
      <c r="ALL49" s="16"/>
      <c r="ALM49" s="17"/>
      <c r="ALN49" s="30"/>
      <c r="ALO49" s="31"/>
      <c r="ALP49" s="16"/>
      <c r="ALQ49" s="17"/>
      <c r="ALR49" s="30"/>
      <c r="ALS49" s="31"/>
      <c r="ALT49" s="16"/>
      <c r="ALU49" s="17"/>
      <c r="ALV49" s="30"/>
      <c r="ALW49" s="31"/>
      <c r="ALX49" s="16"/>
      <c r="ALY49" s="17"/>
      <c r="ALZ49" s="30"/>
      <c r="AMA49" s="31"/>
      <c r="AMB49" s="16"/>
      <c r="AMC49" s="17"/>
      <c r="AMD49" s="30"/>
      <c r="AME49" s="31"/>
      <c r="AMF49" s="16"/>
      <c r="AMG49" s="17"/>
      <c r="AMH49" s="30"/>
      <c r="AMI49" s="31"/>
      <c r="AMJ49" s="16"/>
      <c r="AMK49" s="17"/>
      <c r="AML49" s="30"/>
      <c r="AMM49" s="31"/>
      <c r="AMN49" s="16"/>
      <c r="AMO49" s="17"/>
      <c r="AMP49" s="30"/>
      <c r="AMQ49" s="31"/>
      <c r="AMR49" s="16"/>
      <c r="AMS49" s="17"/>
      <c r="AMT49" s="30"/>
      <c r="AMU49" s="31"/>
      <c r="AMV49" s="16"/>
      <c r="AMW49" s="17"/>
      <c r="AMX49" s="30"/>
      <c r="AMY49" s="31"/>
      <c r="AMZ49" s="16"/>
      <c r="ANA49" s="17"/>
      <c r="ANB49" s="30"/>
      <c r="ANC49" s="31"/>
      <c r="AND49" s="16"/>
      <c r="ANE49" s="17"/>
      <c r="ANF49" s="30"/>
      <c r="ANG49" s="31"/>
      <c r="ANH49" s="16"/>
      <c r="ANI49" s="17"/>
      <c r="ANJ49" s="30"/>
      <c r="ANK49" s="31"/>
      <c r="ANL49" s="16"/>
      <c r="ANM49" s="17"/>
      <c r="ANN49" s="30"/>
      <c r="ANO49" s="31"/>
      <c r="ANP49" s="16"/>
      <c r="ANQ49" s="17"/>
      <c r="ANR49" s="30"/>
      <c r="ANS49" s="31"/>
      <c r="ANT49" s="16"/>
      <c r="ANU49" s="17"/>
      <c r="ANV49" s="30"/>
      <c r="ANW49" s="31"/>
      <c r="ANX49" s="16"/>
      <c r="ANY49" s="17"/>
      <c r="ANZ49" s="30"/>
      <c r="AOA49" s="31"/>
      <c r="AOB49" s="16"/>
      <c r="AOC49" s="17"/>
      <c r="AOD49" s="30"/>
      <c r="AOE49" s="31"/>
      <c r="AOF49" s="16"/>
      <c r="AOG49" s="17"/>
      <c r="AOH49" s="30"/>
      <c r="AOI49" s="31"/>
      <c r="AOJ49" s="16"/>
      <c r="AOK49" s="17"/>
      <c r="AOL49" s="30"/>
      <c r="AOM49" s="31"/>
      <c r="AON49" s="16"/>
      <c r="AOO49" s="17"/>
      <c r="AOP49" s="30"/>
      <c r="AOQ49" s="31"/>
      <c r="AOR49" s="16"/>
      <c r="AOS49" s="17"/>
      <c r="AOT49" s="30"/>
      <c r="AOU49" s="31"/>
      <c r="AOV49" s="16"/>
      <c r="AOW49" s="17"/>
      <c r="AOX49" s="30"/>
      <c r="AOY49" s="31"/>
      <c r="AOZ49" s="16"/>
      <c r="APA49" s="17"/>
      <c r="APB49" s="30"/>
      <c r="APC49" s="31"/>
      <c r="APD49" s="16"/>
      <c r="APE49" s="17"/>
      <c r="APF49" s="30"/>
      <c r="APG49" s="31"/>
      <c r="APH49" s="16"/>
      <c r="API49" s="17"/>
      <c r="APJ49" s="30"/>
      <c r="APK49" s="31"/>
      <c r="APL49" s="16"/>
      <c r="APM49" s="17"/>
      <c r="APN49" s="30"/>
      <c r="APO49" s="31"/>
      <c r="APP49" s="16"/>
      <c r="APQ49" s="17"/>
      <c r="APR49" s="30"/>
      <c r="APS49" s="31"/>
      <c r="APT49" s="16"/>
      <c r="APU49" s="17"/>
      <c r="APV49" s="30"/>
      <c r="APW49" s="31"/>
      <c r="APX49" s="16"/>
      <c r="APY49" s="17"/>
      <c r="APZ49" s="30"/>
      <c r="AQA49" s="31"/>
      <c r="AQB49" s="16"/>
      <c r="AQC49" s="17"/>
      <c r="AQD49" s="30"/>
      <c r="AQE49" s="31"/>
      <c r="AQF49" s="16"/>
      <c r="AQG49" s="17"/>
      <c r="AQH49" s="30"/>
      <c r="AQI49" s="31"/>
      <c r="AQJ49" s="16"/>
      <c r="AQK49" s="17"/>
      <c r="AQL49" s="30"/>
      <c r="AQM49" s="31"/>
      <c r="AQN49" s="16"/>
      <c r="AQO49" s="17"/>
      <c r="AQP49" s="30"/>
      <c r="AQQ49" s="31"/>
      <c r="AQR49" s="16"/>
      <c r="AQS49" s="17"/>
      <c r="AQT49" s="30"/>
      <c r="AQU49" s="31"/>
      <c r="AQV49" s="16"/>
      <c r="AQW49" s="17"/>
      <c r="AQX49" s="30"/>
      <c r="AQY49" s="31"/>
      <c r="AQZ49" s="16"/>
      <c r="ARA49" s="17"/>
      <c r="ARB49" s="30"/>
      <c r="ARC49" s="31"/>
      <c r="ARD49" s="16"/>
      <c r="ARE49" s="17"/>
      <c r="ARF49" s="30"/>
      <c r="ARG49" s="31"/>
      <c r="ARH49" s="16"/>
      <c r="ARI49" s="17"/>
      <c r="ARJ49" s="30"/>
      <c r="ARK49" s="31"/>
      <c r="ARL49" s="16"/>
      <c r="ARM49" s="17"/>
      <c r="ARN49" s="30"/>
      <c r="ARO49" s="31"/>
      <c r="ARP49" s="16"/>
      <c r="ARQ49" s="17"/>
      <c r="ARR49" s="30"/>
      <c r="ARS49" s="31"/>
      <c r="ART49" s="16"/>
      <c r="ARU49" s="17"/>
      <c r="ARV49" s="30"/>
      <c r="ARW49" s="31"/>
      <c r="ARX49" s="16"/>
      <c r="ARY49" s="17"/>
      <c r="ARZ49" s="30"/>
      <c r="ASA49" s="31"/>
      <c r="ASB49" s="16"/>
      <c r="ASC49" s="17"/>
      <c r="ASD49" s="30"/>
      <c r="ASE49" s="31"/>
      <c r="ASF49" s="16"/>
      <c r="ASG49" s="17"/>
      <c r="ASH49" s="30"/>
      <c r="ASI49" s="31"/>
      <c r="ASJ49" s="16"/>
      <c r="ASK49" s="17"/>
      <c r="ASL49" s="30"/>
      <c r="ASM49" s="31"/>
      <c r="ASN49" s="16"/>
      <c r="ASO49" s="17"/>
      <c r="ASP49" s="30"/>
      <c r="ASQ49" s="31"/>
      <c r="ASR49" s="16"/>
      <c r="ASS49" s="17"/>
      <c r="AST49" s="30"/>
      <c r="ASU49" s="31"/>
      <c r="ASV49" s="16"/>
      <c r="ASW49" s="17"/>
      <c r="ASX49" s="30"/>
      <c r="ASY49" s="31"/>
      <c r="ASZ49" s="16"/>
      <c r="ATA49" s="17"/>
      <c r="ATB49" s="30"/>
      <c r="ATC49" s="31"/>
      <c r="ATD49" s="16"/>
      <c r="ATE49" s="17"/>
      <c r="ATF49" s="30"/>
      <c r="ATG49" s="31"/>
      <c r="ATH49" s="16"/>
      <c r="ATI49" s="17"/>
      <c r="ATJ49" s="30"/>
      <c r="ATK49" s="31"/>
      <c r="ATL49" s="16"/>
      <c r="ATM49" s="17"/>
      <c r="ATN49" s="30"/>
      <c r="ATO49" s="31"/>
      <c r="ATP49" s="16"/>
      <c r="ATQ49" s="17"/>
      <c r="ATR49" s="30"/>
      <c r="ATS49" s="31"/>
      <c r="ATT49" s="16"/>
      <c r="ATU49" s="17"/>
      <c r="ATV49" s="30"/>
      <c r="ATW49" s="31"/>
      <c r="ATX49" s="16"/>
      <c r="ATY49" s="17"/>
      <c r="ATZ49" s="30"/>
      <c r="AUA49" s="31"/>
      <c r="AUB49" s="16"/>
      <c r="AUC49" s="17"/>
      <c r="AUD49" s="30"/>
      <c r="AUE49" s="31"/>
      <c r="AUF49" s="16"/>
      <c r="AUG49" s="17"/>
      <c r="AUH49" s="30"/>
      <c r="AUI49" s="31"/>
      <c r="AUJ49" s="16"/>
      <c r="AUK49" s="17"/>
      <c r="AUL49" s="30"/>
      <c r="AUM49" s="31"/>
      <c r="AUN49" s="16"/>
      <c r="AUO49" s="17"/>
      <c r="AUP49" s="30"/>
      <c r="AUQ49" s="31"/>
      <c r="AUR49" s="16"/>
      <c r="AUS49" s="17"/>
      <c r="AUT49" s="30"/>
      <c r="AUU49" s="31"/>
      <c r="AUV49" s="16"/>
      <c r="AUW49" s="17"/>
      <c r="AUX49" s="30"/>
      <c r="AUY49" s="31"/>
      <c r="AUZ49" s="16"/>
      <c r="AVA49" s="17"/>
      <c r="AVB49" s="30"/>
      <c r="AVC49" s="31"/>
      <c r="AVD49" s="16"/>
      <c r="AVE49" s="17"/>
      <c r="AVF49" s="30"/>
      <c r="AVG49" s="31"/>
      <c r="AVH49" s="16"/>
      <c r="AVI49" s="17"/>
      <c r="AVJ49" s="30"/>
      <c r="AVK49" s="31"/>
      <c r="AVL49" s="16"/>
      <c r="AVM49" s="17"/>
      <c r="AVN49" s="30"/>
      <c r="AVO49" s="31"/>
      <c r="AVP49" s="16"/>
      <c r="AVQ49" s="17"/>
      <c r="AVR49" s="30"/>
      <c r="AVS49" s="31"/>
      <c r="AVT49" s="16"/>
      <c r="AVU49" s="17"/>
      <c r="AVV49" s="30"/>
      <c r="AVW49" s="31"/>
      <c r="AVX49" s="16"/>
      <c r="AVY49" s="17"/>
      <c r="AVZ49" s="30"/>
      <c r="AWA49" s="31"/>
      <c r="AWB49" s="16"/>
      <c r="AWC49" s="17"/>
      <c r="AWD49" s="30"/>
      <c r="AWE49" s="31"/>
      <c r="AWF49" s="16"/>
      <c r="AWG49" s="17"/>
      <c r="AWH49" s="30"/>
      <c r="AWI49" s="31"/>
      <c r="AWJ49" s="16"/>
      <c r="AWK49" s="17"/>
      <c r="AWL49" s="30"/>
      <c r="AWM49" s="31"/>
      <c r="AWN49" s="16"/>
      <c r="AWO49" s="17"/>
      <c r="AWP49" s="30"/>
      <c r="AWQ49" s="31"/>
      <c r="AWR49" s="16"/>
      <c r="AWS49" s="17"/>
      <c r="AWT49" s="30"/>
      <c r="AWU49" s="31"/>
      <c r="AWV49" s="16"/>
      <c r="AWW49" s="17"/>
      <c r="AWX49" s="30"/>
      <c r="AWY49" s="31"/>
      <c r="AWZ49" s="16"/>
      <c r="AXA49" s="17"/>
      <c r="AXB49" s="30"/>
      <c r="AXC49" s="31"/>
      <c r="AXD49" s="16"/>
      <c r="AXE49" s="17"/>
      <c r="AXF49" s="30"/>
      <c r="AXG49" s="31"/>
      <c r="AXH49" s="16"/>
      <c r="AXI49" s="17"/>
      <c r="AXJ49" s="30"/>
      <c r="AXK49" s="31"/>
      <c r="AXL49" s="16"/>
      <c r="AXM49" s="17"/>
      <c r="AXN49" s="30"/>
      <c r="AXO49" s="31"/>
      <c r="AXP49" s="16"/>
      <c r="AXQ49" s="17"/>
      <c r="AXR49" s="30"/>
      <c r="AXS49" s="31"/>
      <c r="AXT49" s="16"/>
      <c r="AXU49" s="17"/>
      <c r="AXV49" s="30"/>
      <c r="AXW49" s="31"/>
      <c r="AXX49" s="16"/>
      <c r="AXY49" s="17"/>
      <c r="AXZ49" s="30"/>
      <c r="AYA49" s="31"/>
      <c r="AYB49" s="16"/>
      <c r="AYC49" s="17"/>
      <c r="AYD49" s="30"/>
      <c r="AYE49" s="31"/>
      <c r="AYF49" s="16"/>
      <c r="AYG49" s="17"/>
      <c r="AYH49" s="30"/>
      <c r="AYI49" s="31"/>
      <c r="AYJ49" s="16"/>
      <c r="AYK49" s="17"/>
      <c r="AYL49" s="30"/>
      <c r="AYM49" s="31"/>
      <c r="AYN49" s="16"/>
      <c r="AYO49" s="17"/>
      <c r="AYP49" s="30"/>
      <c r="AYQ49" s="31"/>
      <c r="AYR49" s="16"/>
      <c r="AYS49" s="17"/>
      <c r="AYT49" s="30"/>
      <c r="AYU49" s="31"/>
      <c r="AYV49" s="16"/>
      <c r="AYW49" s="17"/>
      <c r="AYX49" s="30"/>
      <c r="AYY49" s="31"/>
      <c r="AYZ49" s="16"/>
      <c r="AZA49" s="17"/>
      <c r="AZB49" s="30"/>
      <c r="AZC49" s="31"/>
      <c r="AZD49" s="16"/>
      <c r="AZE49" s="17"/>
      <c r="AZF49" s="30"/>
      <c r="AZG49" s="31"/>
      <c r="AZH49" s="16"/>
      <c r="AZI49" s="17"/>
      <c r="AZJ49" s="30"/>
      <c r="AZK49" s="31"/>
      <c r="AZL49" s="16"/>
      <c r="AZM49" s="17"/>
      <c r="AZN49" s="30"/>
      <c r="AZO49" s="31"/>
      <c r="AZP49" s="16"/>
      <c r="AZQ49" s="17"/>
      <c r="AZR49" s="30"/>
      <c r="AZS49" s="31"/>
      <c r="AZT49" s="16"/>
      <c r="AZU49" s="17"/>
      <c r="AZV49" s="30"/>
      <c r="AZW49" s="31"/>
      <c r="AZX49" s="16"/>
      <c r="AZY49" s="17"/>
      <c r="AZZ49" s="30"/>
      <c r="BAA49" s="31"/>
      <c r="BAB49" s="16"/>
      <c r="BAC49" s="17"/>
      <c r="BAD49" s="30"/>
      <c r="BAE49" s="31"/>
      <c r="BAF49" s="16"/>
      <c r="BAG49" s="17"/>
      <c r="BAH49" s="30"/>
      <c r="BAI49" s="31"/>
      <c r="BAJ49" s="16"/>
      <c r="BAK49" s="17"/>
      <c r="BAL49" s="30"/>
      <c r="BAM49" s="31"/>
      <c r="BAN49" s="16"/>
      <c r="BAO49" s="17"/>
      <c r="BAP49" s="30"/>
      <c r="BAQ49" s="31"/>
      <c r="BAR49" s="16"/>
      <c r="BAS49" s="17"/>
      <c r="BAT49" s="30"/>
      <c r="BAU49" s="31"/>
      <c r="BAV49" s="16"/>
      <c r="BAW49" s="17"/>
      <c r="BAX49" s="30"/>
      <c r="BAY49" s="31"/>
      <c r="BAZ49" s="16"/>
      <c r="BBA49" s="17"/>
      <c r="BBB49" s="30"/>
      <c r="BBC49" s="31"/>
      <c r="BBD49" s="16"/>
      <c r="BBE49" s="17"/>
      <c r="BBF49" s="30"/>
      <c r="BBG49" s="31"/>
      <c r="BBH49" s="16"/>
      <c r="BBI49" s="17"/>
      <c r="BBJ49" s="30"/>
      <c r="BBK49" s="31"/>
      <c r="BBL49" s="16"/>
      <c r="BBM49" s="17"/>
      <c r="BBN49" s="30"/>
      <c r="BBO49" s="31"/>
      <c r="BBP49" s="16"/>
      <c r="BBQ49" s="17"/>
      <c r="BBR49" s="30"/>
      <c r="BBS49" s="31"/>
      <c r="BBT49" s="16"/>
      <c r="BBU49" s="17"/>
      <c r="BBV49" s="30"/>
      <c r="BBW49" s="31"/>
      <c r="BBX49" s="16"/>
      <c r="BBY49" s="17"/>
      <c r="BBZ49" s="30"/>
      <c r="BCA49" s="31"/>
      <c r="BCB49" s="16"/>
      <c r="BCC49" s="17"/>
      <c r="BCD49" s="30"/>
      <c r="BCE49" s="31"/>
      <c r="BCF49" s="16"/>
      <c r="BCG49" s="17"/>
      <c r="BCH49" s="30"/>
      <c r="BCI49" s="31"/>
      <c r="BCJ49" s="16"/>
      <c r="BCK49" s="17"/>
      <c r="BCL49" s="30"/>
      <c r="BCM49" s="31"/>
      <c r="BCN49" s="16"/>
      <c r="BCO49" s="17"/>
      <c r="BCP49" s="30"/>
      <c r="BCQ49" s="31"/>
      <c r="BCR49" s="16"/>
      <c r="BCS49" s="17"/>
      <c r="BCT49" s="30"/>
      <c r="BCU49" s="31"/>
      <c r="BCV49" s="16"/>
      <c r="BCW49" s="17"/>
      <c r="BCX49" s="30"/>
      <c r="BCY49" s="31"/>
      <c r="BCZ49" s="16"/>
      <c r="BDA49" s="17"/>
      <c r="BDB49" s="30"/>
      <c r="BDC49" s="31"/>
      <c r="BDD49" s="16"/>
      <c r="BDE49" s="17"/>
      <c r="BDF49" s="30"/>
      <c r="BDG49" s="31"/>
      <c r="BDH49" s="16"/>
      <c r="BDI49" s="17"/>
      <c r="BDJ49" s="30"/>
      <c r="BDK49" s="31"/>
      <c r="BDL49" s="16"/>
      <c r="BDM49" s="17"/>
      <c r="BDN49" s="30"/>
      <c r="BDO49" s="31"/>
      <c r="BDP49" s="16"/>
      <c r="BDQ49" s="17"/>
      <c r="BDR49" s="30"/>
      <c r="BDS49" s="31"/>
      <c r="BDT49" s="16"/>
      <c r="BDU49" s="17"/>
      <c r="BDV49" s="30"/>
      <c r="BDW49" s="31"/>
      <c r="BDX49" s="16"/>
      <c r="BDY49" s="17"/>
      <c r="BDZ49" s="30"/>
      <c r="BEA49" s="31"/>
      <c r="BEB49" s="16"/>
      <c r="BEC49" s="17"/>
      <c r="BED49" s="30"/>
      <c r="BEE49" s="31"/>
      <c r="BEF49" s="16"/>
      <c r="BEG49" s="17"/>
      <c r="BEH49" s="30"/>
      <c r="BEI49" s="31"/>
      <c r="BEJ49" s="16"/>
      <c r="BEK49" s="17"/>
      <c r="BEL49" s="30"/>
      <c r="BEM49" s="31"/>
      <c r="BEN49" s="16"/>
      <c r="BEO49" s="17"/>
      <c r="BEP49" s="30"/>
      <c r="BEQ49" s="31"/>
      <c r="BER49" s="16"/>
      <c r="BES49" s="17"/>
      <c r="BET49" s="30"/>
      <c r="BEU49" s="31"/>
      <c r="BEV49" s="16"/>
      <c r="BEW49" s="17"/>
      <c r="BEX49" s="30"/>
      <c r="BEY49" s="31"/>
      <c r="BEZ49" s="16"/>
      <c r="BFA49" s="17"/>
      <c r="BFB49" s="30"/>
      <c r="BFC49" s="31"/>
      <c r="BFD49" s="16"/>
      <c r="BFE49" s="17"/>
      <c r="BFF49" s="30"/>
      <c r="BFG49" s="31"/>
      <c r="BFH49" s="16"/>
      <c r="BFI49" s="17"/>
      <c r="BFJ49" s="30"/>
      <c r="BFK49" s="31"/>
      <c r="BFL49" s="16"/>
      <c r="BFM49" s="17"/>
      <c r="BFN49" s="30"/>
      <c r="BFO49" s="31"/>
      <c r="BFP49" s="16"/>
      <c r="BFQ49" s="17"/>
      <c r="BFR49" s="30"/>
      <c r="BFS49" s="31"/>
      <c r="BFT49" s="16"/>
      <c r="BFU49" s="17"/>
      <c r="BFV49" s="30"/>
      <c r="BFW49" s="31"/>
      <c r="BFX49" s="16"/>
      <c r="BFY49" s="17"/>
      <c r="BFZ49" s="30"/>
      <c r="BGA49" s="31"/>
      <c r="BGB49" s="16"/>
      <c r="BGC49" s="17"/>
      <c r="BGD49" s="30"/>
      <c r="BGE49" s="31"/>
      <c r="BGF49" s="16"/>
      <c r="BGG49" s="17"/>
      <c r="BGH49" s="30"/>
      <c r="BGI49" s="31"/>
      <c r="BGJ49" s="16"/>
      <c r="BGK49" s="17"/>
      <c r="BGL49" s="30"/>
      <c r="BGM49" s="31"/>
      <c r="BGN49" s="16"/>
      <c r="BGO49" s="17"/>
      <c r="BGP49" s="30"/>
      <c r="BGQ49" s="31"/>
      <c r="BGR49" s="16"/>
      <c r="BGS49" s="17"/>
      <c r="BGT49" s="30"/>
      <c r="BGU49" s="31"/>
      <c r="BGV49" s="16"/>
      <c r="BGW49" s="17"/>
      <c r="BGX49" s="30"/>
      <c r="BGY49" s="31"/>
      <c r="BGZ49" s="16"/>
      <c r="BHA49" s="17"/>
      <c r="BHB49" s="30"/>
      <c r="BHC49" s="31"/>
      <c r="BHD49" s="16"/>
      <c r="BHE49" s="17"/>
      <c r="BHF49" s="30"/>
      <c r="BHG49" s="31"/>
      <c r="BHH49" s="16"/>
      <c r="BHI49" s="17"/>
      <c r="BHJ49" s="30"/>
      <c r="BHK49" s="31"/>
      <c r="BHL49" s="16"/>
      <c r="BHM49" s="17"/>
      <c r="BHN49" s="30"/>
      <c r="BHO49" s="31"/>
      <c r="BHP49" s="16"/>
      <c r="BHQ49" s="17"/>
      <c r="BHR49" s="30"/>
      <c r="BHS49" s="31"/>
      <c r="BHT49" s="16"/>
      <c r="BHU49" s="17"/>
      <c r="BHV49" s="30"/>
      <c r="BHW49" s="31"/>
      <c r="BHX49" s="16"/>
      <c r="BHY49" s="17"/>
      <c r="BHZ49" s="30"/>
      <c r="BIA49" s="31"/>
      <c r="BIB49" s="16"/>
      <c r="BIC49" s="17"/>
      <c r="BID49" s="30"/>
      <c r="BIE49" s="31"/>
      <c r="BIF49" s="16"/>
      <c r="BIG49" s="17"/>
      <c r="BIH49" s="30"/>
      <c r="BII49" s="31"/>
      <c r="BIJ49" s="16"/>
      <c r="BIK49" s="17"/>
      <c r="BIL49" s="30"/>
      <c r="BIM49" s="31"/>
      <c r="BIN49" s="16"/>
      <c r="BIO49" s="17"/>
      <c r="BIP49" s="30"/>
      <c r="BIQ49" s="31"/>
      <c r="BIR49" s="16"/>
      <c r="BIS49" s="17"/>
      <c r="BIT49" s="30"/>
      <c r="BIU49" s="31"/>
      <c r="BIV49" s="16"/>
      <c r="BIW49" s="17"/>
      <c r="BIX49" s="30"/>
      <c r="BIY49" s="31"/>
      <c r="BIZ49" s="16"/>
      <c r="BJA49" s="17"/>
      <c r="BJB49" s="30"/>
      <c r="BJC49" s="31"/>
      <c r="BJD49" s="16"/>
      <c r="BJE49" s="17"/>
      <c r="BJF49" s="30"/>
      <c r="BJG49" s="31"/>
      <c r="BJH49" s="16"/>
      <c r="BJI49" s="17"/>
      <c r="BJJ49" s="30"/>
      <c r="BJK49" s="31"/>
      <c r="BJL49" s="16"/>
      <c r="BJM49" s="17"/>
      <c r="BJN49" s="30"/>
      <c r="BJO49" s="31"/>
      <c r="BJP49" s="16"/>
      <c r="BJQ49" s="17"/>
      <c r="BJR49" s="30"/>
      <c r="BJS49" s="31"/>
      <c r="BJT49" s="16"/>
      <c r="BJU49" s="17"/>
      <c r="BJV49" s="30"/>
      <c r="BJW49" s="31"/>
      <c r="BJX49" s="16"/>
      <c r="BJY49" s="17"/>
      <c r="BJZ49" s="30"/>
      <c r="BKA49" s="31"/>
      <c r="BKB49" s="16"/>
      <c r="BKC49" s="17"/>
      <c r="BKD49" s="30"/>
      <c r="BKE49" s="31"/>
      <c r="BKF49" s="16"/>
      <c r="BKG49" s="17"/>
      <c r="BKH49" s="30"/>
      <c r="BKI49" s="31"/>
      <c r="BKJ49" s="16"/>
      <c r="BKK49" s="17"/>
      <c r="BKL49" s="30"/>
      <c r="BKM49" s="31"/>
      <c r="BKN49" s="16"/>
      <c r="BKO49" s="17"/>
      <c r="BKP49" s="30"/>
      <c r="BKQ49" s="31"/>
      <c r="BKR49" s="16"/>
      <c r="BKS49" s="17"/>
      <c r="BKT49" s="30"/>
      <c r="BKU49" s="31"/>
      <c r="BKV49" s="16"/>
      <c r="BKW49" s="17"/>
      <c r="BKX49" s="30"/>
      <c r="BKY49" s="31"/>
      <c r="BKZ49" s="16"/>
      <c r="BLA49" s="17"/>
      <c r="BLB49" s="30"/>
      <c r="BLC49" s="31"/>
      <c r="BLD49" s="16"/>
      <c r="BLE49" s="17"/>
      <c r="BLF49" s="30"/>
      <c r="BLG49" s="31"/>
      <c r="BLH49" s="16"/>
      <c r="BLI49" s="17"/>
      <c r="BLJ49" s="30"/>
      <c r="BLK49" s="31"/>
      <c r="BLL49" s="16"/>
      <c r="BLM49" s="17"/>
      <c r="BLN49" s="30"/>
      <c r="BLO49" s="31"/>
      <c r="BLP49" s="16"/>
      <c r="BLQ49" s="17"/>
      <c r="BLR49" s="30"/>
      <c r="BLS49" s="31"/>
      <c r="BLT49" s="16"/>
      <c r="BLU49" s="17"/>
      <c r="BLV49" s="30"/>
      <c r="BLW49" s="31"/>
      <c r="BLX49" s="16"/>
      <c r="BLY49" s="17"/>
      <c r="BLZ49" s="30"/>
      <c r="BMA49" s="31"/>
      <c r="BMB49" s="16"/>
      <c r="BMC49" s="17"/>
      <c r="BMD49" s="30"/>
      <c r="BME49" s="31"/>
      <c r="BMF49" s="16"/>
      <c r="BMG49" s="17"/>
      <c r="BMH49" s="30"/>
      <c r="BMI49" s="31"/>
      <c r="BMJ49" s="16"/>
      <c r="BMK49" s="17"/>
      <c r="BML49" s="30"/>
      <c r="BMM49" s="31"/>
      <c r="BMN49" s="16"/>
      <c r="BMO49" s="17"/>
      <c r="BMP49" s="30"/>
      <c r="BMQ49" s="31"/>
      <c r="BMR49" s="16"/>
      <c r="BMS49" s="17"/>
      <c r="BMT49" s="30"/>
      <c r="BMU49" s="31"/>
      <c r="BMV49" s="16"/>
      <c r="BMW49" s="17"/>
      <c r="BMX49" s="30"/>
      <c r="BMY49" s="31"/>
      <c r="BMZ49" s="16"/>
      <c r="BNA49" s="17"/>
      <c r="BNB49" s="30"/>
      <c r="BNC49" s="31"/>
      <c r="BND49" s="16"/>
      <c r="BNE49" s="17"/>
      <c r="BNF49" s="30"/>
      <c r="BNG49" s="31"/>
      <c r="BNH49" s="16"/>
      <c r="BNI49" s="17"/>
      <c r="BNJ49" s="30"/>
      <c r="BNK49" s="31"/>
      <c r="BNL49" s="16"/>
      <c r="BNM49" s="17"/>
      <c r="BNN49" s="30"/>
      <c r="BNO49" s="31"/>
      <c r="BNP49" s="16"/>
      <c r="BNQ49" s="17"/>
      <c r="BNR49" s="30"/>
      <c r="BNS49" s="31"/>
      <c r="BNT49" s="16"/>
      <c r="BNU49" s="17"/>
      <c r="BNV49" s="30"/>
      <c r="BNW49" s="31"/>
      <c r="BNX49" s="16"/>
      <c r="BNY49" s="17"/>
      <c r="BNZ49" s="30"/>
      <c r="BOA49" s="31"/>
      <c r="BOB49" s="16"/>
      <c r="BOC49" s="17"/>
      <c r="BOD49" s="30"/>
      <c r="BOE49" s="31"/>
      <c r="BOF49" s="16"/>
      <c r="BOG49" s="17"/>
      <c r="BOH49" s="30"/>
      <c r="BOI49" s="31"/>
      <c r="BOJ49" s="16"/>
      <c r="BOK49" s="17"/>
      <c r="BOL49" s="30"/>
      <c r="BOM49" s="31"/>
      <c r="BON49" s="16"/>
      <c r="BOO49" s="17"/>
      <c r="BOP49" s="30"/>
      <c r="BOQ49" s="31"/>
      <c r="BOR49" s="16"/>
      <c r="BOS49" s="17"/>
      <c r="BOT49" s="30"/>
      <c r="BOU49" s="31"/>
      <c r="BOV49" s="16"/>
      <c r="BOW49" s="17"/>
      <c r="BOX49" s="30"/>
      <c r="BOY49" s="31"/>
      <c r="BOZ49" s="16"/>
      <c r="BPA49" s="17"/>
      <c r="BPB49" s="30"/>
      <c r="BPC49" s="31"/>
      <c r="BPD49" s="16"/>
      <c r="BPE49" s="17"/>
      <c r="BPF49" s="30"/>
      <c r="BPG49" s="31"/>
      <c r="BPH49" s="16"/>
      <c r="BPI49" s="17"/>
      <c r="BPJ49" s="30"/>
      <c r="BPK49" s="31"/>
      <c r="BPL49" s="16"/>
      <c r="BPM49" s="17"/>
      <c r="BPN49" s="30"/>
      <c r="BPO49" s="31"/>
      <c r="BPP49" s="16"/>
      <c r="BPQ49" s="17"/>
      <c r="BPR49" s="30"/>
      <c r="BPS49" s="31"/>
      <c r="BPT49" s="16"/>
      <c r="BPU49" s="17"/>
      <c r="BPV49" s="30"/>
      <c r="BPW49" s="31"/>
      <c r="BPX49" s="16"/>
      <c r="BPY49" s="17"/>
      <c r="BPZ49" s="30"/>
      <c r="BQA49" s="31"/>
      <c r="BQB49" s="16"/>
      <c r="BQC49" s="17"/>
      <c r="BQD49" s="30"/>
      <c r="BQE49" s="31"/>
      <c r="BQF49" s="16"/>
      <c r="BQG49" s="17"/>
      <c r="BQH49" s="30"/>
      <c r="BQI49" s="31"/>
      <c r="BQJ49" s="16"/>
      <c r="BQK49" s="17"/>
      <c r="BQL49" s="30"/>
      <c r="BQM49" s="31"/>
      <c r="BQN49" s="16"/>
      <c r="BQO49" s="17"/>
      <c r="BQP49" s="30"/>
      <c r="BQQ49" s="31"/>
      <c r="BQR49" s="16"/>
      <c r="BQS49" s="17"/>
      <c r="BQT49" s="30"/>
      <c r="BQU49" s="31"/>
      <c r="BQV49" s="16"/>
      <c r="BQW49" s="17"/>
      <c r="BQX49" s="30"/>
      <c r="BQY49" s="31"/>
      <c r="BQZ49" s="16"/>
      <c r="BRA49" s="17"/>
      <c r="BRB49" s="30"/>
      <c r="BRC49" s="31"/>
      <c r="BRD49" s="16"/>
      <c r="BRE49" s="17"/>
      <c r="BRF49" s="30"/>
      <c r="BRG49" s="31"/>
      <c r="BRH49" s="16"/>
      <c r="BRI49" s="17"/>
      <c r="BRJ49" s="30"/>
      <c r="BRK49" s="31"/>
      <c r="BRL49" s="16"/>
      <c r="BRM49" s="17"/>
      <c r="BRN49" s="30"/>
      <c r="BRO49" s="31"/>
      <c r="BRP49" s="16"/>
      <c r="BRQ49" s="17"/>
      <c r="BRR49" s="30"/>
      <c r="BRS49" s="31"/>
      <c r="BRT49" s="16"/>
      <c r="BRU49" s="17"/>
      <c r="BRV49" s="30"/>
      <c r="BRW49" s="31"/>
      <c r="BRX49" s="16"/>
      <c r="BRY49" s="17"/>
      <c r="BRZ49" s="30"/>
      <c r="BSA49" s="31"/>
      <c r="BSB49" s="16"/>
      <c r="BSC49" s="17"/>
      <c r="BSD49" s="30"/>
      <c r="BSE49" s="31"/>
      <c r="BSF49" s="16"/>
      <c r="BSG49" s="17"/>
      <c r="BSH49" s="30"/>
      <c r="BSI49" s="31"/>
      <c r="BSJ49" s="16"/>
      <c r="BSK49" s="17"/>
      <c r="BSL49" s="30"/>
      <c r="BSM49" s="31"/>
      <c r="BSN49" s="16"/>
      <c r="BSO49" s="17"/>
      <c r="BSP49" s="30"/>
      <c r="BSQ49" s="31"/>
      <c r="BSR49" s="16"/>
      <c r="BSS49" s="17"/>
      <c r="BST49" s="30"/>
      <c r="BSU49" s="31"/>
      <c r="BSV49" s="16"/>
      <c r="BSW49" s="17"/>
      <c r="BSX49" s="30"/>
      <c r="BSY49" s="31"/>
      <c r="BSZ49" s="16"/>
      <c r="BTA49" s="17"/>
      <c r="BTB49" s="30"/>
      <c r="BTC49" s="31"/>
      <c r="BTD49" s="16"/>
      <c r="BTE49" s="17"/>
      <c r="BTF49" s="30"/>
      <c r="BTG49" s="31"/>
      <c r="BTH49" s="16"/>
      <c r="BTI49" s="17"/>
      <c r="BTJ49" s="30"/>
      <c r="BTK49" s="31"/>
      <c r="BTL49" s="16"/>
      <c r="BTM49" s="17"/>
      <c r="BTN49" s="30"/>
      <c r="BTO49" s="31"/>
      <c r="BTP49" s="16"/>
      <c r="BTQ49" s="17"/>
      <c r="BTR49" s="30"/>
      <c r="BTS49" s="31"/>
      <c r="BTT49" s="16"/>
      <c r="BTU49" s="17"/>
      <c r="BTV49" s="30"/>
      <c r="BTW49" s="31"/>
      <c r="BTX49" s="16"/>
      <c r="BTY49" s="17"/>
      <c r="BTZ49" s="30"/>
      <c r="BUA49" s="31"/>
      <c r="BUB49" s="16"/>
      <c r="BUC49" s="17"/>
      <c r="BUD49" s="30"/>
      <c r="BUE49" s="31"/>
      <c r="BUF49" s="16"/>
      <c r="BUG49" s="17"/>
      <c r="BUH49" s="30"/>
      <c r="BUI49" s="31"/>
      <c r="BUJ49" s="16"/>
      <c r="BUK49" s="17"/>
      <c r="BUL49" s="30"/>
      <c r="BUM49" s="31"/>
      <c r="BUN49" s="16"/>
      <c r="BUO49" s="17"/>
      <c r="BUP49" s="30"/>
      <c r="BUQ49" s="31"/>
      <c r="BUR49" s="16"/>
      <c r="BUS49" s="17"/>
      <c r="BUT49" s="30"/>
      <c r="BUU49" s="31"/>
      <c r="BUV49" s="16"/>
      <c r="BUW49" s="17"/>
      <c r="BUX49" s="30"/>
      <c r="BUY49" s="31"/>
      <c r="BUZ49" s="16"/>
      <c r="BVA49" s="17"/>
      <c r="BVB49" s="30"/>
      <c r="BVC49" s="31"/>
      <c r="BVD49" s="16"/>
      <c r="BVE49" s="17"/>
      <c r="BVF49" s="30"/>
      <c r="BVG49" s="31"/>
      <c r="BVH49" s="16"/>
      <c r="BVI49" s="17"/>
      <c r="BVJ49" s="30"/>
      <c r="BVK49" s="31"/>
      <c r="BVL49" s="16"/>
      <c r="BVM49" s="17"/>
      <c r="BVN49" s="30"/>
      <c r="BVO49" s="31"/>
      <c r="BVP49" s="16"/>
      <c r="BVQ49" s="17"/>
      <c r="BVR49" s="30"/>
      <c r="BVS49" s="31"/>
      <c r="BVT49" s="16"/>
      <c r="BVU49" s="17"/>
      <c r="BVV49" s="30"/>
      <c r="BVW49" s="31"/>
      <c r="BVX49" s="16"/>
      <c r="BVY49" s="17"/>
      <c r="BVZ49" s="30"/>
      <c r="BWA49" s="31"/>
      <c r="BWB49" s="16"/>
      <c r="BWC49" s="17"/>
      <c r="BWD49" s="30"/>
      <c r="BWE49" s="31"/>
      <c r="BWF49" s="16"/>
      <c r="BWG49" s="17"/>
      <c r="BWH49" s="30"/>
      <c r="BWI49" s="31"/>
      <c r="BWJ49" s="16"/>
      <c r="BWK49" s="17"/>
      <c r="BWL49" s="30"/>
      <c r="BWM49" s="31"/>
      <c r="BWN49" s="16"/>
      <c r="BWO49" s="17"/>
      <c r="BWP49" s="30"/>
      <c r="BWQ49" s="31"/>
      <c r="BWR49" s="16"/>
      <c r="BWS49" s="17"/>
      <c r="BWT49" s="30"/>
      <c r="BWU49" s="31"/>
      <c r="BWV49" s="16"/>
      <c r="BWW49" s="17"/>
      <c r="BWX49" s="30"/>
      <c r="BWY49" s="31"/>
      <c r="BWZ49" s="16"/>
      <c r="BXA49" s="17"/>
      <c r="BXB49" s="30"/>
      <c r="BXC49" s="31"/>
      <c r="BXD49" s="16"/>
      <c r="BXE49" s="17"/>
      <c r="BXF49" s="30"/>
      <c r="BXG49" s="31"/>
      <c r="BXH49" s="16"/>
      <c r="BXI49" s="17"/>
      <c r="BXJ49" s="30"/>
      <c r="BXK49" s="31"/>
      <c r="BXL49" s="16"/>
      <c r="BXM49" s="17"/>
      <c r="BXN49" s="30"/>
      <c r="BXO49" s="31"/>
      <c r="BXP49" s="16"/>
      <c r="BXQ49" s="17"/>
      <c r="BXR49" s="30"/>
      <c r="BXS49" s="31"/>
      <c r="BXT49" s="16"/>
      <c r="BXU49" s="17"/>
      <c r="BXV49" s="30"/>
      <c r="BXW49" s="31"/>
      <c r="BXX49" s="16"/>
      <c r="BXY49" s="17"/>
      <c r="BXZ49" s="30"/>
      <c r="BYA49" s="31"/>
      <c r="BYB49" s="16"/>
      <c r="BYC49" s="17"/>
      <c r="BYD49" s="30"/>
      <c r="BYE49" s="31"/>
      <c r="BYF49" s="16"/>
      <c r="BYG49" s="17"/>
      <c r="BYH49" s="30"/>
      <c r="BYI49" s="31"/>
      <c r="BYJ49" s="16"/>
      <c r="BYK49" s="17"/>
      <c r="BYL49" s="30"/>
      <c r="BYM49" s="31"/>
      <c r="BYN49" s="16"/>
      <c r="BYO49" s="17"/>
      <c r="BYP49" s="30"/>
      <c r="BYQ49" s="31"/>
      <c r="BYR49" s="16"/>
      <c r="BYS49" s="17"/>
      <c r="BYT49" s="30"/>
      <c r="BYU49" s="31"/>
      <c r="BYV49" s="16"/>
      <c r="BYW49" s="17"/>
      <c r="BYX49" s="30"/>
      <c r="BYY49" s="31"/>
      <c r="BYZ49" s="16"/>
      <c r="BZA49" s="17"/>
      <c r="BZB49" s="30"/>
      <c r="BZC49" s="31"/>
      <c r="BZD49" s="16"/>
      <c r="BZE49" s="17"/>
      <c r="BZF49" s="30"/>
      <c r="BZG49" s="31"/>
      <c r="BZH49" s="16"/>
      <c r="BZI49" s="17"/>
      <c r="BZJ49" s="30"/>
      <c r="BZK49" s="31"/>
      <c r="BZL49" s="16"/>
      <c r="BZM49" s="17"/>
      <c r="BZN49" s="30"/>
      <c r="BZO49" s="31"/>
      <c r="BZP49" s="16"/>
      <c r="BZQ49" s="17"/>
      <c r="BZR49" s="30"/>
      <c r="BZS49" s="31"/>
      <c r="BZT49" s="16"/>
      <c r="BZU49" s="17"/>
      <c r="BZV49" s="30"/>
      <c r="BZW49" s="31"/>
      <c r="BZX49" s="16"/>
      <c r="BZY49" s="17"/>
      <c r="BZZ49" s="30"/>
      <c r="CAA49" s="31"/>
      <c r="CAB49" s="16"/>
      <c r="CAC49" s="17"/>
      <c r="CAD49" s="30"/>
      <c r="CAE49" s="31"/>
      <c r="CAF49" s="16"/>
      <c r="CAG49" s="17"/>
      <c r="CAH49" s="30"/>
      <c r="CAI49" s="31"/>
      <c r="CAJ49" s="16"/>
      <c r="CAK49" s="17"/>
      <c r="CAL49" s="30"/>
      <c r="CAM49" s="31"/>
      <c r="CAN49" s="16"/>
      <c r="CAO49" s="17"/>
      <c r="CAP49" s="30"/>
      <c r="CAQ49" s="31"/>
      <c r="CAR49" s="16"/>
      <c r="CAS49" s="17"/>
      <c r="CAT49" s="30"/>
      <c r="CAU49" s="31"/>
      <c r="CAV49" s="16"/>
      <c r="CAW49" s="17"/>
      <c r="CAX49" s="30"/>
      <c r="CAY49" s="31"/>
      <c r="CAZ49" s="16"/>
      <c r="CBA49" s="17"/>
      <c r="CBB49" s="30"/>
      <c r="CBC49" s="31"/>
      <c r="CBD49" s="16"/>
      <c r="CBE49" s="17"/>
      <c r="CBF49" s="30"/>
      <c r="CBG49" s="31"/>
      <c r="CBH49" s="16"/>
      <c r="CBI49" s="17"/>
      <c r="CBJ49" s="30"/>
      <c r="CBK49" s="31"/>
      <c r="CBL49" s="16"/>
      <c r="CBM49" s="17"/>
      <c r="CBN49" s="30"/>
      <c r="CBO49" s="31"/>
      <c r="CBP49" s="16"/>
      <c r="CBQ49" s="17"/>
      <c r="CBR49" s="30"/>
      <c r="CBS49" s="31"/>
      <c r="CBT49" s="16"/>
      <c r="CBU49" s="17"/>
      <c r="CBV49" s="30"/>
      <c r="CBW49" s="31"/>
      <c r="CBX49" s="16"/>
      <c r="CBY49" s="17"/>
      <c r="CBZ49" s="30"/>
      <c r="CCA49" s="31"/>
      <c r="CCB49" s="16"/>
      <c r="CCC49" s="17"/>
      <c r="CCD49" s="30"/>
      <c r="CCE49" s="31"/>
      <c r="CCF49" s="16"/>
      <c r="CCG49" s="17"/>
      <c r="CCH49" s="30"/>
      <c r="CCI49" s="31"/>
      <c r="CCJ49" s="16"/>
      <c r="CCK49" s="17"/>
      <c r="CCL49" s="30"/>
      <c r="CCM49" s="31"/>
      <c r="CCN49" s="16"/>
      <c r="CCO49" s="17"/>
      <c r="CCP49" s="30"/>
      <c r="CCQ49" s="31"/>
      <c r="CCR49" s="16"/>
      <c r="CCS49" s="17"/>
      <c r="CCT49" s="30"/>
      <c r="CCU49" s="31"/>
      <c r="CCV49" s="16"/>
      <c r="CCW49" s="17"/>
      <c r="CCX49" s="30"/>
      <c r="CCY49" s="31"/>
      <c r="CCZ49" s="16"/>
      <c r="CDA49" s="17"/>
      <c r="CDB49" s="30"/>
      <c r="CDC49" s="31"/>
      <c r="CDD49" s="16"/>
      <c r="CDE49" s="17"/>
      <c r="CDF49" s="30"/>
      <c r="CDG49" s="31"/>
      <c r="CDH49" s="16"/>
      <c r="CDI49" s="17"/>
      <c r="CDJ49" s="30"/>
      <c r="CDK49" s="31"/>
      <c r="CDL49" s="16"/>
      <c r="CDM49" s="17"/>
      <c r="CDN49" s="30"/>
      <c r="CDO49" s="31"/>
      <c r="CDP49" s="16"/>
      <c r="CDQ49" s="17"/>
      <c r="CDR49" s="30"/>
      <c r="CDS49" s="31"/>
      <c r="CDT49" s="16"/>
      <c r="CDU49" s="17"/>
      <c r="CDV49" s="30"/>
      <c r="CDW49" s="31"/>
      <c r="CDX49" s="16"/>
      <c r="CDY49" s="17"/>
      <c r="CDZ49" s="30"/>
      <c r="CEA49" s="31"/>
      <c r="CEB49" s="16"/>
      <c r="CEC49" s="17"/>
      <c r="CED49" s="30"/>
      <c r="CEE49" s="31"/>
      <c r="CEF49" s="16"/>
      <c r="CEG49" s="17"/>
      <c r="CEH49" s="30"/>
      <c r="CEI49" s="31"/>
      <c r="CEJ49" s="16"/>
      <c r="CEK49" s="17"/>
      <c r="CEL49" s="30"/>
      <c r="CEM49" s="31"/>
      <c r="CEN49" s="16"/>
      <c r="CEO49" s="17"/>
      <c r="CEP49" s="30"/>
      <c r="CEQ49" s="31"/>
      <c r="CER49" s="16"/>
      <c r="CES49" s="17"/>
      <c r="CET49" s="30"/>
      <c r="CEU49" s="31"/>
      <c r="CEV49" s="16"/>
      <c r="CEW49" s="17"/>
      <c r="CEX49" s="30"/>
      <c r="CEY49" s="31"/>
      <c r="CEZ49" s="16"/>
      <c r="CFA49" s="17"/>
      <c r="CFB49" s="30"/>
      <c r="CFC49" s="31"/>
      <c r="CFD49" s="16"/>
      <c r="CFE49" s="17"/>
      <c r="CFF49" s="30"/>
      <c r="CFG49" s="31"/>
      <c r="CFH49" s="16"/>
      <c r="CFI49" s="17"/>
      <c r="CFJ49" s="30"/>
      <c r="CFK49" s="31"/>
      <c r="CFL49" s="16"/>
      <c r="CFM49" s="17"/>
      <c r="CFN49" s="30"/>
      <c r="CFO49" s="31"/>
      <c r="CFP49" s="16"/>
      <c r="CFQ49" s="17"/>
      <c r="CFR49" s="30"/>
      <c r="CFS49" s="31"/>
      <c r="CFT49" s="16"/>
      <c r="CFU49" s="17"/>
      <c r="CFV49" s="30"/>
      <c r="CFW49" s="31"/>
      <c r="CFX49" s="16"/>
      <c r="CFY49" s="17"/>
      <c r="CFZ49" s="30"/>
      <c r="CGA49" s="31"/>
      <c r="CGB49" s="16"/>
      <c r="CGC49" s="17"/>
      <c r="CGD49" s="30"/>
      <c r="CGE49" s="31"/>
      <c r="CGF49" s="16"/>
      <c r="CGG49" s="17"/>
      <c r="CGH49" s="30"/>
      <c r="CGI49" s="31"/>
      <c r="CGJ49" s="16"/>
      <c r="CGK49" s="17"/>
      <c r="CGL49" s="30"/>
      <c r="CGM49" s="31"/>
      <c r="CGN49" s="16"/>
      <c r="CGO49" s="17"/>
      <c r="CGP49" s="30"/>
      <c r="CGQ49" s="31"/>
      <c r="CGR49" s="16"/>
      <c r="CGS49" s="17"/>
      <c r="CGT49" s="30"/>
      <c r="CGU49" s="31"/>
      <c r="CGV49" s="16"/>
      <c r="CGW49" s="17"/>
      <c r="CGX49" s="30"/>
      <c r="CGY49" s="31"/>
      <c r="CGZ49" s="16"/>
      <c r="CHA49" s="17"/>
      <c r="CHB49" s="30"/>
      <c r="CHC49" s="31"/>
      <c r="CHD49" s="16"/>
      <c r="CHE49" s="17"/>
      <c r="CHF49" s="30"/>
      <c r="CHG49" s="31"/>
      <c r="CHH49" s="16"/>
      <c r="CHI49" s="17"/>
      <c r="CHJ49" s="30"/>
      <c r="CHK49" s="31"/>
      <c r="CHL49" s="16"/>
      <c r="CHM49" s="17"/>
      <c r="CHN49" s="30"/>
      <c r="CHO49" s="31"/>
      <c r="CHP49" s="16"/>
      <c r="CHQ49" s="17"/>
      <c r="CHR49" s="30"/>
      <c r="CHS49" s="31"/>
      <c r="CHT49" s="16"/>
      <c r="CHU49" s="17"/>
      <c r="CHV49" s="30"/>
      <c r="CHW49" s="31"/>
      <c r="CHX49" s="16"/>
      <c r="CHY49" s="17"/>
      <c r="CHZ49" s="30"/>
      <c r="CIA49" s="31"/>
      <c r="CIB49" s="16"/>
      <c r="CIC49" s="17"/>
      <c r="CID49" s="30"/>
      <c r="CIE49" s="31"/>
      <c r="CIF49" s="16"/>
      <c r="CIG49" s="17"/>
      <c r="CIH49" s="30"/>
      <c r="CII49" s="31"/>
      <c r="CIJ49" s="16"/>
      <c r="CIK49" s="17"/>
      <c r="CIL49" s="30"/>
      <c r="CIM49" s="31"/>
      <c r="CIN49" s="16"/>
      <c r="CIO49" s="17"/>
      <c r="CIP49" s="30"/>
      <c r="CIQ49" s="31"/>
      <c r="CIR49" s="16"/>
      <c r="CIS49" s="17"/>
      <c r="CIT49" s="30"/>
      <c r="CIU49" s="31"/>
      <c r="CIV49" s="16"/>
      <c r="CIW49" s="17"/>
      <c r="CIX49" s="30"/>
      <c r="CIY49" s="31"/>
      <c r="CIZ49" s="16"/>
      <c r="CJA49" s="17"/>
      <c r="CJB49" s="30"/>
      <c r="CJC49" s="31"/>
      <c r="CJD49" s="16"/>
      <c r="CJE49" s="17"/>
      <c r="CJF49" s="30"/>
      <c r="CJG49" s="31"/>
      <c r="CJH49" s="16"/>
      <c r="CJI49" s="17"/>
      <c r="CJJ49" s="30"/>
      <c r="CJK49" s="31"/>
      <c r="CJL49" s="16"/>
      <c r="CJM49" s="17"/>
      <c r="CJN49" s="30"/>
      <c r="CJO49" s="31"/>
      <c r="CJP49" s="16"/>
      <c r="CJQ49" s="17"/>
      <c r="CJR49" s="30"/>
      <c r="CJS49" s="31"/>
      <c r="CJT49" s="16"/>
      <c r="CJU49" s="17"/>
      <c r="CJV49" s="30"/>
      <c r="CJW49" s="31"/>
      <c r="CJX49" s="16"/>
      <c r="CJY49" s="17"/>
      <c r="CJZ49" s="30"/>
      <c r="CKA49" s="31"/>
      <c r="CKB49" s="16"/>
      <c r="CKC49" s="17"/>
      <c r="CKD49" s="30"/>
      <c r="CKE49" s="31"/>
      <c r="CKF49" s="16"/>
      <c r="CKG49" s="17"/>
      <c r="CKH49" s="30"/>
      <c r="CKI49" s="31"/>
      <c r="CKJ49" s="16"/>
      <c r="CKK49" s="17"/>
      <c r="CKL49" s="30"/>
      <c r="CKM49" s="31"/>
      <c r="CKN49" s="16"/>
      <c r="CKO49" s="17"/>
      <c r="CKP49" s="30"/>
      <c r="CKQ49" s="31"/>
      <c r="CKR49" s="16"/>
      <c r="CKS49" s="17"/>
      <c r="CKT49" s="30"/>
      <c r="CKU49" s="31"/>
      <c r="CKV49" s="16"/>
      <c r="CKW49" s="17"/>
      <c r="CKX49" s="30"/>
      <c r="CKY49" s="31"/>
      <c r="CKZ49" s="16"/>
      <c r="CLA49" s="17"/>
      <c r="CLB49" s="30"/>
      <c r="CLC49" s="31"/>
      <c r="CLD49" s="16"/>
      <c r="CLE49" s="17"/>
      <c r="CLF49" s="30"/>
      <c r="CLG49" s="31"/>
      <c r="CLH49" s="16"/>
      <c r="CLI49" s="17"/>
      <c r="CLJ49" s="30"/>
      <c r="CLK49" s="31"/>
      <c r="CLL49" s="16"/>
      <c r="CLM49" s="17"/>
      <c r="CLN49" s="30"/>
      <c r="CLO49" s="31"/>
      <c r="CLP49" s="16"/>
      <c r="CLQ49" s="17"/>
      <c r="CLR49" s="30"/>
      <c r="CLS49" s="31"/>
      <c r="CLT49" s="16"/>
      <c r="CLU49" s="17"/>
      <c r="CLV49" s="30"/>
      <c r="CLW49" s="31"/>
      <c r="CLX49" s="16"/>
      <c r="CLY49" s="17"/>
      <c r="CLZ49" s="30"/>
      <c r="CMA49" s="31"/>
      <c r="CMB49" s="16"/>
      <c r="CMC49" s="17"/>
      <c r="CMD49" s="30"/>
      <c r="CME49" s="31"/>
      <c r="CMF49" s="16"/>
      <c r="CMG49" s="17"/>
      <c r="CMH49" s="30"/>
      <c r="CMI49" s="31"/>
      <c r="CMJ49" s="16"/>
      <c r="CMK49" s="17"/>
      <c r="CML49" s="30"/>
      <c r="CMM49" s="31"/>
      <c r="CMN49" s="16"/>
      <c r="CMO49" s="17"/>
      <c r="CMP49" s="30"/>
      <c r="CMQ49" s="31"/>
      <c r="CMR49" s="16"/>
      <c r="CMS49" s="17"/>
      <c r="CMT49" s="30"/>
      <c r="CMU49" s="31"/>
      <c r="CMV49" s="16"/>
      <c r="CMW49" s="17"/>
      <c r="CMX49" s="30"/>
      <c r="CMY49" s="31"/>
      <c r="CMZ49" s="16"/>
      <c r="CNA49" s="17"/>
      <c r="CNB49" s="30"/>
      <c r="CNC49" s="31"/>
      <c r="CND49" s="16"/>
      <c r="CNE49" s="17"/>
      <c r="CNF49" s="30"/>
      <c r="CNG49" s="31"/>
      <c r="CNH49" s="16"/>
      <c r="CNI49" s="17"/>
      <c r="CNJ49" s="30"/>
      <c r="CNK49" s="31"/>
      <c r="CNL49" s="16"/>
      <c r="CNM49" s="17"/>
      <c r="CNN49" s="30"/>
      <c r="CNO49" s="31"/>
      <c r="CNP49" s="16"/>
      <c r="CNQ49" s="17"/>
      <c r="CNR49" s="30"/>
      <c r="CNS49" s="31"/>
      <c r="CNT49" s="16"/>
      <c r="CNU49" s="17"/>
      <c r="CNV49" s="30"/>
      <c r="CNW49" s="31"/>
      <c r="CNX49" s="16"/>
      <c r="CNY49" s="17"/>
      <c r="CNZ49" s="30"/>
      <c r="COA49" s="31"/>
      <c r="COB49" s="16"/>
      <c r="COC49" s="17"/>
      <c r="COD49" s="30"/>
      <c r="COE49" s="31"/>
      <c r="COF49" s="16"/>
      <c r="COG49" s="17"/>
      <c r="COH49" s="30"/>
      <c r="COI49" s="31"/>
      <c r="COJ49" s="16"/>
      <c r="COK49" s="17"/>
      <c r="COL49" s="30"/>
      <c r="COM49" s="31"/>
      <c r="CON49" s="16"/>
      <c r="COO49" s="17"/>
      <c r="COP49" s="30"/>
      <c r="COQ49" s="31"/>
      <c r="COR49" s="16"/>
      <c r="COS49" s="17"/>
      <c r="COT49" s="30"/>
      <c r="COU49" s="31"/>
      <c r="COV49" s="16"/>
      <c r="COW49" s="17"/>
      <c r="COX49" s="30"/>
      <c r="COY49" s="31"/>
      <c r="COZ49" s="16"/>
      <c r="CPA49" s="17"/>
      <c r="CPB49" s="30"/>
      <c r="CPC49" s="31"/>
      <c r="CPD49" s="16"/>
      <c r="CPE49" s="17"/>
      <c r="CPF49" s="30"/>
      <c r="CPG49" s="31"/>
      <c r="CPH49" s="16"/>
      <c r="CPI49" s="17"/>
      <c r="CPJ49" s="30"/>
      <c r="CPK49" s="31"/>
      <c r="CPL49" s="16"/>
      <c r="CPM49" s="17"/>
      <c r="CPN49" s="30"/>
      <c r="CPO49" s="31"/>
      <c r="CPP49" s="16"/>
      <c r="CPQ49" s="17"/>
      <c r="CPR49" s="30"/>
      <c r="CPS49" s="31"/>
      <c r="CPT49" s="16"/>
      <c r="CPU49" s="17"/>
      <c r="CPV49" s="30"/>
      <c r="CPW49" s="31"/>
      <c r="CPX49" s="16"/>
      <c r="CPY49" s="17"/>
      <c r="CPZ49" s="30"/>
      <c r="CQA49" s="31"/>
      <c r="CQB49" s="16"/>
      <c r="CQC49" s="17"/>
      <c r="CQD49" s="30"/>
      <c r="CQE49" s="31"/>
      <c r="CQF49" s="16"/>
      <c r="CQG49" s="17"/>
      <c r="CQH49" s="30"/>
      <c r="CQI49" s="31"/>
      <c r="CQJ49" s="16"/>
      <c r="CQK49" s="17"/>
      <c r="CQL49" s="30"/>
      <c r="CQM49" s="31"/>
      <c r="CQN49" s="16"/>
      <c r="CQO49" s="17"/>
      <c r="CQP49" s="30"/>
      <c r="CQQ49" s="31"/>
      <c r="CQR49" s="16"/>
      <c r="CQS49" s="17"/>
      <c r="CQT49" s="30"/>
      <c r="CQU49" s="31"/>
      <c r="CQV49" s="16"/>
      <c r="CQW49" s="17"/>
      <c r="CQX49" s="30"/>
      <c r="CQY49" s="31"/>
      <c r="CQZ49" s="16"/>
      <c r="CRA49" s="17"/>
      <c r="CRB49" s="30"/>
      <c r="CRC49" s="31"/>
      <c r="CRD49" s="16"/>
      <c r="CRE49" s="17"/>
      <c r="CRF49" s="30"/>
      <c r="CRG49" s="31"/>
      <c r="CRH49" s="16"/>
      <c r="CRI49" s="17"/>
      <c r="CRJ49" s="30"/>
      <c r="CRK49" s="31"/>
      <c r="CRL49" s="16"/>
      <c r="CRM49" s="17"/>
      <c r="CRN49" s="30"/>
      <c r="CRO49" s="31"/>
      <c r="CRP49" s="16"/>
      <c r="CRQ49" s="17"/>
      <c r="CRR49" s="30"/>
      <c r="CRS49" s="31"/>
      <c r="CRT49" s="16"/>
      <c r="CRU49" s="17"/>
      <c r="CRV49" s="30"/>
      <c r="CRW49" s="31"/>
      <c r="CRX49" s="16"/>
      <c r="CRY49" s="17"/>
      <c r="CRZ49" s="30"/>
      <c r="CSA49" s="31"/>
      <c r="CSB49" s="16"/>
      <c r="CSC49" s="17"/>
      <c r="CSD49" s="30"/>
      <c r="CSE49" s="31"/>
      <c r="CSF49" s="16"/>
      <c r="CSG49" s="17"/>
      <c r="CSH49" s="30"/>
      <c r="CSI49" s="31"/>
      <c r="CSJ49" s="16"/>
      <c r="CSK49" s="17"/>
      <c r="CSL49" s="30"/>
      <c r="CSM49" s="31"/>
      <c r="CSN49" s="16"/>
      <c r="CSO49" s="17"/>
      <c r="CSP49" s="30"/>
      <c r="CSQ49" s="31"/>
      <c r="CSR49" s="16"/>
      <c r="CSS49" s="17"/>
      <c r="CST49" s="30"/>
      <c r="CSU49" s="31"/>
      <c r="CSV49" s="16"/>
      <c r="CSW49" s="17"/>
      <c r="CSX49" s="30"/>
      <c r="CSY49" s="31"/>
      <c r="CSZ49" s="16"/>
      <c r="CTA49" s="17"/>
      <c r="CTB49" s="30"/>
      <c r="CTC49" s="31"/>
      <c r="CTD49" s="16"/>
      <c r="CTE49" s="17"/>
      <c r="CTF49" s="30"/>
      <c r="CTG49" s="31"/>
      <c r="CTH49" s="16"/>
      <c r="CTI49" s="17"/>
      <c r="CTJ49" s="30"/>
      <c r="CTK49" s="31"/>
      <c r="CTL49" s="16"/>
      <c r="CTM49" s="17"/>
      <c r="CTN49" s="30"/>
      <c r="CTO49" s="31"/>
      <c r="CTP49" s="16"/>
      <c r="CTQ49" s="17"/>
      <c r="CTR49" s="30"/>
      <c r="CTS49" s="31"/>
      <c r="CTT49" s="16"/>
      <c r="CTU49" s="17"/>
      <c r="CTV49" s="30"/>
      <c r="CTW49" s="31"/>
      <c r="CTX49" s="16"/>
      <c r="CTY49" s="17"/>
      <c r="CTZ49" s="30"/>
      <c r="CUA49" s="31"/>
      <c r="CUB49" s="16"/>
      <c r="CUC49" s="17"/>
      <c r="CUD49" s="30"/>
      <c r="CUE49" s="31"/>
      <c r="CUF49" s="16"/>
      <c r="CUG49" s="17"/>
      <c r="CUH49" s="30"/>
      <c r="CUI49" s="31"/>
      <c r="CUJ49" s="16"/>
      <c r="CUK49" s="17"/>
      <c r="CUL49" s="30"/>
      <c r="CUM49" s="31"/>
      <c r="CUN49" s="16"/>
      <c r="CUO49" s="17"/>
      <c r="CUP49" s="30"/>
      <c r="CUQ49" s="31"/>
      <c r="CUR49" s="16"/>
      <c r="CUS49" s="17"/>
      <c r="CUT49" s="30"/>
      <c r="CUU49" s="31"/>
      <c r="CUV49" s="16"/>
      <c r="CUW49" s="17"/>
      <c r="CUX49" s="30"/>
      <c r="CUY49" s="31"/>
      <c r="CUZ49" s="16"/>
      <c r="CVA49" s="17"/>
      <c r="CVB49" s="30"/>
      <c r="CVC49" s="31"/>
      <c r="CVD49" s="16"/>
      <c r="CVE49" s="17"/>
      <c r="CVF49" s="30"/>
      <c r="CVG49" s="31"/>
      <c r="CVH49" s="16"/>
      <c r="CVI49" s="17"/>
      <c r="CVJ49" s="30"/>
      <c r="CVK49" s="31"/>
      <c r="CVL49" s="16"/>
      <c r="CVM49" s="17"/>
      <c r="CVN49" s="30"/>
      <c r="CVO49" s="31"/>
      <c r="CVP49" s="16"/>
      <c r="CVQ49" s="17"/>
      <c r="CVR49" s="30"/>
      <c r="CVS49" s="31"/>
      <c r="CVT49" s="16"/>
      <c r="CVU49" s="17"/>
      <c r="CVV49" s="30"/>
      <c r="CVW49" s="31"/>
      <c r="CVX49" s="16"/>
      <c r="CVY49" s="17"/>
      <c r="CVZ49" s="30"/>
      <c r="CWA49" s="31"/>
      <c r="CWB49" s="16"/>
      <c r="CWC49" s="17"/>
      <c r="CWD49" s="30"/>
      <c r="CWE49" s="31"/>
      <c r="CWF49" s="16"/>
      <c r="CWG49" s="17"/>
      <c r="CWH49" s="30"/>
      <c r="CWI49" s="31"/>
      <c r="CWJ49" s="16"/>
      <c r="CWK49" s="17"/>
      <c r="CWL49" s="30"/>
      <c r="CWM49" s="31"/>
      <c r="CWN49" s="16"/>
      <c r="CWO49" s="17"/>
      <c r="CWP49" s="30"/>
      <c r="CWQ49" s="31"/>
      <c r="CWR49" s="16"/>
      <c r="CWS49" s="17"/>
      <c r="CWT49" s="30"/>
      <c r="CWU49" s="31"/>
      <c r="CWV49" s="16"/>
      <c r="CWW49" s="17"/>
      <c r="CWX49" s="30"/>
      <c r="CWY49" s="31"/>
      <c r="CWZ49" s="16"/>
      <c r="CXA49" s="17"/>
      <c r="CXB49" s="30"/>
      <c r="CXC49" s="31"/>
      <c r="CXD49" s="16"/>
      <c r="CXE49" s="17"/>
      <c r="CXF49" s="30"/>
      <c r="CXG49" s="31"/>
      <c r="CXH49" s="16"/>
      <c r="CXI49" s="17"/>
      <c r="CXJ49" s="30"/>
      <c r="CXK49" s="31"/>
      <c r="CXL49" s="16"/>
      <c r="CXM49" s="17"/>
      <c r="CXN49" s="30"/>
      <c r="CXO49" s="31"/>
      <c r="CXP49" s="16"/>
      <c r="CXQ49" s="17"/>
      <c r="CXR49" s="30"/>
      <c r="CXS49" s="31"/>
      <c r="CXT49" s="16"/>
      <c r="CXU49" s="17"/>
      <c r="CXV49" s="30"/>
      <c r="CXW49" s="31"/>
      <c r="CXX49" s="16"/>
      <c r="CXY49" s="17"/>
      <c r="CXZ49" s="30"/>
      <c r="CYA49" s="31"/>
      <c r="CYB49" s="16"/>
      <c r="CYC49" s="17"/>
      <c r="CYD49" s="30"/>
      <c r="CYE49" s="31"/>
      <c r="CYF49" s="16"/>
      <c r="CYG49" s="17"/>
      <c r="CYH49" s="30"/>
      <c r="CYI49" s="31"/>
      <c r="CYJ49" s="16"/>
      <c r="CYK49" s="17"/>
      <c r="CYL49" s="30"/>
      <c r="CYM49" s="31"/>
      <c r="CYN49" s="16"/>
      <c r="CYO49" s="17"/>
      <c r="CYP49" s="30"/>
      <c r="CYQ49" s="31"/>
      <c r="CYR49" s="16"/>
      <c r="CYS49" s="17"/>
      <c r="CYT49" s="30"/>
      <c r="CYU49" s="31"/>
      <c r="CYV49" s="16"/>
      <c r="CYW49" s="17"/>
      <c r="CYX49" s="30"/>
      <c r="CYY49" s="31"/>
      <c r="CYZ49" s="16"/>
      <c r="CZA49" s="17"/>
      <c r="CZB49" s="30"/>
      <c r="CZC49" s="31"/>
      <c r="CZD49" s="16"/>
      <c r="CZE49" s="17"/>
      <c r="CZF49" s="30"/>
      <c r="CZG49" s="31"/>
      <c r="CZH49" s="16"/>
      <c r="CZI49" s="17"/>
      <c r="CZJ49" s="30"/>
      <c r="CZK49" s="31"/>
      <c r="CZL49" s="16"/>
      <c r="CZM49" s="17"/>
      <c r="CZN49" s="30"/>
      <c r="CZO49" s="31"/>
      <c r="CZP49" s="16"/>
      <c r="CZQ49" s="17"/>
      <c r="CZR49" s="30"/>
      <c r="CZS49" s="31"/>
      <c r="CZT49" s="16"/>
      <c r="CZU49" s="17"/>
      <c r="CZV49" s="30"/>
      <c r="CZW49" s="31"/>
      <c r="CZX49" s="16"/>
      <c r="CZY49" s="17"/>
      <c r="CZZ49" s="30"/>
      <c r="DAA49" s="31"/>
      <c r="DAB49" s="16"/>
      <c r="DAC49" s="17"/>
      <c r="DAD49" s="30"/>
      <c r="DAE49" s="31"/>
      <c r="DAF49" s="16"/>
      <c r="DAG49" s="17"/>
      <c r="DAH49" s="30"/>
      <c r="DAI49" s="31"/>
      <c r="DAJ49" s="16"/>
      <c r="DAK49" s="17"/>
      <c r="DAL49" s="30"/>
      <c r="DAM49" s="31"/>
      <c r="DAN49" s="16"/>
      <c r="DAO49" s="17"/>
      <c r="DAP49" s="30"/>
      <c r="DAQ49" s="31"/>
      <c r="DAR49" s="16"/>
      <c r="DAS49" s="17"/>
      <c r="DAT49" s="30"/>
      <c r="DAU49" s="31"/>
      <c r="DAV49" s="16"/>
      <c r="DAW49" s="17"/>
      <c r="DAX49" s="30"/>
      <c r="DAY49" s="31"/>
      <c r="DAZ49" s="16"/>
      <c r="DBA49" s="17"/>
      <c r="DBB49" s="30"/>
      <c r="DBC49" s="31"/>
      <c r="DBD49" s="16"/>
      <c r="DBE49" s="17"/>
      <c r="DBF49" s="30"/>
      <c r="DBG49" s="31"/>
      <c r="DBH49" s="16"/>
      <c r="DBI49" s="17"/>
      <c r="DBJ49" s="30"/>
      <c r="DBK49" s="31"/>
      <c r="DBL49" s="16"/>
      <c r="DBM49" s="17"/>
      <c r="DBN49" s="30"/>
      <c r="DBO49" s="31"/>
      <c r="DBP49" s="16"/>
      <c r="DBQ49" s="17"/>
      <c r="DBR49" s="30"/>
      <c r="DBS49" s="31"/>
      <c r="DBT49" s="16"/>
      <c r="DBU49" s="17"/>
      <c r="DBV49" s="30"/>
      <c r="DBW49" s="31"/>
      <c r="DBX49" s="16"/>
      <c r="DBY49" s="17"/>
      <c r="DBZ49" s="30"/>
      <c r="DCA49" s="31"/>
      <c r="DCB49" s="16"/>
      <c r="DCC49" s="17"/>
      <c r="DCD49" s="30"/>
      <c r="DCE49" s="31"/>
      <c r="DCF49" s="16"/>
      <c r="DCG49" s="17"/>
      <c r="DCH49" s="30"/>
      <c r="DCI49" s="31"/>
      <c r="DCJ49" s="16"/>
      <c r="DCK49" s="17"/>
      <c r="DCL49" s="30"/>
      <c r="DCM49" s="31"/>
      <c r="DCN49" s="16"/>
      <c r="DCO49" s="17"/>
      <c r="DCP49" s="30"/>
      <c r="DCQ49" s="31"/>
      <c r="DCR49" s="16"/>
      <c r="DCS49" s="17"/>
      <c r="DCT49" s="30"/>
      <c r="DCU49" s="31"/>
      <c r="DCV49" s="16"/>
      <c r="DCW49" s="17"/>
      <c r="DCX49" s="30"/>
      <c r="DCY49" s="31"/>
      <c r="DCZ49" s="16"/>
      <c r="DDA49" s="17"/>
      <c r="DDB49" s="30"/>
      <c r="DDC49" s="31"/>
      <c r="DDD49" s="16"/>
      <c r="DDE49" s="17"/>
      <c r="DDF49" s="30"/>
      <c r="DDG49" s="31"/>
      <c r="DDH49" s="16"/>
      <c r="DDI49" s="17"/>
      <c r="DDJ49" s="30"/>
      <c r="DDK49" s="31"/>
      <c r="DDL49" s="16"/>
      <c r="DDM49" s="17"/>
      <c r="DDN49" s="30"/>
      <c r="DDO49" s="31"/>
      <c r="DDP49" s="16"/>
      <c r="DDQ49" s="17"/>
      <c r="DDR49" s="30"/>
      <c r="DDS49" s="31"/>
      <c r="DDT49" s="16"/>
      <c r="DDU49" s="17"/>
      <c r="DDV49" s="30"/>
      <c r="DDW49" s="31"/>
      <c r="DDX49" s="16"/>
      <c r="DDY49" s="17"/>
      <c r="DDZ49" s="30"/>
      <c r="DEA49" s="31"/>
      <c r="DEB49" s="16"/>
      <c r="DEC49" s="17"/>
      <c r="DED49" s="30"/>
      <c r="DEE49" s="31"/>
      <c r="DEF49" s="16"/>
      <c r="DEG49" s="17"/>
      <c r="DEH49" s="30"/>
      <c r="DEI49" s="31"/>
      <c r="DEJ49" s="16"/>
      <c r="DEK49" s="17"/>
      <c r="DEL49" s="30"/>
      <c r="DEM49" s="31"/>
      <c r="DEN49" s="16"/>
      <c r="DEO49" s="17"/>
      <c r="DEP49" s="30"/>
      <c r="DEQ49" s="31"/>
      <c r="DER49" s="16"/>
      <c r="DES49" s="17"/>
      <c r="DET49" s="30"/>
      <c r="DEU49" s="31"/>
      <c r="DEV49" s="16"/>
      <c r="DEW49" s="17"/>
      <c r="DEX49" s="30"/>
      <c r="DEY49" s="31"/>
      <c r="DEZ49" s="16"/>
      <c r="DFA49" s="17"/>
      <c r="DFB49" s="30"/>
      <c r="DFC49" s="31"/>
      <c r="DFD49" s="16"/>
      <c r="DFE49" s="17"/>
      <c r="DFF49" s="30"/>
      <c r="DFG49" s="31"/>
      <c r="DFH49" s="16"/>
      <c r="DFI49" s="17"/>
      <c r="DFJ49" s="30"/>
      <c r="DFK49" s="31"/>
      <c r="DFL49" s="16"/>
      <c r="DFM49" s="17"/>
      <c r="DFN49" s="30"/>
      <c r="DFO49" s="31"/>
      <c r="DFP49" s="16"/>
      <c r="DFQ49" s="17"/>
      <c r="DFR49" s="30"/>
      <c r="DFS49" s="31"/>
      <c r="DFT49" s="16"/>
      <c r="DFU49" s="17"/>
      <c r="DFV49" s="30"/>
      <c r="DFW49" s="31"/>
      <c r="DFX49" s="16"/>
      <c r="DFY49" s="17"/>
      <c r="DFZ49" s="30"/>
      <c r="DGA49" s="31"/>
      <c r="DGB49" s="16"/>
      <c r="DGC49" s="17"/>
      <c r="DGD49" s="30"/>
      <c r="DGE49" s="31"/>
      <c r="DGF49" s="16"/>
      <c r="DGG49" s="17"/>
      <c r="DGH49" s="30"/>
      <c r="DGI49" s="31"/>
      <c r="DGJ49" s="16"/>
      <c r="DGK49" s="17"/>
      <c r="DGL49" s="30"/>
      <c r="DGM49" s="31"/>
      <c r="DGN49" s="16"/>
      <c r="DGO49" s="17"/>
      <c r="DGP49" s="30"/>
      <c r="DGQ49" s="31"/>
      <c r="DGR49" s="16"/>
      <c r="DGS49" s="17"/>
      <c r="DGT49" s="30"/>
      <c r="DGU49" s="31"/>
      <c r="DGV49" s="16"/>
      <c r="DGW49" s="17"/>
      <c r="DGX49" s="30"/>
      <c r="DGY49" s="31"/>
      <c r="DGZ49" s="16"/>
      <c r="DHA49" s="17"/>
      <c r="DHB49" s="30"/>
      <c r="DHC49" s="31"/>
      <c r="DHD49" s="16"/>
      <c r="DHE49" s="17"/>
      <c r="DHF49" s="30"/>
      <c r="DHG49" s="31"/>
      <c r="DHH49" s="16"/>
      <c r="DHI49" s="17"/>
      <c r="DHJ49" s="30"/>
      <c r="DHK49" s="31"/>
      <c r="DHL49" s="16"/>
      <c r="DHM49" s="17"/>
      <c r="DHN49" s="30"/>
      <c r="DHO49" s="31"/>
      <c r="DHP49" s="16"/>
      <c r="DHQ49" s="17"/>
      <c r="DHR49" s="30"/>
      <c r="DHS49" s="31"/>
      <c r="DHT49" s="16"/>
      <c r="DHU49" s="17"/>
      <c r="DHV49" s="30"/>
      <c r="DHW49" s="31"/>
      <c r="DHX49" s="16"/>
      <c r="DHY49" s="17"/>
      <c r="DHZ49" s="30"/>
      <c r="DIA49" s="31"/>
      <c r="DIB49" s="16"/>
      <c r="DIC49" s="17"/>
      <c r="DID49" s="30"/>
      <c r="DIE49" s="31"/>
      <c r="DIF49" s="16"/>
      <c r="DIG49" s="17"/>
      <c r="DIH49" s="30"/>
      <c r="DII49" s="31"/>
      <c r="DIJ49" s="16"/>
      <c r="DIK49" s="17"/>
      <c r="DIL49" s="30"/>
      <c r="DIM49" s="31"/>
      <c r="DIN49" s="16"/>
      <c r="DIO49" s="17"/>
      <c r="DIP49" s="30"/>
      <c r="DIQ49" s="31"/>
      <c r="DIR49" s="16"/>
      <c r="DIS49" s="17"/>
      <c r="DIT49" s="30"/>
      <c r="DIU49" s="31"/>
      <c r="DIV49" s="16"/>
      <c r="DIW49" s="17"/>
      <c r="DIX49" s="30"/>
      <c r="DIY49" s="31"/>
      <c r="DIZ49" s="16"/>
      <c r="DJA49" s="17"/>
      <c r="DJB49" s="30"/>
      <c r="DJC49" s="31"/>
      <c r="DJD49" s="16"/>
      <c r="DJE49" s="17"/>
      <c r="DJF49" s="30"/>
      <c r="DJG49" s="31"/>
      <c r="DJH49" s="16"/>
      <c r="DJI49" s="17"/>
      <c r="DJJ49" s="30"/>
      <c r="DJK49" s="31"/>
      <c r="DJL49" s="16"/>
      <c r="DJM49" s="17"/>
      <c r="DJN49" s="30"/>
      <c r="DJO49" s="31"/>
      <c r="DJP49" s="16"/>
      <c r="DJQ49" s="17"/>
      <c r="DJR49" s="30"/>
      <c r="DJS49" s="31"/>
      <c r="DJT49" s="16"/>
      <c r="DJU49" s="17"/>
      <c r="DJV49" s="30"/>
      <c r="DJW49" s="31"/>
      <c r="DJX49" s="16"/>
      <c r="DJY49" s="17"/>
      <c r="DJZ49" s="30"/>
      <c r="DKA49" s="31"/>
      <c r="DKB49" s="16"/>
      <c r="DKC49" s="17"/>
      <c r="DKD49" s="30"/>
      <c r="DKE49" s="31"/>
      <c r="DKF49" s="16"/>
      <c r="DKG49" s="17"/>
      <c r="DKH49" s="30"/>
      <c r="DKI49" s="31"/>
      <c r="DKJ49" s="16"/>
      <c r="DKK49" s="17"/>
      <c r="DKL49" s="30"/>
      <c r="DKM49" s="31"/>
      <c r="DKN49" s="16"/>
      <c r="DKO49" s="17"/>
      <c r="DKP49" s="30"/>
      <c r="DKQ49" s="31"/>
      <c r="DKR49" s="16"/>
      <c r="DKS49" s="17"/>
      <c r="DKT49" s="30"/>
      <c r="DKU49" s="31"/>
      <c r="DKV49" s="16"/>
      <c r="DKW49" s="17"/>
      <c r="DKX49" s="30"/>
      <c r="DKY49" s="31"/>
      <c r="DKZ49" s="16"/>
      <c r="DLA49" s="17"/>
      <c r="DLB49" s="30"/>
      <c r="DLC49" s="31"/>
      <c r="DLD49" s="16"/>
      <c r="DLE49" s="17"/>
      <c r="DLF49" s="30"/>
      <c r="DLG49" s="31"/>
      <c r="DLH49" s="16"/>
      <c r="DLI49" s="17"/>
      <c r="DLJ49" s="30"/>
      <c r="DLK49" s="31"/>
      <c r="DLL49" s="16"/>
      <c r="DLM49" s="17"/>
      <c r="DLN49" s="30"/>
      <c r="DLO49" s="31"/>
      <c r="DLP49" s="16"/>
      <c r="DLQ49" s="17"/>
      <c r="DLR49" s="30"/>
      <c r="DLS49" s="31"/>
      <c r="DLT49" s="16"/>
      <c r="DLU49" s="17"/>
      <c r="DLV49" s="30"/>
      <c r="DLW49" s="31"/>
      <c r="DLX49" s="16"/>
      <c r="DLY49" s="17"/>
      <c r="DLZ49" s="30"/>
      <c r="DMA49" s="31"/>
      <c r="DMB49" s="16"/>
      <c r="DMC49" s="17"/>
      <c r="DMD49" s="30"/>
      <c r="DME49" s="31"/>
      <c r="DMF49" s="16"/>
      <c r="DMG49" s="17"/>
      <c r="DMH49" s="30"/>
      <c r="DMI49" s="31"/>
      <c r="DMJ49" s="16"/>
      <c r="DMK49" s="17"/>
      <c r="DML49" s="30"/>
      <c r="DMM49" s="31"/>
      <c r="DMN49" s="16"/>
      <c r="DMO49" s="17"/>
      <c r="DMP49" s="30"/>
      <c r="DMQ49" s="31"/>
      <c r="DMR49" s="16"/>
      <c r="DMS49" s="17"/>
      <c r="DMT49" s="30"/>
      <c r="DMU49" s="31"/>
      <c r="DMV49" s="16"/>
      <c r="DMW49" s="17"/>
      <c r="DMX49" s="30"/>
      <c r="DMY49" s="31"/>
      <c r="DMZ49" s="16"/>
      <c r="DNA49" s="17"/>
      <c r="DNB49" s="30"/>
      <c r="DNC49" s="31"/>
      <c r="DND49" s="16"/>
      <c r="DNE49" s="17"/>
      <c r="DNF49" s="30"/>
      <c r="DNG49" s="31"/>
      <c r="DNH49" s="16"/>
      <c r="DNI49" s="17"/>
      <c r="DNJ49" s="30"/>
      <c r="DNK49" s="31"/>
      <c r="DNL49" s="16"/>
      <c r="DNM49" s="17"/>
      <c r="DNN49" s="30"/>
      <c r="DNO49" s="31"/>
      <c r="DNP49" s="16"/>
      <c r="DNQ49" s="17"/>
      <c r="DNR49" s="30"/>
      <c r="DNS49" s="31"/>
      <c r="DNT49" s="16"/>
      <c r="DNU49" s="17"/>
      <c r="DNV49" s="30"/>
      <c r="DNW49" s="31"/>
      <c r="DNX49" s="16"/>
      <c r="DNY49" s="17"/>
      <c r="DNZ49" s="30"/>
      <c r="DOA49" s="31"/>
      <c r="DOB49" s="16"/>
      <c r="DOC49" s="17"/>
      <c r="DOD49" s="30"/>
      <c r="DOE49" s="31"/>
      <c r="DOF49" s="16"/>
      <c r="DOG49" s="17"/>
      <c r="DOH49" s="30"/>
      <c r="DOI49" s="31"/>
      <c r="DOJ49" s="16"/>
      <c r="DOK49" s="17"/>
      <c r="DOL49" s="30"/>
      <c r="DOM49" s="31"/>
      <c r="DON49" s="16"/>
      <c r="DOO49" s="17"/>
      <c r="DOP49" s="30"/>
      <c r="DOQ49" s="31"/>
      <c r="DOR49" s="16"/>
      <c r="DOS49" s="17"/>
      <c r="DOT49" s="30"/>
      <c r="DOU49" s="31"/>
      <c r="DOV49" s="16"/>
      <c r="DOW49" s="17"/>
      <c r="DOX49" s="30"/>
      <c r="DOY49" s="31"/>
      <c r="DOZ49" s="16"/>
      <c r="DPA49" s="17"/>
      <c r="DPB49" s="30"/>
      <c r="DPC49" s="31"/>
      <c r="DPD49" s="16"/>
      <c r="DPE49" s="17"/>
      <c r="DPF49" s="30"/>
      <c r="DPG49" s="31"/>
      <c r="DPH49" s="16"/>
      <c r="DPI49" s="17"/>
      <c r="DPJ49" s="30"/>
      <c r="DPK49" s="31"/>
      <c r="DPL49" s="16"/>
      <c r="DPM49" s="17"/>
      <c r="DPN49" s="30"/>
      <c r="DPO49" s="31"/>
      <c r="DPP49" s="16"/>
      <c r="DPQ49" s="17"/>
      <c r="DPR49" s="30"/>
      <c r="DPS49" s="31"/>
      <c r="DPT49" s="16"/>
      <c r="DPU49" s="17"/>
      <c r="DPV49" s="30"/>
      <c r="DPW49" s="31"/>
      <c r="DPX49" s="16"/>
      <c r="DPY49" s="17"/>
      <c r="DPZ49" s="30"/>
      <c r="DQA49" s="31"/>
      <c r="DQB49" s="16"/>
      <c r="DQC49" s="17"/>
      <c r="DQD49" s="30"/>
      <c r="DQE49" s="31"/>
      <c r="DQF49" s="16"/>
      <c r="DQG49" s="17"/>
      <c r="DQH49" s="30"/>
      <c r="DQI49" s="31"/>
      <c r="DQJ49" s="16"/>
      <c r="DQK49" s="17"/>
      <c r="DQL49" s="30"/>
      <c r="DQM49" s="31"/>
      <c r="DQN49" s="16"/>
      <c r="DQO49" s="17"/>
      <c r="DQP49" s="30"/>
      <c r="DQQ49" s="31"/>
      <c r="DQR49" s="16"/>
      <c r="DQS49" s="17"/>
      <c r="DQT49" s="30"/>
      <c r="DQU49" s="31"/>
      <c r="DQV49" s="16"/>
      <c r="DQW49" s="17"/>
      <c r="DQX49" s="30"/>
      <c r="DQY49" s="31"/>
      <c r="DQZ49" s="16"/>
      <c r="DRA49" s="17"/>
      <c r="DRB49" s="30"/>
      <c r="DRC49" s="31"/>
      <c r="DRD49" s="16"/>
      <c r="DRE49" s="17"/>
      <c r="DRF49" s="30"/>
      <c r="DRG49" s="31"/>
      <c r="DRH49" s="16"/>
      <c r="DRI49" s="17"/>
      <c r="DRJ49" s="30"/>
      <c r="DRK49" s="31"/>
      <c r="DRL49" s="16"/>
      <c r="DRM49" s="17"/>
      <c r="DRN49" s="30"/>
      <c r="DRO49" s="31"/>
      <c r="DRP49" s="16"/>
      <c r="DRQ49" s="17"/>
      <c r="DRR49" s="30"/>
      <c r="DRS49" s="31"/>
      <c r="DRT49" s="16"/>
      <c r="DRU49" s="17"/>
      <c r="DRV49" s="30"/>
      <c r="DRW49" s="31"/>
      <c r="DRX49" s="16"/>
      <c r="DRY49" s="17"/>
      <c r="DRZ49" s="30"/>
      <c r="DSA49" s="31"/>
      <c r="DSB49" s="16"/>
      <c r="DSC49" s="17"/>
      <c r="DSD49" s="30"/>
      <c r="DSE49" s="31"/>
      <c r="DSF49" s="16"/>
      <c r="DSG49" s="17"/>
      <c r="DSH49" s="30"/>
      <c r="DSI49" s="31"/>
      <c r="DSJ49" s="16"/>
      <c r="DSK49" s="17"/>
      <c r="DSL49" s="30"/>
      <c r="DSM49" s="31"/>
      <c r="DSN49" s="16"/>
      <c r="DSO49" s="17"/>
      <c r="DSP49" s="30"/>
      <c r="DSQ49" s="31"/>
      <c r="DSR49" s="16"/>
      <c r="DSS49" s="17"/>
      <c r="DST49" s="30"/>
      <c r="DSU49" s="31"/>
      <c r="DSV49" s="16"/>
      <c r="DSW49" s="17"/>
      <c r="DSX49" s="30"/>
      <c r="DSY49" s="31"/>
      <c r="DSZ49" s="16"/>
      <c r="DTA49" s="17"/>
      <c r="DTB49" s="30"/>
      <c r="DTC49" s="31"/>
      <c r="DTD49" s="16"/>
      <c r="DTE49" s="17"/>
      <c r="DTF49" s="30"/>
      <c r="DTG49" s="31"/>
      <c r="DTH49" s="16"/>
      <c r="DTI49" s="17"/>
      <c r="DTJ49" s="30"/>
      <c r="DTK49" s="31"/>
      <c r="DTL49" s="16"/>
      <c r="DTM49" s="17"/>
      <c r="DTN49" s="30"/>
      <c r="DTO49" s="31"/>
      <c r="DTP49" s="16"/>
      <c r="DTQ49" s="17"/>
      <c r="DTR49" s="30"/>
      <c r="DTS49" s="31"/>
      <c r="DTT49" s="16"/>
      <c r="DTU49" s="17"/>
      <c r="DTV49" s="30"/>
      <c r="DTW49" s="31"/>
      <c r="DTX49" s="16"/>
      <c r="DTY49" s="17"/>
      <c r="DTZ49" s="30"/>
      <c r="DUA49" s="31"/>
      <c r="DUB49" s="16"/>
      <c r="DUC49" s="17"/>
      <c r="DUD49" s="30"/>
      <c r="DUE49" s="31"/>
      <c r="DUF49" s="16"/>
      <c r="DUG49" s="17"/>
      <c r="DUH49" s="30"/>
      <c r="DUI49" s="31"/>
      <c r="DUJ49" s="16"/>
      <c r="DUK49" s="17"/>
      <c r="DUL49" s="30"/>
      <c r="DUM49" s="31"/>
      <c r="DUN49" s="16"/>
      <c r="DUO49" s="17"/>
      <c r="DUP49" s="30"/>
      <c r="DUQ49" s="31"/>
      <c r="DUR49" s="16"/>
      <c r="DUS49" s="17"/>
      <c r="DUT49" s="30"/>
      <c r="DUU49" s="31"/>
      <c r="DUV49" s="16"/>
      <c r="DUW49" s="17"/>
      <c r="DUX49" s="30"/>
      <c r="DUY49" s="31"/>
      <c r="DUZ49" s="16"/>
      <c r="DVA49" s="17"/>
      <c r="DVB49" s="30"/>
      <c r="DVC49" s="31"/>
      <c r="DVD49" s="16"/>
      <c r="DVE49" s="17"/>
      <c r="DVF49" s="30"/>
      <c r="DVG49" s="31"/>
      <c r="DVH49" s="16"/>
      <c r="DVI49" s="17"/>
      <c r="DVJ49" s="30"/>
      <c r="DVK49" s="31"/>
      <c r="DVL49" s="16"/>
      <c r="DVM49" s="17"/>
      <c r="DVN49" s="30"/>
      <c r="DVO49" s="31"/>
      <c r="DVP49" s="16"/>
      <c r="DVQ49" s="17"/>
      <c r="DVR49" s="30"/>
      <c r="DVS49" s="31"/>
      <c r="DVT49" s="16"/>
      <c r="DVU49" s="17"/>
      <c r="DVV49" s="30"/>
      <c r="DVW49" s="31"/>
      <c r="DVX49" s="16"/>
      <c r="DVY49" s="17"/>
      <c r="DVZ49" s="30"/>
      <c r="DWA49" s="31"/>
      <c r="DWB49" s="16"/>
      <c r="DWC49" s="17"/>
      <c r="DWD49" s="30"/>
      <c r="DWE49" s="31"/>
      <c r="DWF49" s="16"/>
      <c r="DWG49" s="17"/>
      <c r="DWH49" s="30"/>
      <c r="DWI49" s="31"/>
      <c r="DWJ49" s="16"/>
      <c r="DWK49" s="17"/>
      <c r="DWL49" s="30"/>
      <c r="DWM49" s="31"/>
      <c r="DWN49" s="16"/>
      <c r="DWO49" s="17"/>
      <c r="DWP49" s="30"/>
      <c r="DWQ49" s="31"/>
      <c r="DWR49" s="16"/>
      <c r="DWS49" s="17"/>
      <c r="DWT49" s="30"/>
      <c r="DWU49" s="31"/>
      <c r="DWV49" s="16"/>
      <c r="DWW49" s="17"/>
      <c r="DWX49" s="30"/>
      <c r="DWY49" s="31"/>
      <c r="DWZ49" s="16"/>
      <c r="DXA49" s="17"/>
      <c r="DXB49" s="30"/>
      <c r="DXC49" s="31"/>
      <c r="DXD49" s="16"/>
      <c r="DXE49" s="17"/>
      <c r="DXF49" s="30"/>
      <c r="DXG49" s="31"/>
      <c r="DXH49" s="16"/>
      <c r="DXI49" s="17"/>
      <c r="DXJ49" s="30"/>
      <c r="DXK49" s="31"/>
      <c r="DXL49" s="16"/>
      <c r="DXM49" s="17"/>
      <c r="DXN49" s="30"/>
      <c r="DXO49" s="31"/>
      <c r="DXP49" s="16"/>
      <c r="DXQ49" s="17"/>
      <c r="DXR49" s="30"/>
      <c r="DXS49" s="31"/>
      <c r="DXT49" s="16"/>
      <c r="DXU49" s="17"/>
      <c r="DXV49" s="30"/>
      <c r="DXW49" s="31"/>
      <c r="DXX49" s="16"/>
      <c r="DXY49" s="17"/>
      <c r="DXZ49" s="30"/>
      <c r="DYA49" s="31"/>
      <c r="DYB49" s="16"/>
      <c r="DYC49" s="17"/>
      <c r="DYD49" s="30"/>
      <c r="DYE49" s="31"/>
      <c r="DYF49" s="16"/>
      <c r="DYG49" s="17"/>
      <c r="DYH49" s="30"/>
      <c r="DYI49" s="31"/>
      <c r="DYJ49" s="16"/>
      <c r="DYK49" s="17"/>
      <c r="DYL49" s="30"/>
      <c r="DYM49" s="31"/>
      <c r="DYN49" s="16"/>
      <c r="DYO49" s="17"/>
      <c r="DYP49" s="30"/>
      <c r="DYQ49" s="31"/>
      <c r="DYR49" s="16"/>
      <c r="DYS49" s="17"/>
      <c r="DYT49" s="30"/>
      <c r="DYU49" s="31"/>
      <c r="DYV49" s="16"/>
      <c r="DYW49" s="17"/>
      <c r="DYX49" s="30"/>
      <c r="DYY49" s="31"/>
      <c r="DYZ49" s="16"/>
      <c r="DZA49" s="17"/>
      <c r="DZB49" s="30"/>
      <c r="DZC49" s="31"/>
      <c r="DZD49" s="16"/>
      <c r="DZE49" s="17"/>
      <c r="DZF49" s="30"/>
      <c r="DZG49" s="31"/>
      <c r="DZH49" s="16"/>
      <c r="DZI49" s="17"/>
      <c r="DZJ49" s="30"/>
      <c r="DZK49" s="31"/>
      <c r="DZL49" s="16"/>
      <c r="DZM49" s="17"/>
      <c r="DZN49" s="30"/>
      <c r="DZO49" s="31"/>
      <c r="DZP49" s="16"/>
      <c r="DZQ49" s="17"/>
      <c r="DZR49" s="30"/>
      <c r="DZS49" s="31"/>
      <c r="DZT49" s="16"/>
      <c r="DZU49" s="17"/>
      <c r="DZV49" s="30"/>
      <c r="DZW49" s="31"/>
      <c r="DZX49" s="16"/>
      <c r="DZY49" s="17"/>
      <c r="DZZ49" s="30"/>
      <c r="EAA49" s="31"/>
      <c r="EAB49" s="16"/>
      <c r="EAC49" s="17"/>
      <c r="EAD49" s="30"/>
      <c r="EAE49" s="31"/>
      <c r="EAF49" s="16"/>
      <c r="EAG49" s="17"/>
      <c r="EAH49" s="30"/>
      <c r="EAI49" s="31"/>
      <c r="EAJ49" s="16"/>
      <c r="EAK49" s="17"/>
      <c r="EAL49" s="30"/>
      <c r="EAM49" s="31"/>
      <c r="EAN49" s="16"/>
      <c r="EAO49" s="17"/>
      <c r="EAP49" s="30"/>
      <c r="EAQ49" s="31"/>
      <c r="EAR49" s="16"/>
      <c r="EAS49" s="17"/>
      <c r="EAT49" s="30"/>
      <c r="EAU49" s="31"/>
      <c r="EAV49" s="16"/>
      <c r="EAW49" s="17"/>
      <c r="EAX49" s="30"/>
      <c r="EAY49" s="31"/>
      <c r="EAZ49" s="16"/>
      <c r="EBA49" s="17"/>
      <c r="EBB49" s="30"/>
      <c r="EBC49" s="31"/>
      <c r="EBD49" s="16"/>
      <c r="EBE49" s="17"/>
      <c r="EBF49" s="30"/>
      <c r="EBG49" s="31"/>
      <c r="EBH49" s="16"/>
      <c r="EBI49" s="17"/>
      <c r="EBJ49" s="30"/>
      <c r="EBK49" s="31"/>
      <c r="EBL49" s="16"/>
      <c r="EBM49" s="17"/>
      <c r="EBN49" s="30"/>
      <c r="EBO49" s="31"/>
      <c r="EBP49" s="16"/>
      <c r="EBQ49" s="17"/>
      <c r="EBR49" s="30"/>
      <c r="EBS49" s="31"/>
      <c r="EBT49" s="16"/>
      <c r="EBU49" s="17"/>
      <c r="EBV49" s="30"/>
      <c r="EBW49" s="31"/>
      <c r="EBX49" s="16"/>
      <c r="EBY49" s="17"/>
      <c r="EBZ49" s="30"/>
      <c r="ECA49" s="31"/>
      <c r="ECB49" s="16"/>
      <c r="ECC49" s="17"/>
      <c r="ECD49" s="30"/>
      <c r="ECE49" s="31"/>
      <c r="ECF49" s="16"/>
      <c r="ECG49" s="17"/>
      <c r="ECH49" s="30"/>
      <c r="ECI49" s="31"/>
      <c r="ECJ49" s="16"/>
      <c r="ECK49" s="17"/>
      <c r="ECL49" s="30"/>
      <c r="ECM49" s="31"/>
      <c r="ECN49" s="16"/>
      <c r="ECO49" s="17"/>
      <c r="ECP49" s="30"/>
      <c r="ECQ49" s="31"/>
      <c r="ECR49" s="16"/>
      <c r="ECS49" s="17"/>
      <c r="ECT49" s="30"/>
      <c r="ECU49" s="31"/>
      <c r="ECV49" s="16"/>
      <c r="ECW49" s="17"/>
      <c r="ECX49" s="30"/>
      <c r="ECY49" s="31"/>
      <c r="ECZ49" s="16"/>
      <c r="EDA49" s="17"/>
      <c r="EDB49" s="30"/>
      <c r="EDC49" s="31"/>
      <c r="EDD49" s="16"/>
      <c r="EDE49" s="17"/>
      <c r="EDF49" s="30"/>
      <c r="EDG49" s="31"/>
      <c r="EDH49" s="16"/>
      <c r="EDI49" s="17"/>
      <c r="EDJ49" s="30"/>
      <c r="EDK49" s="31"/>
      <c r="EDL49" s="16"/>
      <c r="EDM49" s="17"/>
      <c r="EDN49" s="30"/>
      <c r="EDO49" s="31"/>
      <c r="EDP49" s="16"/>
      <c r="EDQ49" s="17"/>
      <c r="EDR49" s="30"/>
      <c r="EDS49" s="31"/>
      <c r="EDT49" s="16"/>
      <c r="EDU49" s="17"/>
      <c r="EDV49" s="30"/>
      <c r="EDW49" s="31"/>
      <c r="EDX49" s="16"/>
      <c r="EDY49" s="17"/>
      <c r="EDZ49" s="30"/>
      <c r="EEA49" s="31"/>
      <c r="EEB49" s="16"/>
      <c r="EEC49" s="17"/>
      <c r="EED49" s="30"/>
      <c r="EEE49" s="31"/>
      <c r="EEF49" s="16"/>
      <c r="EEG49" s="17"/>
      <c r="EEH49" s="30"/>
      <c r="EEI49" s="31"/>
      <c r="EEJ49" s="16"/>
      <c r="EEK49" s="17"/>
      <c r="EEL49" s="30"/>
      <c r="EEM49" s="31"/>
      <c r="EEN49" s="16"/>
      <c r="EEO49" s="17"/>
      <c r="EEP49" s="30"/>
      <c r="EEQ49" s="31"/>
      <c r="EER49" s="16"/>
      <c r="EES49" s="17"/>
      <c r="EET49" s="30"/>
      <c r="EEU49" s="31"/>
      <c r="EEV49" s="16"/>
      <c r="EEW49" s="17"/>
      <c r="EEX49" s="30"/>
      <c r="EEY49" s="31"/>
      <c r="EEZ49" s="16"/>
      <c r="EFA49" s="17"/>
      <c r="EFB49" s="30"/>
      <c r="EFC49" s="31"/>
      <c r="EFD49" s="16"/>
      <c r="EFE49" s="17"/>
      <c r="EFF49" s="30"/>
      <c r="EFG49" s="31"/>
      <c r="EFH49" s="16"/>
      <c r="EFI49" s="17"/>
      <c r="EFJ49" s="30"/>
      <c r="EFK49" s="31"/>
      <c r="EFL49" s="16"/>
      <c r="EFM49" s="17"/>
      <c r="EFN49" s="30"/>
      <c r="EFO49" s="31"/>
      <c r="EFP49" s="16"/>
      <c r="EFQ49" s="17"/>
      <c r="EFR49" s="30"/>
      <c r="EFS49" s="31"/>
      <c r="EFT49" s="16"/>
      <c r="EFU49" s="17"/>
      <c r="EFV49" s="30"/>
      <c r="EFW49" s="31"/>
      <c r="EFX49" s="16"/>
      <c r="EFY49" s="17"/>
      <c r="EFZ49" s="30"/>
      <c r="EGA49" s="31"/>
      <c r="EGB49" s="16"/>
      <c r="EGC49" s="17"/>
      <c r="EGD49" s="30"/>
      <c r="EGE49" s="31"/>
      <c r="EGF49" s="16"/>
      <c r="EGG49" s="17"/>
      <c r="EGH49" s="30"/>
      <c r="EGI49" s="31"/>
      <c r="EGJ49" s="16"/>
      <c r="EGK49" s="17"/>
      <c r="EGL49" s="30"/>
      <c r="EGM49" s="31"/>
      <c r="EGN49" s="16"/>
      <c r="EGO49" s="17"/>
      <c r="EGP49" s="30"/>
      <c r="EGQ49" s="31"/>
      <c r="EGR49" s="16"/>
      <c r="EGS49" s="17"/>
      <c r="EGT49" s="30"/>
      <c r="EGU49" s="31"/>
      <c r="EGV49" s="16"/>
      <c r="EGW49" s="17"/>
      <c r="EGX49" s="30"/>
      <c r="EGY49" s="31"/>
      <c r="EGZ49" s="16"/>
      <c r="EHA49" s="17"/>
      <c r="EHB49" s="30"/>
      <c r="EHC49" s="31"/>
      <c r="EHD49" s="16"/>
      <c r="EHE49" s="17"/>
      <c r="EHF49" s="30"/>
      <c r="EHG49" s="31"/>
      <c r="EHH49" s="16"/>
      <c r="EHI49" s="17"/>
      <c r="EHJ49" s="30"/>
      <c r="EHK49" s="31"/>
      <c r="EHL49" s="16"/>
      <c r="EHM49" s="17"/>
      <c r="EHN49" s="30"/>
      <c r="EHO49" s="31"/>
      <c r="EHP49" s="16"/>
      <c r="EHQ49" s="17"/>
      <c r="EHR49" s="30"/>
      <c r="EHS49" s="31"/>
      <c r="EHT49" s="16"/>
      <c r="EHU49" s="17"/>
      <c r="EHV49" s="30"/>
      <c r="EHW49" s="31"/>
      <c r="EHX49" s="16"/>
      <c r="EHY49" s="17"/>
      <c r="EHZ49" s="30"/>
      <c r="EIA49" s="31"/>
      <c r="EIB49" s="16"/>
      <c r="EIC49" s="17"/>
      <c r="EID49" s="30"/>
      <c r="EIE49" s="31"/>
      <c r="EIF49" s="16"/>
      <c r="EIG49" s="17"/>
      <c r="EIH49" s="30"/>
      <c r="EII49" s="31"/>
      <c r="EIJ49" s="16"/>
      <c r="EIK49" s="17"/>
      <c r="EIL49" s="30"/>
      <c r="EIM49" s="31"/>
      <c r="EIN49" s="16"/>
      <c r="EIO49" s="17"/>
      <c r="EIP49" s="30"/>
      <c r="EIQ49" s="31"/>
      <c r="EIR49" s="16"/>
      <c r="EIS49" s="17"/>
      <c r="EIT49" s="30"/>
      <c r="EIU49" s="31"/>
      <c r="EIV49" s="16"/>
      <c r="EIW49" s="17"/>
      <c r="EIX49" s="30"/>
      <c r="EIY49" s="31"/>
      <c r="EIZ49" s="16"/>
      <c r="EJA49" s="17"/>
      <c r="EJB49" s="30"/>
      <c r="EJC49" s="31"/>
      <c r="EJD49" s="16"/>
      <c r="EJE49" s="17"/>
      <c r="EJF49" s="30"/>
      <c r="EJG49" s="31"/>
      <c r="EJH49" s="16"/>
      <c r="EJI49" s="17"/>
      <c r="EJJ49" s="30"/>
      <c r="EJK49" s="31"/>
      <c r="EJL49" s="16"/>
      <c r="EJM49" s="17"/>
      <c r="EJN49" s="30"/>
      <c r="EJO49" s="31"/>
      <c r="EJP49" s="16"/>
      <c r="EJQ49" s="17"/>
      <c r="EJR49" s="30"/>
      <c r="EJS49" s="31"/>
      <c r="EJT49" s="16"/>
      <c r="EJU49" s="17"/>
      <c r="EJV49" s="30"/>
      <c r="EJW49" s="31"/>
      <c r="EJX49" s="16"/>
      <c r="EJY49" s="17"/>
      <c r="EJZ49" s="30"/>
      <c r="EKA49" s="31"/>
      <c r="EKB49" s="16"/>
      <c r="EKC49" s="17"/>
      <c r="EKD49" s="30"/>
      <c r="EKE49" s="31"/>
      <c r="EKF49" s="16"/>
      <c r="EKG49" s="17"/>
      <c r="EKH49" s="30"/>
      <c r="EKI49" s="31"/>
      <c r="EKJ49" s="16"/>
      <c r="EKK49" s="17"/>
      <c r="EKL49" s="30"/>
      <c r="EKM49" s="31"/>
      <c r="EKN49" s="16"/>
      <c r="EKO49" s="17"/>
      <c r="EKP49" s="30"/>
      <c r="EKQ49" s="31"/>
      <c r="EKR49" s="16"/>
      <c r="EKS49" s="17"/>
      <c r="EKT49" s="30"/>
      <c r="EKU49" s="31"/>
      <c r="EKV49" s="16"/>
      <c r="EKW49" s="17"/>
      <c r="EKX49" s="30"/>
      <c r="EKY49" s="31"/>
      <c r="EKZ49" s="16"/>
      <c r="ELA49" s="17"/>
      <c r="ELB49" s="30"/>
      <c r="ELC49" s="31"/>
      <c r="ELD49" s="16"/>
      <c r="ELE49" s="17"/>
      <c r="ELF49" s="30"/>
      <c r="ELG49" s="31"/>
      <c r="ELH49" s="16"/>
      <c r="ELI49" s="17"/>
      <c r="ELJ49" s="30"/>
      <c r="ELK49" s="31"/>
      <c r="ELL49" s="16"/>
      <c r="ELM49" s="17"/>
      <c r="ELN49" s="30"/>
      <c r="ELO49" s="31"/>
      <c r="ELP49" s="16"/>
      <c r="ELQ49" s="17"/>
      <c r="ELR49" s="30"/>
      <c r="ELS49" s="31"/>
      <c r="ELT49" s="16"/>
      <c r="ELU49" s="17"/>
      <c r="ELV49" s="30"/>
      <c r="ELW49" s="31"/>
      <c r="ELX49" s="16"/>
      <c r="ELY49" s="17"/>
      <c r="ELZ49" s="30"/>
      <c r="EMA49" s="31"/>
      <c r="EMB49" s="16"/>
      <c r="EMC49" s="17"/>
      <c r="EMD49" s="30"/>
      <c r="EME49" s="31"/>
      <c r="EMF49" s="16"/>
      <c r="EMG49" s="17"/>
      <c r="EMH49" s="30"/>
      <c r="EMI49" s="31"/>
      <c r="EMJ49" s="16"/>
      <c r="EMK49" s="17"/>
      <c r="EML49" s="30"/>
      <c r="EMM49" s="31"/>
      <c r="EMN49" s="16"/>
      <c r="EMO49" s="17"/>
      <c r="EMP49" s="30"/>
      <c r="EMQ49" s="31"/>
      <c r="EMR49" s="16"/>
      <c r="EMS49" s="17"/>
      <c r="EMT49" s="30"/>
      <c r="EMU49" s="31"/>
      <c r="EMV49" s="16"/>
      <c r="EMW49" s="17"/>
      <c r="EMX49" s="30"/>
      <c r="EMY49" s="31"/>
      <c r="EMZ49" s="16"/>
      <c r="ENA49" s="17"/>
      <c r="ENB49" s="30"/>
      <c r="ENC49" s="31"/>
      <c r="END49" s="16"/>
      <c r="ENE49" s="17"/>
      <c r="ENF49" s="30"/>
      <c r="ENG49" s="31"/>
      <c r="ENH49" s="16"/>
      <c r="ENI49" s="17"/>
      <c r="ENJ49" s="30"/>
      <c r="ENK49" s="31"/>
      <c r="ENL49" s="16"/>
      <c r="ENM49" s="17"/>
      <c r="ENN49" s="30"/>
      <c r="ENO49" s="31"/>
      <c r="ENP49" s="16"/>
      <c r="ENQ49" s="17"/>
      <c r="ENR49" s="30"/>
      <c r="ENS49" s="31"/>
      <c r="ENT49" s="16"/>
      <c r="ENU49" s="17"/>
      <c r="ENV49" s="30"/>
      <c r="ENW49" s="31"/>
      <c r="ENX49" s="16"/>
      <c r="ENY49" s="17"/>
      <c r="ENZ49" s="30"/>
      <c r="EOA49" s="31"/>
      <c r="EOB49" s="16"/>
      <c r="EOC49" s="17"/>
      <c r="EOD49" s="30"/>
      <c r="EOE49" s="31"/>
      <c r="EOF49" s="16"/>
      <c r="EOG49" s="17"/>
      <c r="EOH49" s="30"/>
      <c r="EOI49" s="31"/>
      <c r="EOJ49" s="16"/>
      <c r="EOK49" s="17"/>
      <c r="EOL49" s="30"/>
      <c r="EOM49" s="31"/>
      <c r="EON49" s="16"/>
      <c r="EOO49" s="17"/>
      <c r="EOP49" s="30"/>
      <c r="EOQ49" s="31"/>
      <c r="EOR49" s="16"/>
      <c r="EOS49" s="17"/>
      <c r="EOT49" s="30"/>
      <c r="EOU49" s="31"/>
      <c r="EOV49" s="16"/>
      <c r="EOW49" s="17"/>
      <c r="EOX49" s="30"/>
      <c r="EOY49" s="31"/>
      <c r="EOZ49" s="16"/>
      <c r="EPA49" s="17"/>
      <c r="EPB49" s="30"/>
      <c r="EPC49" s="31"/>
      <c r="EPD49" s="16"/>
      <c r="EPE49" s="17"/>
      <c r="EPF49" s="30"/>
      <c r="EPG49" s="31"/>
      <c r="EPH49" s="16"/>
      <c r="EPI49" s="17"/>
      <c r="EPJ49" s="30"/>
      <c r="EPK49" s="31"/>
      <c r="EPL49" s="16"/>
      <c r="EPM49" s="17"/>
      <c r="EPN49" s="30"/>
      <c r="EPO49" s="31"/>
      <c r="EPP49" s="16"/>
      <c r="EPQ49" s="17"/>
      <c r="EPR49" s="30"/>
      <c r="EPS49" s="31"/>
      <c r="EPT49" s="16"/>
      <c r="EPU49" s="17"/>
      <c r="EPV49" s="30"/>
      <c r="EPW49" s="31"/>
      <c r="EPX49" s="16"/>
      <c r="EPY49" s="17"/>
      <c r="EPZ49" s="30"/>
      <c r="EQA49" s="31"/>
      <c r="EQB49" s="16"/>
      <c r="EQC49" s="17"/>
      <c r="EQD49" s="30"/>
      <c r="EQE49" s="31"/>
      <c r="EQF49" s="16"/>
      <c r="EQG49" s="17"/>
      <c r="EQH49" s="30"/>
      <c r="EQI49" s="31"/>
      <c r="EQJ49" s="16"/>
      <c r="EQK49" s="17"/>
      <c r="EQL49" s="30"/>
      <c r="EQM49" s="31"/>
      <c r="EQN49" s="16"/>
      <c r="EQO49" s="17"/>
      <c r="EQP49" s="30"/>
      <c r="EQQ49" s="31"/>
      <c r="EQR49" s="16"/>
      <c r="EQS49" s="17"/>
      <c r="EQT49" s="30"/>
      <c r="EQU49" s="31"/>
      <c r="EQV49" s="16"/>
      <c r="EQW49" s="17"/>
      <c r="EQX49" s="30"/>
      <c r="EQY49" s="31"/>
      <c r="EQZ49" s="16"/>
      <c r="ERA49" s="17"/>
      <c r="ERB49" s="30"/>
      <c r="ERC49" s="31"/>
      <c r="ERD49" s="16"/>
      <c r="ERE49" s="17"/>
      <c r="ERF49" s="30"/>
      <c r="ERG49" s="31"/>
      <c r="ERH49" s="16"/>
      <c r="ERI49" s="17"/>
      <c r="ERJ49" s="30"/>
      <c r="ERK49" s="31"/>
      <c r="ERL49" s="16"/>
      <c r="ERM49" s="17"/>
      <c r="ERN49" s="30"/>
      <c r="ERO49" s="31"/>
      <c r="ERP49" s="16"/>
      <c r="ERQ49" s="17"/>
      <c r="ERR49" s="30"/>
      <c r="ERS49" s="31"/>
      <c r="ERT49" s="16"/>
      <c r="ERU49" s="17"/>
      <c r="ERV49" s="30"/>
      <c r="ERW49" s="31"/>
      <c r="ERX49" s="16"/>
      <c r="ERY49" s="17"/>
      <c r="ERZ49" s="30"/>
      <c r="ESA49" s="31"/>
      <c r="ESB49" s="16"/>
      <c r="ESC49" s="17"/>
      <c r="ESD49" s="30"/>
      <c r="ESE49" s="31"/>
      <c r="ESF49" s="16"/>
      <c r="ESG49" s="17"/>
      <c r="ESH49" s="30"/>
      <c r="ESI49" s="31"/>
      <c r="ESJ49" s="16"/>
      <c r="ESK49" s="17"/>
      <c r="ESL49" s="30"/>
      <c r="ESM49" s="31"/>
      <c r="ESN49" s="16"/>
      <c r="ESO49" s="17"/>
      <c r="ESP49" s="30"/>
      <c r="ESQ49" s="31"/>
      <c r="ESR49" s="16"/>
      <c r="ESS49" s="17"/>
      <c r="EST49" s="30"/>
      <c r="ESU49" s="31"/>
      <c r="ESV49" s="16"/>
      <c r="ESW49" s="17"/>
      <c r="ESX49" s="30"/>
      <c r="ESY49" s="31"/>
      <c r="ESZ49" s="16"/>
      <c r="ETA49" s="17"/>
      <c r="ETB49" s="30"/>
      <c r="ETC49" s="31"/>
      <c r="ETD49" s="16"/>
      <c r="ETE49" s="17"/>
      <c r="ETF49" s="30"/>
      <c r="ETG49" s="31"/>
      <c r="ETH49" s="16"/>
      <c r="ETI49" s="17"/>
      <c r="ETJ49" s="30"/>
      <c r="ETK49" s="31"/>
      <c r="ETL49" s="16"/>
      <c r="ETM49" s="17"/>
      <c r="ETN49" s="30"/>
      <c r="ETO49" s="31"/>
      <c r="ETP49" s="16"/>
      <c r="ETQ49" s="17"/>
      <c r="ETR49" s="30"/>
      <c r="ETS49" s="31"/>
      <c r="ETT49" s="16"/>
      <c r="ETU49" s="17"/>
      <c r="ETV49" s="30"/>
      <c r="ETW49" s="31"/>
      <c r="ETX49" s="16"/>
      <c r="ETY49" s="17"/>
      <c r="ETZ49" s="30"/>
      <c r="EUA49" s="31"/>
      <c r="EUB49" s="16"/>
      <c r="EUC49" s="17"/>
      <c r="EUD49" s="30"/>
      <c r="EUE49" s="31"/>
      <c r="EUF49" s="16"/>
      <c r="EUG49" s="17"/>
      <c r="EUH49" s="30"/>
      <c r="EUI49" s="31"/>
      <c r="EUJ49" s="16"/>
      <c r="EUK49" s="17"/>
      <c r="EUL49" s="30"/>
      <c r="EUM49" s="31"/>
      <c r="EUN49" s="16"/>
      <c r="EUO49" s="17"/>
      <c r="EUP49" s="30"/>
      <c r="EUQ49" s="31"/>
      <c r="EUR49" s="16"/>
      <c r="EUS49" s="17"/>
      <c r="EUT49" s="30"/>
      <c r="EUU49" s="31"/>
      <c r="EUV49" s="16"/>
      <c r="EUW49" s="17"/>
      <c r="EUX49" s="30"/>
      <c r="EUY49" s="31"/>
      <c r="EUZ49" s="16"/>
      <c r="EVA49" s="17"/>
      <c r="EVB49" s="30"/>
      <c r="EVC49" s="31"/>
      <c r="EVD49" s="16"/>
      <c r="EVE49" s="17"/>
      <c r="EVF49" s="30"/>
      <c r="EVG49" s="31"/>
      <c r="EVH49" s="16"/>
      <c r="EVI49" s="17"/>
      <c r="EVJ49" s="30"/>
      <c r="EVK49" s="31"/>
      <c r="EVL49" s="16"/>
      <c r="EVM49" s="17"/>
      <c r="EVN49" s="30"/>
      <c r="EVO49" s="31"/>
      <c r="EVP49" s="16"/>
      <c r="EVQ49" s="17"/>
      <c r="EVR49" s="30"/>
      <c r="EVS49" s="31"/>
      <c r="EVT49" s="16"/>
      <c r="EVU49" s="17"/>
      <c r="EVV49" s="30"/>
      <c r="EVW49" s="31"/>
      <c r="EVX49" s="16"/>
      <c r="EVY49" s="17"/>
      <c r="EVZ49" s="30"/>
      <c r="EWA49" s="31"/>
      <c r="EWB49" s="16"/>
      <c r="EWC49" s="17"/>
      <c r="EWD49" s="30"/>
      <c r="EWE49" s="31"/>
      <c r="EWF49" s="16"/>
      <c r="EWG49" s="17"/>
      <c r="EWH49" s="30"/>
      <c r="EWI49" s="31"/>
      <c r="EWJ49" s="16"/>
      <c r="EWK49" s="17"/>
      <c r="EWL49" s="30"/>
      <c r="EWM49" s="31"/>
      <c r="EWN49" s="16"/>
      <c r="EWO49" s="17"/>
      <c r="EWP49" s="30"/>
      <c r="EWQ49" s="31"/>
      <c r="EWR49" s="16"/>
      <c r="EWS49" s="17"/>
      <c r="EWT49" s="30"/>
      <c r="EWU49" s="31"/>
      <c r="EWV49" s="16"/>
      <c r="EWW49" s="17"/>
      <c r="EWX49" s="30"/>
      <c r="EWY49" s="31"/>
      <c r="EWZ49" s="16"/>
      <c r="EXA49" s="17"/>
      <c r="EXB49" s="30"/>
      <c r="EXC49" s="31"/>
      <c r="EXD49" s="16"/>
      <c r="EXE49" s="17"/>
      <c r="EXF49" s="30"/>
      <c r="EXG49" s="31"/>
      <c r="EXH49" s="16"/>
      <c r="EXI49" s="17"/>
      <c r="EXJ49" s="30"/>
      <c r="EXK49" s="31"/>
      <c r="EXL49" s="16"/>
      <c r="EXM49" s="17"/>
      <c r="EXN49" s="30"/>
      <c r="EXO49" s="31"/>
      <c r="EXP49" s="16"/>
      <c r="EXQ49" s="17"/>
      <c r="EXR49" s="30"/>
      <c r="EXS49" s="31"/>
      <c r="EXT49" s="16"/>
      <c r="EXU49" s="17"/>
      <c r="EXV49" s="30"/>
      <c r="EXW49" s="31"/>
      <c r="EXX49" s="16"/>
      <c r="EXY49" s="17"/>
      <c r="EXZ49" s="30"/>
      <c r="EYA49" s="31"/>
      <c r="EYB49" s="16"/>
      <c r="EYC49" s="17"/>
      <c r="EYD49" s="30"/>
      <c r="EYE49" s="31"/>
      <c r="EYF49" s="16"/>
      <c r="EYG49" s="17"/>
      <c r="EYH49" s="30"/>
      <c r="EYI49" s="31"/>
      <c r="EYJ49" s="16"/>
      <c r="EYK49" s="17"/>
      <c r="EYL49" s="30"/>
      <c r="EYM49" s="31"/>
      <c r="EYN49" s="16"/>
      <c r="EYO49" s="17"/>
      <c r="EYP49" s="30"/>
      <c r="EYQ49" s="31"/>
      <c r="EYR49" s="16"/>
      <c r="EYS49" s="17"/>
      <c r="EYT49" s="30"/>
      <c r="EYU49" s="31"/>
      <c r="EYV49" s="16"/>
      <c r="EYW49" s="17"/>
      <c r="EYX49" s="30"/>
      <c r="EYY49" s="31"/>
      <c r="EYZ49" s="16"/>
      <c r="EZA49" s="17"/>
      <c r="EZB49" s="30"/>
      <c r="EZC49" s="31"/>
      <c r="EZD49" s="16"/>
      <c r="EZE49" s="17"/>
      <c r="EZF49" s="30"/>
      <c r="EZG49" s="31"/>
      <c r="EZH49" s="16"/>
      <c r="EZI49" s="17"/>
      <c r="EZJ49" s="30"/>
      <c r="EZK49" s="31"/>
      <c r="EZL49" s="16"/>
      <c r="EZM49" s="17"/>
      <c r="EZN49" s="30"/>
      <c r="EZO49" s="31"/>
      <c r="EZP49" s="16"/>
      <c r="EZQ49" s="17"/>
      <c r="EZR49" s="30"/>
      <c r="EZS49" s="31"/>
      <c r="EZT49" s="16"/>
      <c r="EZU49" s="17"/>
      <c r="EZV49" s="30"/>
      <c r="EZW49" s="31"/>
      <c r="EZX49" s="16"/>
      <c r="EZY49" s="17"/>
      <c r="EZZ49" s="30"/>
      <c r="FAA49" s="31"/>
      <c r="FAB49" s="16"/>
      <c r="FAC49" s="17"/>
      <c r="FAD49" s="30"/>
      <c r="FAE49" s="31"/>
      <c r="FAF49" s="16"/>
      <c r="FAG49" s="17"/>
      <c r="FAH49" s="30"/>
      <c r="FAI49" s="31"/>
      <c r="FAJ49" s="16"/>
      <c r="FAK49" s="17"/>
      <c r="FAL49" s="30"/>
      <c r="FAM49" s="31"/>
      <c r="FAN49" s="16"/>
      <c r="FAO49" s="17"/>
      <c r="FAP49" s="30"/>
      <c r="FAQ49" s="31"/>
      <c r="FAR49" s="16"/>
      <c r="FAS49" s="17"/>
      <c r="FAT49" s="30"/>
      <c r="FAU49" s="31"/>
      <c r="FAV49" s="16"/>
      <c r="FAW49" s="17"/>
      <c r="FAX49" s="30"/>
      <c r="FAY49" s="31"/>
      <c r="FAZ49" s="16"/>
      <c r="FBA49" s="17"/>
      <c r="FBB49" s="30"/>
      <c r="FBC49" s="31"/>
      <c r="FBD49" s="16"/>
      <c r="FBE49" s="17"/>
      <c r="FBF49" s="30"/>
      <c r="FBG49" s="31"/>
      <c r="FBH49" s="16"/>
      <c r="FBI49" s="17"/>
      <c r="FBJ49" s="30"/>
      <c r="FBK49" s="31"/>
      <c r="FBL49" s="16"/>
      <c r="FBM49" s="17"/>
      <c r="FBN49" s="30"/>
      <c r="FBO49" s="31"/>
      <c r="FBP49" s="16"/>
      <c r="FBQ49" s="17"/>
      <c r="FBR49" s="30"/>
      <c r="FBS49" s="31"/>
      <c r="FBT49" s="16"/>
      <c r="FBU49" s="17"/>
      <c r="FBV49" s="30"/>
      <c r="FBW49" s="31"/>
      <c r="FBX49" s="16"/>
      <c r="FBY49" s="17"/>
      <c r="FBZ49" s="30"/>
      <c r="FCA49" s="31"/>
      <c r="FCB49" s="16"/>
      <c r="FCC49" s="17"/>
      <c r="FCD49" s="30"/>
      <c r="FCE49" s="31"/>
      <c r="FCF49" s="16"/>
      <c r="FCG49" s="17"/>
      <c r="FCH49" s="30"/>
      <c r="FCI49" s="31"/>
      <c r="FCJ49" s="16"/>
      <c r="FCK49" s="17"/>
      <c r="FCL49" s="30"/>
      <c r="FCM49" s="31"/>
      <c r="FCN49" s="16"/>
      <c r="FCO49" s="17"/>
      <c r="FCP49" s="30"/>
      <c r="FCQ49" s="31"/>
      <c r="FCR49" s="16"/>
      <c r="FCS49" s="17"/>
      <c r="FCT49" s="30"/>
      <c r="FCU49" s="31"/>
      <c r="FCV49" s="16"/>
      <c r="FCW49" s="17"/>
      <c r="FCX49" s="30"/>
      <c r="FCY49" s="31"/>
      <c r="FCZ49" s="16"/>
      <c r="FDA49" s="17"/>
      <c r="FDB49" s="30"/>
      <c r="FDC49" s="31"/>
      <c r="FDD49" s="16"/>
      <c r="FDE49" s="17"/>
      <c r="FDF49" s="30"/>
      <c r="FDG49" s="31"/>
      <c r="FDH49" s="16"/>
      <c r="FDI49" s="17"/>
      <c r="FDJ49" s="30"/>
      <c r="FDK49" s="31"/>
      <c r="FDL49" s="16"/>
      <c r="FDM49" s="17"/>
      <c r="FDN49" s="30"/>
      <c r="FDO49" s="31"/>
      <c r="FDP49" s="16"/>
      <c r="FDQ49" s="17"/>
      <c r="FDR49" s="30"/>
      <c r="FDS49" s="31"/>
      <c r="FDT49" s="16"/>
      <c r="FDU49" s="17"/>
      <c r="FDV49" s="30"/>
      <c r="FDW49" s="31"/>
      <c r="FDX49" s="16"/>
      <c r="FDY49" s="17"/>
      <c r="FDZ49" s="30"/>
      <c r="FEA49" s="31"/>
      <c r="FEB49" s="16"/>
      <c r="FEC49" s="17"/>
      <c r="FED49" s="30"/>
      <c r="FEE49" s="31"/>
      <c r="FEF49" s="16"/>
      <c r="FEG49" s="17"/>
      <c r="FEH49" s="30"/>
      <c r="FEI49" s="31"/>
      <c r="FEJ49" s="16"/>
      <c r="FEK49" s="17"/>
      <c r="FEL49" s="30"/>
      <c r="FEM49" s="31"/>
      <c r="FEN49" s="16"/>
      <c r="FEO49" s="17"/>
      <c r="FEP49" s="30"/>
      <c r="FEQ49" s="31"/>
      <c r="FER49" s="16"/>
      <c r="FES49" s="17"/>
      <c r="FET49" s="30"/>
      <c r="FEU49" s="31"/>
      <c r="FEV49" s="16"/>
      <c r="FEW49" s="17"/>
      <c r="FEX49" s="30"/>
      <c r="FEY49" s="31"/>
      <c r="FEZ49" s="16"/>
      <c r="FFA49" s="17"/>
      <c r="FFB49" s="30"/>
      <c r="FFC49" s="31"/>
      <c r="FFD49" s="16"/>
      <c r="FFE49" s="17"/>
      <c r="FFF49" s="30"/>
      <c r="FFG49" s="31"/>
      <c r="FFH49" s="16"/>
      <c r="FFI49" s="17"/>
      <c r="FFJ49" s="30"/>
      <c r="FFK49" s="31"/>
      <c r="FFL49" s="16"/>
      <c r="FFM49" s="17"/>
      <c r="FFN49" s="30"/>
      <c r="FFO49" s="31"/>
      <c r="FFP49" s="16"/>
      <c r="FFQ49" s="17"/>
      <c r="FFR49" s="30"/>
      <c r="FFS49" s="31"/>
      <c r="FFT49" s="16"/>
      <c r="FFU49" s="17"/>
      <c r="FFV49" s="30"/>
      <c r="FFW49" s="31"/>
      <c r="FFX49" s="16"/>
      <c r="FFY49" s="17"/>
      <c r="FFZ49" s="30"/>
      <c r="FGA49" s="31"/>
      <c r="FGB49" s="16"/>
      <c r="FGC49" s="17"/>
      <c r="FGD49" s="30"/>
      <c r="FGE49" s="31"/>
      <c r="FGF49" s="16"/>
      <c r="FGG49" s="17"/>
      <c r="FGH49" s="30"/>
      <c r="FGI49" s="31"/>
      <c r="FGJ49" s="16"/>
      <c r="FGK49" s="17"/>
      <c r="FGL49" s="30"/>
      <c r="FGM49" s="31"/>
      <c r="FGN49" s="16"/>
      <c r="FGO49" s="17"/>
      <c r="FGP49" s="30"/>
      <c r="FGQ49" s="31"/>
      <c r="FGR49" s="16"/>
      <c r="FGS49" s="17"/>
      <c r="FGT49" s="30"/>
      <c r="FGU49" s="31"/>
      <c r="FGV49" s="16"/>
      <c r="FGW49" s="17"/>
      <c r="FGX49" s="30"/>
      <c r="FGY49" s="31"/>
      <c r="FGZ49" s="16"/>
      <c r="FHA49" s="17"/>
      <c r="FHB49" s="30"/>
      <c r="FHC49" s="31"/>
      <c r="FHD49" s="16"/>
      <c r="FHE49" s="17"/>
      <c r="FHF49" s="30"/>
      <c r="FHG49" s="31"/>
      <c r="FHH49" s="16"/>
      <c r="FHI49" s="17"/>
      <c r="FHJ49" s="30"/>
      <c r="FHK49" s="31"/>
      <c r="FHL49" s="16"/>
      <c r="FHM49" s="17"/>
      <c r="FHN49" s="30"/>
      <c r="FHO49" s="31"/>
      <c r="FHP49" s="16"/>
      <c r="FHQ49" s="17"/>
      <c r="FHR49" s="30"/>
      <c r="FHS49" s="31"/>
      <c r="FHT49" s="16"/>
      <c r="FHU49" s="17"/>
      <c r="FHV49" s="30"/>
      <c r="FHW49" s="31"/>
      <c r="FHX49" s="16"/>
      <c r="FHY49" s="17"/>
      <c r="FHZ49" s="30"/>
      <c r="FIA49" s="31"/>
      <c r="FIB49" s="16"/>
      <c r="FIC49" s="17"/>
      <c r="FID49" s="30"/>
      <c r="FIE49" s="31"/>
      <c r="FIF49" s="16"/>
      <c r="FIG49" s="17"/>
      <c r="FIH49" s="30"/>
      <c r="FII49" s="31"/>
      <c r="FIJ49" s="16"/>
      <c r="FIK49" s="17"/>
      <c r="FIL49" s="30"/>
      <c r="FIM49" s="31"/>
      <c r="FIN49" s="16"/>
      <c r="FIO49" s="17"/>
      <c r="FIP49" s="30"/>
      <c r="FIQ49" s="31"/>
      <c r="FIR49" s="16"/>
      <c r="FIS49" s="17"/>
      <c r="FIT49" s="30"/>
      <c r="FIU49" s="31"/>
      <c r="FIV49" s="16"/>
      <c r="FIW49" s="17"/>
      <c r="FIX49" s="30"/>
      <c r="FIY49" s="31"/>
      <c r="FIZ49" s="16"/>
      <c r="FJA49" s="17"/>
      <c r="FJB49" s="30"/>
      <c r="FJC49" s="31"/>
      <c r="FJD49" s="16"/>
      <c r="FJE49" s="17"/>
      <c r="FJF49" s="30"/>
      <c r="FJG49" s="31"/>
      <c r="FJH49" s="16"/>
      <c r="FJI49" s="17"/>
      <c r="FJJ49" s="30"/>
      <c r="FJK49" s="31"/>
      <c r="FJL49" s="16"/>
      <c r="FJM49" s="17"/>
      <c r="FJN49" s="30"/>
      <c r="FJO49" s="31"/>
      <c r="FJP49" s="16"/>
      <c r="FJQ49" s="17"/>
      <c r="FJR49" s="30"/>
      <c r="FJS49" s="31"/>
      <c r="FJT49" s="16"/>
      <c r="FJU49" s="17"/>
      <c r="FJV49" s="30"/>
      <c r="FJW49" s="31"/>
      <c r="FJX49" s="16"/>
      <c r="FJY49" s="17"/>
      <c r="FJZ49" s="30"/>
      <c r="FKA49" s="31"/>
      <c r="FKB49" s="16"/>
      <c r="FKC49" s="17"/>
      <c r="FKD49" s="30"/>
      <c r="FKE49" s="31"/>
      <c r="FKF49" s="16"/>
      <c r="FKG49" s="17"/>
      <c r="FKH49" s="30"/>
      <c r="FKI49" s="31"/>
      <c r="FKJ49" s="16"/>
      <c r="FKK49" s="17"/>
      <c r="FKL49" s="30"/>
      <c r="FKM49" s="31"/>
      <c r="FKN49" s="16"/>
      <c r="FKO49" s="17"/>
      <c r="FKP49" s="30"/>
      <c r="FKQ49" s="31"/>
      <c r="FKR49" s="16"/>
      <c r="FKS49" s="17"/>
      <c r="FKT49" s="30"/>
      <c r="FKU49" s="31"/>
      <c r="FKV49" s="16"/>
      <c r="FKW49" s="17"/>
      <c r="FKX49" s="30"/>
      <c r="FKY49" s="31"/>
      <c r="FKZ49" s="16"/>
      <c r="FLA49" s="17"/>
      <c r="FLB49" s="30"/>
      <c r="FLC49" s="31"/>
      <c r="FLD49" s="16"/>
      <c r="FLE49" s="17"/>
      <c r="FLF49" s="30"/>
      <c r="FLG49" s="31"/>
      <c r="FLH49" s="16"/>
      <c r="FLI49" s="17"/>
      <c r="FLJ49" s="30"/>
      <c r="FLK49" s="31"/>
      <c r="FLL49" s="16"/>
      <c r="FLM49" s="17"/>
      <c r="FLN49" s="30"/>
      <c r="FLO49" s="31"/>
      <c r="FLP49" s="16"/>
      <c r="FLQ49" s="17"/>
      <c r="FLR49" s="30"/>
      <c r="FLS49" s="31"/>
      <c r="FLT49" s="16"/>
      <c r="FLU49" s="17"/>
      <c r="FLV49" s="30"/>
      <c r="FLW49" s="31"/>
      <c r="FLX49" s="16"/>
      <c r="FLY49" s="17"/>
      <c r="FLZ49" s="30"/>
      <c r="FMA49" s="31"/>
      <c r="FMB49" s="16"/>
      <c r="FMC49" s="17"/>
      <c r="FMD49" s="30"/>
      <c r="FME49" s="31"/>
      <c r="FMF49" s="16"/>
      <c r="FMG49" s="17"/>
      <c r="FMH49" s="30"/>
      <c r="FMI49" s="31"/>
      <c r="FMJ49" s="16"/>
      <c r="FMK49" s="17"/>
      <c r="FML49" s="30"/>
      <c r="FMM49" s="31"/>
      <c r="FMN49" s="16"/>
      <c r="FMO49" s="17"/>
      <c r="FMP49" s="30"/>
      <c r="FMQ49" s="31"/>
      <c r="FMR49" s="16"/>
      <c r="FMS49" s="17"/>
      <c r="FMT49" s="30"/>
      <c r="FMU49" s="31"/>
      <c r="FMV49" s="16"/>
      <c r="FMW49" s="17"/>
      <c r="FMX49" s="30"/>
      <c r="FMY49" s="31"/>
      <c r="FMZ49" s="16"/>
      <c r="FNA49" s="17"/>
      <c r="FNB49" s="30"/>
      <c r="FNC49" s="31"/>
      <c r="FND49" s="16"/>
      <c r="FNE49" s="17"/>
      <c r="FNF49" s="30"/>
      <c r="FNG49" s="31"/>
      <c r="FNH49" s="16"/>
      <c r="FNI49" s="17"/>
      <c r="FNJ49" s="30"/>
      <c r="FNK49" s="31"/>
      <c r="FNL49" s="16"/>
      <c r="FNM49" s="17"/>
      <c r="FNN49" s="30"/>
      <c r="FNO49" s="31"/>
      <c r="FNP49" s="16"/>
      <c r="FNQ49" s="17"/>
      <c r="FNR49" s="30"/>
      <c r="FNS49" s="31"/>
      <c r="FNT49" s="16"/>
      <c r="FNU49" s="17"/>
      <c r="FNV49" s="30"/>
      <c r="FNW49" s="31"/>
      <c r="FNX49" s="16"/>
      <c r="FNY49" s="17"/>
      <c r="FNZ49" s="30"/>
      <c r="FOA49" s="31"/>
      <c r="FOB49" s="16"/>
      <c r="FOC49" s="17"/>
      <c r="FOD49" s="30"/>
      <c r="FOE49" s="31"/>
      <c r="FOF49" s="16"/>
      <c r="FOG49" s="17"/>
      <c r="FOH49" s="30"/>
      <c r="FOI49" s="31"/>
      <c r="FOJ49" s="16"/>
      <c r="FOK49" s="17"/>
      <c r="FOL49" s="30"/>
      <c r="FOM49" s="31"/>
      <c r="FON49" s="16"/>
      <c r="FOO49" s="17"/>
      <c r="FOP49" s="30"/>
      <c r="FOQ49" s="31"/>
      <c r="FOR49" s="16"/>
      <c r="FOS49" s="17"/>
      <c r="FOT49" s="30"/>
      <c r="FOU49" s="31"/>
      <c r="FOV49" s="16"/>
      <c r="FOW49" s="17"/>
      <c r="FOX49" s="30"/>
      <c r="FOY49" s="31"/>
      <c r="FOZ49" s="16"/>
      <c r="FPA49" s="17"/>
      <c r="FPB49" s="30"/>
      <c r="FPC49" s="31"/>
      <c r="FPD49" s="16"/>
      <c r="FPE49" s="17"/>
      <c r="FPF49" s="30"/>
      <c r="FPG49" s="31"/>
      <c r="FPH49" s="16"/>
      <c r="FPI49" s="17"/>
      <c r="FPJ49" s="30"/>
      <c r="FPK49" s="31"/>
      <c r="FPL49" s="16"/>
      <c r="FPM49" s="17"/>
      <c r="FPN49" s="30"/>
      <c r="FPO49" s="31"/>
      <c r="FPP49" s="16"/>
      <c r="FPQ49" s="17"/>
      <c r="FPR49" s="30"/>
      <c r="FPS49" s="31"/>
      <c r="FPT49" s="16"/>
      <c r="FPU49" s="17"/>
      <c r="FPV49" s="30"/>
      <c r="FPW49" s="31"/>
      <c r="FPX49" s="16"/>
      <c r="FPY49" s="17"/>
      <c r="FPZ49" s="30"/>
      <c r="FQA49" s="31"/>
      <c r="FQB49" s="16"/>
      <c r="FQC49" s="17"/>
      <c r="FQD49" s="30"/>
      <c r="FQE49" s="31"/>
      <c r="FQF49" s="16"/>
      <c r="FQG49" s="17"/>
      <c r="FQH49" s="30"/>
      <c r="FQI49" s="31"/>
      <c r="FQJ49" s="16"/>
      <c r="FQK49" s="17"/>
      <c r="FQL49" s="30"/>
      <c r="FQM49" s="31"/>
      <c r="FQN49" s="16"/>
      <c r="FQO49" s="17"/>
      <c r="FQP49" s="30"/>
      <c r="FQQ49" s="31"/>
      <c r="FQR49" s="16"/>
      <c r="FQS49" s="17"/>
      <c r="FQT49" s="30"/>
      <c r="FQU49" s="31"/>
      <c r="FQV49" s="16"/>
      <c r="FQW49" s="17"/>
      <c r="FQX49" s="30"/>
      <c r="FQY49" s="31"/>
      <c r="FQZ49" s="16"/>
      <c r="FRA49" s="17"/>
      <c r="FRB49" s="30"/>
      <c r="FRC49" s="31"/>
      <c r="FRD49" s="16"/>
      <c r="FRE49" s="17"/>
      <c r="FRF49" s="30"/>
      <c r="FRG49" s="31"/>
      <c r="FRH49" s="16"/>
      <c r="FRI49" s="17"/>
      <c r="FRJ49" s="30"/>
      <c r="FRK49" s="31"/>
      <c r="FRL49" s="16"/>
      <c r="FRM49" s="17"/>
      <c r="FRN49" s="30"/>
      <c r="FRO49" s="31"/>
      <c r="FRP49" s="16"/>
      <c r="FRQ49" s="17"/>
      <c r="FRR49" s="30"/>
      <c r="FRS49" s="31"/>
      <c r="FRT49" s="16"/>
      <c r="FRU49" s="17"/>
      <c r="FRV49" s="30"/>
      <c r="FRW49" s="31"/>
      <c r="FRX49" s="16"/>
      <c r="FRY49" s="17"/>
      <c r="FRZ49" s="30"/>
      <c r="FSA49" s="31"/>
      <c r="FSB49" s="16"/>
      <c r="FSC49" s="17"/>
      <c r="FSD49" s="30"/>
      <c r="FSE49" s="31"/>
      <c r="FSF49" s="16"/>
      <c r="FSG49" s="17"/>
      <c r="FSH49" s="30"/>
      <c r="FSI49" s="31"/>
      <c r="FSJ49" s="16"/>
      <c r="FSK49" s="17"/>
      <c r="FSL49" s="30"/>
      <c r="FSM49" s="31"/>
      <c r="FSN49" s="16"/>
      <c r="FSO49" s="17"/>
      <c r="FSP49" s="30"/>
      <c r="FSQ49" s="31"/>
      <c r="FSR49" s="16"/>
      <c r="FSS49" s="17"/>
      <c r="FST49" s="30"/>
      <c r="FSU49" s="31"/>
      <c r="FSV49" s="16"/>
      <c r="FSW49" s="17"/>
      <c r="FSX49" s="30"/>
      <c r="FSY49" s="31"/>
      <c r="FSZ49" s="16"/>
      <c r="FTA49" s="17"/>
      <c r="FTB49" s="30"/>
      <c r="FTC49" s="31"/>
      <c r="FTD49" s="16"/>
      <c r="FTE49" s="17"/>
      <c r="FTF49" s="30"/>
      <c r="FTG49" s="31"/>
      <c r="FTH49" s="16"/>
      <c r="FTI49" s="17"/>
      <c r="FTJ49" s="30"/>
      <c r="FTK49" s="31"/>
      <c r="FTL49" s="16"/>
      <c r="FTM49" s="17"/>
      <c r="FTN49" s="30"/>
      <c r="FTO49" s="31"/>
      <c r="FTP49" s="16"/>
      <c r="FTQ49" s="17"/>
      <c r="FTR49" s="30"/>
      <c r="FTS49" s="31"/>
      <c r="FTT49" s="16"/>
      <c r="FTU49" s="17"/>
      <c r="FTV49" s="30"/>
      <c r="FTW49" s="31"/>
      <c r="FTX49" s="16"/>
      <c r="FTY49" s="17"/>
      <c r="FTZ49" s="30"/>
      <c r="FUA49" s="31"/>
      <c r="FUB49" s="16"/>
      <c r="FUC49" s="17"/>
      <c r="FUD49" s="30"/>
      <c r="FUE49" s="31"/>
      <c r="FUF49" s="16"/>
      <c r="FUG49" s="17"/>
      <c r="FUH49" s="30"/>
      <c r="FUI49" s="31"/>
      <c r="FUJ49" s="16"/>
      <c r="FUK49" s="17"/>
      <c r="FUL49" s="30"/>
      <c r="FUM49" s="31"/>
      <c r="FUN49" s="16"/>
      <c r="FUO49" s="17"/>
      <c r="FUP49" s="30"/>
      <c r="FUQ49" s="31"/>
      <c r="FUR49" s="16"/>
      <c r="FUS49" s="17"/>
      <c r="FUT49" s="30"/>
      <c r="FUU49" s="31"/>
      <c r="FUV49" s="16"/>
      <c r="FUW49" s="17"/>
      <c r="FUX49" s="30"/>
      <c r="FUY49" s="31"/>
      <c r="FUZ49" s="16"/>
      <c r="FVA49" s="17"/>
      <c r="FVB49" s="30"/>
      <c r="FVC49" s="31"/>
      <c r="FVD49" s="16"/>
      <c r="FVE49" s="17"/>
      <c r="FVF49" s="30"/>
      <c r="FVG49" s="31"/>
      <c r="FVH49" s="16"/>
      <c r="FVI49" s="17"/>
      <c r="FVJ49" s="30"/>
      <c r="FVK49" s="31"/>
      <c r="FVL49" s="16"/>
      <c r="FVM49" s="17"/>
      <c r="FVN49" s="30"/>
      <c r="FVO49" s="31"/>
      <c r="FVP49" s="16"/>
      <c r="FVQ49" s="17"/>
      <c r="FVR49" s="30"/>
      <c r="FVS49" s="31"/>
      <c r="FVT49" s="16"/>
      <c r="FVU49" s="17"/>
      <c r="FVV49" s="30"/>
      <c r="FVW49" s="31"/>
      <c r="FVX49" s="16"/>
      <c r="FVY49" s="17"/>
      <c r="FVZ49" s="30"/>
      <c r="FWA49" s="31"/>
      <c r="FWB49" s="16"/>
      <c r="FWC49" s="17"/>
      <c r="FWD49" s="30"/>
      <c r="FWE49" s="31"/>
      <c r="FWF49" s="16"/>
      <c r="FWG49" s="17"/>
      <c r="FWH49" s="30"/>
      <c r="FWI49" s="31"/>
      <c r="FWJ49" s="16"/>
      <c r="FWK49" s="17"/>
      <c r="FWL49" s="30"/>
      <c r="FWM49" s="31"/>
      <c r="FWN49" s="16"/>
      <c r="FWO49" s="17"/>
      <c r="FWP49" s="30"/>
      <c r="FWQ49" s="31"/>
      <c r="FWR49" s="16"/>
      <c r="FWS49" s="17"/>
      <c r="FWT49" s="30"/>
      <c r="FWU49" s="31"/>
      <c r="FWV49" s="16"/>
      <c r="FWW49" s="17"/>
      <c r="FWX49" s="30"/>
      <c r="FWY49" s="31"/>
      <c r="FWZ49" s="16"/>
      <c r="FXA49" s="17"/>
      <c r="FXB49" s="30"/>
      <c r="FXC49" s="31"/>
      <c r="FXD49" s="16"/>
      <c r="FXE49" s="17"/>
      <c r="FXF49" s="30"/>
      <c r="FXG49" s="31"/>
      <c r="FXH49" s="16"/>
      <c r="FXI49" s="17"/>
      <c r="FXJ49" s="30"/>
      <c r="FXK49" s="31"/>
      <c r="FXL49" s="16"/>
      <c r="FXM49" s="17"/>
      <c r="FXN49" s="30"/>
      <c r="FXO49" s="31"/>
      <c r="FXP49" s="16"/>
      <c r="FXQ49" s="17"/>
      <c r="FXR49" s="30"/>
      <c r="FXS49" s="31"/>
      <c r="FXT49" s="16"/>
      <c r="FXU49" s="17"/>
      <c r="FXV49" s="30"/>
      <c r="FXW49" s="31"/>
      <c r="FXX49" s="16"/>
      <c r="FXY49" s="17"/>
      <c r="FXZ49" s="30"/>
      <c r="FYA49" s="31"/>
      <c r="FYB49" s="16"/>
      <c r="FYC49" s="17"/>
      <c r="FYD49" s="30"/>
      <c r="FYE49" s="31"/>
      <c r="FYF49" s="16"/>
      <c r="FYG49" s="17"/>
      <c r="FYH49" s="30"/>
      <c r="FYI49" s="31"/>
      <c r="FYJ49" s="16"/>
      <c r="FYK49" s="17"/>
      <c r="FYL49" s="30"/>
      <c r="FYM49" s="31"/>
      <c r="FYN49" s="16"/>
      <c r="FYO49" s="17"/>
      <c r="FYP49" s="30"/>
      <c r="FYQ49" s="31"/>
      <c r="FYR49" s="16"/>
      <c r="FYS49" s="17"/>
      <c r="FYT49" s="30"/>
      <c r="FYU49" s="31"/>
      <c r="FYV49" s="16"/>
      <c r="FYW49" s="17"/>
      <c r="FYX49" s="30"/>
      <c r="FYY49" s="31"/>
      <c r="FYZ49" s="16"/>
      <c r="FZA49" s="17"/>
      <c r="FZB49" s="30"/>
      <c r="FZC49" s="31"/>
      <c r="FZD49" s="16"/>
      <c r="FZE49" s="17"/>
      <c r="FZF49" s="30"/>
      <c r="FZG49" s="31"/>
      <c r="FZH49" s="16"/>
      <c r="FZI49" s="17"/>
      <c r="FZJ49" s="30"/>
      <c r="FZK49" s="31"/>
      <c r="FZL49" s="16"/>
      <c r="FZM49" s="17"/>
      <c r="FZN49" s="30"/>
      <c r="FZO49" s="31"/>
      <c r="FZP49" s="16"/>
      <c r="FZQ49" s="17"/>
      <c r="FZR49" s="30"/>
      <c r="FZS49" s="31"/>
      <c r="FZT49" s="16"/>
      <c r="FZU49" s="17"/>
      <c r="FZV49" s="30"/>
      <c r="FZW49" s="31"/>
      <c r="FZX49" s="16"/>
      <c r="FZY49" s="17"/>
      <c r="FZZ49" s="30"/>
      <c r="GAA49" s="31"/>
      <c r="GAB49" s="16"/>
      <c r="GAC49" s="17"/>
      <c r="GAD49" s="30"/>
      <c r="GAE49" s="31"/>
      <c r="GAF49" s="16"/>
      <c r="GAG49" s="17"/>
      <c r="GAH49" s="30"/>
      <c r="GAI49" s="31"/>
      <c r="GAJ49" s="16"/>
      <c r="GAK49" s="17"/>
      <c r="GAL49" s="30"/>
      <c r="GAM49" s="31"/>
      <c r="GAN49" s="16"/>
      <c r="GAO49" s="17"/>
      <c r="GAP49" s="30"/>
      <c r="GAQ49" s="31"/>
      <c r="GAR49" s="16"/>
      <c r="GAS49" s="17"/>
      <c r="GAT49" s="30"/>
      <c r="GAU49" s="31"/>
      <c r="GAV49" s="16"/>
      <c r="GAW49" s="17"/>
      <c r="GAX49" s="30"/>
      <c r="GAY49" s="31"/>
      <c r="GAZ49" s="16"/>
      <c r="GBA49" s="17"/>
      <c r="GBB49" s="30"/>
      <c r="GBC49" s="31"/>
      <c r="GBD49" s="16"/>
      <c r="GBE49" s="17"/>
      <c r="GBF49" s="30"/>
      <c r="GBG49" s="31"/>
      <c r="GBH49" s="16"/>
      <c r="GBI49" s="17"/>
      <c r="GBJ49" s="30"/>
      <c r="GBK49" s="31"/>
      <c r="GBL49" s="16"/>
      <c r="GBM49" s="17"/>
      <c r="GBN49" s="30"/>
      <c r="GBO49" s="31"/>
      <c r="GBP49" s="16"/>
      <c r="GBQ49" s="17"/>
      <c r="GBR49" s="30"/>
      <c r="GBS49" s="31"/>
      <c r="GBT49" s="16"/>
      <c r="GBU49" s="17"/>
      <c r="GBV49" s="30"/>
      <c r="GBW49" s="31"/>
      <c r="GBX49" s="16"/>
      <c r="GBY49" s="17"/>
      <c r="GBZ49" s="30"/>
      <c r="GCA49" s="31"/>
      <c r="GCB49" s="16"/>
      <c r="GCC49" s="17"/>
      <c r="GCD49" s="30"/>
      <c r="GCE49" s="31"/>
      <c r="GCF49" s="16"/>
      <c r="GCG49" s="17"/>
      <c r="GCH49" s="30"/>
      <c r="GCI49" s="31"/>
      <c r="GCJ49" s="16"/>
      <c r="GCK49" s="17"/>
      <c r="GCL49" s="30"/>
      <c r="GCM49" s="31"/>
      <c r="GCN49" s="16"/>
      <c r="GCO49" s="17"/>
      <c r="GCP49" s="30"/>
      <c r="GCQ49" s="31"/>
      <c r="GCR49" s="16"/>
      <c r="GCS49" s="17"/>
      <c r="GCT49" s="30"/>
      <c r="GCU49" s="31"/>
      <c r="GCV49" s="16"/>
      <c r="GCW49" s="17"/>
      <c r="GCX49" s="30"/>
      <c r="GCY49" s="31"/>
      <c r="GCZ49" s="16"/>
      <c r="GDA49" s="17"/>
      <c r="GDB49" s="30"/>
      <c r="GDC49" s="31"/>
      <c r="GDD49" s="16"/>
      <c r="GDE49" s="17"/>
      <c r="GDF49" s="30"/>
      <c r="GDG49" s="31"/>
      <c r="GDH49" s="16"/>
      <c r="GDI49" s="17"/>
      <c r="GDJ49" s="30"/>
      <c r="GDK49" s="31"/>
      <c r="GDL49" s="16"/>
      <c r="GDM49" s="17"/>
      <c r="GDN49" s="30"/>
      <c r="GDO49" s="31"/>
      <c r="GDP49" s="16"/>
      <c r="GDQ49" s="17"/>
      <c r="GDR49" s="30"/>
      <c r="GDS49" s="31"/>
      <c r="GDT49" s="16"/>
      <c r="GDU49" s="17"/>
      <c r="GDV49" s="30"/>
      <c r="GDW49" s="31"/>
      <c r="GDX49" s="16"/>
      <c r="GDY49" s="17"/>
      <c r="GDZ49" s="30"/>
      <c r="GEA49" s="31"/>
      <c r="GEB49" s="16"/>
      <c r="GEC49" s="17"/>
      <c r="GED49" s="30"/>
      <c r="GEE49" s="31"/>
      <c r="GEF49" s="16"/>
      <c r="GEG49" s="17"/>
      <c r="GEH49" s="30"/>
      <c r="GEI49" s="31"/>
      <c r="GEJ49" s="16"/>
      <c r="GEK49" s="17"/>
      <c r="GEL49" s="30"/>
      <c r="GEM49" s="31"/>
      <c r="GEN49" s="16"/>
      <c r="GEO49" s="17"/>
      <c r="GEP49" s="30"/>
      <c r="GEQ49" s="31"/>
      <c r="GER49" s="16"/>
      <c r="GES49" s="17"/>
      <c r="GET49" s="30"/>
      <c r="GEU49" s="31"/>
      <c r="GEV49" s="16"/>
      <c r="GEW49" s="17"/>
      <c r="GEX49" s="30"/>
      <c r="GEY49" s="31"/>
      <c r="GEZ49" s="16"/>
      <c r="GFA49" s="17"/>
      <c r="GFB49" s="30"/>
      <c r="GFC49" s="31"/>
      <c r="GFD49" s="16"/>
      <c r="GFE49" s="17"/>
      <c r="GFF49" s="30"/>
      <c r="GFG49" s="31"/>
      <c r="GFH49" s="16"/>
      <c r="GFI49" s="17"/>
      <c r="GFJ49" s="30"/>
      <c r="GFK49" s="31"/>
      <c r="GFL49" s="16"/>
      <c r="GFM49" s="17"/>
      <c r="GFN49" s="30"/>
      <c r="GFO49" s="31"/>
      <c r="GFP49" s="16"/>
      <c r="GFQ49" s="17"/>
      <c r="GFR49" s="30"/>
      <c r="GFS49" s="31"/>
      <c r="GFT49" s="16"/>
      <c r="GFU49" s="17"/>
      <c r="GFV49" s="30"/>
      <c r="GFW49" s="31"/>
      <c r="GFX49" s="16"/>
      <c r="GFY49" s="17"/>
      <c r="GFZ49" s="30"/>
      <c r="GGA49" s="31"/>
      <c r="GGB49" s="16"/>
      <c r="GGC49" s="17"/>
      <c r="GGD49" s="30"/>
      <c r="GGE49" s="31"/>
      <c r="GGF49" s="16"/>
      <c r="GGG49" s="17"/>
      <c r="GGH49" s="30"/>
      <c r="GGI49" s="31"/>
      <c r="GGJ49" s="16"/>
      <c r="GGK49" s="17"/>
      <c r="GGL49" s="30"/>
      <c r="GGM49" s="31"/>
      <c r="GGN49" s="16"/>
      <c r="GGO49" s="17"/>
      <c r="GGP49" s="30"/>
      <c r="GGQ49" s="31"/>
      <c r="GGR49" s="16"/>
      <c r="GGS49" s="17"/>
      <c r="GGT49" s="30"/>
      <c r="GGU49" s="31"/>
      <c r="GGV49" s="16"/>
      <c r="GGW49" s="17"/>
      <c r="GGX49" s="30"/>
      <c r="GGY49" s="31"/>
      <c r="GGZ49" s="16"/>
      <c r="GHA49" s="17"/>
      <c r="GHB49" s="30"/>
      <c r="GHC49" s="31"/>
      <c r="GHD49" s="16"/>
      <c r="GHE49" s="17"/>
      <c r="GHF49" s="30"/>
      <c r="GHG49" s="31"/>
      <c r="GHH49" s="16"/>
      <c r="GHI49" s="17"/>
      <c r="GHJ49" s="30"/>
      <c r="GHK49" s="31"/>
      <c r="GHL49" s="16"/>
      <c r="GHM49" s="17"/>
      <c r="GHN49" s="30"/>
      <c r="GHO49" s="31"/>
      <c r="GHP49" s="16"/>
      <c r="GHQ49" s="17"/>
      <c r="GHR49" s="30"/>
      <c r="GHS49" s="31"/>
      <c r="GHT49" s="16"/>
      <c r="GHU49" s="17"/>
      <c r="GHV49" s="30"/>
      <c r="GHW49" s="31"/>
      <c r="GHX49" s="16"/>
      <c r="GHY49" s="17"/>
      <c r="GHZ49" s="30"/>
      <c r="GIA49" s="31"/>
      <c r="GIB49" s="16"/>
      <c r="GIC49" s="17"/>
      <c r="GID49" s="30"/>
      <c r="GIE49" s="31"/>
      <c r="GIF49" s="16"/>
      <c r="GIG49" s="17"/>
      <c r="GIH49" s="30"/>
      <c r="GII49" s="31"/>
      <c r="GIJ49" s="16"/>
      <c r="GIK49" s="17"/>
      <c r="GIL49" s="30"/>
      <c r="GIM49" s="31"/>
      <c r="GIN49" s="16"/>
      <c r="GIO49" s="17"/>
      <c r="GIP49" s="30"/>
      <c r="GIQ49" s="31"/>
      <c r="GIR49" s="16"/>
      <c r="GIS49" s="17"/>
      <c r="GIT49" s="30"/>
      <c r="GIU49" s="31"/>
      <c r="GIV49" s="16"/>
      <c r="GIW49" s="17"/>
      <c r="GIX49" s="30"/>
      <c r="GIY49" s="31"/>
      <c r="GIZ49" s="16"/>
      <c r="GJA49" s="17"/>
      <c r="GJB49" s="30"/>
      <c r="GJC49" s="31"/>
      <c r="GJD49" s="16"/>
      <c r="GJE49" s="17"/>
      <c r="GJF49" s="30"/>
      <c r="GJG49" s="31"/>
      <c r="GJH49" s="16"/>
      <c r="GJI49" s="17"/>
      <c r="GJJ49" s="30"/>
      <c r="GJK49" s="31"/>
      <c r="GJL49" s="16"/>
      <c r="GJM49" s="17"/>
      <c r="GJN49" s="30"/>
      <c r="GJO49" s="31"/>
      <c r="GJP49" s="16"/>
      <c r="GJQ49" s="17"/>
      <c r="GJR49" s="30"/>
      <c r="GJS49" s="31"/>
      <c r="GJT49" s="16"/>
      <c r="GJU49" s="17"/>
      <c r="GJV49" s="30"/>
      <c r="GJW49" s="31"/>
      <c r="GJX49" s="16"/>
      <c r="GJY49" s="17"/>
      <c r="GJZ49" s="30"/>
      <c r="GKA49" s="31"/>
      <c r="GKB49" s="16"/>
      <c r="GKC49" s="17"/>
      <c r="GKD49" s="30"/>
      <c r="GKE49" s="31"/>
      <c r="GKF49" s="16"/>
      <c r="GKG49" s="17"/>
      <c r="GKH49" s="30"/>
      <c r="GKI49" s="31"/>
      <c r="GKJ49" s="16"/>
      <c r="GKK49" s="17"/>
      <c r="GKL49" s="30"/>
      <c r="GKM49" s="31"/>
      <c r="GKN49" s="16"/>
      <c r="GKO49" s="17"/>
      <c r="GKP49" s="30"/>
      <c r="GKQ49" s="31"/>
      <c r="GKR49" s="16"/>
      <c r="GKS49" s="17"/>
      <c r="GKT49" s="30"/>
      <c r="GKU49" s="31"/>
      <c r="GKV49" s="16"/>
      <c r="GKW49" s="17"/>
      <c r="GKX49" s="30"/>
      <c r="GKY49" s="31"/>
      <c r="GKZ49" s="16"/>
      <c r="GLA49" s="17"/>
      <c r="GLB49" s="30"/>
      <c r="GLC49" s="31"/>
      <c r="GLD49" s="16"/>
      <c r="GLE49" s="17"/>
      <c r="GLF49" s="30"/>
      <c r="GLG49" s="31"/>
      <c r="GLH49" s="16"/>
      <c r="GLI49" s="17"/>
      <c r="GLJ49" s="30"/>
      <c r="GLK49" s="31"/>
      <c r="GLL49" s="16"/>
      <c r="GLM49" s="17"/>
      <c r="GLN49" s="30"/>
      <c r="GLO49" s="31"/>
      <c r="GLP49" s="16"/>
      <c r="GLQ49" s="17"/>
      <c r="GLR49" s="30"/>
      <c r="GLS49" s="31"/>
      <c r="GLT49" s="16"/>
      <c r="GLU49" s="17"/>
      <c r="GLV49" s="30"/>
      <c r="GLW49" s="31"/>
      <c r="GLX49" s="16"/>
      <c r="GLY49" s="17"/>
      <c r="GLZ49" s="30"/>
      <c r="GMA49" s="31"/>
      <c r="GMB49" s="16"/>
      <c r="GMC49" s="17"/>
      <c r="GMD49" s="30"/>
      <c r="GME49" s="31"/>
      <c r="GMF49" s="16"/>
      <c r="GMG49" s="17"/>
      <c r="GMH49" s="30"/>
      <c r="GMI49" s="31"/>
      <c r="GMJ49" s="16"/>
      <c r="GMK49" s="17"/>
      <c r="GML49" s="30"/>
      <c r="GMM49" s="31"/>
      <c r="GMN49" s="16"/>
      <c r="GMO49" s="17"/>
      <c r="GMP49" s="30"/>
      <c r="GMQ49" s="31"/>
      <c r="GMR49" s="16"/>
      <c r="GMS49" s="17"/>
      <c r="GMT49" s="30"/>
      <c r="GMU49" s="31"/>
      <c r="GMV49" s="16"/>
      <c r="GMW49" s="17"/>
      <c r="GMX49" s="30"/>
      <c r="GMY49" s="31"/>
      <c r="GMZ49" s="16"/>
      <c r="GNA49" s="17"/>
      <c r="GNB49" s="30"/>
      <c r="GNC49" s="31"/>
      <c r="GND49" s="16"/>
      <c r="GNE49" s="17"/>
      <c r="GNF49" s="30"/>
      <c r="GNG49" s="31"/>
      <c r="GNH49" s="16"/>
      <c r="GNI49" s="17"/>
      <c r="GNJ49" s="30"/>
      <c r="GNK49" s="31"/>
      <c r="GNL49" s="16"/>
      <c r="GNM49" s="17"/>
      <c r="GNN49" s="30"/>
      <c r="GNO49" s="31"/>
      <c r="GNP49" s="16"/>
      <c r="GNQ49" s="17"/>
      <c r="GNR49" s="30"/>
      <c r="GNS49" s="31"/>
      <c r="GNT49" s="16"/>
      <c r="GNU49" s="17"/>
      <c r="GNV49" s="30"/>
      <c r="GNW49" s="31"/>
      <c r="GNX49" s="16"/>
      <c r="GNY49" s="17"/>
      <c r="GNZ49" s="30"/>
      <c r="GOA49" s="31"/>
      <c r="GOB49" s="16"/>
      <c r="GOC49" s="17"/>
      <c r="GOD49" s="30"/>
      <c r="GOE49" s="31"/>
      <c r="GOF49" s="16"/>
      <c r="GOG49" s="17"/>
      <c r="GOH49" s="30"/>
      <c r="GOI49" s="31"/>
      <c r="GOJ49" s="16"/>
      <c r="GOK49" s="17"/>
      <c r="GOL49" s="30"/>
      <c r="GOM49" s="31"/>
      <c r="GON49" s="16"/>
      <c r="GOO49" s="17"/>
      <c r="GOP49" s="30"/>
      <c r="GOQ49" s="31"/>
      <c r="GOR49" s="16"/>
      <c r="GOS49" s="17"/>
      <c r="GOT49" s="30"/>
      <c r="GOU49" s="31"/>
      <c r="GOV49" s="16"/>
      <c r="GOW49" s="17"/>
      <c r="GOX49" s="30"/>
      <c r="GOY49" s="31"/>
      <c r="GOZ49" s="16"/>
      <c r="GPA49" s="17"/>
      <c r="GPB49" s="30"/>
      <c r="GPC49" s="31"/>
      <c r="GPD49" s="16"/>
      <c r="GPE49" s="17"/>
      <c r="GPF49" s="30"/>
      <c r="GPG49" s="31"/>
      <c r="GPH49" s="16"/>
      <c r="GPI49" s="17"/>
      <c r="GPJ49" s="30"/>
      <c r="GPK49" s="31"/>
      <c r="GPL49" s="16"/>
      <c r="GPM49" s="17"/>
      <c r="GPN49" s="30"/>
      <c r="GPO49" s="31"/>
      <c r="GPP49" s="16"/>
      <c r="GPQ49" s="17"/>
      <c r="GPR49" s="30"/>
      <c r="GPS49" s="31"/>
      <c r="GPT49" s="16"/>
      <c r="GPU49" s="17"/>
      <c r="GPV49" s="30"/>
      <c r="GPW49" s="31"/>
      <c r="GPX49" s="16"/>
      <c r="GPY49" s="17"/>
      <c r="GPZ49" s="30"/>
      <c r="GQA49" s="31"/>
      <c r="GQB49" s="16"/>
      <c r="GQC49" s="17"/>
      <c r="GQD49" s="30"/>
      <c r="GQE49" s="31"/>
      <c r="GQF49" s="16"/>
      <c r="GQG49" s="17"/>
      <c r="GQH49" s="30"/>
      <c r="GQI49" s="31"/>
      <c r="GQJ49" s="16"/>
      <c r="GQK49" s="17"/>
      <c r="GQL49" s="30"/>
      <c r="GQM49" s="31"/>
      <c r="GQN49" s="16"/>
      <c r="GQO49" s="17"/>
      <c r="GQP49" s="30"/>
      <c r="GQQ49" s="31"/>
      <c r="GQR49" s="16"/>
      <c r="GQS49" s="17"/>
      <c r="GQT49" s="30"/>
      <c r="GQU49" s="31"/>
      <c r="GQV49" s="16"/>
      <c r="GQW49" s="17"/>
      <c r="GQX49" s="30"/>
      <c r="GQY49" s="31"/>
      <c r="GQZ49" s="16"/>
      <c r="GRA49" s="17"/>
      <c r="GRB49" s="30"/>
      <c r="GRC49" s="31"/>
      <c r="GRD49" s="16"/>
      <c r="GRE49" s="17"/>
      <c r="GRF49" s="30"/>
      <c r="GRG49" s="31"/>
      <c r="GRH49" s="16"/>
      <c r="GRI49" s="17"/>
      <c r="GRJ49" s="30"/>
      <c r="GRK49" s="31"/>
      <c r="GRL49" s="16"/>
      <c r="GRM49" s="17"/>
      <c r="GRN49" s="30"/>
      <c r="GRO49" s="31"/>
      <c r="GRP49" s="16"/>
      <c r="GRQ49" s="17"/>
      <c r="GRR49" s="30"/>
      <c r="GRS49" s="31"/>
      <c r="GRT49" s="16"/>
      <c r="GRU49" s="17"/>
      <c r="GRV49" s="30"/>
      <c r="GRW49" s="31"/>
      <c r="GRX49" s="16"/>
      <c r="GRY49" s="17"/>
      <c r="GRZ49" s="30"/>
      <c r="GSA49" s="31"/>
      <c r="GSB49" s="16"/>
      <c r="GSC49" s="17"/>
      <c r="GSD49" s="30"/>
      <c r="GSE49" s="31"/>
      <c r="GSF49" s="16"/>
      <c r="GSG49" s="17"/>
      <c r="GSH49" s="30"/>
      <c r="GSI49" s="31"/>
      <c r="GSJ49" s="16"/>
      <c r="GSK49" s="17"/>
      <c r="GSL49" s="30"/>
      <c r="GSM49" s="31"/>
      <c r="GSN49" s="16"/>
      <c r="GSO49" s="17"/>
      <c r="GSP49" s="30"/>
      <c r="GSQ49" s="31"/>
      <c r="GSR49" s="16"/>
      <c r="GSS49" s="17"/>
      <c r="GST49" s="30"/>
      <c r="GSU49" s="31"/>
      <c r="GSV49" s="16"/>
      <c r="GSW49" s="17"/>
      <c r="GSX49" s="30"/>
      <c r="GSY49" s="31"/>
      <c r="GSZ49" s="16"/>
      <c r="GTA49" s="17"/>
      <c r="GTB49" s="30"/>
      <c r="GTC49" s="31"/>
      <c r="GTD49" s="16"/>
      <c r="GTE49" s="17"/>
      <c r="GTF49" s="30"/>
      <c r="GTG49" s="31"/>
      <c r="GTH49" s="16"/>
      <c r="GTI49" s="17"/>
      <c r="GTJ49" s="30"/>
      <c r="GTK49" s="31"/>
      <c r="GTL49" s="16"/>
      <c r="GTM49" s="17"/>
      <c r="GTN49" s="30"/>
      <c r="GTO49" s="31"/>
      <c r="GTP49" s="16"/>
      <c r="GTQ49" s="17"/>
      <c r="GTR49" s="30"/>
      <c r="GTS49" s="31"/>
      <c r="GTT49" s="16"/>
      <c r="GTU49" s="17"/>
      <c r="GTV49" s="30"/>
      <c r="GTW49" s="31"/>
      <c r="GTX49" s="16"/>
      <c r="GTY49" s="17"/>
      <c r="GTZ49" s="30"/>
      <c r="GUA49" s="31"/>
      <c r="GUB49" s="16"/>
      <c r="GUC49" s="17"/>
      <c r="GUD49" s="30"/>
      <c r="GUE49" s="31"/>
      <c r="GUF49" s="16"/>
      <c r="GUG49" s="17"/>
      <c r="GUH49" s="30"/>
      <c r="GUI49" s="31"/>
      <c r="GUJ49" s="16"/>
      <c r="GUK49" s="17"/>
      <c r="GUL49" s="30"/>
      <c r="GUM49" s="31"/>
      <c r="GUN49" s="16"/>
      <c r="GUO49" s="17"/>
      <c r="GUP49" s="30"/>
      <c r="GUQ49" s="31"/>
      <c r="GUR49" s="16"/>
      <c r="GUS49" s="17"/>
      <c r="GUT49" s="30"/>
      <c r="GUU49" s="31"/>
      <c r="GUV49" s="16"/>
      <c r="GUW49" s="17"/>
      <c r="GUX49" s="30"/>
      <c r="GUY49" s="31"/>
      <c r="GUZ49" s="16"/>
      <c r="GVA49" s="17"/>
      <c r="GVB49" s="30"/>
      <c r="GVC49" s="31"/>
      <c r="GVD49" s="16"/>
      <c r="GVE49" s="17"/>
      <c r="GVF49" s="30"/>
      <c r="GVG49" s="31"/>
      <c r="GVH49" s="16"/>
      <c r="GVI49" s="17"/>
      <c r="GVJ49" s="30"/>
      <c r="GVK49" s="31"/>
      <c r="GVL49" s="16"/>
      <c r="GVM49" s="17"/>
      <c r="GVN49" s="30"/>
      <c r="GVO49" s="31"/>
      <c r="GVP49" s="16"/>
      <c r="GVQ49" s="17"/>
      <c r="GVR49" s="30"/>
      <c r="GVS49" s="31"/>
      <c r="GVT49" s="16"/>
      <c r="GVU49" s="17"/>
      <c r="GVV49" s="30"/>
      <c r="GVW49" s="31"/>
      <c r="GVX49" s="16"/>
      <c r="GVY49" s="17"/>
      <c r="GVZ49" s="30"/>
      <c r="GWA49" s="31"/>
      <c r="GWB49" s="16"/>
      <c r="GWC49" s="17"/>
      <c r="GWD49" s="30"/>
      <c r="GWE49" s="31"/>
      <c r="GWF49" s="16"/>
      <c r="GWG49" s="17"/>
      <c r="GWH49" s="30"/>
      <c r="GWI49" s="31"/>
      <c r="GWJ49" s="16"/>
      <c r="GWK49" s="17"/>
      <c r="GWL49" s="30"/>
      <c r="GWM49" s="31"/>
      <c r="GWN49" s="16"/>
      <c r="GWO49" s="17"/>
      <c r="GWP49" s="30"/>
      <c r="GWQ49" s="31"/>
      <c r="GWR49" s="16"/>
      <c r="GWS49" s="17"/>
      <c r="GWT49" s="30"/>
      <c r="GWU49" s="31"/>
      <c r="GWV49" s="16"/>
      <c r="GWW49" s="17"/>
      <c r="GWX49" s="30"/>
      <c r="GWY49" s="31"/>
      <c r="GWZ49" s="16"/>
      <c r="GXA49" s="17"/>
      <c r="GXB49" s="30"/>
      <c r="GXC49" s="31"/>
      <c r="GXD49" s="16"/>
      <c r="GXE49" s="17"/>
      <c r="GXF49" s="30"/>
      <c r="GXG49" s="31"/>
      <c r="GXH49" s="16"/>
      <c r="GXI49" s="17"/>
      <c r="GXJ49" s="30"/>
      <c r="GXK49" s="31"/>
      <c r="GXL49" s="16"/>
      <c r="GXM49" s="17"/>
      <c r="GXN49" s="30"/>
      <c r="GXO49" s="31"/>
      <c r="GXP49" s="16"/>
      <c r="GXQ49" s="17"/>
      <c r="GXR49" s="30"/>
      <c r="GXS49" s="31"/>
      <c r="GXT49" s="16"/>
      <c r="GXU49" s="17"/>
      <c r="GXV49" s="30"/>
      <c r="GXW49" s="31"/>
      <c r="GXX49" s="16"/>
      <c r="GXY49" s="17"/>
      <c r="GXZ49" s="30"/>
      <c r="GYA49" s="31"/>
      <c r="GYB49" s="16"/>
      <c r="GYC49" s="17"/>
      <c r="GYD49" s="30"/>
      <c r="GYE49" s="31"/>
      <c r="GYF49" s="16"/>
      <c r="GYG49" s="17"/>
      <c r="GYH49" s="30"/>
      <c r="GYI49" s="31"/>
      <c r="GYJ49" s="16"/>
      <c r="GYK49" s="17"/>
      <c r="GYL49" s="30"/>
      <c r="GYM49" s="31"/>
      <c r="GYN49" s="16"/>
      <c r="GYO49" s="17"/>
      <c r="GYP49" s="30"/>
      <c r="GYQ49" s="31"/>
      <c r="GYR49" s="16"/>
      <c r="GYS49" s="17"/>
      <c r="GYT49" s="30"/>
      <c r="GYU49" s="31"/>
      <c r="GYV49" s="16"/>
      <c r="GYW49" s="17"/>
      <c r="GYX49" s="30"/>
      <c r="GYY49" s="31"/>
      <c r="GYZ49" s="16"/>
      <c r="GZA49" s="17"/>
      <c r="GZB49" s="30"/>
      <c r="GZC49" s="31"/>
      <c r="GZD49" s="16"/>
      <c r="GZE49" s="17"/>
      <c r="GZF49" s="30"/>
      <c r="GZG49" s="31"/>
      <c r="GZH49" s="16"/>
      <c r="GZI49" s="17"/>
      <c r="GZJ49" s="30"/>
      <c r="GZK49" s="31"/>
      <c r="GZL49" s="16"/>
      <c r="GZM49" s="17"/>
      <c r="GZN49" s="30"/>
      <c r="GZO49" s="31"/>
      <c r="GZP49" s="16"/>
      <c r="GZQ49" s="17"/>
      <c r="GZR49" s="30"/>
      <c r="GZS49" s="31"/>
      <c r="GZT49" s="16"/>
      <c r="GZU49" s="17"/>
      <c r="GZV49" s="30"/>
      <c r="GZW49" s="31"/>
      <c r="GZX49" s="16"/>
      <c r="GZY49" s="17"/>
      <c r="GZZ49" s="30"/>
      <c r="HAA49" s="31"/>
      <c r="HAB49" s="16"/>
      <c r="HAC49" s="17"/>
      <c r="HAD49" s="30"/>
      <c r="HAE49" s="31"/>
      <c r="HAF49" s="16"/>
      <c r="HAG49" s="17"/>
      <c r="HAH49" s="30"/>
      <c r="HAI49" s="31"/>
      <c r="HAJ49" s="16"/>
      <c r="HAK49" s="17"/>
      <c r="HAL49" s="30"/>
      <c r="HAM49" s="31"/>
      <c r="HAN49" s="16"/>
      <c r="HAO49" s="17"/>
      <c r="HAP49" s="30"/>
      <c r="HAQ49" s="31"/>
      <c r="HAR49" s="16"/>
      <c r="HAS49" s="17"/>
      <c r="HAT49" s="30"/>
      <c r="HAU49" s="31"/>
      <c r="HAV49" s="16"/>
      <c r="HAW49" s="17"/>
      <c r="HAX49" s="30"/>
      <c r="HAY49" s="31"/>
      <c r="HAZ49" s="16"/>
      <c r="HBA49" s="17"/>
      <c r="HBB49" s="30"/>
      <c r="HBC49" s="31"/>
      <c r="HBD49" s="16"/>
      <c r="HBE49" s="17"/>
      <c r="HBF49" s="30"/>
      <c r="HBG49" s="31"/>
      <c r="HBH49" s="16"/>
      <c r="HBI49" s="17"/>
      <c r="HBJ49" s="30"/>
      <c r="HBK49" s="31"/>
      <c r="HBL49" s="16"/>
      <c r="HBM49" s="17"/>
      <c r="HBN49" s="30"/>
      <c r="HBO49" s="31"/>
      <c r="HBP49" s="16"/>
      <c r="HBQ49" s="17"/>
      <c r="HBR49" s="30"/>
      <c r="HBS49" s="31"/>
      <c r="HBT49" s="16"/>
      <c r="HBU49" s="17"/>
      <c r="HBV49" s="30"/>
      <c r="HBW49" s="31"/>
      <c r="HBX49" s="16"/>
      <c r="HBY49" s="17"/>
      <c r="HBZ49" s="30"/>
      <c r="HCA49" s="31"/>
      <c r="HCB49" s="16"/>
      <c r="HCC49" s="17"/>
      <c r="HCD49" s="30"/>
      <c r="HCE49" s="31"/>
      <c r="HCF49" s="16"/>
      <c r="HCG49" s="17"/>
      <c r="HCH49" s="30"/>
      <c r="HCI49" s="31"/>
      <c r="HCJ49" s="16"/>
      <c r="HCK49" s="17"/>
      <c r="HCL49" s="30"/>
      <c r="HCM49" s="31"/>
      <c r="HCN49" s="16"/>
      <c r="HCO49" s="17"/>
      <c r="HCP49" s="30"/>
      <c r="HCQ49" s="31"/>
      <c r="HCR49" s="16"/>
      <c r="HCS49" s="17"/>
      <c r="HCT49" s="30"/>
      <c r="HCU49" s="31"/>
      <c r="HCV49" s="16"/>
      <c r="HCW49" s="17"/>
      <c r="HCX49" s="30"/>
      <c r="HCY49" s="31"/>
      <c r="HCZ49" s="16"/>
      <c r="HDA49" s="17"/>
      <c r="HDB49" s="30"/>
      <c r="HDC49" s="31"/>
      <c r="HDD49" s="16"/>
      <c r="HDE49" s="17"/>
      <c r="HDF49" s="30"/>
      <c r="HDG49" s="31"/>
      <c r="HDH49" s="16"/>
      <c r="HDI49" s="17"/>
      <c r="HDJ49" s="30"/>
      <c r="HDK49" s="31"/>
      <c r="HDL49" s="16"/>
      <c r="HDM49" s="17"/>
      <c r="HDN49" s="30"/>
      <c r="HDO49" s="31"/>
      <c r="HDP49" s="16"/>
      <c r="HDQ49" s="17"/>
      <c r="HDR49" s="30"/>
      <c r="HDS49" s="31"/>
      <c r="HDT49" s="16"/>
      <c r="HDU49" s="17"/>
      <c r="HDV49" s="30"/>
      <c r="HDW49" s="31"/>
      <c r="HDX49" s="16"/>
      <c r="HDY49" s="17"/>
      <c r="HDZ49" s="30"/>
      <c r="HEA49" s="31"/>
      <c r="HEB49" s="16"/>
      <c r="HEC49" s="17"/>
      <c r="HED49" s="30"/>
      <c r="HEE49" s="31"/>
      <c r="HEF49" s="16"/>
      <c r="HEG49" s="17"/>
      <c r="HEH49" s="30"/>
      <c r="HEI49" s="31"/>
      <c r="HEJ49" s="16"/>
      <c r="HEK49" s="17"/>
      <c r="HEL49" s="30"/>
      <c r="HEM49" s="31"/>
      <c r="HEN49" s="16"/>
      <c r="HEO49" s="17"/>
      <c r="HEP49" s="30"/>
      <c r="HEQ49" s="31"/>
      <c r="HER49" s="16"/>
      <c r="HES49" s="17"/>
      <c r="HET49" s="30"/>
      <c r="HEU49" s="31"/>
      <c r="HEV49" s="16"/>
      <c r="HEW49" s="17"/>
      <c r="HEX49" s="30"/>
      <c r="HEY49" s="31"/>
      <c r="HEZ49" s="16"/>
      <c r="HFA49" s="17"/>
      <c r="HFB49" s="30"/>
      <c r="HFC49" s="31"/>
      <c r="HFD49" s="16"/>
      <c r="HFE49" s="17"/>
      <c r="HFF49" s="30"/>
      <c r="HFG49" s="31"/>
      <c r="HFH49" s="16"/>
      <c r="HFI49" s="17"/>
      <c r="HFJ49" s="30"/>
      <c r="HFK49" s="31"/>
      <c r="HFL49" s="16"/>
      <c r="HFM49" s="17"/>
      <c r="HFN49" s="30"/>
      <c r="HFO49" s="31"/>
      <c r="HFP49" s="16"/>
      <c r="HFQ49" s="17"/>
      <c r="HFR49" s="30"/>
      <c r="HFS49" s="31"/>
      <c r="HFT49" s="16"/>
      <c r="HFU49" s="17"/>
      <c r="HFV49" s="30"/>
      <c r="HFW49" s="31"/>
      <c r="HFX49" s="16"/>
      <c r="HFY49" s="17"/>
      <c r="HFZ49" s="30"/>
      <c r="HGA49" s="31"/>
      <c r="HGB49" s="16"/>
      <c r="HGC49" s="17"/>
      <c r="HGD49" s="30"/>
      <c r="HGE49" s="31"/>
      <c r="HGF49" s="16"/>
      <c r="HGG49" s="17"/>
      <c r="HGH49" s="30"/>
      <c r="HGI49" s="31"/>
      <c r="HGJ49" s="16"/>
      <c r="HGK49" s="17"/>
      <c r="HGL49" s="30"/>
      <c r="HGM49" s="31"/>
      <c r="HGN49" s="16"/>
      <c r="HGO49" s="17"/>
      <c r="HGP49" s="30"/>
      <c r="HGQ49" s="31"/>
      <c r="HGR49" s="16"/>
      <c r="HGS49" s="17"/>
      <c r="HGT49" s="30"/>
      <c r="HGU49" s="31"/>
      <c r="HGV49" s="16"/>
      <c r="HGW49" s="17"/>
      <c r="HGX49" s="30"/>
      <c r="HGY49" s="31"/>
      <c r="HGZ49" s="16"/>
      <c r="HHA49" s="17"/>
      <c r="HHB49" s="30"/>
      <c r="HHC49" s="31"/>
      <c r="HHD49" s="16"/>
      <c r="HHE49" s="17"/>
      <c r="HHF49" s="30"/>
      <c r="HHG49" s="31"/>
      <c r="HHH49" s="16"/>
      <c r="HHI49" s="17"/>
      <c r="HHJ49" s="30"/>
      <c r="HHK49" s="31"/>
      <c r="HHL49" s="16"/>
      <c r="HHM49" s="17"/>
      <c r="HHN49" s="30"/>
      <c r="HHO49" s="31"/>
      <c r="HHP49" s="16"/>
      <c r="HHQ49" s="17"/>
      <c r="HHR49" s="30"/>
      <c r="HHS49" s="31"/>
      <c r="HHT49" s="16"/>
      <c r="HHU49" s="17"/>
      <c r="HHV49" s="30"/>
      <c r="HHW49" s="31"/>
      <c r="HHX49" s="16"/>
      <c r="HHY49" s="17"/>
      <c r="HHZ49" s="30"/>
      <c r="HIA49" s="31"/>
      <c r="HIB49" s="16"/>
      <c r="HIC49" s="17"/>
      <c r="HID49" s="30"/>
      <c r="HIE49" s="31"/>
      <c r="HIF49" s="16"/>
      <c r="HIG49" s="17"/>
      <c r="HIH49" s="30"/>
      <c r="HII49" s="31"/>
      <c r="HIJ49" s="16"/>
      <c r="HIK49" s="17"/>
      <c r="HIL49" s="30"/>
      <c r="HIM49" s="31"/>
      <c r="HIN49" s="16"/>
      <c r="HIO49" s="17"/>
      <c r="HIP49" s="30"/>
      <c r="HIQ49" s="31"/>
      <c r="HIR49" s="16"/>
      <c r="HIS49" s="17"/>
      <c r="HIT49" s="30"/>
      <c r="HIU49" s="31"/>
      <c r="HIV49" s="16"/>
      <c r="HIW49" s="17"/>
      <c r="HIX49" s="30"/>
      <c r="HIY49" s="31"/>
      <c r="HIZ49" s="16"/>
      <c r="HJA49" s="17"/>
      <c r="HJB49" s="30"/>
      <c r="HJC49" s="31"/>
      <c r="HJD49" s="16"/>
      <c r="HJE49" s="17"/>
      <c r="HJF49" s="30"/>
      <c r="HJG49" s="31"/>
      <c r="HJH49" s="16"/>
      <c r="HJI49" s="17"/>
      <c r="HJJ49" s="30"/>
      <c r="HJK49" s="31"/>
      <c r="HJL49" s="16"/>
      <c r="HJM49" s="17"/>
      <c r="HJN49" s="30"/>
      <c r="HJO49" s="31"/>
      <c r="HJP49" s="16"/>
      <c r="HJQ49" s="17"/>
      <c r="HJR49" s="30"/>
      <c r="HJS49" s="31"/>
      <c r="HJT49" s="16"/>
      <c r="HJU49" s="17"/>
      <c r="HJV49" s="30"/>
      <c r="HJW49" s="31"/>
      <c r="HJX49" s="16"/>
      <c r="HJY49" s="17"/>
      <c r="HJZ49" s="30"/>
      <c r="HKA49" s="31"/>
      <c r="HKB49" s="16"/>
      <c r="HKC49" s="17"/>
      <c r="HKD49" s="30"/>
      <c r="HKE49" s="31"/>
      <c r="HKF49" s="16"/>
      <c r="HKG49" s="17"/>
      <c r="HKH49" s="30"/>
      <c r="HKI49" s="31"/>
      <c r="HKJ49" s="16"/>
      <c r="HKK49" s="17"/>
      <c r="HKL49" s="30"/>
      <c r="HKM49" s="31"/>
      <c r="HKN49" s="16"/>
      <c r="HKO49" s="17"/>
      <c r="HKP49" s="30"/>
      <c r="HKQ49" s="31"/>
      <c r="HKR49" s="16"/>
      <c r="HKS49" s="17"/>
      <c r="HKT49" s="30"/>
      <c r="HKU49" s="31"/>
      <c r="HKV49" s="16"/>
      <c r="HKW49" s="17"/>
      <c r="HKX49" s="30"/>
      <c r="HKY49" s="31"/>
      <c r="HKZ49" s="16"/>
      <c r="HLA49" s="17"/>
      <c r="HLB49" s="30"/>
      <c r="HLC49" s="31"/>
      <c r="HLD49" s="16"/>
      <c r="HLE49" s="17"/>
      <c r="HLF49" s="30"/>
      <c r="HLG49" s="31"/>
      <c r="HLH49" s="16"/>
      <c r="HLI49" s="17"/>
      <c r="HLJ49" s="30"/>
      <c r="HLK49" s="31"/>
      <c r="HLL49" s="16"/>
      <c r="HLM49" s="17"/>
      <c r="HLN49" s="30"/>
      <c r="HLO49" s="31"/>
      <c r="HLP49" s="16"/>
      <c r="HLQ49" s="17"/>
      <c r="HLR49" s="30"/>
      <c r="HLS49" s="31"/>
      <c r="HLT49" s="16"/>
      <c r="HLU49" s="17"/>
      <c r="HLV49" s="30"/>
      <c r="HLW49" s="31"/>
      <c r="HLX49" s="16"/>
      <c r="HLY49" s="17"/>
      <c r="HLZ49" s="30"/>
      <c r="HMA49" s="31"/>
      <c r="HMB49" s="16"/>
      <c r="HMC49" s="17"/>
      <c r="HMD49" s="30"/>
      <c r="HME49" s="31"/>
      <c r="HMF49" s="16"/>
      <c r="HMG49" s="17"/>
      <c r="HMH49" s="30"/>
      <c r="HMI49" s="31"/>
      <c r="HMJ49" s="16"/>
      <c r="HMK49" s="17"/>
      <c r="HML49" s="30"/>
      <c r="HMM49" s="31"/>
      <c r="HMN49" s="16"/>
      <c r="HMO49" s="17"/>
      <c r="HMP49" s="30"/>
      <c r="HMQ49" s="31"/>
      <c r="HMR49" s="16"/>
      <c r="HMS49" s="17"/>
      <c r="HMT49" s="30"/>
      <c r="HMU49" s="31"/>
      <c r="HMV49" s="16"/>
      <c r="HMW49" s="17"/>
      <c r="HMX49" s="30"/>
      <c r="HMY49" s="31"/>
      <c r="HMZ49" s="16"/>
      <c r="HNA49" s="17"/>
      <c r="HNB49" s="30"/>
      <c r="HNC49" s="31"/>
      <c r="HND49" s="16"/>
      <c r="HNE49" s="17"/>
      <c r="HNF49" s="30"/>
      <c r="HNG49" s="31"/>
      <c r="HNH49" s="16"/>
      <c r="HNI49" s="17"/>
      <c r="HNJ49" s="30"/>
      <c r="HNK49" s="31"/>
      <c r="HNL49" s="16"/>
      <c r="HNM49" s="17"/>
      <c r="HNN49" s="30"/>
      <c r="HNO49" s="31"/>
      <c r="HNP49" s="16"/>
      <c r="HNQ49" s="17"/>
      <c r="HNR49" s="30"/>
      <c r="HNS49" s="31"/>
      <c r="HNT49" s="16"/>
      <c r="HNU49" s="17"/>
      <c r="HNV49" s="30"/>
      <c r="HNW49" s="31"/>
      <c r="HNX49" s="16"/>
      <c r="HNY49" s="17"/>
      <c r="HNZ49" s="30"/>
      <c r="HOA49" s="31"/>
      <c r="HOB49" s="16"/>
      <c r="HOC49" s="17"/>
      <c r="HOD49" s="30"/>
      <c r="HOE49" s="31"/>
      <c r="HOF49" s="16"/>
      <c r="HOG49" s="17"/>
      <c r="HOH49" s="30"/>
      <c r="HOI49" s="31"/>
      <c r="HOJ49" s="16"/>
      <c r="HOK49" s="17"/>
      <c r="HOL49" s="30"/>
      <c r="HOM49" s="31"/>
      <c r="HON49" s="16"/>
      <c r="HOO49" s="17"/>
      <c r="HOP49" s="30"/>
      <c r="HOQ49" s="31"/>
      <c r="HOR49" s="16"/>
      <c r="HOS49" s="17"/>
      <c r="HOT49" s="30"/>
      <c r="HOU49" s="31"/>
      <c r="HOV49" s="16"/>
      <c r="HOW49" s="17"/>
      <c r="HOX49" s="30"/>
      <c r="HOY49" s="31"/>
      <c r="HOZ49" s="16"/>
      <c r="HPA49" s="17"/>
      <c r="HPB49" s="30"/>
      <c r="HPC49" s="31"/>
      <c r="HPD49" s="16"/>
      <c r="HPE49" s="17"/>
      <c r="HPF49" s="30"/>
      <c r="HPG49" s="31"/>
      <c r="HPH49" s="16"/>
      <c r="HPI49" s="17"/>
      <c r="HPJ49" s="30"/>
      <c r="HPK49" s="31"/>
      <c r="HPL49" s="16"/>
      <c r="HPM49" s="17"/>
      <c r="HPN49" s="30"/>
      <c r="HPO49" s="31"/>
      <c r="HPP49" s="16"/>
      <c r="HPQ49" s="17"/>
      <c r="HPR49" s="30"/>
      <c r="HPS49" s="31"/>
      <c r="HPT49" s="16"/>
      <c r="HPU49" s="17"/>
      <c r="HPV49" s="30"/>
      <c r="HPW49" s="31"/>
      <c r="HPX49" s="16"/>
      <c r="HPY49" s="17"/>
      <c r="HPZ49" s="30"/>
      <c r="HQA49" s="31"/>
      <c r="HQB49" s="16"/>
      <c r="HQC49" s="17"/>
      <c r="HQD49" s="30"/>
      <c r="HQE49" s="31"/>
      <c r="HQF49" s="16"/>
      <c r="HQG49" s="17"/>
      <c r="HQH49" s="30"/>
      <c r="HQI49" s="31"/>
      <c r="HQJ49" s="16"/>
      <c r="HQK49" s="17"/>
      <c r="HQL49" s="30"/>
      <c r="HQM49" s="31"/>
      <c r="HQN49" s="16"/>
      <c r="HQO49" s="17"/>
      <c r="HQP49" s="30"/>
      <c r="HQQ49" s="31"/>
      <c r="HQR49" s="16"/>
      <c r="HQS49" s="17"/>
      <c r="HQT49" s="30"/>
      <c r="HQU49" s="31"/>
      <c r="HQV49" s="16"/>
      <c r="HQW49" s="17"/>
      <c r="HQX49" s="30"/>
      <c r="HQY49" s="31"/>
      <c r="HQZ49" s="16"/>
      <c r="HRA49" s="17"/>
      <c r="HRB49" s="30"/>
      <c r="HRC49" s="31"/>
      <c r="HRD49" s="16"/>
      <c r="HRE49" s="17"/>
      <c r="HRF49" s="30"/>
      <c r="HRG49" s="31"/>
      <c r="HRH49" s="16"/>
      <c r="HRI49" s="17"/>
      <c r="HRJ49" s="30"/>
      <c r="HRK49" s="31"/>
      <c r="HRL49" s="16"/>
      <c r="HRM49" s="17"/>
      <c r="HRN49" s="30"/>
      <c r="HRO49" s="31"/>
      <c r="HRP49" s="16"/>
      <c r="HRQ49" s="17"/>
      <c r="HRR49" s="30"/>
      <c r="HRS49" s="31"/>
      <c r="HRT49" s="16"/>
      <c r="HRU49" s="17"/>
      <c r="HRV49" s="30"/>
      <c r="HRW49" s="31"/>
      <c r="HRX49" s="16"/>
      <c r="HRY49" s="17"/>
      <c r="HRZ49" s="30"/>
      <c r="HSA49" s="31"/>
      <c r="HSB49" s="16"/>
      <c r="HSC49" s="17"/>
      <c r="HSD49" s="30"/>
      <c r="HSE49" s="31"/>
      <c r="HSF49" s="16"/>
      <c r="HSG49" s="17"/>
      <c r="HSH49" s="30"/>
      <c r="HSI49" s="31"/>
      <c r="HSJ49" s="16"/>
      <c r="HSK49" s="17"/>
      <c r="HSL49" s="30"/>
      <c r="HSM49" s="31"/>
      <c r="HSN49" s="16"/>
      <c r="HSO49" s="17"/>
      <c r="HSP49" s="30"/>
      <c r="HSQ49" s="31"/>
      <c r="HSR49" s="16"/>
      <c r="HSS49" s="17"/>
      <c r="HST49" s="30"/>
      <c r="HSU49" s="31"/>
      <c r="HSV49" s="16"/>
      <c r="HSW49" s="17"/>
      <c r="HSX49" s="30"/>
      <c r="HSY49" s="31"/>
      <c r="HSZ49" s="16"/>
      <c r="HTA49" s="17"/>
      <c r="HTB49" s="30"/>
      <c r="HTC49" s="31"/>
      <c r="HTD49" s="16"/>
      <c r="HTE49" s="17"/>
      <c r="HTF49" s="30"/>
      <c r="HTG49" s="31"/>
      <c r="HTH49" s="16"/>
      <c r="HTI49" s="17"/>
      <c r="HTJ49" s="30"/>
      <c r="HTK49" s="31"/>
      <c r="HTL49" s="16"/>
      <c r="HTM49" s="17"/>
      <c r="HTN49" s="30"/>
      <c r="HTO49" s="31"/>
      <c r="HTP49" s="16"/>
      <c r="HTQ49" s="17"/>
      <c r="HTR49" s="30"/>
      <c r="HTS49" s="31"/>
      <c r="HTT49" s="16"/>
      <c r="HTU49" s="17"/>
      <c r="HTV49" s="30"/>
      <c r="HTW49" s="31"/>
      <c r="HTX49" s="16"/>
      <c r="HTY49" s="17"/>
      <c r="HTZ49" s="30"/>
      <c r="HUA49" s="31"/>
      <c r="HUB49" s="16"/>
      <c r="HUC49" s="17"/>
      <c r="HUD49" s="30"/>
      <c r="HUE49" s="31"/>
      <c r="HUF49" s="16"/>
      <c r="HUG49" s="17"/>
      <c r="HUH49" s="30"/>
      <c r="HUI49" s="31"/>
      <c r="HUJ49" s="16"/>
      <c r="HUK49" s="17"/>
      <c r="HUL49" s="30"/>
      <c r="HUM49" s="31"/>
      <c r="HUN49" s="16"/>
      <c r="HUO49" s="17"/>
      <c r="HUP49" s="30"/>
      <c r="HUQ49" s="31"/>
      <c r="HUR49" s="16"/>
      <c r="HUS49" s="17"/>
      <c r="HUT49" s="30"/>
      <c r="HUU49" s="31"/>
      <c r="HUV49" s="16"/>
      <c r="HUW49" s="17"/>
      <c r="HUX49" s="30"/>
      <c r="HUY49" s="31"/>
      <c r="HUZ49" s="16"/>
      <c r="HVA49" s="17"/>
      <c r="HVB49" s="30"/>
      <c r="HVC49" s="31"/>
      <c r="HVD49" s="16"/>
      <c r="HVE49" s="17"/>
      <c r="HVF49" s="30"/>
      <c r="HVG49" s="31"/>
      <c r="HVH49" s="16"/>
      <c r="HVI49" s="17"/>
      <c r="HVJ49" s="30"/>
      <c r="HVK49" s="31"/>
      <c r="HVL49" s="16"/>
      <c r="HVM49" s="17"/>
      <c r="HVN49" s="30"/>
      <c r="HVO49" s="31"/>
      <c r="HVP49" s="16"/>
      <c r="HVQ49" s="17"/>
      <c r="HVR49" s="30"/>
      <c r="HVS49" s="31"/>
      <c r="HVT49" s="16"/>
      <c r="HVU49" s="17"/>
      <c r="HVV49" s="30"/>
      <c r="HVW49" s="31"/>
      <c r="HVX49" s="16"/>
      <c r="HVY49" s="17"/>
      <c r="HVZ49" s="30"/>
      <c r="HWA49" s="31"/>
      <c r="HWB49" s="16"/>
      <c r="HWC49" s="17"/>
      <c r="HWD49" s="30"/>
      <c r="HWE49" s="31"/>
      <c r="HWF49" s="16"/>
      <c r="HWG49" s="17"/>
      <c r="HWH49" s="30"/>
      <c r="HWI49" s="31"/>
      <c r="HWJ49" s="16"/>
      <c r="HWK49" s="17"/>
      <c r="HWL49" s="30"/>
      <c r="HWM49" s="31"/>
      <c r="HWN49" s="16"/>
      <c r="HWO49" s="17"/>
      <c r="HWP49" s="30"/>
      <c r="HWQ49" s="31"/>
      <c r="HWR49" s="16"/>
      <c r="HWS49" s="17"/>
      <c r="HWT49" s="30"/>
      <c r="HWU49" s="31"/>
      <c r="HWV49" s="16"/>
      <c r="HWW49" s="17"/>
      <c r="HWX49" s="30"/>
      <c r="HWY49" s="31"/>
      <c r="HWZ49" s="16"/>
      <c r="HXA49" s="17"/>
      <c r="HXB49" s="30"/>
      <c r="HXC49" s="31"/>
      <c r="HXD49" s="16"/>
      <c r="HXE49" s="17"/>
      <c r="HXF49" s="30"/>
      <c r="HXG49" s="31"/>
      <c r="HXH49" s="16"/>
      <c r="HXI49" s="17"/>
      <c r="HXJ49" s="30"/>
      <c r="HXK49" s="31"/>
      <c r="HXL49" s="16"/>
      <c r="HXM49" s="17"/>
      <c r="HXN49" s="30"/>
      <c r="HXO49" s="31"/>
      <c r="HXP49" s="16"/>
      <c r="HXQ49" s="17"/>
      <c r="HXR49" s="30"/>
      <c r="HXS49" s="31"/>
      <c r="HXT49" s="16"/>
      <c r="HXU49" s="17"/>
      <c r="HXV49" s="30"/>
      <c r="HXW49" s="31"/>
      <c r="HXX49" s="16"/>
      <c r="HXY49" s="17"/>
      <c r="HXZ49" s="30"/>
      <c r="HYA49" s="31"/>
      <c r="HYB49" s="16"/>
      <c r="HYC49" s="17"/>
      <c r="HYD49" s="30"/>
      <c r="HYE49" s="31"/>
      <c r="HYF49" s="16"/>
      <c r="HYG49" s="17"/>
      <c r="HYH49" s="30"/>
      <c r="HYI49" s="31"/>
      <c r="HYJ49" s="16"/>
      <c r="HYK49" s="17"/>
      <c r="HYL49" s="30"/>
      <c r="HYM49" s="31"/>
      <c r="HYN49" s="16"/>
      <c r="HYO49" s="17"/>
      <c r="HYP49" s="30"/>
      <c r="HYQ49" s="31"/>
      <c r="HYR49" s="16"/>
      <c r="HYS49" s="17"/>
      <c r="HYT49" s="30"/>
      <c r="HYU49" s="31"/>
      <c r="HYV49" s="16"/>
      <c r="HYW49" s="17"/>
      <c r="HYX49" s="30"/>
      <c r="HYY49" s="31"/>
      <c r="HYZ49" s="16"/>
      <c r="HZA49" s="17"/>
      <c r="HZB49" s="30"/>
      <c r="HZC49" s="31"/>
      <c r="HZD49" s="16"/>
      <c r="HZE49" s="17"/>
      <c r="HZF49" s="30"/>
      <c r="HZG49" s="31"/>
      <c r="HZH49" s="16"/>
      <c r="HZI49" s="17"/>
      <c r="HZJ49" s="30"/>
      <c r="HZK49" s="31"/>
      <c r="HZL49" s="16"/>
      <c r="HZM49" s="17"/>
      <c r="HZN49" s="30"/>
      <c r="HZO49" s="31"/>
      <c r="HZP49" s="16"/>
      <c r="HZQ49" s="17"/>
      <c r="HZR49" s="30"/>
      <c r="HZS49" s="31"/>
      <c r="HZT49" s="16"/>
      <c r="HZU49" s="17"/>
      <c r="HZV49" s="30"/>
      <c r="HZW49" s="31"/>
      <c r="HZX49" s="16"/>
      <c r="HZY49" s="17"/>
      <c r="HZZ49" s="30"/>
      <c r="IAA49" s="31"/>
      <c r="IAB49" s="16"/>
      <c r="IAC49" s="17"/>
      <c r="IAD49" s="30"/>
      <c r="IAE49" s="31"/>
      <c r="IAF49" s="16"/>
      <c r="IAG49" s="17"/>
      <c r="IAH49" s="30"/>
      <c r="IAI49" s="31"/>
      <c r="IAJ49" s="16"/>
      <c r="IAK49" s="17"/>
      <c r="IAL49" s="30"/>
      <c r="IAM49" s="31"/>
      <c r="IAN49" s="16"/>
      <c r="IAO49" s="17"/>
      <c r="IAP49" s="30"/>
      <c r="IAQ49" s="31"/>
      <c r="IAR49" s="16"/>
      <c r="IAS49" s="17"/>
      <c r="IAT49" s="30"/>
      <c r="IAU49" s="31"/>
      <c r="IAV49" s="16"/>
      <c r="IAW49" s="17"/>
      <c r="IAX49" s="30"/>
      <c r="IAY49" s="31"/>
      <c r="IAZ49" s="16"/>
      <c r="IBA49" s="17"/>
      <c r="IBB49" s="30"/>
      <c r="IBC49" s="31"/>
      <c r="IBD49" s="16"/>
      <c r="IBE49" s="17"/>
      <c r="IBF49" s="30"/>
      <c r="IBG49" s="31"/>
      <c r="IBH49" s="16"/>
      <c r="IBI49" s="17"/>
      <c r="IBJ49" s="30"/>
      <c r="IBK49" s="31"/>
      <c r="IBL49" s="16"/>
      <c r="IBM49" s="17"/>
      <c r="IBN49" s="30"/>
      <c r="IBO49" s="31"/>
      <c r="IBP49" s="16"/>
      <c r="IBQ49" s="17"/>
      <c r="IBR49" s="30"/>
      <c r="IBS49" s="31"/>
      <c r="IBT49" s="16"/>
      <c r="IBU49" s="17"/>
      <c r="IBV49" s="30"/>
      <c r="IBW49" s="31"/>
      <c r="IBX49" s="16"/>
      <c r="IBY49" s="17"/>
      <c r="IBZ49" s="30"/>
      <c r="ICA49" s="31"/>
      <c r="ICB49" s="16"/>
      <c r="ICC49" s="17"/>
      <c r="ICD49" s="30"/>
      <c r="ICE49" s="31"/>
      <c r="ICF49" s="16"/>
      <c r="ICG49" s="17"/>
      <c r="ICH49" s="30"/>
      <c r="ICI49" s="31"/>
      <c r="ICJ49" s="16"/>
      <c r="ICK49" s="17"/>
      <c r="ICL49" s="30"/>
      <c r="ICM49" s="31"/>
      <c r="ICN49" s="16"/>
      <c r="ICO49" s="17"/>
      <c r="ICP49" s="30"/>
      <c r="ICQ49" s="31"/>
      <c r="ICR49" s="16"/>
      <c r="ICS49" s="17"/>
      <c r="ICT49" s="30"/>
      <c r="ICU49" s="31"/>
      <c r="ICV49" s="16"/>
      <c r="ICW49" s="17"/>
      <c r="ICX49" s="30"/>
      <c r="ICY49" s="31"/>
      <c r="ICZ49" s="16"/>
      <c r="IDA49" s="17"/>
      <c r="IDB49" s="30"/>
      <c r="IDC49" s="31"/>
      <c r="IDD49" s="16"/>
      <c r="IDE49" s="17"/>
      <c r="IDF49" s="30"/>
      <c r="IDG49" s="31"/>
      <c r="IDH49" s="16"/>
      <c r="IDI49" s="17"/>
      <c r="IDJ49" s="30"/>
      <c r="IDK49" s="31"/>
      <c r="IDL49" s="16"/>
      <c r="IDM49" s="17"/>
      <c r="IDN49" s="30"/>
      <c r="IDO49" s="31"/>
      <c r="IDP49" s="16"/>
      <c r="IDQ49" s="17"/>
      <c r="IDR49" s="30"/>
      <c r="IDS49" s="31"/>
      <c r="IDT49" s="16"/>
      <c r="IDU49" s="17"/>
      <c r="IDV49" s="30"/>
      <c r="IDW49" s="31"/>
      <c r="IDX49" s="16"/>
      <c r="IDY49" s="17"/>
      <c r="IDZ49" s="30"/>
      <c r="IEA49" s="31"/>
      <c r="IEB49" s="16"/>
      <c r="IEC49" s="17"/>
      <c r="IED49" s="30"/>
      <c r="IEE49" s="31"/>
      <c r="IEF49" s="16"/>
      <c r="IEG49" s="17"/>
      <c r="IEH49" s="30"/>
      <c r="IEI49" s="31"/>
      <c r="IEJ49" s="16"/>
      <c r="IEK49" s="17"/>
      <c r="IEL49" s="30"/>
      <c r="IEM49" s="31"/>
      <c r="IEN49" s="16"/>
      <c r="IEO49" s="17"/>
      <c r="IEP49" s="30"/>
      <c r="IEQ49" s="31"/>
      <c r="IER49" s="16"/>
      <c r="IES49" s="17"/>
      <c r="IET49" s="30"/>
      <c r="IEU49" s="31"/>
      <c r="IEV49" s="16"/>
      <c r="IEW49" s="17"/>
      <c r="IEX49" s="30"/>
      <c r="IEY49" s="31"/>
      <c r="IEZ49" s="16"/>
      <c r="IFA49" s="17"/>
      <c r="IFB49" s="30"/>
      <c r="IFC49" s="31"/>
      <c r="IFD49" s="16"/>
      <c r="IFE49" s="17"/>
      <c r="IFF49" s="30"/>
      <c r="IFG49" s="31"/>
      <c r="IFH49" s="16"/>
      <c r="IFI49" s="17"/>
      <c r="IFJ49" s="30"/>
      <c r="IFK49" s="31"/>
      <c r="IFL49" s="16"/>
      <c r="IFM49" s="17"/>
      <c r="IFN49" s="30"/>
      <c r="IFO49" s="31"/>
      <c r="IFP49" s="16"/>
      <c r="IFQ49" s="17"/>
      <c r="IFR49" s="30"/>
      <c r="IFS49" s="31"/>
      <c r="IFT49" s="16"/>
      <c r="IFU49" s="17"/>
      <c r="IFV49" s="30"/>
      <c r="IFW49" s="31"/>
      <c r="IFX49" s="16"/>
      <c r="IFY49" s="17"/>
      <c r="IFZ49" s="30"/>
      <c r="IGA49" s="31"/>
      <c r="IGB49" s="16"/>
      <c r="IGC49" s="17"/>
      <c r="IGD49" s="30"/>
      <c r="IGE49" s="31"/>
      <c r="IGF49" s="16"/>
      <c r="IGG49" s="17"/>
      <c r="IGH49" s="30"/>
      <c r="IGI49" s="31"/>
      <c r="IGJ49" s="16"/>
      <c r="IGK49" s="17"/>
      <c r="IGL49" s="30"/>
      <c r="IGM49" s="31"/>
      <c r="IGN49" s="16"/>
      <c r="IGO49" s="17"/>
      <c r="IGP49" s="30"/>
      <c r="IGQ49" s="31"/>
      <c r="IGR49" s="16"/>
      <c r="IGS49" s="17"/>
      <c r="IGT49" s="30"/>
      <c r="IGU49" s="31"/>
      <c r="IGV49" s="16"/>
      <c r="IGW49" s="17"/>
      <c r="IGX49" s="30"/>
      <c r="IGY49" s="31"/>
      <c r="IGZ49" s="16"/>
      <c r="IHA49" s="17"/>
      <c r="IHB49" s="30"/>
      <c r="IHC49" s="31"/>
      <c r="IHD49" s="16"/>
      <c r="IHE49" s="17"/>
      <c r="IHF49" s="30"/>
      <c r="IHG49" s="31"/>
      <c r="IHH49" s="16"/>
      <c r="IHI49" s="17"/>
      <c r="IHJ49" s="30"/>
      <c r="IHK49" s="31"/>
      <c r="IHL49" s="16"/>
      <c r="IHM49" s="17"/>
      <c r="IHN49" s="30"/>
      <c r="IHO49" s="31"/>
      <c r="IHP49" s="16"/>
      <c r="IHQ49" s="17"/>
      <c r="IHR49" s="30"/>
      <c r="IHS49" s="31"/>
      <c r="IHT49" s="16"/>
      <c r="IHU49" s="17"/>
      <c r="IHV49" s="30"/>
      <c r="IHW49" s="31"/>
      <c r="IHX49" s="16"/>
      <c r="IHY49" s="17"/>
      <c r="IHZ49" s="30"/>
      <c r="IIA49" s="31"/>
      <c r="IIB49" s="16"/>
      <c r="IIC49" s="17"/>
      <c r="IID49" s="30"/>
      <c r="IIE49" s="31"/>
      <c r="IIF49" s="16"/>
      <c r="IIG49" s="17"/>
      <c r="IIH49" s="30"/>
      <c r="III49" s="31"/>
      <c r="IIJ49" s="16"/>
      <c r="IIK49" s="17"/>
      <c r="IIL49" s="30"/>
      <c r="IIM49" s="31"/>
      <c r="IIN49" s="16"/>
      <c r="IIO49" s="17"/>
      <c r="IIP49" s="30"/>
      <c r="IIQ49" s="31"/>
      <c r="IIR49" s="16"/>
      <c r="IIS49" s="17"/>
      <c r="IIT49" s="30"/>
      <c r="IIU49" s="31"/>
      <c r="IIV49" s="16"/>
      <c r="IIW49" s="17"/>
      <c r="IIX49" s="30"/>
      <c r="IIY49" s="31"/>
      <c r="IIZ49" s="16"/>
      <c r="IJA49" s="17"/>
      <c r="IJB49" s="30"/>
      <c r="IJC49" s="31"/>
      <c r="IJD49" s="16"/>
      <c r="IJE49" s="17"/>
      <c r="IJF49" s="30"/>
      <c r="IJG49" s="31"/>
      <c r="IJH49" s="16"/>
      <c r="IJI49" s="17"/>
      <c r="IJJ49" s="30"/>
      <c r="IJK49" s="31"/>
      <c r="IJL49" s="16"/>
      <c r="IJM49" s="17"/>
      <c r="IJN49" s="30"/>
      <c r="IJO49" s="31"/>
      <c r="IJP49" s="16"/>
      <c r="IJQ49" s="17"/>
      <c r="IJR49" s="30"/>
      <c r="IJS49" s="31"/>
      <c r="IJT49" s="16"/>
      <c r="IJU49" s="17"/>
      <c r="IJV49" s="30"/>
      <c r="IJW49" s="31"/>
      <c r="IJX49" s="16"/>
      <c r="IJY49" s="17"/>
      <c r="IJZ49" s="30"/>
      <c r="IKA49" s="31"/>
      <c r="IKB49" s="16"/>
      <c r="IKC49" s="17"/>
      <c r="IKD49" s="30"/>
      <c r="IKE49" s="31"/>
      <c r="IKF49" s="16"/>
      <c r="IKG49" s="17"/>
      <c r="IKH49" s="30"/>
      <c r="IKI49" s="31"/>
      <c r="IKJ49" s="16"/>
      <c r="IKK49" s="17"/>
      <c r="IKL49" s="30"/>
      <c r="IKM49" s="31"/>
      <c r="IKN49" s="16"/>
      <c r="IKO49" s="17"/>
      <c r="IKP49" s="30"/>
      <c r="IKQ49" s="31"/>
      <c r="IKR49" s="16"/>
      <c r="IKS49" s="17"/>
      <c r="IKT49" s="30"/>
      <c r="IKU49" s="31"/>
      <c r="IKV49" s="16"/>
      <c r="IKW49" s="17"/>
      <c r="IKX49" s="30"/>
      <c r="IKY49" s="31"/>
      <c r="IKZ49" s="16"/>
      <c r="ILA49" s="17"/>
      <c r="ILB49" s="30"/>
      <c r="ILC49" s="31"/>
      <c r="ILD49" s="16"/>
      <c r="ILE49" s="17"/>
      <c r="ILF49" s="30"/>
      <c r="ILG49" s="31"/>
      <c r="ILH49" s="16"/>
      <c r="ILI49" s="17"/>
      <c r="ILJ49" s="30"/>
      <c r="ILK49" s="31"/>
      <c r="ILL49" s="16"/>
      <c r="ILM49" s="17"/>
      <c r="ILN49" s="30"/>
      <c r="ILO49" s="31"/>
      <c r="ILP49" s="16"/>
      <c r="ILQ49" s="17"/>
      <c r="ILR49" s="30"/>
      <c r="ILS49" s="31"/>
      <c r="ILT49" s="16"/>
      <c r="ILU49" s="17"/>
      <c r="ILV49" s="30"/>
      <c r="ILW49" s="31"/>
      <c r="ILX49" s="16"/>
      <c r="ILY49" s="17"/>
      <c r="ILZ49" s="30"/>
      <c r="IMA49" s="31"/>
      <c r="IMB49" s="16"/>
      <c r="IMC49" s="17"/>
      <c r="IMD49" s="30"/>
      <c r="IME49" s="31"/>
      <c r="IMF49" s="16"/>
      <c r="IMG49" s="17"/>
      <c r="IMH49" s="30"/>
      <c r="IMI49" s="31"/>
      <c r="IMJ49" s="16"/>
      <c r="IMK49" s="17"/>
      <c r="IML49" s="30"/>
      <c r="IMM49" s="31"/>
      <c r="IMN49" s="16"/>
      <c r="IMO49" s="17"/>
      <c r="IMP49" s="30"/>
      <c r="IMQ49" s="31"/>
      <c r="IMR49" s="16"/>
      <c r="IMS49" s="17"/>
      <c r="IMT49" s="30"/>
      <c r="IMU49" s="31"/>
      <c r="IMV49" s="16"/>
      <c r="IMW49" s="17"/>
      <c r="IMX49" s="30"/>
      <c r="IMY49" s="31"/>
      <c r="IMZ49" s="16"/>
      <c r="INA49" s="17"/>
      <c r="INB49" s="30"/>
      <c r="INC49" s="31"/>
      <c r="IND49" s="16"/>
      <c r="INE49" s="17"/>
      <c r="INF49" s="30"/>
      <c r="ING49" s="31"/>
      <c r="INH49" s="16"/>
      <c r="INI49" s="17"/>
      <c r="INJ49" s="30"/>
      <c r="INK49" s="31"/>
      <c r="INL49" s="16"/>
      <c r="INM49" s="17"/>
      <c r="INN49" s="30"/>
      <c r="INO49" s="31"/>
      <c r="INP49" s="16"/>
      <c r="INQ49" s="17"/>
      <c r="INR49" s="30"/>
      <c r="INS49" s="31"/>
      <c r="INT49" s="16"/>
      <c r="INU49" s="17"/>
      <c r="INV49" s="30"/>
      <c r="INW49" s="31"/>
      <c r="INX49" s="16"/>
      <c r="INY49" s="17"/>
      <c r="INZ49" s="30"/>
      <c r="IOA49" s="31"/>
      <c r="IOB49" s="16"/>
      <c r="IOC49" s="17"/>
      <c r="IOD49" s="30"/>
      <c r="IOE49" s="31"/>
      <c r="IOF49" s="16"/>
      <c r="IOG49" s="17"/>
      <c r="IOH49" s="30"/>
      <c r="IOI49" s="31"/>
      <c r="IOJ49" s="16"/>
      <c r="IOK49" s="17"/>
      <c r="IOL49" s="30"/>
      <c r="IOM49" s="31"/>
      <c r="ION49" s="16"/>
      <c r="IOO49" s="17"/>
      <c r="IOP49" s="30"/>
      <c r="IOQ49" s="31"/>
      <c r="IOR49" s="16"/>
      <c r="IOS49" s="17"/>
      <c r="IOT49" s="30"/>
      <c r="IOU49" s="31"/>
      <c r="IOV49" s="16"/>
      <c r="IOW49" s="17"/>
      <c r="IOX49" s="30"/>
      <c r="IOY49" s="31"/>
      <c r="IOZ49" s="16"/>
      <c r="IPA49" s="17"/>
      <c r="IPB49" s="30"/>
      <c r="IPC49" s="31"/>
      <c r="IPD49" s="16"/>
      <c r="IPE49" s="17"/>
      <c r="IPF49" s="30"/>
      <c r="IPG49" s="31"/>
      <c r="IPH49" s="16"/>
      <c r="IPI49" s="17"/>
      <c r="IPJ49" s="30"/>
      <c r="IPK49" s="31"/>
      <c r="IPL49" s="16"/>
      <c r="IPM49" s="17"/>
      <c r="IPN49" s="30"/>
      <c r="IPO49" s="31"/>
      <c r="IPP49" s="16"/>
      <c r="IPQ49" s="17"/>
      <c r="IPR49" s="30"/>
      <c r="IPS49" s="31"/>
      <c r="IPT49" s="16"/>
      <c r="IPU49" s="17"/>
      <c r="IPV49" s="30"/>
      <c r="IPW49" s="31"/>
      <c r="IPX49" s="16"/>
      <c r="IPY49" s="17"/>
      <c r="IPZ49" s="30"/>
      <c r="IQA49" s="31"/>
      <c r="IQB49" s="16"/>
      <c r="IQC49" s="17"/>
      <c r="IQD49" s="30"/>
      <c r="IQE49" s="31"/>
      <c r="IQF49" s="16"/>
      <c r="IQG49" s="17"/>
      <c r="IQH49" s="30"/>
      <c r="IQI49" s="31"/>
      <c r="IQJ49" s="16"/>
      <c r="IQK49" s="17"/>
      <c r="IQL49" s="30"/>
      <c r="IQM49" s="31"/>
      <c r="IQN49" s="16"/>
      <c r="IQO49" s="17"/>
      <c r="IQP49" s="30"/>
      <c r="IQQ49" s="31"/>
      <c r="IQR49" s="16"/>
      <c r="IQS49" s="17"/>
      <c r="IQT49" s="30"/>
      <c r="IQU49" s="31"/>
      <c r="IQV49" s="16"/>
      <c r="IQW49" s="17"/>
      <c r="IQX49" s="30"/>
      <c r="IQY49" s="31"/>
      <c r="IQZ49" s="16"/>
      <c r="IRA49" s="17"/>
      <c r="IRB49" s="30"/>
      <c r="IRC49" s="31"/>
      <c r="IRD49" s="16"/>
      <c r="IRE49" s="17"/>
      <c r="IRF49" s="30"/>
      <c r="IRG49" s="31"/>
      <c r="IRH49" s="16"/>
      <c r="IRI49" s="17"/>
      <c r="IRJ49" s="30"/>
      <c r="IRK49" s="31"/>
      <c r="IRL49" s="16"/>
      <c r="IRM49" s="17"/>
      <c r="IRN49" s="30"/>
      <c r="IRO49" s="31"/>
      <c r="IRP49" s="16"/>
      <c r="IRQ49" s="17"/>
      <c r="IRR49" s="30"/>
      <c r="IRS49" s="31"/>
      <c r="IRT49" s="16"/>
      <c r="IRU49" s="17"/>
      <c r="IRV49" s="30"/>
      <c r="IRW49" s="31"/>
      <c r="IRX49" s="16"/>
      <c r="IRY49" s="17"/>
      <c r="IRZ49" s="30"/>
      <c r="ISA49" s="31"/>
      <c r="ISB49" s="16"/>
      <c r="ISC49" s="17"/>
      <c r="ISD49" s="30"/>
      <c r="ISE49" s="31"/>
      <c r="ISF49" s="16"/>
      <c r="ISG49" s="17"/>
      <c r="ISH49" s="30"/>
      <c r="ISI49" s="31"/>
      <c r="ISJ49" s="16"/>
      <c r="ISK49" s="17"/>
      <c r="ISL49" s="30"/>
      <c r="ISM49" s="31"/>
      <c r="ISN49" s="16"/>
      <c r="ISO49" s="17"/>
      <c r="ISP49" s="30"/>
      <c r="ISQ49" s="31"/>
      <c r="ISR49" s="16"/>
      <c r="ISS49" s="17"/>
      <c r="IST49" s="30"/>
      <c r="ISU49" s="31"/>
      <c r="ISV49" s="16"/>
      <c r="ISW49" s="17"/>
      <c r="ISX49" s="30"/>
      <c r="ISY49" s="31"/>
      <c r="ISZ49" s="16"/>
      <c r="ITA49" s="17"/>
      <c r="ITB49" s="30"/>
      <c r="ITC49" s="31"/>
      <c r="ITD49" s="16"/>
      <c r="ITE49" s="17"/>
      <c r="ITF49" s="30"/>
      <c r="ITG49" s="31"/>
      <c r="ITH49" s="16"/>
      <c r="ITI49" s="17"/>
      <c r="ITJ49" s="30"/>
      <c r="ITK49" s="31"/>
      <c r="ITL49" s="16"/>
      <c r="ITM49" s="17"/>
      <c r="ITN49" s="30"/>
      <c r="ITO49" s="31"/>
      <c r="ITP49" s="16"/>
      <c r="ITQ49" s="17"/>
      <c r="ITR49" s="30"/>
      <c r="ITS49" s="31"/>
      <c r="ITT49" s="16"/>
      <c r="ITU49" s="17"/>
      <c r="ITV49" s="30"/>
      <c r="ITW49" s="31"/>
      <c r="ITX49" s="16"/>
      <c r="ITY49" s="17"/>
      <c r="ITZ49" s="30"/>
      <c r="IUA49" s="31"/>
      <c r="IUB49" s="16"/>
      <c r="IUC49" s="17"/>
      <c r="IUD49" s="30"/>
      <c r="IUE49" s="31"/>
      <c r="IUF49" s="16"/>
      <c r="IUG49" s="17"/>
      <c r="IUH49" s="30"/>
      <c r="IUI49" s="31"/>
      <c r="IUJ49" s="16"/>
      <c r="IUK49" s="17"/>
      <c r="IUL49" s="30"/>
      <c r="IUM49" s="31"/>
      <c r="IUN49" s="16"/>
      <c r="IUO49" s="17"/>
      <c r="IUP49" s="30"/>
      <c r="IUQ49" s="31"/>
      <c r="IUR49" s="16"/>
      <c r="IUS49" s="17"/>
      <c r="IUT49" s="30"/>
      <c r="IUU49" s="31"/>
      <c r="IUV49" s="16"/>
      <c r="IUW49" s="17"/>
      <c r="IUX49" s="30"/>
      <c r="IUY49" s="31"/>
      <c r="IUZ49" s="16"/>
      <c r="IVA49" s="17"/>
      <c r="IVB49" s="30"/>
      <c r="IVC49" s="31"/>
      <c r="IVD49" s="16"/>
      <c r="IVE49" s="17"/>
      <c r="IVF49" s="30"/>
      <c r="IVG49" s="31"/>
      <c r="IVH49" s="16"/>
      <c r="IVI49" s="17"/>
      <c r="IVJ49" s="30"/>
      <c r="IVK49" s="31"/>
      <c r="IVL49" s="16"/>
      <c r="IVM49" s="17"/>
      <c r="IVN49" s="30"/>
      <c r="IVO49" s="31"/>
      <c r="IVP49" s="16"/>
      <c r="IVQ49" s="17"/>
      <c r="IVR49" s="30"/>
      <c r="IVS49" s="31"/>
      <c r="IVT49" s="16"/>
      <c r="IVU49" s="17"/>
      <c r="IVV49" s="30"/>
      <c r="IVW49" s="31"/>
      <c r="IVX49" s="16"/>
      <c r="IVY49" s="17"/>
      <c r="IVZ49" s="30"/>
      <c r="IWA49" s="31"/>
      <c r="IWB49" s="16"/>
      <c r="IWC49" s="17"/>
      <c r="IWD49" s="30"/>
      <c r="IWE49" s="31"/>
      <c r="IWF49" s="16"/>
      <c r="IWG49" s="17"/>
      <c r="IWH49" s="30"/>
      <c r="IWI49" s="31"/>
      <c r="IWJ49" s="16"/>
      <c r="IWK49" s="17"/>
      <c r="IWL49" s="30"/>
      <c r="IWM49" s="31"/>
      <c r="IWN49" s="16"/>
      <c r="IWO49" s="17"/>
      <c r="IWP49" s="30"/>
      <c r="IWQ49" s="31"/>
      <c r="IWR49" s="16"/>
      <c r="IWS49" s="17"/>
      <c r="IWT49" s="30"/>
      <c r="IWU49" s="31"/>
      <c r="IWV49" s="16"/>
      <c r="IWW49" s="17"/>
      <c r="IWX49" s="30"/>
      <c r="IWY49" s="31"/>
      <c r="IWZ49" s="16"/>
      <c r="IXA49" s="17"/>
      <c r="IXB49" s="30"/>
      <c r="IXC49" s="31"/>
      <c r="IXD49" s="16"/>
      <c r="IXE49" s="17"/>
      <c r="IXF49" s="30"/>
      <c r="IXG49" s="31"/>
      <c r="IXH49" s="16"/>
      <c r="IXI49" s="17"/>
      <c r="IXJ49" s="30"/>
      <c r="IXK49" s="31"/>
      <c r="IXL49" s="16"/>
      <c r="IXM49" s="17"/>
      <c r="IXN49" s="30"/>
      <c r="IXO49" s="31"/>
      <c r="IXP49" s="16"/>
      <c r="IXQ49" s="17"/>
      <c r="IXR49" s="30"/>
      <c r="IXS49" s="31"/>
      <c r="IXT49" s="16"/>
      <c r="IXU49" s="17"/>
      <c r="IXV49" s="30"/>
      <c r="IXW49" s="31"/>
      <c r="IXX49" s="16"/>
      <c r="IXY49" s="17"/>
      <c r="IXZ49" s="30"/>
      <c r="IYA49" s="31"/>
      <c r="IYB49" s="16"/>
      <c r="IYC49" s="17"/>
      <c r="IYD49" s="30"/>
      <c r="IYE49" s="31"/>
      <c r="IYF49" s="16"/>
      <c r="IYG49" s="17"/>
      <c r="IYH49" s="30"/>
      <c r="IYI49" s="31"/>
      <c r="IYJ49" s="16"/>
      <c r="IYK49" s="17"/>
      <c r="IYL49" s="30"/>
      <c r="IYM49" s="31"/>
      <c r="IYN49" s="16"/>
      <c r="IYO49" s="17"/>
      <c r="IYP49" s="30"/>
      <c r="IYQ49" s="31"/>
      <c r="IYR49" s="16"/>
      <c r="IYS49" s="17"/>
      <c r="IYT49" s="30"/>
      <c r="IYU49" s="31"/>
      <c r="IYV49" s="16"/>
      <c r="IYW49" s="17"/>
      <c r="IYX49" s="30"/>
      <c r="IYY49" s="31"/>
      <c r="IYZ49" s="16"/>
      <c r="IZA49" s="17"/>
      <c r="IZB49" s="30"/>
      <c r="IZC49" s="31"/>
      <c r="IZD49" s="16"/>
      <c r="IZE49" s="17"/>
      <c r="IZF49" s="30"/>
      <c r="IZG49" s="31"/>
      <c r="IZH49" s="16"/>
      <c r="IZI49" s="17"/>
      <c r="IZJ49" s="30"/>
      <c r="IZK49" s="31"/>
      <c r="IZL49" s="16"/>
      <c r="IZM49" s="17"/>
      <c r="IZN49" s="30"/>
      <c r="IZO49" s="31"/>
      <c r="IZP49" s="16"/>
      <c r="IZQ49" s="17"/>
      <c r="IZR49" s="30"/>
      <c r="IZS49" s="31"/>
      <c r="IZT49" s="16"/>
      <c r="IZU49" s="17"/>
      <c r="IZV49" s="30"/>
      <c r="IZW49" s="31"/>
      <c r="IZX49" s="16"/>
      <c r="IZY49" s="17"/>
      <c r="IZZ49" s="30"/>
      <c r="JAA49" s="31"/>
      <c r="JAB49" s="16"/>
      <c r="JAC49" s="17"/>
      <c r="JAD49" s="30"/>
      <c r="JAE49" s="31"/>
      <c r="JAF49" s="16"/>
      <c r="JAG49" s="17"/>
      <c r="JAH49" s="30"/>
      <c r="JAI49" s="31"/>
      <c r="JAJ49" s="16"/>
      <c r="JAK49" s="17"/>
      <c r="JAL49" s="30"/>
      <c r="JAM49" s="31"/>
      <c r="JAN49" s="16"/>
      <c r="JAO49" s="17"/>
      <c r="JAP49" s="30"/>
      <c r="JAQ49" s="31"/>
      <c r="JAR49" s="16"/>
      <c r="JAS49" s="17"/>
      <c r="JAT49" s="30"/>
      <c r="JAU49" s="31"/>
      <c r="JAV49" s="16"/>
      <c r="JAW49" s="17"/>
      <c r="JAX49" s="30"/>
      <c r="JAY49" s="31"/>
      <c r="JAZ49" s="16"/>
      <c r="JBA49" s="17"/>
      <c r="JBB49" s="30"/>
      <c r="JBC49" s="31"/>
      <c r="JBD49" s="16"/>
      <c r="JBE49" s="17"/>
      <c r="JBF49" s="30"/>
      <c r="JBG49" s="31"/>
      <c r="JBH49" s="16"/>
      <c r="JBI49" s="17"/>
      <c r="JBJ49" s="30"/>
      <c r="JBK49" s="31"/>
      <c r="JBL49" s="16"/>
      <c r="JBM49" s="17"/>
      <c r="JBN49" s="30"/>
      <c r="JBO49" s="31"/>
      <c r="JBP49" s="16"/>
      <c r="JBQ49" s="17"/>
      <c r="JBR49" s="30"/>
      <c r="JBS49" s="31"/>
      <c r="JBT49" s="16"/>
      <c r="JBU49" s="17"/>
      <c r="JBV49" s="30"/>
      <c r="JBW49" s="31"/>
      <c r="JBX49" s="16"/>
      <c r="JBY49" s="17"/>
      <c r="JBZ49" s="30"/>
      <c r="JCA49" s="31"/>
      <c r="JCB49" s="16"/>
      <c r="JCC49" s="17"/>
      <c r="JCD49" s="30"/>
      <c r="JCE49" s="31"/>
      <c r="JCF49" s="16"/>
      <c r="JCG49" s="17"/>
      <c r="JCH49" s="30"/>
      <c r="JCI49" s="31"/>
      <c r="JCJ49" s="16"/>
      <c r="JCK49" s="17"/>
      <c r="JCL49" s="30"/>
      <c r="JCM49" s="31"/>
      <c r="JCN49" s="16"/>
      <c r="JCO49" s="17"/>
      <c r="JCP49" s="30"/>
      <c r="JCQ49" s="31"/>
      <c r="JCR49" s="16"/>
      <c r="JCS49" s="17"/>
      <c r="JCT49" s="30"/>
      <c r="JCU49" s="31"/>
      <c r="JCV49" s="16"/>
      <c r="JCW49" s="17"/>
      <c r="JCX49" s="30"/>
      <c r="JCY49" s="31"/>
      <c r="JCZ49" s="16"/>
      <c r="JDA49" s="17"/>
      <c r="JDB49" s="30"/>
      <c r="JDC49" s="31"/>
      <c r="JDD49" s="16"/>
      <c r="JDE49" s="17"/>
      <c r="JDF49" s="30"/>
      <c r="JDG49" s="31"/>
      <c r="JDH49" s="16"/>
      <c r="JDI49" s="17"/>
      <c r="JDJ49" s="30"/>
      <c r="JDK49" s="31"/>
      <c r="JDL49" s="16"/>
      <c r="JDM49" s="17"/>
      <c r="JDN49" s="30"/>
      <c r="JDO49" s="31"/>
      <c r="JDP49" s="16"/>
      <c r="JDQ49" s="17"/>
      <c r="JDR49" s="30"/>
      <c r="JDS49" s="31"/>
      <c r="JDT49" s="16"/>
      <c r="JDU49" s="17"/>
      <c r="JDV49" s="30"/>
      <c r="JDW49" s="31"/>
      <c r="JDX49" s="16"/>
      <c r="JDY49" s="17"/>
      <c r="JDZ49" s="30"/>
      <c r="JEA49" s="31"/>
      <c r="JEB49" s="16"/>
      <c r="JEC49" s="17"/>
      <c r="JED49" s="30"/>
      <c r="JEE49" s="31"/>
      <c r="JEF49" s="16"/>
      <c r="JEG49" s="17"/>
      <c r="JEH49" s="30"/>
      <c r="JEI49" s="31"/>
      <c r="JEJ49" s="16"/>
      <c r="JEK49" s="17"/>
      <c r="JEL49" s="30"/>
      <c r="JEM49" s="31"/>
      <c r="JEN49" s="16"/>
      <c r="JEO49" s="17"/>
      <c r="JEP49" s="30"/>
      <c r="JEQ49" s="31"/>
      <c r="JER49" s="16"/>
      <c r="JES49" s="17"/>
      <c r="JET49" s="30"/>
      <c r="JEU49" s="31"/>
      <c r="JEV49" s="16"/>
      <c r="JEW49" s="17"/>
      <c r="JEX49" s="30"/>
      <c r="JEY49" s="31"/>
      <c r="JEZ49" s="16"/>
      <c r="JFA49" s="17"/>
      <c r="JFB49" s="30"/>
      <c r="JFC49" s="31"/>
      <c r="JFD49" s="16"/>
      <c r="JFE49" s="17"/>
      <c r="JFF49" s="30"/>
      <c r="JFG49" s="31"/>
      <c r="JFH49" s="16"/>
      <c r="JFI49" s="17"/>
      <c r="JFJ49" s="30"/>
      <c r="JFK49" s="31"/>
      <c r="JFL49" s="16"/>
      <c r="JFM49" s="17"/>
      <c r="JFN49" s="30"/>
      <c r="JFO49" s="31"/>
      <c r="JFP49" s="16"/>
      <c r="JFQ49" s="17"/>
      <c r="JFR49" s="30"/>
      <c r="JFS49" s="31"/>
      <c r="JFT49" s="16"/>
      <c r="JFU49" s="17"/>
      <c r="JFV49" s="30"/>
      <c r="JFW49" s="31"/>
      <c r="JFX49" s="16"/>
      <c r="JFY49" s="17"/>
      <c r="JFZ49" s="30"/>
      <c r="JGA49" s="31"/>
      <c r="JGB49" s="16"/>
      <c r="JGC49" s="17"/>
      <c r="JGD49" s="30"/>
      <c r="JGE49" s="31"/>
      <c r="JGF49" s="16"/>
      <c r="JGG49" s="17"/>
      <c r="JGH49" s="30"/>
      <c r="JGI49" s="31"/>
      <c r="JGJ49" s="16"/>
      <c r="JGK49" s="17"/>
      <c r="JGL49" s="30"/>
      <c r="JGM49" s="31"/>
      <c r="JGN49" s="16"/>
      <c r="JGO49" s="17"/>
      <c r="JGP49" s="30"/>
      <c r="JGQ49" s="31"/>
      <c r="JGR49" s="16"/>
      <c r="JGS49" s="17"/>
      <c r="JGT49" s="30"/>
      <c r="JGU49" s="31"/>
      <c r="JGV49" s="16"/>
      <c r="JGW49" s="17"/>
      <c r="JGX49" s="30"/>
      <c r="JGY49" s="31"/>
      <c r="JGZ49" s="16"/>
      <c r="JHA49" s="17"/>
      <c r="JHB49" s="30"/>
      <c r="JHC49" s="31"/>
      <c r="JHD49" s="16"/>
      <c r="JHE49" s="17"/>
      <c r="JHF49" s="30"/>
      <c r="JHG49" s="31"/>
      <c r="JHH49" s="16"/>
      <c r="JHI49" s="17"/>
      <c r="JHJ49" s="30"/>
      <c r="JHK49" s="31"/>
      <c r="JHL49" s="16"/>
      <c r="JHM49" s="17"/>
      <c r="JHN49" s="30"/>
      <c r="JHO49" s="31"/>
      <c r="JHP49" s="16"/>
      <c r="JHQ49" s="17"/>
      <c r="JHR49" s="30"/>
      <c r="JHS49" s="31"/>
      <c r="JHT49" s="16"/>
      <c r="JHU49" s="17"/>
      <c r="JHV49" s="30"/>
      <c r="JHW49" s="31"/>
      <c r="JHX49" s="16"/>
      <c r="JHY49" s="17"/>
      <c r="JHZ49" s="30"/>
      <c r="JIA49" s="31"/>
      <c r="JIB49" s="16"/>
      <c r="JIC49" s="17"/>
      <c r="JID49" s="30"/>
      <c r="JIE49" s="31"/>
      <c r="JIF49" s="16"/>
      <c r="JIG49" s="17"/>
      <c r="JIH49" s="30"/>
      <c r="JII49" s="31"/>
      <c r="JIJ49" s="16"/>
      <c r="JIK49" s="17"/>
      <c r="JIL49" s="30"/>
      <c r="JIM49" s="31"/>
      <c r="JIN49" s="16"/>
      <c r="JIO49" s="17"/>
      <c r="JIP49" s="30"/>
      <c r="JIQ49" s="31"/>
      <c r="JIR49" s="16"/>
      <c r="JIS49" s="17"/>
      <c r="JIT49" s="30"/>
      <c r="JIU49" s="31"/>
      <c r="JIV49" s="16"/>
      <c r="JIW49" s="17"/>
      <c r="JIX49" s="30"/>
      <c r="JIY49" s="31"/>
      <c r="JIZ49" s="16"/>
      <c r="JJA49" s="17"/>
      <c r="JJB49" s="30"/>
      <c r="JJC49" s="31"/>
      <c r="JJD49" s="16"/>
      <c r="JJE49" s="17"/>
      <c r="JJF49" s="30"/>
      <c r="JJG49" s="31"/>
      <c r="JJH49" s="16"/>
      <c r="JJI49" s="17"/>
      <c r="JJJ49" s="30"/>
      <c r="JJK49" s="31"/>
      <c r="JJL49" s="16"/>
      <c r="JJM49" s="17"/>
      <c r="JJN49" s="30"/>
      <c r="JJO49" s="31"/>
      <c r="JJP49" s="16"/>
      <c r="JJQ49" s="17"/>
      <c r="JJR49" s="30"/>
      <c r="JJS49" s="31"/>
      <c r="JJT49" s="16"/>
      <c r="JJU49" s="17"/>
      <c r="JJV49" s="30"/>
      <c r="JJW49" s="31"/>
      <c r="JJX49" s="16"/>
      <c r="JJY49" s="17"/>
      <c r="JJZ49" s="30"/>
      <c r="JKA49" s="31"/>
      <c r="JKB49" s="16"/>
      <c r="JKC49" s="17"/>
      <c r="JKD49" s="30"/>
      <c r="JKE49" s="31"/>
      <c r="JKF49" s="16"/>
      <c r="JKG49" s="17"/>
      <c r="JKH49" s="30"/>
      <c r="JKI49" s="31"/>
      <c r="JKJ49" s="16"/>
      <c r="JKK49" s="17"/>
      <c r="JKL49" s="30"/>
      <c r="JKM49" s="31"/>
      <c r="JKN49" s="16"/>
      <c r="JKO49" s="17"/>
      <c r="JKP49" s="30"/>
      <c r="JKQ49" s="31"/>
      <c r="JKR49" s="16"/>
      <c r="JKS49" s="17"/>
      <c r="JKT49" s="30"/>
      <c r="JKU49" s="31"/>
      <c r="JKV49" s="16"/>
      <c r="JKW49" s="17"/>
      <c r="JKX49" s="30"/>
      <c r="JKY49" s="31"/>
      <c r="JKZ49" s="16"/>
      <c r="JLA49" s="17"/>
      <c r="JLB49" s="30"/>
      <c r="JLC49" s="31"/>
      <c r="JLD49" s="16"/>
      <c r="JLE49" s="17"/>
      <c r="JLF49" s="30"/>
      <c r="JLG49" s="31"/>
      <c r="JLH49" s="16"/>
      <c r="JLI49" s="17"/>
      <c r="JLJ49" s="30"/>
      <c r="JLK49" s="31"/>
      <c r="JLL49" s="16"/>
      <c r="JLM49" s="17"/>
      <c r="JLN49" s="30"/>
      <c r="JLO49" s="31"/>
      <c r="JLP49" s="16"/>
      <c r="JLQ49" s="17"/>
      <c r="JLR49" s="30"/>
      <c r="JLS49" s="31"/>
      <c r="JLT49" s="16"/>
      <c r="JLU49" s="17"/>
      <c r="JLV49" s="30"/>
      <c r="JLW49" s="31"/>
      <c r="JLX49" s="16"/>
      <c r="JLY49" s="17"/>
      <c r="JLZ49" s="30"/>
      <c r="JMA49" s="31"/>
      <c r="JMB49" s="16"/>
      <c r="JMC49" s="17"/>
      <c r="JMD49" s="30"/>
      <c r="JME49" s="31"/>
      <c r="JMF49" s="16"/>
      <c r="JMG49" s="17"/>
      <c r="JMH49" s="30"/>
      <c r="JMI49" s="31"/>
      <c r="JMJ49" s="16"/>
      <c r="JMK49" s="17"/>
      <c r="JML49" s="30"/>
      <c r="JMM49" s="31"/>
      <c r="JMN49" s="16"/>
      <c r="JMO49" s="17"/>
      <c r="JMP49" s="30"/>
      <c r="JMQ49" s="31"/>
      <c r="JMR49" s="16"/>
      <c r="JMS49" s="17"/>
      <c r="JMT49" s="30"/>
      <c r="JMU49" s="31"/>
      <c r="JMV49" s="16"/>
      <c r="JMW49" s="17"/>
      <c r="JMX49" s="30"/>
      <c r="JMY49" s="31"/>
      <c r="JMZ49" s="16"/>
      <c r="JNA49" s="17"/>
      <c r="JNB49" s="30"/>
      <c r="JNC49" s="31"/>
      <c r="JND49" s="16"/>
      <c r="JNE49" s="17"/>
      <c r="JNF49" s="30"/>
      <c r="JNG49" s="31"/>
      <c r="JNH49" s="16"/>
      <c r="JNI49" s="17"/>
      <c r="JNJ49" s="30"/>
      <c r="JNK49" s="31"/>
      <c r="JNL49" s="16"/>
      <c r="JNM49" s="17"/>
      <c r="JNN49" s="30"/>
      <c r="JNO49" s="31"/>
      <c r="JNP49" s="16"/>
      <c r="JNQ49" s="17"/>
      <c r="JNR49" s="30"/>
      <c r="JNS49" s="31"/>
      <c r="JNT49" s="16"/>
      <c r="JNU49" s="17"/>
      <c r="JNV49" s="30"/>
      <c r="JNW49" s="31"/>
      <c r="JNX49" s="16"/>
      <c r="JNY49" s="17"/>
      <c r="JNZ49" s="30"/>
      <c r="JOA49" s="31"/>
      <c r="JOB49" s="16"/>
      <c r="JOC49" s="17"/>
      <c r="JOD49" s="30"/>
      <c r="JOE49" s="31"/>
      <c r="JOF49" s="16"/>
      <c r="JOG49" s="17"/>
      <c r="JOH49" s="30"/>
      <c r="JOI49" s="31"/>
      <c r="JOJ49" s="16"/>
      <c r="JOK49" s="17"/>
      <c r="JOL49" s="30"/>
      <c r="JOM49" s="31"/>
      <c r="JON49" s="16"/>
      <c r="JOO49" s="17"/>
      <c r="JOP49" s="30"/>
      <c r="JOQ49" s="31"/>
      <c r="JOR49" s="16"/>
      <c r="JOS49" s="17"/>
      <c r="JOT49" s="30"/>
      <c r="JOU49" s="31"/>
      <c r="JOV49" s="16"/>
      <c r="JOW49" s="17"/>
      <c r="JOX49" s="30"/>
      <c r="JOY49" s="31"/>
      <c r="JOZ49" s="16"/>
      <c r="JPA49" s="17"/>
      <c r="JPB49" s="30"/>
      <c r="JPC49" s="31"/>
      <c r="JPD49" s="16"/>
      <c r="JPE49" s="17"/>
      <c r="JPF49" s="30"/>
      <c r="JPG49" s="31"/>
      <c r="JPH49" s="16"/>
      <c r="JPI49" s="17"/>
      <c r="JPJ49" s="30"/>
      <c r="JPK49" s="31"/>
      <c r="JPL49" s="16"/>
      <c r="JPM49" s="17"/>
      <c r="JPN49" s="30"/>
      <c r="JPO49" s="31"/>
      <c r="JPP49" s="16"/>
      <c r="JPQ49" s="17"/>
      <c r="JPR49" s="30"/>
      <c r="JPS49" s="31"/>
      <c r="JPT49" s="16"/>
      <c r="JPU49" s="17"/>
      <c r="JPV49" s="30"/>
      <c r="JPW49" s="31"/>
      <c r="JPX49" s="16"/>
      <c r="JPY49" s="17"/>
      <c r="JPZ49" s="30"/>
      <c r="JQA49" s="31"/>
      <c r="JQB49" s="16"/>
      <c r="JQC49" s="17"/>
      <c r="JQD49" s="30"/>
      <c r="JQE49" s="31"/>
      <c r="JQF49" s="16"/>
      <c r="JQG49" s="17"/>
      <c r="JQH49" s="30"/>
      <c r="JQI49" s="31"/>
      <c r="JQJ49" s="16"/>
      <c r="JQK49" s="17"/>
      <c r="JQL49" s="30"/>
      <c r="JQM49" s="31"/>
      <c r="JQN49" s="16"/>
      <c r="JQO49" s="17"/>
      <c r="JQP49" s="30"/>
      <c r="JQQ49" s="31"/>
      <c r="JQR49" s="16"/>
      <c r="JQS49" s="17"/>
      <c r="JQT49" s="30"/>
      <c r="JQU49" s="31"/>
      <c r="JQV49" s="16"/>
      <c r="JQW49" s="17"/>
      <c r="JQX49" s="30"/>
      <c r="JQY49" s="31"/>
      <c r="JQZ49" s="16"/>
      <c r="JRA49" s="17"/>
      <c r="JRB49" s="30"/>
      <c r="JRC49" s="31"/>
      <c r="JRD49" s="16"/>
      <c r="JRE49" s="17"/>
      <c r="JRF49" s="30"/>
      <c r="JRG49" s="31"/>
      <c r="JRH49" s="16"/>
      <c r="JRI49" s="17"/>
      <c r="JRJ49" s="30"/>
      <c r="JRK49" s="31"/>
      <c r="JRL49" s="16"/>
      <c r="JRM49" s="17"/>
      <c r="JRN49" s="30"/>
      <c r="JRO49" s="31"/>
      <c r="JRP49" s="16"/>
      <c r="JRQ49" s="17"/>
      <c r="JRR49" s="30"/>
      <c r="JRS49" s="31"/>
      <c r="JRT49" s="16"/>
      <c r="JRU49" s="17"/>
      <c r="JRV49" s="30"/>
      <c r="JRW49" s="31"/>
      <c r="JRX49" s="16"/>
      <c r="JRY49" s="17"/>
      <c r="JRZ49" s="30"/>
      <c r="JSA49" s="31"/>
      <c r="JSB49" s="16"/>
      <c r="JSC49" s="17"/>
      <c r="JSD49" s="30"/>
      <c r="JSE49" s="31"/>
      <c r="JSF49" s="16"/>
      <c r="JSG49" s="17"/>
      <c r="JSH49" s="30"/>
      <c r="JSI49" s="31"/>
      <c r="JSJ49" s="16"/>
      <c r="JSK49" s="17"/>
      <c r="JSL49" s="30"/>
      <c r="JSM49" s="31"/>
      <c r="JSN49" s="16"/>
      <c r="JSO49" s="17"/>
      <c r="JSP49" s="30"/>
      <c r="JSQ49" s="31"/>
      <c r="JSR49" s="16"/>
      <c r="JSS49" s="17"/>
      <c r="JST49" s="30"/>
      <c r="JSU49" s="31"/>
      <c r="JSV49" s="16"/>
      <c r="JSW49" s="17"/>
      <c r="JSX49" s="30"/>
      <c r="JSY49" s="31"/>
      <c r="JSZ49" s="16"/>
      <c r="JTA49" s="17"/>
      <c r="JTB49" s="30"/>
      <c r="JTC49" s="31"/>
      <c r="JTD49" s="16"/>
      <c r="JTE49" s="17"/>
      <c r="JTF49" s="30"/>
      <c r="JTG49" s="31"/>
      <c r="JTH49" s="16"/>
      <c r="JTI49" s="17"/>
      <c r="JTJ49" s="30"/>
      <c r="JTK49" s="31"/>
      <c r="JTL49" s="16"/>
      <c r="JTM49" s="17"/>
      <c r="JTN49" s="30"/>
      <c r="JTO49" s="31"/>
      <c r="JTP49" s="16"/>
      <c r="JTQ49" s="17"/>
      <c r="JTR49" s="30"/>
      <c r="JTS49" s="31"/>
      <c r="JTT49" s="16"/>
      <c r="JTU49" s="17"/>
      <c r="JTV49" s="30"/>
      <c r="JTW49" s="31"/>
      <c r="JTX49" s="16"/>
      <c r="JTY49" s="17"/>
      <c r="JTZ49" s="30"/>
      <c r="JUA49" s="31"/>
      <c r="JUB49" s="16"/>
      <c r="JUC49" s="17"/>
      <c r="JUD49" s="30"/>
      <c r="JUE49" s="31"/>
      <c r="JUF49" s="16"/>
      <c r="JUG49" s="17"/>
      <c r="JUH49" s="30"/>
      <c r="JUI49" s="31"/>
      <c r="JUJ49" s="16"/>
      <c r="JUK49" s="17"/>
      <c r="JUL49" s="30"/>
      <c r="JUM49" s="31"/>
      <c r="JUN49" s="16"/>
      <c r="JUO49" s="17"/>
      <c r="JUP49" s="30"/>
      <c r="JUQ49" s="31"/>
      <c r="JUR49" s="16"/>
      <c r="JUS49" s="17"/>
      <c r="JUT49" s="30"/>
      <c r="JUU49" s="31"/>
      <c r="JUV49" s="16"/>
      <c r="JUW49" s="17"/>
      <c r="JUX49" s="30"/>
      <c r="JUY49" s="31"/>
      <c r="JUZ49" s="16"/>
      <c r="JVA49" s="17"/>
      <c r="JVB49" s="30"/>
      <c r="JVC49" s="31"/>
      <c r="JVD49" s="16"/>
      <c r="JVE49" s="17"/>
      <c r="JVF49" s="30"/>
      <c r="JVG49" s="31"/>
      <c r="JVH49" s="16"/>
      <c r="JVI49" s="17"/>
      <c r="JVJ49" s="30"/>
      <c r="JVK49" s="31"/>
      <c r="JVL49" s="16"/>
      <c r="JVM49" s="17"/>
      <c r="JVN49" s="30"/>
      <c r="JVO49" s="31"/>
      <c r="JVP49" s="16"/>
      <c r="JVQ49" s="17"/>
      <c r="JVR49" s="30"/>
      <c r="JVS49" s="31"/>
      <c r="JVT49" s="16"/>
      <c r="JVU49" s="17"/>
      <c r="JVV49" s="30"/>
      <c r="JVW49" s="31"/>
      <c r="JVX49" s="16"/>
      <c r="JVY49" s="17"/>
      <c r="JVZ49" s="30"/>
      <c r="JWA49" s="31"/>
      <c r="JWB49" s="16"/>
      <c r="JWC49" s="17"/>
      <c r="JWD49" s="30"/>
      <c r="JWE49" s="31"/>
      <c r="JWF49" s="16"/>
      <c r="JWG49" s="17"/>
      <c r="JWH49" s="30"/>
      <c r="JWI49" s="31"/>
      <c r="JWJ49" s="16"/>
      <c r="JWK49" s="17"/>
      <c r="JWL49" s="30"/>
      <c r="JWM49" s="31"/>
      <c r="JWN49" s="16"/>
      <c r="JWO49" s="17"/>
      <c r="JWP49" s="30"/>
      <c r="JWQ49" s="31"/>
      <c r="JWR49" s="16"/>
      <c r="JWS49" s="17"/>
      <c r="JWT49" s="30"/>
      <c r="JWU49" s="31"/>
      <c r="JWV49" s="16"/>
      <c r="JWW49" s="17"/>
      <c r="JWX49" s="30"/>
      <c r="JWY49" s="31"/>
      <c r="JWZ49" s="16"/>
      <c r="JXA49" s="17"/>
      <c r="JXB49" s="30"/>
      <c r="JXC49" s="31"/>
      <c r="JXD49" s="16"/>
      <c r="JXE49" s="17"/>
      <c r="JXF49" s="30"/>
      <c r="JXG49" s="31"/>
      <c r="JXH49" s="16"/>
      <c r="JXI49" s="17"/>
      <c r="JXJ49" s="30"/>
      <c r="JXK49" s="31"/>
      <c r="JXL49" s="16"/>
      <c r="JXM49" s="17"/>
      <c r="JXN49" s="30"/>
      <c r="JXO49" s="31"/>
      <c r="JXP49" s="16"/>
      <c r="JXQ49" s="17"/>
      <c r="JXR49" s="30"/>
      <c r="JXS49" s="31"/>
      <c r="JXT49" s="16"/>
      <c r="JXU49" s="17"/>
      <c r="JXV49" s="30"/>
      <c r="JXW49" s="31"/>
      <c r="JXX49" s="16"/>
      <c r="JXY49" s="17"/>
      <c r="JXZ49" s="30"/>
      <c r="JYA49" s="31"/>
      <c r="JYB49" s="16"/>
      <c r="JYC49" s="17"/>
      <c r="JYD49" s="30"/>
      <c r="JYE49" s="31"/>
      <c r="JYF49" s="16"/>
      <c r="JYG49" s="17"/>
      <c r="JYH49" s="30"/>
      <c r="JYI49" s="31"/>
      <c r="JYJ49" s="16"/>
      <c r="JYK49" s="17"/>
      <c r="JYL49" s="30"/>
      <c r="JYM49" s="31"/>
      <c r="JYN49" s="16"/>
      <c r="JYO49" s="17"/>
      <c r="JYP49" s="30"/>
      <c r="JYQ49" s="31"/>
      <c r="JYR49" s="16"/>
      <c r="JYS49" s="17"/>
      <c r="JYT49" s="30"/>
      <c r="JYU49" s="31"/>
      <c r="JYV49" s="16"/>
      <c r="JYW49" s="17"/>
      <c r="JYX49" s="30"/>
      <c r="JYY49" s="31"/>
      <c r="JYZ49" s="16"/>
      <c r="JZA49" s="17"/>
      <c r="JZB49" s="30"/>
      <c r="JZC49" s="31"/>
      <c r="JZD49" s="16"/>
      <c r="JZE49" s="17"/>
      <c r="JZF49" s="30"/>
      <c r="JZG49" s="31"/>
      <c r="JZH49" s="16"/>
      <c r="JZI49" s="17"/>
      <c r="JZJ49" s="30"/>
      <c r="JZK49" s="31"/>
      <c r="JZL49" s="16"/>
      <c r="JZM49" s="17"/>
      <c r="JZN49" s="30"/>
      <c r="JZO49" s="31"/>
      <c r="JZP49" s="16"/>
      <c r="JZQ49" s="17"/>
      <c r="JZR49" s="30"/>
      <c r="JZS49" s="31"/>
      <c r="JZT49" s="16"/>
      <c r="JZU49" s="17"/>
      <c r="JZV49" s="30"/>
      <c r="JZW49" s="31"/>
      <c r="JZX49" s="16"/>
      <c r="JZY49" s="17"/>
      <c r="JZZ49" s="30"/>
      <c r="KAA49" s="31"/>
      <c r="KAB49" s="16"/>
      <c r="KAC49" s="17"/>
      <c r="KAD49" s="30"/>
      <c r="KAE49" s="31"/>
      <c r="KAF49" s="16"/>
      <c r="KAG49" s="17"/>
      <c r="KAH49" s="30"/>
      <c r="KAI49" s="31"/>
      <c r="KAJ49" s="16"/>
      <c r="KAK49" s="17"/>
      <c r="KAL49" s="30"/>
      <c r="KAM49" s="31"/>
      <c r="KAN49" s="16"/>
      <c r="KAO49" s="17"/>
      <c r="KAP49" s="30"/>
      <c r="KAQ49" s="31"/>
      <c r="KAR49" s="16"/>
      <c r="KAS49" s="17"/>
      <c r="KAT49" s="30"/>
      <c r="KAU49" s="31"/>
      <c r="KAV49" s="16"/>
      <c r="KAW49" s="17"/>
      <c r="KAX49" s="30"/>
      <c r="KAY49" s="31"/>
      <c r="KAZ49" s="16"/>
      <c r="KBA49" s="17"/>
      <c r="KBB49" s="30"/>
      <c r="KBC49" s="31"/>
      <c r="KBD49" s="16"/>
      <c r="KBE49" s="17"/>
      <c r="KBF49" s="30"/>
      <c r="KBG49" s="31"/>
      <c r="KBH49" s="16"/>
      <c r="KBI49" s="17"/>
      <c r="KBJ49" s="30"/>
      <c r="KBK49" s="31"/>
      <c r="KBL49" s="16"/>
      <c r="KBM49" s="17"/>
      <c r="KBN49" s="30"/>
      <c r="KBO49" s="31"/>
      <c r="KBP49" s="16"/>
      <c r="KBQ49" s="17"/>
      <c r="KBR49" s="30"/>
      <c r="KBS49" s="31"/>
      <c r="KBT49" s="16"/>
      <c r="KBU49" s="17"/>
      <c r="KBV49" s="30"/>
      <c r="KBW49" s="31"/>
      <c r="KBX49" s="16"/>
      <c r="KBY49" s="17"/>
      <c r="KBZ49" s="30"/>
      <c r="KCA49" s="31"/>
      <c r="KCB49" s="16"/>
      <c r="KCC49" s="17"/>
      <c r="KCD49" s="30"/>
      <c r="KCE49" s="31"/>
      <c r="KCF49" s="16"/>
      <c r="KCG49" s="17"/>
      <c r="KCH49" s="30"/>
      <c r="KCI49" s="31"/>
      <c r="KCJ49" s="16"/>
      <c r="KCK49" s="17"/>
      <c r="KCL49" s="30"/>
      <c r="KCM49" s="31"/>
      <c r="KCN49" s="16"/>
      <c r="KCO49" s="17"/>
      <c r="KCP49" s="30"/>
      <c r="KCQ49" s="31"/>
      <c r="KCR49" s="16"/>
      <c r="KCS49" s="17"/>
      <c r="KCT49" s="30"/>
      <c r="KCU49" s="31"/>
      <c r="KCV49" s="16"/>
      <c r="KCW49" s="17"/>
      <c r="KCX49" s="30"/>
      <c r="KCY49" s="31"/>
      <c r="KCZ49" s="16"/>
      <c r="KDA49" s="17"/>
      <c r="KDB49" s="30"/>
      <c r="KDC49" s="31"/>
      <c r="KDD49" s="16"/>
      <c r="KDE49" s="17"/>
      <c r="KDF49" s="30"/>
      <c r="KDG49" s="31"/>
      <c r="KDH49" s="16"/>
      <c r="KDI49" s="17"/>
      <c r="KDJ49" s="30"/>
      <c r="KDK49" s="31"/>
      <c r="KDL49" s="16"/>
      <c r="KDM49" s="17"/>
      <c r="KDN49" s="30"/>
      <c r="KDO49" s="31"/>
      <c r="KDP49" s="16"/>
      <c r="KDQ49" s="17"/>
      <c r="KDR49" s="30"/>
      <c r="KDS49" s="31"/>
      <c r="KDT49" s="16"/>
      <c r="KDU49" s="17"/>
      <c r="KDV49" s="30"/>
      <c r="KDW49" s="31"/>
      <c r="KDX49" s="16"/>
      <c r="KDY49" s="17"/>
      <c r="KDZ49" s="30"/>
      <c r="KEA49" s="31"/>
      <c r="KEB49" s="16"/>
      <c r="KEC49" s="17"/>
      <c r="KED49" s="30"/>
      <c r="KEE49" s="31"/>
      <c r="KEF49" s="16"/>
      <c r="KEG49" s="17"/>
      <c r="KEH49" s="30"/>
      <c r="KEI49" s="31"/>
      <c r="KEJ49" s="16"/>
      <c r="KEK49" s="17"/>
      <c r="KEL49" s="30"/>
      <c r="KEM49" s="31"/>
      <c r="KEN49" s="16"/>
      <c r="KEO49" s="17"/>
      <c r="KEP49" s="30"/>
      <c r="KEQ49" s="31"/>
      <c r="KER49" s="16"/>
      <c r="KES49" s="17"/>
      <c r="KET49" s="30"/>
      <c r="KEU49" s="31"/>
      <c r="KEV49" s="16"/>
      <c r="KEW49" s="17"/>
      <c r="KEX49" s="30"/>
      <c r="KEY49" s="31"/>
      <c r="KEZ49" s="16"/>
      <c r="KFA49" s="17"/>
      <c r="KFB49" s="30"/>
      <c r="KFC49" s="31"/>
      <c r="KFD49" s="16"/>
      <c r="KFE49" s="17"/>
      <c r="KFF49" s="30"/>
      <c r="KFG49" s="31"/>
      <c r="KFH49" s="16"/>
      <c r="KFI49" s="17"/>
      <c r="KFJ49" s="30"/>
      <c r="KFK49" s="31"/>
      <c r="KFL49" s="16"/>
      <c r="KFM49" s="17"/>
      <c r="KFN49" s="30"/>
      <c r="KFO49" s="31"/>
      <c r="KFP49" s="16"/>
      <c r="KFQ49" s="17"/>
      <c r="KFR49" s="30"/>
      <c r="KFS49" s="31"/>
      <c r="KFT49" s="16"/>
      <c r="KFU49" s="17"/>
      <c r="KFV49" s="30"/>
      <c r="KFW49" s="31"/>
      <c r="KFX49" s="16"/>
      <c r="KFY49" s="17"/>
      <c r="KFZ49" s="30"/>
      <c r="KGA49" s="31"/>
      <c r="KGB49" s="16"/>
      <c r="KGC49" s="17"/>
      <c r="KGD49" s="30"/>
      <c r="KGE49" s="31"/>
      <c r="KGF49" s="16"/>
      <c r="KGG49" s="17"/>
      <c r="KGH49" s="30"/>
      <c r="KGI49" s="31"/>
      <c r="KGJ49" s="16"/>
      <c r="KGK49" s="17"/>
      <c r="KGL49" s="30"/>
      <c r="KGM49" s="31"/>
      <c r="KGN49" s="16"/>
      <c r="KGO49" s="17"/>
      <c r="KGP49" s="30"/>
      <c r="KGQ49" s="31"/>
      <c r="KGR49" s="16"/>
      <c r="KGS49" s="17"/>
      <c r="KGT49" s="30"/>
      <c r="KGU49" s="31"/>
      <c r="KGV49" s="16"/>
      <c r="KGW49" s="17"/>
      <c r="KGX49" s="30"/>
      <c r="KGY49" s="31"/>
      <c r="KGZ49" s="16"/>
      <c r="KHA49" s="17"/>
      <c r="KHB49" s="30"/>
      <c r="KHC49" s="31"/>
      <c r="KHD49" s="16"/>
      <c r="KHE49" s="17"/>
      <c r="KHF49" s="30"/>
      <c r="KHG49" s="31"/>
      <c r="KHH49" s="16"/>
      <c r="KHI49" s="17"/>
      <c r="KHJ49" s="30"/>
      <c r="KHK49" s="31"/>
      <c r="KHL49" s="16"/>
      <c r="KHM49" s="17"/>
      <c r="KHN49" s="30"/>
      <c r="KHO49" s="31"/>
      <c r="KHP49" s="16"/>
      <c r="KHQ49" s="17"/>
      <c r="KHR49" s="30"/>
      <c r="KHS49" s="31"/>
      <c r="KHT49" s="16"/>
      <c r="KHU49" s="17"/>
      <c r="KHV49" s="30"/>
      <c r="KHW49" s="31"/>
      <c r="KHX49" s="16"/>
      <c r="KHY49" s="17"/>
      <c r="KHZ49" s="30"/>
      <c r="KIA49" s="31"/>
      <c r="KIB49" s="16"/>
      <c r="KIC49" s="17"/>
      <c r="KID49" s="30"/>
      <c r="KIE49" s="31"/>
      <c r="KIF49" s="16"/>
      <c r="KIG49" s="17"/>
      <c r="KIH49" s="30"/>
      <c r="KII49" s="31"/>
      <c r="KIJ49" s="16"/>
      <c r="KIK49" s="17"/>
      <c r="KIL49" s="30"/>
      <c r="KIM49" s="31"/>
      <c r="KIN49" s="16"/>
      <c r="KIO49" s="17"/>
      <c r="KIP49" s="30"/>
      <c r="KIQ49" s="31"/>
      <c r="KIR49" s="16"/>
      <c r="KIS49" s="17"/>
      <c r="KIT49" s="30"/>
      <c r="KIU49" s="31"/>
      <c r="KIV49" s="16"/>
      <c r="KIW49" s="17"/>
      <c r="KIX49" s="30"/>
      <c r="KIY49" s="31"/>
      <c r="KIZ49" s="16"/>
      <c r="KJA49" s="17"/>
      <c r="KJB49" s="30"/>
      <c r="KJC49" s="31"/>
      <c r="KJD49" s="16"/>
      <c r="KJE49" s="17"/>
      <c r="KJF49" s="30"/>
      <c r="KJG49" s="31"/>
      <c r="KJH49" s="16"/>
      <c r="KJI49" s="17"/>
      <c r="KJJ49" s="30"/>
      <c r="KJK49" s="31"/>
      <c r="KJL49" s="16"/>
      <c r="KJM49" s="17"/>
      <c r="KJN49" s="30"/>
      <c r="KJO49" s="31"/>
      <c r="KJP49" s="16"/>
      <c r="KJQ49" s="17"/>
      <c r="KJR49" s="30"/>
      <c r="KJS49" s="31"/>
      <c r="KJT49" s="16"/>
      <c r="KJU49" s="17"/>
      <c r="KJV49" s="30"/>
      <c r="KJW49" s="31"/>
      <c r="KJX49" s="16"/>
      <c r="KJY49" s="17"/>
      <c r="KJZ49" s="30"/>
      <c r="KKA49" s="31"/>
      <c r="KKB49" s="16"/>
      <c r="KKC49" s="17"/>
      <c r="KKD49" s="30"/>
      <c r="KKE49" s="31"/>
      <c r="KKF49" s="16"/>
      <c r="KKG49" s="17"/>
      <c r="KKH49" s="30"/>
      <c r="KKI49" s="31"/>
      <c r="KKJ49" s="16"/>
      <c r="KKK49" s="17"/>
      <c r="KKL49" s="30"/>
      <c r="KKM49" s="31"/>
      <c r="KKN49" s="16"/>
      <c r="KKO49" s="17"/>
      <c r="KKP49" s="30"/>
      <c r="KKQ49" s="31"/>
      <c r="KKR49" s="16"/>
      <c r="KKS49" s="17"/>
      <c r="KKT49" s="30"/>
      <c r="KKU49" s="31"/>
      <c r="KKV49" s="16"/>
      <c r="KKW49" s="17"/>
      <c r="KKX49" s="30"/>
      <c r="KKY49" s="31"/>
      <c r="KKZ49" s="16"/>
      <c r="KLA49" s="17"/>
      <c r="KLB49" s="30"/>
      <c r="KLC49" s="31"/>
      <c r="KLD49" s="16"/>
      <c r="KLE49" s="17"/>
      <c r="KLF49" s="30"/>
      <c r="KLG49" s="31"/>
      <c r="KLH49" s="16"/>
      <c r="KLI49" s="17"/>
      <c r="KLJ49" s="30"/>
      <c r="KLK49" s="31"/>
      <c r="KLL49" s="16"/>
      <c r="KLM49" s="17"/>
      <c r="KLN49" s="30"/>
      <c r="KLO49" s="31"/>
      <c r="KLP49" s="16"/>
      <c r="KLQ49" s="17"/>
      <c r="KLR49" s="30"/>
      <c r="KLS49" s="31"/>
      <c r="KLT49" s="16"/>
      <c r="KLU49" s="17"/>
      <c r="KLV49" s="30"/>
      <c r="KLW49" s="31"/>
      <c r="KLX49" s="16"/>
      <c r="KLY49" s="17"/>
      <c r="KLZ49" s="30"/>
      <c r="KMA49" s="31"/>
      <c r="KMB49" s="16"/>
      <c r="KMC49" s="17"/>
      <c r="KMD49" s="30"/>
      <c r="KME49" s="31"/>
      <c r="KMF49" s="16"/>
      <c r="KMG49" s="17"/>
      <c r="KMH49" s="30"/>
      <c r="KMI49" s="31"/>
      <c r="KMJ49" s="16"/>
      <c r="KMK49" s="17"/>
      <c r="KML49" s="30"/>
      <c r="KMM49" s="31"/>
      <c r="KMN49" s="16"/>
      <c r="KMO49" s="17"/>
      <c r="KMP49" s="30"/>
      <c r="KMQ49" s="31"/>
      <c r="KMR49" s="16"/>
      <c r="KMS49" s="17"/>
      <c r="KMT49" s="30"/>
      <c r="KMU49" s="31"/>
      <c r="KMV49" s="16"/>
      <c r="KMW49" s="17"/>
      <c r="KMX49" s="30"/>
      <c r="KMY49" s="31"/>
      <c r="KMZ49" s="16"/>
      <c r="KNA49" s="17"/>
      <c r="KNB49" s="30"/>
      <c r="KNC49" s="31"/>
      <c r="KND49" s="16"/>
      <c r="KNE49" s="17"/>
      <c r="KNF49" s="30"/>
      <c r="KNG49" s="31"/>
      <c r="KNH49" s="16"/>
      <c r="KNI49" s="17"/>
      <c r="KNJ49" s="30"/>
      <c r="KNK49" s="31"/>
      <c r="KNL49" s="16"/>
      <c r="KNM49" s="17"/>
      <c r="KNN49" s="30"/>
      <c r="KNO49" s="31"/>
      <c r="KNP49" s="16"/>
      <c r="KNQ49" s="17"/>
      <c r="KNR49" s="30"/>
      <c r="KNS49" s="31"/>
      <c r="KNT49" s="16"/>
      <c r="KNU49" s="17"/>
      <c r="KNV49" s="30"/>
      <c r="KNW49" s="31"/>
      <c r="KNX49" s="16"/>
      <c r="KNY49" s="17"/>
      <c r="KNZ49" s="30"/>
      <c r="KOA49" s="31"/>
      <c r="KOB49" s="16"/>
      <c r="KOC49" s="17"/>
      <c r="KOD49" s="30"/>
      <c r="KOE49" s="31"/>
      <c r="KOF49" s="16"/>
      <c r="KOG49" s="17"/>
      <c r="KOH49" s="30"/>
      <c r="KOI49" s="31"/>
      <c r="KOJ49" s="16"/>
      <c r="KOK49" s="17"/>
      <c r="KOL49" s="30"/>
      <c r="KOM49" s="31"/>
      <c r="KON49" s="16"/>
      <c r="KOO49" s="17"/>
      <c r="KOP49" s="30"/>
      <c r="KOQ49" s="31"/>
      <c r="KOR49" s="16"/>
      <c r="KOS49" s="17"/>
      <c r="KOT49" s="30"/>
      <c r="KOU49" s="31"/>
      <c r="KOV49" s="16"/>
      <c r="KOW49" s="17"/>
      <c r="KOX49" s="30"/>
      <c r="KOY49" s="31"/>
      <c r="KOZ49" s="16"/>
      <c r="KPA49" s="17"/>
      <c r="KPB49" s="30"/>
      <c r="KPC49" s="31"/>
      <c r="KPD49" s="16"/>
      <c r="KPE49" s="17"/>
      <c r="KPF49" s="30"/>
      <c r="KPG49" s="31"/>
      <c r="KPH49" s="16"/>
      <c r="KPI49" s="17"/>
      <c r="KPJ49" s="30"/>
      <c r="KPK49" s="31"/>
      <c r="KPL49" s="16"/>
      <c r="KPM49" s="17"/>
      <c r="KPN49" s="30"/>
      <c r="KPO49" s="31"/>
      <c r="KPP49" s="16"/>
      <c r="KPQ49" s="17"/>
      <c r="KPR49" s="30"/>
      <c r="KPS49" s="31"/>
      <c r="KPT49" s="16"/>
      <c r="KPU49" s="17"/>
      <c r="KPV49" s="30"/>
      <c r="KPW49" s="31"/>
      <c r="KPX49" s="16"/>
      <c r="KPY49" s="17"/>
      <c r="KPZ49" s="30"/>
      <c r="KQA49" s="31"/>
      <c r="KQB49" s="16"/>
      <c r="KQC49" s="17"/>
      <c r="KQD49" s="30"/>
      <c r="KQE49" s="31"/>
      <c r="KQF49" s="16"/>
      <c r="KQG49" s="17"/>
      <c r="KQH49" s="30"/>
      <c r="KQI49" s="31"/>
      <c r="KQJ49" s="16"/>
      <c r="KQK49" s="17"/>
      <c r="KQL49" s="30"/>
      <c r="KQM49" s="31"/>
      <c r="KQN49" s="16"/>
      <c r="KQO49" s="17"/>
      <c r="KQP49" s="30"/>
      <c r="KQQ49" s="31"/>
      <c r="KQR49" s="16"/>
      <c r="KQS49" s="17"/>
      <c r="KQT49" s="30"/>
      <c r="KQU49" s="31"/>
      <c r="KQV49" s="16"/>
      <c r="KQW49" s="17"/>
      <c r="KQX49" s="30"/>
      <c r="KQY49" s="31"/>
      <c r="KQZ49" s="16"/>
      <c r="KRA49" s="17"/>
      <c r="KRB49" s="30"/>
      <c r="KRC49" s="31"/>
      <c r="KRD49" s="16"/>
      <c r="KRE49" s="17"/>
      <c r="KRF49" s="30"/>
      <c r="KRG49" s="31"/>
      <c r="KRH49" s="16"/>
      <c r="KRI49" s="17"/>
      <c r="KRJ49" s="30"/>
      <c r="KRK49" s="31"/>
      <c r="KRL49" s="16"/>
      <c r="KRM49" s="17"/>
      <c r="KRN49" s="30"/>
      <c r="KRO49" s="31"/>
      <c r="KRP49" s="16"/>
      <c r="KRQ49" s="17"/>
      <c r="KRR49" s="30"/>
      <c r="KRS49" s="31"/>
      <c r="KRT49" s="16"/>
      <c r="KRU49" s="17"/>
      <c r="KRV49" s="30"/>
      <c r="KRW49" s="31"/>
      <c r="KRX49" s="16"/>
      <c r="KRY49" s="17"/>
      <c r="KRZ49" s="30"/>
      <c r="KSA49" s="31"/>
      <c r="KSB49" s="16"/>
      <c r="KSC49" s="17"/>
      <c r="KSD49" s="30"/>
      <c r="KSE49" s="31"/>
      <c r="KSF49" s="16"/>
      <c r="KSG49" s="17"/>
      <c r="KSH49" s="30"/>
      <c r="KSI49" s="31"/>
      <c r="KSJ49" s="16"/>
      <c r="KSK49" s="17"/>
      <c r="KSL49" s="30"/>
      <c r="KSM49" s="31"/>
      <c r="KSN49" s="16"/>
      <c r="KSO49" s="17"/>
      <c r="KSP49" s="30"/>
      <c r="KSQ49" s="31"/>
      <c r="KSR49" s="16"/>
      <c r="KSS49" s="17"/>
      <c r="KST49" s="30"/>
      <c r="KSU49" s="31"/>
      <c r="KSV49" s="16"/>
      <c r="KSW49" s="17"/>
      <c r="KSX49" s="30"/>
      <c r="KSY49" s="31"/>
      <c r="KSZ49" s="16"/>
      <c r="KTA49" s="17"/>
      <c r="KTB49" s="30"/>
      <c r="KTC49" s="31"/>
      <c r="KTD49" s="16"/>
      <c r="KTE49" s="17"/>
      <c r="KTF49" s="30"/>
      <c r="KTG49" s="31"/>
      <c r="KTH49" s="16"/>
      <c r="KTI49" s="17"/>
      <c r="KTJ49" s="30"/>
      <c r="KTK49" s="31"/>
      <c r="KTL49" s="16"/>
      <c r="KTM49" s="17"/>
      <c r="KTN49" s="30"/>
      <c r="KTO49" s="31"/>
      <c r="KTP49" s="16"/>
      <c r="KTQ49" s="17"/>
      <c r="KTR49" s="30"/>
      <c r="KTS49" s="31"/>
      <c r="KTT49" s="16"/>
      <c r="KTU49" s="17"/>
      <c r="KTV49" s="30"/>
      <c r="KTW49" s="31"/>
      <c r="KTX49" s="16"/>
      <c r="KTY49" s="17"/>
      <c r="KTZ49" s="30"/>
      <c r="KUA49" s="31"/>
      <c r="KUB49" s="16"/>
      <c r="KUC49" s="17"/>
      <c r="KUD49" s="30"/>
      <c r="KUE49" s="31"/>
      <c r="KUF49" s="16"/>
      <c r="KUG49" s="17"/>
      <c r="KUH49" s="30"/>
      <c r="KUI49" s="31"/>
      <c r="KUJ49" s="16"/>
      <c r="KUK49" s="17"/>
      <c r="KUL49" s="30"/>
      <c r="KUM49" s="31"/>
      <c r="KUN49" s="16"/>
      <c r="KUO49" s="17"/>
      <c r="KUP49" s="30"/>
      <c r="KUQ49" s="31"/>
      <c r="KUR49" s="16"/>
      <c r="KUS49" s="17"/>
      <c r="KUT49" s="30"/>
      <c r="KUU49" s="31"/>
      <c r="KUV49" s="16"/>
      <c r="KUW49" s="17"/>
      <c r="KUX49" s="30"/>
      <c r="KUY49" s="31"/>
      <c r="KUZ49" s="16"/>
      <c r="KVA49" s="17"/>
      <c r="KVB49" s="30"/>
      <c r="KVC49" s="31"/>
      <c r="KVD49" s="16"/>
      <c r="KVE49" s="17"/>
      <c r="KVF49" s="30"/>
      <c r="KVG49" s="31"/>
      <c r="KVH49" s="16"/>
      <c r="KVI49" s="17"/>
      <c r="KVJ49" s="30"/>
      <c r="KVK49" s="31"/>
      <c r="KVL49" s="16"/>
      <c r="KVM49" s="17"/>
      <c r="KVN49" s="30"/>
      <c r="KVO49" s="31"/>
      <c r="KVP49" s="16"/>
      <c r="KVQ49" s="17"/>
      <c r="KVR49" s="30"/>
      <c r="KVS49" s="31"/>
      <c r="KVT49" s="16"/>
      <c r="KVU49" s="17"/>
      <c r="KVV49" s="30"/>
      <c r="KVW49" s="31"/>
      <c r="KVX49" s="16"/>
      <c r="KVY49" s="17"/>
      <c r="KVZ49" s="30"/>
      <c r="KWA49" s="31"/>
      <c r="KWB49" s="16"/>
      <c r="KWC49" s="17"/>
      <c r="KWD49" s="30"/>
      <c r="KWE49" s="31"/>
      <c r="KWF49" s="16"/>
      <c r="KWG49" s="17"/>
      <c r="KWH49" s="30"/>
      <c r="KWI49" s="31"/>
      <c r="KWJ49" s="16"/>
      <c r="KWK49" s="17"/>
      <c r="KWL49" s="30"/>
      <c r="KWM49" s="31"/>
      <c r="KWN49" s="16"/>
      <c r="KWO49" s="17"/>
      <c r="KWP49" s="30"/>
      <c r="KWQ49" s="31"/>
      <c r="KWR49" s="16"/>
      <c r="KWS49" s="17"/>
      <c r="KWT49" s="30"/>
      <c r="KWU49" s="31"/>
      <c r="KWV49" s="16"/>
      <c r="KWW49" s="17"/>
      <c r="KWX49" s="30"/>
      <c r="KWY49" s="31"/>
      <c r="KWZ49" s="16"/>
      <c r="KXA49" s="17"/>
      <c r="KXB49" s="30"/>
      <c r="KXC49" s="31"/>
      <c r="KXD49" s="16"/>
      <c r="KXE49" s="17"/>
      <c r="KXF49" s="30"/>
      <c r="KXG49" s="31"/>
      <c r="KXH49" s="16"/>
      <c r="KXI49" s="17"/>
      <c r="KXJ49" s="30"/>
      <c r="KXK49" s="31"/>
      <c r="KXL49" s="16"/>
      <c r="KXM49" s="17"/>
      <c r="KXN49" s="30"/>
      <c r="KXO49" s="31"/>
      <c r="KXP49" s="16"/>
      <c r="KXQ49" s="17"/>
      <c r="KXR49" s="30"/>
      <c r="KXS49" s="31"/>
      <c r="KXT49" s="16"/>
      <c r="KXU49" s="17"/>
      <c r="KXV49" s="30"/>
      <c r="KXW49" s="31"/>
      <c r="KXX49" s="16"/>
      <c r="KXY49" s="17"/>
      <c r="KXZ49" s="30"/>
      <c r="KYA49" s="31"/>
      <c r="KYB49" s="16"/>
      <c r="KYC49" s="17"/>
      <c r="KYD49" s="30"/>
      <c r="KYE49" s="31"/>
      <c r="KYF49" s="16"/>
      <c r="KYG49" s="17"/>
      <c r="KYH49" s="30"/>
      <c r="KYI49" s="31"/>
      <c r="KYJ49" s="16"/>
      <c r="KYK49" s="17"/>
      <c r="KYL49" s="30"/>
      <c r="KYM49" s="31"/>
      <c r="KYN49" s="16"/>
      <c r="KYO49" s="17"/>
      <c r="KYP49" s="30"/>
      <c r="KYQ49" s="31"/>
      <c r="KYR49" s="16"/>
      <c r="KYS49" s="17"/>
      <c r="KYT49" s="30"/>
      <c r="KYU49" s="31"/>
      <c r="KYV49" s="16"/>
      <c r="KYW49" s="17"/>
      <c r="KYX49" s="30"/>
      <c r="KYY49" s="31"/>
      <c r="KYZ49" s="16"/>
      <c r="KZA49" s="17"/>
      <c r="KZB49" s="30"/>
      <c r="KZC49" s="31"/>
      <c r="KZD49" s="16"/>
      <c r="KZE49" s="17"/>
      <c r="KZF49" s="30"/>
      <c r="KZG49" s="31"/>
      <c r="KZH49" s="16"/>
      <c r="KZI49" s="17"/>
      <c r="KZJ49" s="30"/>
      <c r="KZK49" s="31"/>
      <c r="KZL49" s="16"/>
      <c r="KZM49" s="17"/>
      <c r="KZN49" s="30"/>
      <c r="KZO49" s="31"/>
      <c r="KZP49" s="16"/>
      <c r="KZQ49" s="17"/>
      <c r="KZR49" s="30"/>
      <c r="KZS49" s="31"/>
      <c r="KZT49" s="16"/>
      <c r="KZU49" s="17"/>
      <c r="KZV49" s="30"/>
      <c r="KZW49" s="31"/>
      <c r="KZX49" s="16"/>
      <c r="KZY49" s="17"/>
      <c r="KZZ49" s="30"/>
      <c r="LAA49" s="31"/>
      <c r="LAB49" s="16"/>
      <c r="LAC49" s="17"/>
      <c r="LAD49" s="30"/>
      <c r="LAE49" s="31"/>
      <c r="LAF49" s="16"/>
      <c r="LAG49" s="17"/>
      <c r="LAH49" s="30"/>
      <c r="LAI49" s="31"/>
      <c r="LAJ49" s="16"/>
      <c r="LAK49" s="17"/>
      <c r="LAL49" s="30"/>
      <c r="LAM49" s="31"/>
      <c r="LAN49" s="16"/>
      <c r="LAO49" s="17"/>
      <c r="LAP49" s="30"/>
      <c r="LAQ49" s="31"/>
      <c r="LAR49" s="16"/>
      <c r="LAS49" s="17"/>
      <c r="LAT49" s="30"/>
      <c r="LAU49" s="31"/>
      <c r="LAV49" s="16"/>
      <c r="LAW49" s="17"/>
      <c r="LAX49" s="30"/>
      <c r="LAY49" s="31"/>
      <c r="LAZ49" s="16"/>
      <c r="LBA49" s="17"/>
      <c r="LBB49" s="30"/>
      <c r="LBC49" s="31"/>
      <c r="LBD49" s="16"/>
      <c r="LBE49" s="17"/>
      <c r="LBF49" s="30"/>
      <c r="LBG49" s="31"/>
      <c r="LBH49" s="16"/>
      <c r="LBI49" s="17"/>
      <c r="LBJ49" s="30"/>
      <c r="LBK49" s="31"/>
      <c r="LBL49" s="16"/>
      <c r="LBM49" s="17"/>
      <c r="LBN49" s="30"/>
      <c r="LBO49" s="31"/>
      <c r="LBP49" s="16"/>
      <c r="LBQ49" s="17"/>
      <c r="LBR49" s="30"/>
      <c r="LBS49" s="31"/>
      <c r="LBT49" s="16"/>
      <c r="LBU49" s="17"/>
      <c r="LBV49" s="30"/>
      <c r="LBW49" s="31"/>
      <c r="LBX49" s="16"/>
      <c r="LBY49" s="17"/>
      <c r="LBZ49" s="30"/>
      <c r="LCA49" s="31"/>
      <c r="LCB49" s="16"/>
      <c r="LCC49" s="17"/>
      <c r="LCD49" s="30"/>
      <c r="LCE49" s="31"/>
      <c r="LCF49" s="16"/>
      <c r="LCG49" s="17"/>
      <c r="LCH49" s="30"/>
      <c r="LCI49" s="31"/>
      <c r="LCJ49" s="16"/>
      <c r="LCK49" s="17"/>
      <c r="LCL49" s="30"/>
      <c r="LCM49" s="31"/>
      <c r="LCN49" s="16"/>
      <c r="LCO49" s="17"/>
      <c r="LCP49" s="30"/>
      <c r="LCQ49" s="31"/>
      <c r="LCR49" s="16"/>
      <c r="LCS49" s="17"/>
      <c r="LCT49" s="30"/>
      <c r="LCU49" s="31"/>
      <c r="LCV49" s="16"/>
      <c r="LCW49" s="17"/>
      <c r="LCX49" s="30"/>
      <c r="LCY49" s="31"/>
      <c r="LCZ49" s="16"/>
      <c r="LDA49" s="17"/>
      <c r="LDB49" s="30"/>
      <c r="LDC49" s="31"/>
      <c r="LDD49" s="16"/>
      <c r="LDE49" s="17"/>
      <c r="LDF49" s="30"/>
      <c r="LDG49" s="31"/>
      <c r="LDH49" s="16"/>
      <c r="LDI49" s="17"/>
      <c r="LDJ49" s="30"/>
      <c r="LDK49" s="31"/>
      <c r="LDL49" s="16"/>
      <c r="LDM49" s="17"/>
      <c r="LDN49" s="30"/>
      <c r="LDO49" s="31"/>
      <c r="LDP49" s="16"/>
      <c r="LDQ49" s="17"/>
      <c r="LDR49" s="30"/>
      <c r="LDS49" s="31"/>
      <c r="LDT49" s="16"/>
      <c r="LDU49" s="17"/>
      <c r="LDV49" s="30"/>
      <c r="LDW49" s="31"/>
      <c r="LDX49" s="16"/>
      <c r="LDY49" s="17"/>
      <c r="LDZ49" s="30"/>
      <c r="LEA49" s="31"/>
      <c r="LEB49" s="16"/>
      <c r="LEC49" s="17"/>
      <c r="LED49" s="30"/>
      <c r="LEE49" s="31"/>
      <c r="LEF49" s="16"/>
      <c r="LEG49" s="17"/>
      <c r="LEH49" s="30"/>
      <c r="LEI49" s="31"/>
      <c r="LEJ49" s="16"/>
      <c r="LEK49" s="17"/>
      <c r="LEL49" s="30"/>
      <c r="LEM49" s="31"/>
      <c r="LEN49" s="16"/>
      <c r="LEO49" s="17"/>
      <c r="LEP49" s="30"/>
      <c r="LEQ49" s="31"/>
      <c r="LER49" s="16"/>
      <c r="LES49" s="17"/>
      <c r="LET49" s="30"/>
      <c r="LEU49" s="31"/>
      <c r="LEV49" s="16"/>
      <c r="LEW49" s="17"/>
      <c r="LEX49" s="30"/>
      <c r="LEY49" s="31"/>
      <c r="LEZ49" s="16"/>
      <c r="LFA49" s="17"/>
      <c r="LFB49" s="30"/>
      <c r="LFC49" s="31"/>
      <c r="LFD49" s="16"/>
      <c r="LFE49" s="17"/>
      <c r="LFF49" s="30"/>
      <c r="LFG49" s="31"/>
      <c r="LFH49" s="16"/>
      <c r="LFI49" s="17"/>
      <c r="LFJ49" s="30"/>
      <c r="LFK49" s="31"/>
      <c r="LFL49" s="16"/>
      <c r="LFM49" s="17"/>
      <c r="LFN49" s="30"/>
      <c r="LFO49" s="31"/>
      <c r="LFP49" s="16"/>
      <c r="LFQ49" s="17"/>
      <c r="LFR49" s="30"/>
      <c r="LFS49" s="31"/>
      <c r="LFT49" s="16"/>
      <c r="LFU49" s="17"/>
      <c r="LFV49" s="30"/>
      <c r="LFW49" s="31"/>
      <c r="LFX49" s="16"/>
      <c r="LFY49" s="17"/>
      <c r="LFZ49" s="30"/>
      <c r="LGA49" s="31"/>
      <c r="LGB49" s="16"/>
      <c r="LGC49" s="17"/>
      <c r="LGD49" s="30"/>
      <c r="LGE49" s="31"/>
      <c r="LGF49" s="16"/>
      <c r="LGG49" s="17"/>
      <c r="LGH49" s="30"/>
      <c r="LGI49" s="31"/>
      <c r="LGJ49" s="16"/>
      <c r="LGK49" s="17"/>
      <c r="LGL49" s="30"/>
      <c r="LGM49" s="31"/>
      <c r="LGN49" s="16"/>
      <c r="LGO49" s="17"/>
      <c r="LGP49" s="30"/>
      <c r="LGQ49" s="31"/>
      <c r="LGR49" s="16"/>
      <c r="LGS49" s="17"/>
      <c r="LGT49" s="30"/>
      <c r="LGU49" s="31"/>
      <c r="LGV49" s="16"/>
      <c r="LGW49" s="17"/>
      <c r="LGX49" s="30"/>
      <c r="LGY49" s="31"/>
      <c r="LGZ49" s="16"/>
      <c r="LHA49" s="17"/>
      <c r="LHB49" s="30"/>
      <c r="LHC49" s="31"/>
      <c r="LHD49" s="16"/>
      <c r="LHE49" s="17"/>
      <c r="LHF49" s="30"/>
      <c r="LHG49" s="31"/>
      <c r="LHH49" s="16"/>
      <c r="LHI49" s="17"/>
      <c r="LHJ49" s="30"/>
      <c r="LHK49" s="31"/>
      <c r="LHL49" s="16"/>
      <c r="LHM49" s="17"/>
      <c r="LHN49" s="30"/>
      <c r="LHO49" s="31"/>
      <c r="LHP49" s="16"/>
      <c r="LHQ49" s="17"/>
      <c r="LHR49" s="30"/>
      <c r="LHS49" s="31"/>
      <c r="LHT49" s="16"/>
      <c r="LHU49" s="17"/>
      <c r="LHV49" s="30"/>
      <c r="LHW49" s="31"/>
      <c r="LHX49" s="16"/>
      <c r="LHY49" s="17"/>
      <c r="LHZ49" s="30"/>
      <c r="LIA49" s="31"/>
      <c r="LIB49" s="16"/>
      <c r="LIC49" s="17"/>
      <c r="LID49" s="30"/>
      <c r="LIE49" s="31"/>
      <c r="LIF49" s="16"/>
      <c r="LIG49" s="17"/>
      <c r="LIH49" s="30"/>
      <c r="LII49" s="31"/>
      <c r="LIJ49" s="16"/>
      <c r="LIK49" s="17"/>
      <c r="LIL49" s="30"/>
      <c r="LIM49" s="31"/>
      <c r="LIN49" s="16"/>
      <c r="LIO49" s="17"/>
      <c r="LIP49" s="30"/>
      <c r="LIQ49" s="31"/>
      <c r="LIR49" s="16"/>
      <c r="LIS49" s="17"/>
      <c r="LIT49" s="30"/>
      <c r="LIU49" s="31"/>
      <c r="LIV49" s="16"/>
      <c r="LIW49" s="17"/>
      <c r="LIX49" s="30"/>
      <c r="LIY49" s="31"/>
      <c r="LIZ49" s="16"/>
      <c r="LJA49" s="17"/>
      <c r="LJB49" s="30"/>
      <c r="LJC49" s="31"/>
      <c r="LJD49" s="16"/>
      <c r="LJE49" s="17"/>
      <c r="LJF49" s="30"/>
      <c r="LJG49" s="31"/>
      <c r="LJH49" s="16"/>
      <c r="LJI49" s="17"/>
      <c r="LJJ49" s="30"/>
      <c r="LJK49" s="31"/>
      <c r="LJL49" s="16"/>
      <c r="LJM49" s="17"/>
      <c r="LJN49" s="30"/>
      <c r="LJO49" s="31"/>
      <c r="LJP49" s="16"/>
      <c r="LJQ49" s="17"/>
      <c r="LJR49" s="30"/>
      <c r="LJS49" s="31"/>
      <c r="LJT49" s="16"/>
      <c r="LJU49" s="17"/>
      <c r="LJV49" s="30"/>
      <c r="LJW49" s="31"/>
      <c r="LJX49" s="16"/>
      <c r="LJY49" s="17"/>
      <c r="LJZ49" s="30"/>
      <c r="LKA49" s="31"/>
      <c r="LKB49" s="16"/>
      <c r="LKC49" s="17"/>
      <c r="LKD49" s="30"/>
      <c r="LKE49" s="31"/>
      <c r="LKF49" s="16"/>
      <c r="LKG49" s="17"/>
      <c r="LKH49" s="30"/>
      <c r="LKI49" s="31"/>
      <c r="LKJ49" s="16"/>
      <c r="LKK49" s="17"/>
      <c r="LKL49" s="30"/>
      <c r="LKM49" s="31"/>
      <c r="LKN49" s="16"/>
      <c r="LKO49" s="17"/>
      <c r="LKP49" s="30"/>
      <c r="LKQ49" s="31"/>
      <c r="LKR49" s="16"/>
      <c r="LKS49" s="17"/>
      <c r="LKT49" s="30"/>
      <c r="LKU49" s="31"/>
      <c r="LKV49" s="16"/>
      <c r="LKW49" s="17"/>
      <c r="LKX49" s="30"/>
      <c r="LKY49" s="31"/>
      <c r="LKZ49" s="16"/>
      <c r="LLA49" s="17"/>
      <c r="LLB49" s="30"/>
      <c r="LLC49" s="31"/>
      <c r="LLD49" s="16"/>
      <c r="LLE49" s="17"/>
      <c r="LLF49" s="30"/>
      <c r="LLG49" s="31"/>
      <c r="LLH49" s="16"/>
      <c r="LLI49" s="17"/>
      <c r="LLJ49" s="30"/>
      <c r="LLK49" s="31"/>
      <c r="LLL49" s="16"/>
      <c r="LLM49" s="17"/>
      <c r="LLN49" s="30"/>
      <c r="LLO49" s="31"/>
      <c r="LLP49" s="16"/>
      <c r="LLQ49" s="17"/>
      <c r="LLR49" s="30"/>
      <c r="LLS49" s="31"/>
      <c r="LLT49" s="16"/>
      <c r="LLU49" s="17"/>
      <c r="LLV49" s="30"/>
      <c r="LLW49" s="31"/>
      <c r="LLX49" s="16"/>
      <c r="LLY49" s="17"/>
      <c r="LLZ49" s="30"/>
      <c r="LMA49" s="31"/>
      <c r="LMB49" s="16"/>
      <c r="LMC49" s="17"/>
      <c r="LMD49" s="30"/>
      <c r="LME49" s="31"/>
      <c r="LMF49" s="16"/>
      <c r="LMG49" s="17"/>
      <c r="LMH49" s="30"/>
      <c r="LMI49" s="31"/>
      <c r="LMJ49" s="16"/>
      <c r="LMK49" s="17"/>
      <c r="LML49" s="30"/>
      <c r="LMM49" s="31"/>
      <c r="LMN49" s="16"/>
      <c r="LMO49" s="17"/>
      <c r="LMP49" s="30"/>
      <c r="LMQ49" s="31"/>
      <c r="LMR49" s="16"/>
      <c r="LMS49" s="17"/>
      <c r="LMT49" s="30"/>
      <c r="LMU49" s="31"/>
      <c r="LMV49" s="16"/>
      <c r="LMW49" s="17"/>
      <c r="LMX49" s="30"/>
      <c r="LMY49" s="31"/>
      <c r="LMZ49" s="16"/>
      <c r="LNA49" s="17"/>
      <c r="LNB49" s="30"/>
      <c r="LNC49" s="31"/>
      <c r="LND49" s="16"/>
      <c r="LNE49" s="17"/>
      <c r="LNF49" s="30"/>
      <c r="LNG49" s="31"/>
      <c r="LNH49" s="16"/>
      <c r="LNI49" s="17"/>
      <c r="LNJ49" s="30"/>
      <c r="LNK49" s="31"/>
      <c r="LNL49" s="16"/>
      <c r="LNM49" s="17"/>
      <c r="LNN49" s="30"/>
      <c r="LNO49" s="31"/>
      <c r="LNP49" s="16"/>
      <c r="LNQ49" s="17"/>
      <c r="LNR49" s="30"/>
      <c r="LNS49" s="31"/>
      <c r="LNT49" s="16"/>
      <c r="LNU49" s="17"/>
      <c r="LNV49" s="30"/>
      <c r="LNW49" s="31"/>
      <c r="LNX49" s="16"/>
      <c r="LNY49" s="17"/>
      <c r="LNZ49" s="30"/>
      <c r="LOA49" s="31"/>
      <c r="LOB49" s="16"/>
      <c r="LOC49" s="17"/>
      <c r="LOD49" s="30"/>
      <c r="LOE49" s="31"/>
      <c r="LOF49" s="16"/>
      <c r="LOG49" s="17"/>
      <c r="LOH49" s="30"/>
      <c r="LOI49" s="31"/>
      <c r="LOJ49" s="16"/>
      <c r="LOK49" s="17"/>
      <c r="LOL49" s="30"/>
      <c r="LOM49" s="31"/>
      <c r="LON49" s="16"/>
      <c r="LOO49" s="17"/>
      <c r="LOP49" s="30"/>
      <c r="LOQ49" s="31"/>
      <c r="LOR49" s="16"/>
      <c r="LOS49" s="17"/>
      <c r="LOT49" s="30"/>
      <c r="LOU49" s="31"/>
      <c r="LOV49" s="16"/>
      <c r="LOW49" s="17"/>
      <c r="LOX49" s="30"/>
      <c r="LOY49" s="31"/>
      <c r="LOZ49" s="16"/>
      <c r="LPA49" s="17"/>
      <c r="LPB49" s="30"/>
      <c r="LPC49" s="31"/>
      <c r="LPD49" s="16"/>
      <c r="LPE49" s="17"/>
      <c r="LPF49" s="30"/>
      <c r="LPG49" s="31"/>
      <c r="LPH49" s="16"/>
      <c r="LPI49" s="17"/>
      <c r="LPJ49" s="30"/>
      <c r="LPK49" s="31"/>
      <c r="LPL49" s="16"/>
      <c r="LPM49" s="17"/>
      <c r="LPN49" s="30"/>
      <c r="LPO49" s="31"/>
      <c r="LPP49" s="16"/>
      <c r="LPQ49" s="17"/>
      <c r="LPR49" s="30"/>
      <c r="LPS49" s="31"/>
      <c r="LPT49" s="16"/>
      <c r="LPU49" s="17"/>
      <c r="LPV49" s="30"/>
      <c r="LPW49" s="31"/>
      <c r="LPX49" s="16"/>
      <c r="LPY49" s="17"/>
      <c r="LPZ49" s="30"/>
      <c r="LQA49" s="31"/>
      <c r="LQB49" s="16"/>
      <c r="LQC49" s="17"/>
      <c r="LQD49" s="30"/>
      <c r="LQE49" s="31"/>
      <c r="LQF49" s="16"/>
      <c r="LQG49" s="17"/>
      <c r="LQH49" s="30"/>
      <c r="LQI49" s="31"/>
      <c r="LQJ49" s="16"/>
      <c r="LQK49" s="17"/>
      <c r="LQL49" s="30"/>
      <c r="LQM49" s="31"/>
      <c r="LQN49" s="16"/>
      <c r="LQO49" s="17"/>
      <c r="LQP49" s="30"/>
      <c r="LQQ49" s="31"/>
      <c r="LQR49" s="16"/>
      <c r="LQS49" s="17"/>
      <c r="LQT49" s="30"/>
      <c r="LQU49" s="31"/>
      <c r="LQV49" s="16"/>
      <c r="LQW49" s="17"/>
      <c r="LQX49" s="30"/>
      <c r="LQY49" s="31"/>
      <c r="LQZ49" s="16"/>
      <c r="LRA49" s="17"/>
      <c r="LRB49" s="30"/>
      <c r="LRC49" s="31"/>
      <c r="LRD49" s="16"/>
      <c r="LRE49" s="17"/>
      <c r="LRF49" s="30"/>
      <c r="LRG49" s="31"/>
      <c r="LRH49" s="16"/>
      <c r="LRI49" s="17"/>
      <c r="LRJ49" s="30"/>
      <c r="LRK49" s="31"/>
      <c r="LRL49" s="16"/>
      <c r="LRM49" s="17"/>
      <c r="LRN49" s="30"/>
      <c r="LRO49" s="31"/>
      <c r="LRP49" s="16"/>
      <c r="LRQ49" s="17"/>
      <c r="LRR49" s="30"/>
      <c r="LRS49" s="31"/>
      <c r="LRT49" s="16"/>
      <c r="LRU49" s="17"/>
      <c r="LRV49" s="30"/>
      <c r="LRW49" s="31"/>
      <c r="LRX49" s="16"/>
      <c r="LRY49" s="17"/>
      <c r="LRZ49" s="30"/>
      <c r="LSA49" s="31"/>
      <c r="LSB49" s="16"/>
      <c r="LSC49" s="17"/>
      <c r="LSD49" s="30"/>
      <c r="LSE49" s="31"/>
      <c r="LSF49" s="16"/>
      <c r="LSG49" s="17"/>
      <c r="LSH49" s="30"/>
      <c r="LSI49" s="31"/>
      <c r="LSJ49" s="16"/>
      <c r="LSK49" s="17"/>
      <c r="LSL49" s="30"/>
      <c r="LSM49" s="31"/>
      <c r="LSN49" s="16"/>
      <c r="LSO49" s="17"/>
      <c r="LSP49" s="30"/>
      <c r="LSQ49" s="31"/>
      <c r="LSR49" s="16"/>
      <c r="LSS49" s="17"/>
      <c r="LST49" s="30"/>
      <c r="LSU49" s="31"/>
      <c r="LSV49" s="16"/>
      <c r="LSW49" s="17"/>
      <c r="LSX49" s="30"/>
      <c r="LSY49" s="31"/>
      <c r="LSZ49" s="16"/>
      <c r="LTA49" s="17"/>
      <c r="LTB49" s="30"/>
      <c r="LTC49" s="31"/>
      <c r="LTD49" s="16"/>
      <c r="LTE49" s="17"/>
      <c r="LTF49" s="30"/>
      <c r="LTG49" s="31"/>
      <c r="LTH49" s="16"/>
      <c r="LTI49" s="17"/>
      <c r="LTJ49" s="30"/>
      <c r="LTK49" s="31"/>
      <c r="LTL49" s="16"/>
      <c r="LTM49" s="17"/>
      <c r="LTN49" s="30"/>
      <c r="LTO49" s="31"/>
      <c r="LTP49" s="16"/>
      <c r="LTQ49" s="17"/>
      <c r="LTR49" s="30"/>
      <c r="LTS49" s="31"/>
      <c r="LTT49" s="16"/>
      <c r="LTU49" s="17"/>
      <c r="LTV49" s="30"/>
      <c r="LTW49" s="31"/>
      <c r="LTX49" s="16"/>
      <c r="LTY49" s="17"/>
      <c r="LTZ49" s="30"/>
      <c r="LUA49" s="31"/>
      <c r="LUB49" s="16"/>
      <c r="LUC49" s="17"/>
      <c r="LUD49" s="30"/>
      <c r="LUE49" s="31"/>
      <c r="LUF49" s="16"/>
      <c r="LUG49" s="17"/>
      <c r="LUH49" s="30"/>
      <c r="LUI49" s="31"/>
      <c r="LUJ49" s="16"/>
      <c r="LUK49" s="17"/>
      <c r="LUL49" s="30"/>
      <c r="LUM49" s="31"/>
      <c r="LUN49" s="16"/>
      <c r="LUO49" s="17"/>
      <c r="LUP49" s="30"/>
      <c r="LUQ49" s="31"/>
      <c r="LUR49" s="16"/>
      <c r="LUS49" s="17"/>
      <c r="LUT49" s="30"/>
      <c r="LUU49" s="31"/>
      <c r="LUV49" s="16"/>
      <c r="LUW49" s="17"/>
      <c r="LUX49" s="30"/>
      <c r="LUY49" s="31"/>
      <c r="LUZ49" s="16"/>
      <c r="LVA49" s="17"/>
      <c r="LVB49" s="30"/>
      <c r="LVC49" s="31"/>
      <c r="LVD49" s="16"/>
      <c r="LVE49" s="17"/>
      <c r="LVF49" s="30"/>
      <c r="LVG49" s="31"/>
      <c r="LVH49" s="16"/>
      <c r="LVI49" s="17"/>
      <c r="LVJ49" s="30"/>
      <c r="LVK49" s="31"/>
      <c r="LVL49" s="16"/>
      <c r="LVM49" s="17"/>
      <c r="LVN49" s="30"/>
      <c r="LVO49" s="31"/>
      <c r="LVP49" s="16"/>
      <c r="LVQ49" s="17"/>
      <c r="LVR49" s="30"/>
      <c r="LVS49" s="31"/>
      <c r="LVT49" s="16"/>
      <c r="LVU49" s="17"/>
      <c r="LVV49" s="30"/>
      <c r="LVW49" s="31"/>
      <c r="LVX49" s="16"/>
      <c r="LVY49" s="17"/>
      <c r="LVZ49" s="30"/>
      <c r="LWA49" s="31"/>
      <c r="LWB49" s="16"/>
      <c r="LWC49" s="17"/>
      <c r="LWD49" s="30"/>
      <c r="LWE49" s="31"/>
      <c r="LWF49" s="16"/>
      <c r="LWG49" s="17"/>
      <c r="LWH49" s="30"/>
      <c r="LWI49" s="31"/>
      <c r="LWJ49" s="16"/>
      <c r="LWK49" s="17"/>
      <c r="LWL49" s="30"/>
      <c r="LWM49" s="31"/>
      <c r="LWN49" s="16"/>
      <c r="LWO49" s="17"/>
      <c r="LWP49" s="30"/>
      <c r="LWQ49" s="31"/>
      <c r="LWR49" s="16"/>
      <c r="LWS49" s="17"/>
      <c r="LWT49" s="30"/>
      <c r="LWU49" s="31"/>
      <c r="LWV49" s="16"/>
      <c r="LWW49" s="17"/>
      <c r="LWX49" s="30"/>
      <c r="LWY49" s="31"/>
      <c r="LWZ49" s="16"/>
      <c r="LXA49" s="17"/>
      <c r="LXB49" s="30"/>
      <c r="LXC49" s="31"/>
      <c r="LXD49" s="16"/>
      <c r="LXE49" s="17"/>
      <c r="LXF49" s="30"/>
      <c r="LXG49" s="31"/>
      <c r="LXH49" s="16"/>
      <c r="LXI49" s="17"/>
      <c r="LXJ49" s="30"/>
      <c r="LXK49" s="31"/>
      <c r="LXL49" s="16"/>
      <c r="LXM49" s="17"/>
      <c r="LXN49" s="30"/>
      <c r="LXO49" s="31"/>
      <c r="LXP49" s="16"/>
      <c r="LXQ49" s="17"/>
      <c r="LXR49" s="30"/>
      <c r="LXS49" s="31"/>
      <c r="LXT49" s="16"/>
      <c r="LXU49" s="17"/>
      <c r="LXV49" s="30"/>
      <c r="LXW49" s="31"/>
      <c r="LXX49" s="16"/>
      <c r="LXY49" s="17"/>
      <c r="LXZ49" s="30"/>
      <c r="LYA49" s="31"/>
      <c r="LYB49" s="16"/>
      <c r="LYC49" s="17"/>
      <c r="LYD49" s="30"/>
      <c r="LYE49" s="31"/>
      <c r="LYF49" s="16"/>
      <c r="LYG49" s="17"/>
      <c r="LYH49" s="30"/>
      <c r="LYI49" s="31"/>
      <c r="LYJ49" s="16"/>
      <c r="LYK49" s="17"/>
      <c r="LYL49" s="30"/>
      <c r="LYM49" s="31"/>
      <c r="LYN49" s="16"/>
      <c r="LYO49" s="17"/>
      <c r="LYP49" s="30"/>
      <c r="LYQ49" s="31"/>
      <c r="LYR49" s="16"/>
      <c r="LYS49" s="17"/>
      <c r="LYT49" s="30"/>
      <c r="LYU49" s="31"/>
      <c r="LYV49" s="16"/>
      <c r="LYW49" s="17"/>
      <c r="LYX49" s="30"/>
      <c r="LYY49" s="31"/>
      <c r="LYZ49" s="16"/>
      <c r="LZA49" s="17"/>
      <c r="LZB49" s="30"/>
      <c r="LZC49" s="31"/>
      <c r="LZD49" s="16"/>
      <c r="LZE49" s="17"/>
      <c r="LZF49" s="30"/>
      <c r="LZG49" s="31"/>
      <c r="LZH49" s="16"/>
      <c r="LZI49" s="17"/>
      <c r="LZJ49" s="30"/>
      <c r="LZK49" s="31"/>
      <c r="LZL49" s="16"/>
      <c r="LZM49" s="17"/>
      <c r="LZN49" s="30"/>
      <c r="LZO49" s="31"/>
      <c r="LZP49" s="16"/>
      <c r="LZQ49" s="17"/>
      <c r="LZR49" s="30"/>
      <c r="LZS49" s="31"/>
      <c r="LZT49" s="16"/>
      <c r="LZU49" s="17"/>
      <c r="LZV49" s="30"/>
      <c r="LZW49" s="31"/>
      <c r="LZX49" s="16"/>
      <c r="LZY49" s="17"/>
      <c r="LZZ49" s="30"/>
      <c r="MAA49" s="31"/>
      <c r="MAB49" s="16"/>
      <c r="MAC49" s="17"/>
      <c r="MAD49" s="30"/>
      <c r="MAE49" s="31"/>
      <c r="MAF49" s="16"/>
      <c r="MAG49" s="17"/>
      <c r="MAH49" s="30"/>
      <c r="MAI49" s="31"/>
      <c r="MAJ49" s="16"/>
      <c r="MAK49" s="17"/>
      <c r="MAL49" s="30"/>
      <c r="MAM49" s="31"/>
      <c r="MAN49" s="16"/>
      <c r="MAO49" s="17"/>
      <c r="MAP49" s="30"/>
      <c r="MAQ49" s="31"/>
      <c r="MAR49" s="16"/>
      <c r="MAS49" s="17"/>
      <c r="MAT49" s="30"/>
      <c r="MAU49" s="31"/>
      <c r="MAV49" s="16"/>
      <c r="MAW49" s="17"/>
      <c r="MAX49" s="30"/>
      <c r="MAY49" s="31"/>
      <c r="MAZ49" s="16"/>
      <c r="MBA49" s="17"/>
      <c r="MBB49" s="30"/>
      <c r="MBC49" s="31"/>
      <c r="MBD49" s="16"/>
      <c r="MBE49" s="17"/>
      <c r="MBF49" s="30"/>
      <c r="MBG49" s="31"/>
      <c r="MBH49" s="16"/>
      <c r="MBI49" s="17"/>
      <c r="MBJ49" s="30"/>
      <c r="MBK49" s="31"/>
      <c r="MBL49" s="16"/>
      <c r="MBM49" s="17"/>
      <c r="MBN49" s="30"/>
      <c r="MBO49" s="31"/>
      <c r="MBP49" s="16"/>
      <c r="MBQ49" s="17"/>
      <c r="MBR49" s="30"/>
      <c r="MBS49" s="31"/>
      <c r="MBT49" s="16"/>
      <c r="MBU49" s="17"/>
      <c r="MBV49" s="30"/>
      <c r="MBW49" s="31"/>
      <c r="MBX49" s="16"/>
      <c r="MBY49" s="17"/>
      <c r="MBZ49" s="30"/>
      <c r="MCA49" s="31"/>
      <c r="MCB49" s="16"/>
      <c r="MCC49" s="17"/>
      <c r="MCD49" s="30"/>
      <c r="MCE49" s="31"/>
      <c r="MCF49" s="16"/>
      <c r="MCG49" s="17"/>
      <c r="MCH49" s="30"/>
      <c r="MCI49" s="31"/>
      <c r="MCJ49" s="16"/>
      <c r="MCK49" s="17"/>
      <c r="MCL49" s="30"/>
      <c r="MCM49" s="31"/>
      <c r="MCN49" s="16"/>
      <c r="MCO49" s="17"/>
      <c r="MCP49" s="30"/>
      <c r="MCQ49" s="31"/>
      <c r="MCR49" s="16"/>
      <c r="MCS49" s="17"/>
      <c r="MCT49" s="30"/>
      <c r="MCU49" s="31"/>
      <c r="MCV49" s="16"/>
      <c r="MCW49" s="17"/>
      <c r="MCX49" s="30"/>
      <c r="MCY49" s="31"/>
      <c r="MCZ49" s="16"/>
      <c r="MDA49" s="17"/>
      <c r="MDB49" s="30"/>
      <c r="MDC49" s="31"/>
      <c r="MDD49" s="16"/>
      <c r="MDE49" s="17"/>
      <c r="MDF49" s="30"/>
      <c r="MDG49" s="31"/>
      <c r="MDH49" s="16"/>
      <c r="MDI49" s="17"/>
      <c r="MDJ49" s="30"/>
      <c r="MDK49" s="31"/>
      <c r="MDL49" s="16"/>
      <c r="MDM49" s="17"/>
      <c r="MDN49" s="30"/>
      <c r="MDO49" s="31"/>
      <c r="MDP49" s="16"/>
      <c r="MDQ49" s="17"/>
      <c r="MDR49" s="30"/>
      <c r="MDS49" s="31"/>
      <c r="MDT49" s="16"/>
      <c r="MDU49" s="17"/>
      <c r="MDV49" s="30"/>
      <c r="MDW49" s="31"/>
      <c r="MDX49" s="16"/>
      <c r="MDY49" s="17"/>
      <c r="MDZ49" s="30"/>
      <c r="MEA49" s="31"/>
      <c r="MEB49" s="16"/>
      <c r="MEC49" s="17"/>
      <c r="MED49" s="30"/>
      <c r="MEE49" s="31"/>
      <c r="MEF49" s="16"/>
      <c r="MEG49" s="17"/>
      <c r="MEH49" s="30"/>
      <c r="MEI49" s="31"/>
      <c r="MEJ49" s="16"/>
      <c r="MEK49" s="17"/>
      <c r="MEL49" s="30"/>
      <c r="MEM49" s="31"/>
      <c r="MEN49" s="16"/>
      <c r="MEO49" s="17"/>
      <c r="MEP49" s="30"/>
      <c r="MEQ49" s="31"/>
      <c r="MER49" s="16"/>
      <c r="MES49" s="17"/>
      <c r="MET49" s="30"/>
      <c r="MEU49" s="31"/>
      <c r="MEV49" s="16"/>
      <c r="MEW49" s="17"/>
      <c r="MEX49" s="30"/>
      <c r="MEY49" s="31"/>
      <c r="MEZ49" s="16"/>
      <c r="MFA49" s="17"/>
      <c r="MFB49" s="30"/>
      <c r="MFC49" s="31"/>
      <c r="MFD49" s="16"/>
      <c r="MFE49" s="17"/>
      <c r="MFF49" s="30"/>
      <c r="MFG49" s="31"/>
      <c r="MFH49" s="16"/>
      <c r="MFI49" s="17"/>
      <c r="MFJ49" s="30"/>
      <c r="MFK49" s="31"/>
      <c r="MFL49" s="16"/>
      <c r="MFM49" s="17"/>
      <c r="MFN49" s="30"/>
      <c r="MFO49" s="31"/>
      <c r="MFP49" s="16"/>
      <c r="MFQ49" s="17"/>
      <c r="MFR49" s="30"/>
      <c r="MFS49" s="31"/>
      <c r="MFT49" s="16"/>
      <c r="MFU49" s="17"/>
      <c r="MFV49" s="30"/>
      <c r="MFW49" s="31"/>
      <c r="MFX49" s="16"/>
      <c r="MFY49" s="17"/>
      <c r="MFZ49" s="30"/>
      <c r="MGA49" s="31"/>
      <c r="MGB49" s="16"/>
      <c r="MGC49" s="17"/>
      <c r="MGD49" s="30"/>
      <c r="MGE49" s="31"/>
      <c r="MGF49" s="16"/>
      <c r="MGG49" s="17"/>
      <c r="MGH49" s="30"/>
      <c r="MGI49" s="31"/>
      <c r="MGJ49" s="16"/>
      <c r="MGK49" s="17"/>
      <c r="MGL49" s="30"/>
      <c r="MGM49" s="31"/>
      <c r="MGN49" s="16"/>
      <c r="MGO49" s="17"/>
      <c r="MGP49" s="30"/>
      <c r="MGQ49" s="31"/>
      <c r="MGR49" s="16"/>
      <c r="MGS49" s="17"/>
      <c r="MGT49" s="30"/>
      <c r="MGU49" s="31"/>
      <c r="MGV49" s="16"/>
      <c r="MGW49" s="17"/>
      <c r="MGX49" s="30"/>
      <c r="MGY49" s="31"/>
      <c r="MGZ49" s="16"/>
      <c r="MHA49" s="17"/>
      <c r="MHB49" s="30"/>
      <c r="MHC49" s="31"/>
      <c r="MHD49" s="16"/>
      <c r="MHE49" s="17"/>
      <c r="MHF49" s="30"/>
      <c r="MHG49" s="31"/>
      <c r="MHH49" s="16"/>
      <c r="MHI49" s="17"/>
      <c r="MHJ49" s="30"/>
      <c r="MHK49" s="31"/>
      <c r="MHL49" s="16"/>
      <c r="MHM49" s="17"/>
      <c r="MHN49" s="30"/>
      <c r="MHO49" s="31"/>
      <c r="MHP49" s="16"/>
      <c r="MHQ49" s="17"/>
      <c r="MHR49" s="30"/>
      <c r="MHS49" s="31"/>
      <c r="MHT49" s="16"/>
      <c r="MHU49" s="17"/>
      <c r="MHV49" s="30"/>
      <c r="MHW49" s="31"/>
      <c r="MHX49" s="16"/>
      <c r="MHY49" s="17"/>
      <c r="MHZ49" s="30"/>
      <c r="MIA49" s="31"/>
      <c r="MIB49" s="16"/>
      <c r="MIC49" s="17"/>
      <c r="MID49" s="30"/>
      <c r="MIE49" s="31"/>
      <c r="MIF49" s="16"/>
      <c r="MIG49" s="17"/>
      <c r="MIH49" s="30"/>
      <c r="MII49" s="31"/>
      <c r="MIJ49" s="16"/>
      <c r="MIK49" s="17"/>
      <c r="MIL49" s="30"/>
      <c r="MIM49" s="31"/>
      <c r="MIN49" s="16"/>
      <c r="MIO49" s="17"/>
      <c r="MIP49" s="30"/>
      <c r="MIQ49" s="31"/>
      <c r="MIR49" s="16"/>
      <c r="MIS49" s="17"/>
      <c r="MIT49" s="30"/>
      <c r="MIU49" s="31"/>
      <c r="MIV49" s="16"/>
      <c r="MIW49" s="17"/>
      <c r="MIX49" s="30"/>
      <c r="MIY49" s="31"/>
      <c r="MIZ49" s="16"/>
      <c r="MJA49" s="17"/>
      <c r="MJB49" s="30"/>
      <c r="MJC49" s="31"/>
      <c r="MJD49" s="16"/>
      <c r="MJE49" s="17"/>
      <c r="MJF49" s="30"/>
      <c r="MJG49" s="31"/>
      <c r="MJH49" s="16"/>
      <c r="MJI49" s="17"/>
      <c r="MJJ49" s="30"/>
      <c r="MJK49" s="31"/>
      <c r="MJL49" s="16"/>
      <c r="MJM49" s="17"/>
      <c r="MJN49" s="30"/>
      <c r="MJO49" s="31"/>
      <c r="MJP49" s="16"/>
      <c r="MJQ49" s="17"/>
      <c r="MJR49" s="30"/>
      <c r="MJS49" s="31"/>
      <c r="MJT49" s="16"/>
      <c r="MJU49" s="17"/>
      <c r="MJV49" s="30"/>
      <c r="MJW49" s="31"/>
      <c r="MJX49" s="16"/>
      <c r="MJY49" s="17"/>
      <c r="MJZ49" s="30"/>
      <c r="MKA49" s="31"/>
      <c r="MKB49" s="16"/>
      <c r="MKC49" s="17"/>
      <c r="MKD49" s="30"/>
      <c r="MKE49" s="31"/>
      <c r="MKF49" s="16"/>
      <c r="MKG49" s="17"/>
      <c r="MKH49" s="30"/>
      <c r="MKI49" s="31"/>
      <c r="MKJ49" s="16"/>
      <c r="MKK49" s="17"/>
      <c r="MKL49" s="30"/>
      <c r="MKM49" s="31"/>
      <c r="MKN49" s="16"/>
      <c r="MKO49" s="17"/>
      <c r="MKP49" s="30"/>
      <c r="MKQ49" s="31"/>
      <c r="MKR49" s="16"/>
      <c r="MKS49" s="17"/>
      <c r="MKT49" s="30"/>
      <c r="MKU49" s="31"/>
      <c r="MKV49" s="16"/>
      <c r="MKW49" s="17"/>
      <c r="MKX49" s="30"/>
      <c r="MKY49" s="31"/>
      <c r="MKZ49" s="16"/>
      <c r="MLA49" s="17"/>
      <c r="MLB49" s="30"/>
      <c r="MLC49" s="31"/>
      <c r="MLD49" s="16"/>
      <c r="MLE49" s="17"/>
      <c r="MLF49" s="30"/>
      <c r="MLG49" s="31"/>
      <c r="MLH49" s="16"/>
      <c r="MLI49" s="17"/>
      <c r="MLJ49" s="30"/>
      <c r="MLK49" s="31"/>
      <c r="MLL49" s="16"/>
      <c r="MLM49" s="17"/>
      <c r="MLN49" s="30"/>
      <c r="MLO49" s="31"/>
      <c r="MLP49" s="16"/>
      <c r="MLQ49" s="17"/>
      <c r="MLR49" s="30"/>
      <c r="MLS49" s="31"/>
      <c r="MLT49" s="16"/>
      <c r="MLU49" s="17"/>
      <c r="MLV49" s="30"/>
      <c r="MLW49" s="31"/>
      <c r="MLX49" s="16"/>
      <c r="MLY49" s="17"/>
      <c r="MLZ49" s="30"/>
      <c r="MMA49" s="31"/>
      <c r="MMB49" s="16"/>
      <c r="MMC49" s="17"/>
      <c r="MMD49" s="30"/>
      <c r="MME49" s="31"/>
      <c r="MMF49" s="16"/>
      <c r="MMG49" s="17"/>
      <c r="MMH49" s="30"/>
      <c r="MMI49" s="31"/>
      <c r="MMJ49" s="16"/>
      <c r="MMK49" s="17"/>
      <c r="MML49" s="30"/>
      <c r="MMM49" s="31"/>
      <c r="MMN49" s="16"/>
      <c r="MMO49" s="17"/>
      <c r="MMP49" s="30"/>
      <c r="MMQ49" s="31"/>
      <c r="MMR49" s="16"/>
      <c r="MMS49" s="17"/>
      <c r="MMT49" s="30"/>
      <c r="MMU49" s="31"/>
      <c r="MMV49" s="16"/>
      <c r="MMW49" s="17"/>
      <c r="MMX49" s="30"/>
      <c r="MMY49" s="31"/>
      <c r="MMZ49" s="16"/>
      <c r="MNA49" s="17"/>
      <c r="MNB49" s="30"/>
      <c r="MNC49" s="31"/>
      <c r="MND49" s="16"/>
      <c r="MNE49" s="17"/>
      <c r="MNF49" s="30"/>
      <c r="MNG49" s="31"/>
      <c r="MNH49" s="16"/>
      <c r="MNI49" s="17"/>
      <c r="MNJ49" s="30"/>
      <c r="MNK49" s="31"/>
      <c r="MNL49" s="16"/>
      <c r="MNM49" s="17"/>
      <c r="MNN49" s="30"/>
      <c r="MNO49" s="31"/>
      <c r="MNP49" s="16"/>
      <c r="MNQ49" s="17"/>
      <c r="MNR49" s="30"/>
      <c r="MNS49" s="31"/>
      <c r="MNT49" s="16"/>
      <c r="MNU49" s="17"/>
      <c r="MNV49" s="30"/>
      <c r="MNW49" s="31"/>
      <c r="MNX49" s="16"/>
      <c r="MNY49" s="17"/>
      <c r="MNZ49" s="30"/>
      <c r="MOA49" s="31"/>
      <c r="MOB49" s="16"/>
      <c r="MOC49" s="17"/>
      <c r="MOD49" s="30"/>
      <c r="MOE49" s="31"/>
      <c r="MOF49" s="16"/>
      <c r="MOG49" s="17"/>
      <c r="MOH49" s="30"/>
      <c r="MOI49" s="31"/>
      <c r="MOJ49" s="16"/>
      <c r="MOK49" s="17"/>
      <c r="MOL49" s="30"/>
      <c r="MOM49" s="31"/>
      <c r="MON49" s="16"/>
      <c r="MOO49" s="17"/>
      <c r="MOP49" s="30"/>
      <c r="MOQ49" s="31"/>
      <c r="MOR49" s="16"/>
      <c r="MOS49" s="17"/>
      <c r="MOT49" s="30"/>
      <c r="MOU49" s="31"/>
      <c r="MOV49" s="16"/>
      <c r="MOW49" s="17"/>
      <c r="MOX49" s="30"/>
      <c r="MOY49" s="31"/>
      <c r="MOZ49" s="16"/>
      <c r="MPA49" s="17"/>
      <c r="MPB49" s="30"/>
      <c r="MPC49" s="31"/>
      <c r="MPD49" s="16"/>
      <c r="MPE49" s="17"/>
      <c r="MPF49" s="30"/>
      <c r="MPG49" s="31"/>
      <c r="MPH49" s="16"/>
      <c r="MPI49" s="17"/>
      <c r="MPJ49" s="30"/>
      <c r="MPK49" s="31"/>
      <c r="MPL49" s="16"/>
      <c r="MPM49" s="17"/>
      <c r="MPN49" s="30"/>
      <c r="MPO49" s="31"/>
      <c r="MPP49" s="16"/>
      <c r="MPQ49" s="17"/>
      <c r="MPR49" s="30"/>
      <c r="MPS49" s="31"/>
      <c r="MPT49" s="16"/>
      <c r="MPU49" s="17"/>
      <c r="MPV49" s="30"/>
      <c r="MPW49" s="31"/>
      <c r="MPX49" s="16"/>
      <c r="MPY49" s="17"/>
      <c r="MPZ49" s="30"/>
      <c r="MQA49" s="31"/>
      <c r="MQB49" s="16"/>
      <c r="MQC49" s="17"/>
      <c r="MQD49" s="30"/>
      <c r="MQE49" s="31"/>
      <c r="MQF49" s="16"/>
      <c r="MQG49" s="17"/>
      <c r="MQH49" s="30"/>
      <c r="MQI49" s="31"/>
      <c r="MQJ49" s="16"/>
      <c r="MQK49" s="17"/>
      <c r="MQL49" s="30"/>
      <c r="MQM49" s="31"/>
      <c r="MQN49" s="16"/>
      <c r="MQO49" s="17"/>
      <c r="MQP49" s="30"/>
      <c r="MQQ49" s="31"/>
      <c r="MQR49" s="16"/>
      <c r="MQS49" s="17"/>
      <c r="MQT49" s="30"/>
      <c r="MQU49" s="31"/>
      <c r="MQV49" s="16"/>
      <c r="MQW49" s="17"/>
      <c r="MQX49" s="30"/>
      <c r="MQY49" s="31"/>
      <c r="MQZ49" s="16"/>
      <c r="MRA49" s="17"/>
      <c r="MRB49" s="30"/>
      <c r="MRC49" s="31"/>
      <c r="MRD49" s="16"/>
      <c r="MRE49" s="17"/>
      <c r="MRF49" s="30"/>
      <c r="MRG49" s="31"/>
      <c r="MRH49" s="16"/>
      <c r="MRI49" s="17"/>
      <c r="MRJ49" s="30"/>
      <c r="MRK49" s="31"/>
      <c r="MRL49" s="16"/>
      <c r="MRM49" s="17"/>
      <c r="MRN49" s="30"/>
      <c r="MRO49" s="31"/>
      <c r="MRP49" s="16"/>
      <c r="MRQ49" s="17"/>
      <c r="MRR49" s="30"/>
      <c r="MRS49" s="31"/>
      <c r="MRT49" s="16"/>
      <c r="MRU49" s="17"/>
      <c r="MRV49" s="30"/>
      <c r="MRW49" s="31"/>
      <c r="MRX49" s="16"/>
      <c r="MRY49" s="17"/>
      <c r="MRZ49" s="30"/>
      <c r="MSA49" s="31"/>
      <c r="MSB49" s="16"/>
      <c r="MSC49" s="17"/>
      <c r="MSD49" s="30"/>
      <c r="MSE49" s="31"/>
      <c r="MSF49" s="16"/>
      <c r="MSG49" s="17"/>
      <c r="MSH49" s="30"/>
      <c r="MSI49" s="31"/>
      <c r="MSJ49" s="16"/>
      <c r="MSK49" s="17"/>
      <c r="MSL49" s="30"/>
      <c r="MSM49" s="31"/>
      <c r="MSN49" s="16"/>
      <c r="MSO49" s="17"/>
      <c r="MSP49" s="30"/>
      <c r="MSQ49" s="31"/>
      <c r="MSR49" s="16"/>
      <c r="MSS49" s="17"/>
      <c r="MST49" s="30"/>
      <c r="MSU49" s="31"/>
      <c r="MSV49" s="16"/>
      <c r="MSW49" s="17"/>
      <c r="MSX49" s="30"/>
      <c r="MSY49" s="31"/>
      <c r="MSZ49" s="16"/>
      <c r="MTA49" s="17"/>
      <c r="MTB49" s="30"/>
      <c r="MTC49" s="31"/>
      <c r="MTD49" s="16"/>
      <c r="MTE49" s="17"/>
      <c r="MTF49" s="30"/>
      <c r="MTG49" s="31"/>
      <c r="MTH49" s="16"/>
      <c r="MTI49" s="17"/>
      <c r="MTJ49" s="30"/>
      <c r="MTK49" s="31"/>
      <c r="MTL49" s="16"/>
      <c r="MTM49" s="17"/>
      <c r="MTN49" s="30"/>
      <c r="MTO49" s="31"/>
      <c r="MTP49" s="16"/>
      <c r="MTQ49" s="17"/>
      <c r="MTR49" s="30"/>
      <c r="MTS49" s="31"/>
      <c r="MTT49" s="16"/>
      <c r="MTU49" s="17"/>
      <c r="MTV49" s="30"/>
      <c r="MTW49" s="31"/>
      <c r="MTX49" s="16"/>
      <c r="MTY49" s="17"/>
      <c r="MTZ49" s="30"/>
      <c r="MUA49" s="31"/>
      <c r="MUB49" s="16"/>
      <c r="MUC49" s="17"/>
      <c r="MUD49" s="30"/>
      <c r="MUE49" s="31"/>
      <c r="MUF49" s="16"/>
      <c r="MUG49" s="17"/>
      <c r="MUH49" s="30"/>
      <c r="MUI49" s="31"/>
      <c r="MUJ49" s="16"/>
      <c r="MUK49" s="17"/>
      <c r="MUL49" s="30"/>
      <c r="MUM49" s="31"/>
      <c r="MUN49" s="16"/>
      <c r="MUO49" s="17"/>
      <c r="MUP49" s="30"/>
      <c r="MUQ49" s="31"/>
      <c r="MUR49" s="16"/>
      <c r="MUS49" s="17"/>
      <c r="MUT49" s="30"/>
      <c r="MUU49" s="31"/>
      <c r="MUV49" s="16"/>
      <c r="MUW49" s="17"/>
      <c r="MUX49" s="30"/>
      <c r="MUY49" s="31"/>
      <c r="MUZ49" s="16"/>
      <c r="MVA49" s="17"/>
      <c r="MVB49" s="30"/>
      <c r="MVC49" s="31"/>
      <c r="MVD49" s="16"/>
      <c r="MVE49" s="17"/>
      <c r="MVF49" s="30"/>
      <c r="MVG49" s="31"/>
      <c r="MVH49" s="16"/>
      <c r="MVI49" s="17"/>
      <c r="MVJ49" s="30"/>
      <c r="MVK49" s="31"/>
      <c r="MVL49" s="16"/>
      <c r="MVM49" s="17"/>
      <c r="MVN49" s="30"/>
      <c r="MVO49" s="31"/>
      <c r="MVP49" s="16"/>
      <c r="MVQ49" s="17"/>
      <c r="MVR49" s="30"/>
      <c r="MVS49" s="31"/>
      <c r="MVT49" s="16"/>
      <c r="MVU49" s="17"/>
      <c r="MVV49" s="30"/>
      <c r="MVW49" s="31"/>
      <c r="MVX49" s="16"/>
      <c r="MVY49" s="17"/>
      <c r="MVZ49" s="30"/>
      <c r="MWA49" s="31"/>
      <c r="MWB49" s="16"/>
      <c r="MWC49" s="17"/>
      <c r="MWD49" s="30"/>
      <c r="MWE49" s="31"/>
      <c r="MWF49" s="16"/>
      <c r="MWG49" s="17"/>
      <c r="MWH49" s="30"/>
      <c r="MWI49" s="31"/>
      <c r="MWJ49" s="16"/>
      <c r="MWK49" s="17"/>
      <c r="MWL49" s="30"/>
      <c r="MWM49" s="31"/>
      <c r="MWN49" s="16"/>
      <c r="MWO49" s="17"/>
      <c r="MWP49" s="30"/>
      <c r="MWQ49" s="31"/>
      <c r="MWR49" s="16"/>
      <c r="MWS49" s="17"/>
      <c r="MWT49" s="30"/>
      <c r="MWU49" s="31"/>
      <c r="MWV49" s="16"/>
      <c r="MWW49" s="17"/>
      <c r="MWX49" s="30"/>
      <c r="MWY49" s="31"/>
      <c r="MWZ49" s="16"/>
      <c r="MXA49" s="17"/>
      <c r="MXB49" s="30"/>
      <c r="MXC49" s="31"/>
      <c r="MXD49" s="16"/>
      <c r="MXE49" s="17"/>
      <c r="MXF49" s="30"/>
      <c r="MXG49" s="31"/>
      <c r="MXH49" s="16"/>
      <c r="MXI49" s="17"/>
      <c r="MXJ49" s="30"/>
      <c r="MXK49" s="31"/>
      <c r="MXL49" s="16"/>
      <c r="MXM49" s="17"/>
      <c r="MXN49" s="30"/>
      <c r="MXO49" s="31"/>
      <c r="MXP49" s="16"/>
      <c r="MXQ49" s="17"/>
      <c r="MXR49" s="30"/>
      <c r="MXS49" s="31"/>
      <c r="MXT49" s="16"/>
      <c r="MXU49" s="17"/>
      <c r="MXV49" s="30"/>
      <c r="MXW49" s="31"/>
      <c r="MXX49" s="16"/>
      <c r="MXY49" s="17"/>
      <c r="MXZ49" s="30"/>
      <c r="MYA49" s="31"/>
      <c r="MYB49" s="16"/>
      <c r="MYC49" s="17"/>
      <c r="MYD49" s="30"/>
      <c r="MYE49" s="31"/>
      <c r="MYF49" s="16"/>
      <c r="MYG49" s="17"/>
      <c r="MYH49" s="30"/>
      <c r="MYI49" s="31"/>
      <c r="MYJ49" s="16"/>
      <c r="MYK49" s="17"/>
      <c r="MYL49" s="30"/>
      <c r="MYM49" s="31"/>
      <c r="MYN49" s="16"/>
      <c r="MYO49" s="17"/>
      <c r="MYP49" s="30"/>
      <c r="MYQ49" s="31"/>
      <c r="MYR49" s="16"/>
      <c r="MYS49" s="17"/>
      <c r="MYT49" s="30"/>
      <c r="MYU49" s="31"/>
      <c r="MYV49" s="16"/>
      <c r="MYW49" s="17"/>
      <c r="MYX49" s="30"/>
      <c r="MYY49" s="31"/>
      <c r="MYZ49" s="16"/>
      <c r="MZA49" s="17"/>
      <c r="MZB49" s="30"/>
      <c r="MZC49" s="31"/>
      <c r="MZD49" s="16"/>
      <c r="MZE49" s="17"/>
      <c r="MZF49" s="30"/>
      <c r="MZG49" s="31"/>
      <c r="MZH49" s="16"/>
      <c r="MZI49" s="17"/>
      <c r="MZJ49" s="30"/>
      <c r="MZK49" s="31"/>
      <c r="MZL49" s="16"/>
      <c r="MZM49" s="17"/>
      <c r="MZN49" s="30"/>
      <c r="MZO49" s="31"/>
      <c r="MZP49" s="16"/>
      <c r="MZQ49" s="17"/>
      <c r="MZR49" s="30"/>
      <c r="MZS49" s="31"/>
      <c r="MZT49" s="16"/>
      <c r="MZU49" s="17"/>
      <c r="MZV49" s="30"/>
      <c r="MZW49" s="31"/>
      <c r="MZX49" s="16"/>
      <c r="MZY49" s="17"/>
      <c r="MZZ49" s="30"/>
      <c r="NAA49" s="31"/>
      <c r="NAB49" s="16"/>
      <c r="NAC49" s="17"/>
      <c r="NAD49" s="30"/>
      <c r="NAE49" s="31"/>
      <c r="NAF49" s="16"/>
      <c r="NAG49" s="17"/>
      <c r="NAH49" s="30"/>
      <c r="NAI49" s="31"/>
      <c r="NAJ49" s="16"/>
      <c r="NAK49" s="17"/>
      <c r="NAL49" s="30"/>
      <c r="NAM49" s="31"/>
      <c r="NAN49" s="16"/>
      <c r="NAO49" s="17"/>
      <c r="NAP49" s="30"/>
      <c r="NAQ49" s="31"/>
      <c r="NAR49" s="16"/>
      <c r="NAS49" s="17"/>
      <c r="NAT49" s="30"/>
      <c r="NAU49" s="31"/>
      <c r="NAV49" s="16"/>
      <c r="NAW49" s="17"/>
      <c r="NAX49" s="30"/>
      <c r="NAY49" s="31"/>
      <c r="NAZ49" s="16"/>
      <c r="NBA49" s="17"/>
      <c r="NBB49" s="30"/>
      <c r="NBC49" s="31"/>
      <c r="NBD49" s="16"/>
      <c r="NBE49" s="17"/>
      <c r="NBF49" s="30"/>
      <c r="NBG49" s="31"/>
      <c r="NBH49" s="16"/>
      <c r="NBI49" s="17"/>
      <c r="NBJ49" s="30"/>
      <c r="NBK49" s="31"/>
      <c r="NBL49" s="16"/>
      <c r="NBM49" s="17"/>
      <c r="NBN49" s="30"/>
      <c r="NBO49" s="31"/>
      <c r="NBP49" s="16"/>
      <c r="NBQ49" s="17"/>
      <c r="NBR49" s="30"/>
      <c r="NBS49" s="31"/>
      <c r="NBT49" s="16"/>
      <c r="NBU49" s="17"/>
      <c r="NBV49" s="30"/>
      <c r="NBW49" s="31"/>
      <c r="NBX49" s="16"/>
      <c r="NBY49" s="17"/>
      <c r="NBZ49" s="30"/>
      <c r="NCA49" s="31"/>
      <c r="NCB49" s="16"/>
      <c r="NCC49" s="17"/>
      <c r="NCD49" s="30"/>
      <c r="NCE49" s="31"/>
      <c r="NCF49" s="16"/>
      <c r="NCG49" s="17"/>
      <c r="NCH49" s="30"/>
      <c r="NCI49" s="31"/>
      <c r="NCJ49" s="16"/>
      <c r="NCK49" s="17"/>
      <c r="NCL49" s="30"/>
      <c r="NCM49" s="31"/>
      <c r="NCN49" s="16"/>
      <c r="NCO49" s="17"/>
      <c r="NCP49" s="30"/>
      <c r="NCQ49" s="31"/>
      <c r="NCR49" s="16"/>
      <c r="NCS49" s="17"/>
      <c r="NCT49" s="30"/>
      <c r="NCU49" s="31"/>
      <c r="NCV49" s="16"/>
      <c r="NCW49" s="17"/>
      <c r="NCX49" s="30"/>
      <c r="NCY49" s="31"/>
      <c r="NCZ49" s="16"/>
      <c r="NDA49" s="17"/>
      <c r="NDB49" s="30"/>
      <c r="NDC49" s="31"/>
      <c r="NDD49" s="16"/>
      <c r="NDE49" s="17"/>
      <c r="NDF49" s="30"/>
      <c r="NDG49" s="31"/>
      <c r="NDH49" s="16"/>
      <c r="NDI49" s="17"/>
      <c r="NDJ49" s="30"/>
      <c r="NDK49" s="31"/>
      <c r="NDL49" s="16"/>
      <c r="NDM49" s="17"/>
      <c r="NDN49" s="30"/>
      <c r="NDO49" s="31"/>
      <c r="NDP49" s="16"/>
      <c r="NDQ49" s="17"/>
      <c r="NDR49" s="30"/>
      <c r="NDS49" s="31"/>
      <c r="NDT49" s="16"/>
      <c r="NDU49" s="17"/>
      <c r="NDV49" s="30"/>
      <c r="NDW49" s="31"/>
      <c r="NDX49" s="16"/>
      <c r="NDY49" s="17"/>
      <c r="NDZ49" s="30"/>
      <c r="NEA49" s="31"/>
      <c r="NEB49" s="16"/>
      <c r="NEC49" s="17"/>
      <c r="NED49" s="30"/>
      <c r="NEE49" s="31"/>
      <c r="NEF49" s="16"/>
      <c r="NEG49" s="17"/>
      <c r="NEH49" s="30"/>
      <c r="NEI49" s="31"/>
      <c r="NEJ49" s="16"/>
      <c r="NEK49" s="17"/>
      <c r="NEL49" s="30"/>
      <c r="NEM49" s="31"/>
      <c r="NEN49" s="16"/>
      <c r="NEO49" s="17"/>
      <c r="NEP49" s="30"/>
      <c r="NEQ49" s="31"/>
      <c r="NER49" s="16"/>
      <c r="NES49" s="17"/>
      <c r="NET49" s="30"/>
      <c r="NEU49" s="31"/>
      <c r="NEV49" s="16"/>
      <c r="NEW49" s="17"/>
      <c r="NEX49" s="30"/>
      <c r="NEY49" s="31"/>
      <c r="NEZ49" s="16"/>
      <c r="NFA49" s="17"/>
      <c r="NFB49" s="30"/>
      <c r="NFC49" s="31"/>
      <c r="NFD49" s="16"/>
      <c r="NFE49" s="17"/>
      <c r="NFF49" s="30"/>
      <c r="NFG49" s="31"/>
      <c r="NFH49" s="16"/>
      <c r="NFI49" s="17"/>
      <c r="NFJ49" s="30"/>
      <c r="NFK49" s="31"/>
      <c r="NFL49" s="16"/>
      <c r="NFM49" s="17"/>
      <c r="NFN49" s="30"/>
      <c r="NFO49" s="31"/>
      <c r="NFP49" s="16"/>
      <c r="NFQ49" s="17"/>
      <c r="NFR49" s="30"/>
      <c r="NFS49" s="31"/>
      <c r="NFT49" s="16"/>
      <c r="NFU49" s="17"/>
      <c r="NFV49" s="30"/>
      <c r="NFW49" s="31"/>
      <c r="NFX49" s="16"/>
      <c r="NFY49" s="17"/>
      <c r="NFZ49" s="30"/>
      <c r="NGA49" s="31"/>
      <c r="NGB49" s="16"/>
      <c r="NGC49" s="17"/>
      <c r="NGD49" s="30"/>
      <c r="NGE49" s="31"/>
      <c r="NGF49" s="16"/>
      <c r="NGG49" s="17"/>
      <c r="NGH49" s="30"/>
      <c r="NGI49" s="31"/>
      <c r="NGJ49" s="16"/>
      <c r="NGK49" s="17"/>
      <c r="NGL49" s="30"/>
      <c r="NGM49" s="31"/>
      <c r="NGN49" s="16"/>
      <c r="NGO49" s="17"/>
      <c r="NGP49" s="30"/>
      <c r="NGQ49" s="31"/>
      <c r="NGR49" s="16"/>
      <c r="NGS49" s="17"/>
      <c r="NGT49" s="30"/>
      <c r="NGU49" s="31"/>
      <c r="NGV49" s="16"/>
      <c r="NGW49" s="17"/>
      <c r="NGX49" s="30"/>
      <c r="NGY49" s="31"/>
      <c r="NGZ49" s="16"/>
      <c r="NHA49" s="17"/>
      <c r="NHB49" s="30"/>
      <c r="NHC49" s="31"/>
      <c r="NHD49" s="16"/>
      <c r="NHE49" s="17"/>
      <c r="NHF49" s="30"/>
      <c r="NHG49" s="31"/>
      <c r="NHH49" s="16"/>
      <c r="NHI49" s="17"/>
      <c r="NHJ49" s="30"/>
      <c r="NHK49" s="31"/>
      <c r="NHL49" s="16"/>
      <c r="NHM49" s="17"/>
      <c r="NHN49" s="30"/>
      <c r="NHO49" s="31"/>
      <c r="NHP49" s="16"/>
      <c r="NHQ49" s="17"/>
      <c r="NHR49" s="30"/>
      <c r="NHS49" s="31"/>
      <c r="NHT49" s="16"/>
      <c r="NHU49" s="17"/>
      <c r="NHV49" s="30"/>
      <c r="NHW49" s="31"/>
      <c r="NHX49" s="16"/>
      <c r="NHY49" s="17"/>
      <c r="NHZ49" s="30"/>
      <c r="NIA49" s="31"/>
      <c r="NIB49" s="16"/>
      <c r="NIC49" s="17"/>
      <c r="NID49" s="30"/>
      <c r="NIE49" s="31"/>
      <c r="NIF49" s="16"/>
      <c r="NIG49" s="17"/>
      <c r="NIH49" s="30"/>
      <c r="NII49" s="31"/>
      <c r="NIJ49" s="16"/>
      <c r="NIK49" s="17"/>
      <c r="NIL49" s="30"/>
      <c r="NIM49" s="31"/>
      <c r="NIN49" s="16"/>
      <c r="NIO49" s="17"/>
      <c r="NIP49" s="30"/>
      <c r="NIQ49" s="31"/>
      <c r="NIR49" s="16"/>
      <c r="NIS49" s="17"/>
      <c r="NIT49" s="30"/>
      <c r="NIU49" s="31"/>
      <c r="NIV49" s="16"/>
      <c r="NIW49" s="17"/>
      <c r="NIX49" s="30"/>
      <c r="NIY49" s="31"/>
      <c r="NIZ49" s="16"/>
      <c r="NJA49" s="17"/>
      <c r="NJB49" s="30"/>
      <c r="NJC49" s="31"/>
      <c r="NJD49" s="16"/>
      <c r="NJE49" s="17"/>
      <c r="NJF49" s="30"/>
      <c r="NJG49" s="31"/>
      <c r="NJH49" s="16"/>
      <c r="NJI49" s="17"/>
      <c r="NJJ49" s="30"/>
      <c r="NJK49" s="31"/>
      <c r="NJL49" s="16"/>
      <c r="NJM49" s="17"/>
      <c r="NJN49" s="30"/>
      <c r="NJO49" s="31"/>
      <c r="NJP49" s="16"/>
      <c r="NJQ49" s="17"/>
      <c r="NJR49" s="30"/>
      <c r="NJS49" s="31"/>
      <c r="NJT49" s="16"/>
      <c r="NJU49" s="17"/>
      <c r="NJV49" s="30"/>
      <c r="NJW49" s="31"/>
      <c r="NJX49" s="16"/>
      <c r="NJY49" s="17"/>
      <c r="NJZ49" s="30"/>
      <c r="NKA49" s="31"/>
      <c r="NKB49" s="16"/>
      <c r="NKC49" s="17"/>
      <c r="NKD49" s="30"/>
      <c r="NKE49" s="31"/>
      <c r="NKF49" s="16"/>
      <c r="NKG49" s="17"/>
      <c r="NKH49" s="30"/>
      <c r="NKI49" s="31"/>
      <c r="NKJ49" s="16"/>
      <c r="NKK49" s="17"/>
      <c r="NKL49" s="30"/>
      <c r="NKM49" s="31"/>
      <c r="NKN49" s="16"/>
      <c r="NKO49" s="17"/>
      <c r="NKP49" s="30"/>
      <c r="NKQ49" s="31"/>
      <c r="NKR49" s="16"/>
      <c r="NKS49" s="17"/>
      <c r="NKT49" s="30"/>
      <c r="NKU49" s="31"/>
      <c r="NKV49" s="16"/>
      <c r="NKW49" s="17"/>
      <c r="NKX49" s="30"/>
      <c r="NKY49" s="31"/>
      <c r="NKZ49" s="16"/>
      <c r="NLA49" s="17"/>
      <c r="NLB49" s="30"/>
      <c r="NLC49" s="31"/>
      <c r="NLD49" s="16"/>
      <c r="NLE49" s="17"/>
      <c r="NLF49" s="30"/>
      <c r="NLG49" s="31"/>
      <c r="NLH49" s="16"/>
      <c r="NLI49" s="17"/>
      <c r="NLJ49" s="30"/>
      <c r="NLK49" s="31"/>
      <c r="NLL49" s="16"/>
      <c r="NLM49" s="17"/>
      <c r="NLN49" s="30"/>
      <c r="NLO49" s="31"/>
      <c r="NLP49" s="16"/>
      <c r="NLQ49" s="17"/>
      <c r="NLR49" s="30"/>
      <c r="NLS49" s="31"/>
      <c r="NLT49" s="16"/>
      <c r="NLU49" s="17"/>
      <c r="NLV49" s="30"/>
      <c r="NLW49" s="31"/>
      <c r="NLX49" s="16"/>
      <c r="NLY49" s="17"/>
      <c r="NLZ49" s="30"/>
      <c r="NMA49" s="31"/>
      <c r="NMB49" s="16"/>
      <c r="NMC49" s="17"/>
      <c r="NMD49" s="30"/>
      <c r="NME49" s="31"/>
      <c r="NMF49" s="16"/>
      <c r="NMG49" s="17"/>
      <c r="NMH49" s="30"/>
      <c r="NMI49" s="31"/>
      <c r="NMJ49" s="16"/>
      <c r="NMK49" s="17"/>
      <c r="NML49" s="30"/>
      <c r="NMM49" s="31"/>
      <c r="NMN49" s="16"/>
      <c r="NMO49" s="17"/>
      <c r="NMP49" s="30"/>
      <c r="NMQ49" s="31"/>
      <c r="NMR49" s="16"/>
      <c r="NMS49" s="17"/>
      <c r="NMT49" s="30"/>
      <c r="NMU49" s="31"/>
      <c r="NMV49" s="16"/>
      <c r="NMW49" s="17"/>
      <c r="NMX49" s="30"/>
      <c r="NMY49" s="31"/>
      <c r="NMZ49" s="16"/>
      <c r="NNA49" s="17"/>
      <c r="NNB49" s="30"/>
      <c r="NNC49" s="31"/>
      <c r="NND49" s="16"/>
      <c r="NNE49" s="17"/>
      <c r="NNF49" s="30"/>
      <c r="NNG49" s="31"/>
      <c r="NNH49" s="16"/>
      <c r="NNI49" s="17"/>
      <c r="NNJ49" s="30"/>
      <c r="NNK49" s="31"/>
      <c r="NNL49" s="16"/>
      <c r="NNM49" s="17"/>
      <c r="NNN49" s="30"/>
      <c r="NNO49" s="31"/>
      <c r="NNP49" s="16"/>
      <c r="NNQ49" s="17"/>
      <c r="NNR49" s="30"/>
      <c r="NNS49" s="31"/>
      <c r="NNT49" s="16"/>
      <c r="NNU49" s="17"/>
      <c r="NNV49" s="30"/>
      <c r="NNW49" s="31"/>
      <c r="NNX49" s="16"/>
      <c r="NNY49" s="17"/>
      <c r="NNZ49" s="30"/>
      <c r="NOA49" s="31"/>
      <c r="NOB49" s="16"/>
      <c r="NOC49" s="17"/>
      <c r="NOD49" s="30"/>
      <c r="NOE49" s="31"/>
      <c r="NOF49" s="16"/>
      <c r="NOG49" s="17"/>
      <c r="NOH49" s="30"/>
      <c r="NOI49" s="31"/>
      <c r="NOJ49" s="16"/>
      <c r="NOK49" s="17"/>
      <c r="NOL49" s="30"/>
      <c r="NOM49" s="31"/>
      <c r="NON49" s="16"/>
      <c r="NOO49" s="17"/>
      <c r="NOP49" s="30"/>
      <c r="NOQ49" s="31"/>
      <c r="NOR49" s="16"/>
      <c r="NOS49" s="17"/>
      <c r="NOT49" s="30"/>
      <c r="NOU49" s="31"/>
      <c r="NOV49" s="16"/>
      <c r="NOW49" s="17"/>
      <c r="NOX49" s="30"/>
      <c r="NOY49" s="31"/>
      <c r="NOZ49" s="16"/>
      <c r="NPA49" s="17"/>
      <c r="NPB49" s="30"/>
      <c r="NPC49" s="31"/>
      <c r="NPD49" s="16"/>
      <c r="NPE49" s="17"/>
      <c r="NPF49" s="30"/>
      <c r="NPG49" s="31"/>
      <c r="NPH49" s="16"/>
      <c r="NPI49" s="17"/>
      <c r="NPJ49" s="30"/>
      <c r="NPK49" s="31"/>
      <c r="NPL49" s="16"/>
      <c r="NPM49" s="17"/>
      <c r="NPN49" s="30"/>
      <c r="NPO49" s="31"/>
      <c r="NPP49" s="16"/>
      <c r="NPQ49" s="17"/>
      <c r="NPR49" s="30"/>
      <c r="NPS49" s="31"/>
      <c r="NPT49" s="16"/>
      <c r="NPU49" s="17"/>
      <c r="NPV49" s="30"/>
      <c r="NPW49" s="31"/>
      <c r="NPX49" s="16"/>
      <c r="NPY49" s="17"/>
      <c r="NPZ49" s="30"/>
      <c r="NQA49" s="31"/>
      <c r="NQB49" s="16"/>
      <c r="NQC49" s="17"/>
      <c r="NQD49" s="30"/>
      <c r="NQE49" s="31"/>
      <c r="NQF49" s="16"/>
      <c r="NQG49" s="17"/>
      <c r="NQH49" s="30"/>
      <c r="NQI49" s="31"/>
      <c r="NQJ49" s="16"/>
      <c r="NQK49" s="17"/>
      <c r="NQL49" s="30"/>
      <c r="NQM49" s="31"/>
      <c r="NQN49" s="16"/>
      <c r="NQO49" s="17"/>
      <c r="NQP49" s="30"/>
      <c r="NQQ49" s="31"/>
      <c r="NQR49" s="16"/>
      <c r="NQS49" s="17"/>
      <c r="NQT49" s="30"/>
      <c r="NQU49" s="31"/>
      <c r="NQV49" s="16"/>
      <c r="NQW49" s="17"/>
      <c r="NQX49" s="30"/>
      <c r="NQY49" s="31"/>
      <c r="NQZ49" s="16"/>
      <c r="NRA49" s="17"/>
      <c r="NRB49" s="30"/>
      <c r="NRC49" s="31"/>
      <c r="NRD49" s="16"/>
      <c r="NRE49" s="17"/>
      <c r="NRF49" s="30"/>
      <c r="NRG49" s="31"/>
      <c r="NRH49" s="16"/>
      <c r="NRI49" s="17"/>
      <c r="NRJ49" s="30"/>
      <c r="NRK49" s="31"/>
      <c r="NRL49" s="16"/>
      <c r="NRM49" s="17"/>
      <c r="NRN49" s="30"/>
      <c r="NRO49" s="31"/>
      <c r="NRP49" s="16"/>
      <c r="NRQ49" s="17"/>
      <c r="NRR49" s="30"/>
      <c r="NRS49" s="31"/>
      <c r="NRT49" s="16"/>
      <c r="NRU49" s="17"/>
      <c r="NRV49" s="30"/>
      <c r="NRW49" s="31"/>
      <c r="NRX49" s="16"/>
      <c r="NRY49" s="17"/>
      <c r="NRZ49" s="30"/>
      <c r="NSA49" s="31"/>
      <c r="NSB49" s="16"/>
      <c r="NSC49" s="17"/>
      <c r="NSD49" s="30"/>
      <c r="NSE49" s="31"/>
      <c r="NSF49" s="16"/>
      <c r="NSG49" s="17"/>
      <c r="NSH49" s="30"/>
      <c r="NSI49" s="31"/>
      <c r="NSJ49" s="16"/>
      <c r="NSK49" s="17"/>
      <c r="NSL49" s="30"/>
      <c r="NSM49" s="31"/>
      <c r="NSN49" s="16"/>
      <c r="NSO49" s="17"/>
      <c r="NSP49" s="30"/>
      <c r="NSQ49" s="31"/>
      <c r="NSR49" s="16"/>
      <c r="NSS49" s="17"/>
      <c r="NST49" s="30"/>
      <c r="NSU49" s="31"/>
      <c r="NSV49" s="16"/>
      <c r="NSW49" s="17"/>
      <c r="NSX49" s="30"/>
      <c r="NSY49" s="31"/>
      <c r="NSZ49" s="16"/>
      <c r="NTA49" s="17"/>
      <c r="NTB49" s="30"/>
      <c r="NTC49" s="31"/>
      <c r="NTD49" s="16"/>
      <c r="NTE49" s="17"/>
      <c r="NTF49" s="30"/>
      <c r="NTG49" s="31"/>
      <c r="NTH49" s="16"/>
      <c r="NTI49" s="17"/>
      <c r="NTJ49" s="30"/>
      <c r="NTK49" s="31"/>
      <c r="NTL49" s="16"/>
      <c r="NTM49" s="17"/>
      <c r="NTN49" s="30"/>
      <c r="NTO49" s="31"/>
      <c r="NTP49" s="16"/>
      <c r="NTQ49" s="17"/>
      <c r="NTR49" s="30"/>
      <c r="NTS49" s="31"/>
      <c r="NTT49" s="16"/>
      <c r="NTU49" s="17"/>
      <c r="NTV49" s="30"/>
      <c r="NTW49" s="31"/>
      <c r="NTX49" s="16"/>
      <c r="NTY49" s="17"/>
      <c r="NTZ49" s="30"/>
      <c r="NUA49" s="31"/>
      <c r="NUB49" s="16"/>
      <c r="NUC49" s="17"/>
      <c r="NUD49" s="30"/>
      <c r="NUE49" s="31"/>
      <c r="NUF49" s="16"/>
      <c r="NUG49" s="17"/>
      <c r="NUH49" s="30"/>
      <c r="NUI49" s="31"/>
      <c r="NUJ49" s="16"/>
      <c r="NUK49" s="17"/>
      <c r="NUL49" s="30"/>
      <c r="NUM49" s="31"/>
      <c r="NUN49" s="16"/>
      <c r="NUO49" s="17"/>
      <c r="NUP49" s="30"/>
      <c r="NUQ49" s="31"/>
      <c r="NUR49" s="16"/>
      <c r="NUS49" s="17"/>
      <c r="NUT49" s="30"/>
      <c r="NUU49" s="31"/>
      <c r="NUV49" s="16"/>
      <c r="NUW49" s="17"/>
      <c r="NUX49" s="30"/>
      <c r="NUY49" s="31"/>
      <c r="NUZ49" s="16"/>
      <c r="NVA49" s="17"/>
      <c r="NVB49" s="30"/>
      <c r="NVC49" s="31"/>
      <c r="NVD49" s="16"/>
      <c r="NVE49" s="17"/>
      <c r="NVF49" s="30"/>
      <c r="NVG49" s="31"/>
      <c r="NVH49" s="16"/>
      <c r="NVI49" s="17"/>
      <c r="NVJ49" s="30"/>
      <c r="NVK49" s="31"/>
      <c r="NVL49" s="16"/>
      <c r="NVM49" s="17"/>
      <c r="NVN49" s="30"/>
      <c r="NVO49" s="31"/>
      <c r="NVP49" s="16"/>
      <c r="NVQ49" s="17"/>
      <c r="NVR49" s="30"/>
      <c r="NVS49" s="31"/>
      <c r="NVT49" s="16"/>
      <c r="NVU49" s="17"/>
      <c r="NVV49" s="30"/>
      <c r="NVW49" s="31"/>
      <c r="NVX49" s="16"/>
      <c r="NVY49" s="17"/>
      <c r="NVZ49" s="30"/>
      <c r="NWA49" s="31"/>
      <c r="NWB49" s="16"/>
      <c r="NWC49" s="17"/>
      <c r="NWD49" s="30"/>
      <c r="NWE49" s="31"/>
      <c r="NWF49" s="16"/>
      <c r="NWG49" s="17"/>
      <c r="NWH49" s="30"/>
      <c r="NWI49" s="31"/>
      <c r="NWJ49" s="16"/>
      <c r="NWK49" s="17"/>
      <c r="NWL49" s="30"/>
      <c r="NWM49" s="31"/>
      <c r="NWN49" s="16"/>
      <c r="NWO49" s="17"/>
      <c r="NWP49" s="30"/>
      <c r="NWQ49" s="31"/>
      <c r="NWR49" s="16"/>
      <c r="NWS49" s="17"/>
      <c r="NWT49" s="30"/>
      <c r="NWU49" s="31"/>
      <c r="NWV49" s="16"/>
      <c r="NWW49" s="17"/>
      <c r="NWX49" s="30"/>
      <c r="NWY49" s="31"/>
      <c r="NWZ49" s="16"/>
      <c r="NXA49" s="17"/>
      <c r="NXB49" s="30"/>
      <c r="NXC49" s="31"/>
      <c r="NXD49" s="16"/>
      <c r="NXE49" s="17"/>
      <c r="NXF49" s="30"/>
      <c r="NXG49" s="31"/>
      <c r="NXH49" s="16"/>
      <c r="NXI49" s="17"/>
      <c r="NXJ49" s="30"/>
      <c r="NXK49" s="31"/>
      <c r="NXL49" s="16"/>
      <c r="NXM49" s="17"/>
      <c r="NXN49" s="30"/>
      <c r="NXO49" s="31"/>
      <c r="NXP49" s="16"/>
      <c r="NXQ49" s="17"/>
      <c r="NXR49" s="30"/>
      <c r="NXS49" s="31"/>
      <c r="NXT49" s="16"/>
      <c r="NXU49" s="17"/>
      <c r="NXV49" s="30"/>
      <c r="NXW49" s="31"/>
      <c r="NXX49" s="16"/>
      <c r="NXY49" s="17"/>
      <c r="NXZ49" s="30"/>
      <c r="NYA49" s="31"/>
      <c r="NYB49" s="16"/>
      <c r="NYC49" s="17"/>
      <c r="NYD49" s="30"/>
      <c r="NYE49" s="31"/>
      <c r="NYF49" s="16"/>
      <c r="NYG49" s="17"/>
      <c r="NYH49" s="30"/>
      <c r="NYI49" s="31"/>
      <c r="NYJ49" s="16"/>
      <c r="NYK49" s="17"/>
      <c r="NYL49" s="30"/>
      <c r="NYM49" s="31"/>
      <c r="NYN49" s="16"/>
      <c r="NYO49" s="17"/>
      <c r="NYP49" s="30"/>
      <c r="NYQ49" s="31"/>
      <c r="NYR49" s="16"/>
      <c r="NYS49" s="17"/>
      <c r="NYT49" s="30"/>
      <c r="NYU49" s="31"/>
      <c r="NYV49" s="16"/>
      <c r="NYW49" s="17"/>
      <c r="NYX49" s="30"/>
      <c r="NYY49" s="31"/>
      <c r="NYZ49" s="16"/>
      <c r="NZA49" s="17"/>
      <c r="NZB49" s="30"/>
      <c r="NZC49" s="31"/>
      <c r="NZD49" s="16"/>
      <c r="NZE49" s="17"/>
      <c r="NZF49" s="30"/>
      <c r="NZG49" s="31"/>
      <c r="NZH49" s="16"/>
      <c r="NZI49" s="17"/>
      <c r="NZJ49" s="30"/>
      <c r="NZK49" s="31"/>
      <c r="NZL49" s="16"/>
      <c r="NZM49" s="17"/>
      <c r="NZN49" s="30"/>
      <c r="NZO49" s="31"/>
      <c r="NZP49" s="16"/>
      <c r="NZQ49" s="17"/>
      <c r="NZR49" s="30"/>
      <c r="NZS49" s="31"/>
      <c r="NZT49" s="16"/>
      <c r="NZU49" s="17"/>
      <c r="NZV49" s="30"/>
      <c r="NZW49" s="31"/>
      <c r="NZX49" s="16"/>
      <c r="NZY49" s="17"/>
      <c r="NZZ49" s="30"/>
      <c r="OAA49" s="31"/>
      <c r="OAB49" s="16"/>
      <c r="OAC49" s="17"/>
      <c r="OAD49" s="30"/>
      <c r="OAE49" s="31"/>
      <c r="OAF49" s="16"/>
      <c r="OAG49" s="17"/>
      <c r="OAH49" s="30"/>
      <c r="OAI49" s="31"/>
      <c r="OAJ49" s="16"/>
      <c r="OAK49" s="17"/>
      <c r="OAL49" s="30"/>
      <c r="OAM49" s="31"/>
      <c r="OAN49" s="16"/>
      <c r="OAO49" s="17"/>
      <c r="OAP49" s="30"/>
      <c r="OAQ49" s="31"/>
      <c r="OAR49" s="16"/>
      <c r="OAS49" s="17"/>
      <c r="OAT49" s="30"/>
      <c r="OAU49" s="31"/>
      <c r="OAV49" s="16"/>
      <c r="OAW49" s="17"/>
      <c r="OAX49" s="30"/>
      <c r="OAY49" s="31"/>
      <c r="OAZ49" s="16"/>
      <c r="OBA49" s="17"/>
      <c r="OBB49" s="30"/>
      <c r="OBC49" s="31"/>
      <c r="OBD49" s="16"/>
      <c r="OBE49" s="17"/>
      <c r="OBF49" s="30"/>
      <c r="OBG49" s="31"/>
      <c r="OBH49" s="16"/>
      <c r="OBI49" s="17"/>
      <c r="OBJ49" s="30"/>
      <c r="OBK49" s="31"/>
      <c r="OBL49" s="16"/>
      <c r="OBM49" s="17"/>
      <c r="OBN49" s="30"/>
      <c r="OBO49" s="31"/>
      <c r="OBP49" s="16"/>
      <c r="OBQ49" s="17"/>
      <c r="OBR49" s="30"/>
      <c r="OBS49" s="31"/>
      <c r="OBT49" s="16"/>
      <c r="OBU49" s="17"/>
      <c r="OBV49" s="30"/>
      <c r="OBW49" s="31"/>
      <c r="OBX49" s="16"/>
      <c r="OBY49" s="17"/>
      <c r="OBZ49" s="30"/>
      <c r="OCA49" s="31"/>
      <c r="OCB49" s="16"/>
      <c r="OCC49" s="17"/>
      <c r="OCD49" s="30"/>
      <c r="OCE49" s="31"/>
      <c r="OCF49" s="16"/>
      <c r="OCG49" s="17"/>
      <c r="OCH49" s="30"/>
      <c r="OCI49" s="31"/>
      <c r="OCJ49" s="16"/>
      <c r="OCK49" s="17"/>
      <c r="OCL49" s="30"/>
      <c r="OCM49" s="31"/>
      <c r="OCN49" s="16"/>
      <c r="OCO49" s="17"/>
      <c r="OCP49" s="30"/>
      <c r="OCQ49" s="31"/>
      <c r="OCR49" s="16"/>
      <c r="OCS49" s="17"/>
      <c r="OCT49" s="30"/>
      <c r="OCU49" s="31"/>
      <c r="OCV49" s="16"/>
      <c r="OCW49" s="17"/>
      <c r="OCX49" s="30"/>
      <c r="OCY49" s="31"/>
      <c r="OCZ49" s="16"/>
      <c r="ODA49" s="17"/>
      <c r="ODB49" s="30"/>
      <c r="ODC49" s="31"/>
      <c r="ODD49" s="16"/>
      <c r="ODE49" s="17"/>
      <c r="ODF49" s="30"/>
      <c r="ODG49" s="31"/>
      <c r="ODH49" s="16"/>
      <c r="ODI49" s="17"/>
      <c r="ODJ49" s="30"/>
      <c r="ODK49" s="31"/>
      <c r="ODL49" s="16"/>
      <c r="ODM49" s="17"/>
      <c r="ODN49" s="30"/>
      <c r="ODO49" s="31"/>
      <c r="ODP49" s="16"/>
      <c r="ODQ49" s="17"/>
      <c r="ODR49" s="30"/>
      <c r="ODS49" s="31"/>
      <c r="ODT49" s="16"/>
      <c r="ODU49" s="17"/>
      <c r="ODV49" s="30"/>
      <c r="ODW49" s="31"/>
      <c r="ODX49" s="16"/>
      <c r="ODY49" s="17"/>
      <c r="ODZ49" s="30"/>
      <c r="OEA49" s="31"/>
      <c r="OEB49" s="16"/>
      <c r="OEC49" s="17"/>
      <c r="OED49" s="30"/>
      <c r="OEE49" s="31"/>
      <c r="OEF49" s="16"/>
      <c r="OEG49" s="17"/>
      <c r="OEH49" s="30"/>
      <c r="OEI49" s="31"/>
      <c r="OEJ49" s="16"/>
      <c r="OEK49" s="17"/>
      <c r="OEL49" s="30"/>
      <c r="OEM49" s="31"/>
      <c r="OEN49" s="16"/>
      <c r="OEO49" s="17"/>
      <c r="OEP49" s="30"/>
      <c r="OEQ49" s="31"/>
      <c r="OER49" s="16"/>
      <c r="OES49" s="17"/>
      <c r="OET49" s="30"/>
      <c r="OEU49" s="31"/>
      <c r="OEV49" s="16"/>
      <c r="OEW49" s="17"/>
      <c r="OEX49" s="30"/>
      <c r="OEY49" s="31"/>
      <c r="OEZ49" s="16"/>
      <c r="OFA49" s="17"/>
      <c r="OFB49" s="30"/>
      <c r="OFC49" s="31"/>
      <c r="OFD49" s="16"/>
      <c r="OFE49" s="17"/>
      <c r="OFF49" s="30"/>
      <c r="OFG49" s="31"/>
      <c r="OFH49" s="16"/>
      <c r="OFI49" s="17"/>
      <c r="OFJ49" s="30"/>
      <c r="OFK49" s="31"/>
      <c r="OFL49" s="16"/>
      <c r="OFM49" s="17"/>
      <c r="OFN49" s="30"/>
      <c r="OFO49" s="31"/>
      <c r="OFP49" s="16"/>
      <c r="OFQ49" s="17"/>
      <c r="OFR49" s="30"/>
      <c r="OFS49" s="31"/>
      <c r="OFT49" s="16"/>
      <c r="OFU49" s="17"/>
      <c r="OFV49" s="30"/>
      <c r="OFW49" s="31"/>
      <c r="OFX49" s="16"/>
      <c r="OFY49" s="17"/>
      <c r="OFZ49" s="30"/>
      <c r="OGA49" s="31"/>
      <c r="OGB49" s="16"/>
      <c r="OGC49" s="17"/>
      <c r="OGD49" s="30"/>
      <c r="OGE49" s="31"/>
      <c r="OGF49" s="16"/>
      <c r="OGG49" s="17"/>
      <c r="OGH49" s="30"/>
      <c r="OGI49" s="31"/>
      <c r="OGJ49" s="16"/>
      <c r="OGK49" s="17"/>
      <c r="OGL49" s="30"/>
      <c r="OGM49" s="31"/>
      <c r="OGN49" s="16"/>
      <c r="OGO49" s="17"/>
      <c r="OGP49" s="30"/>
      <c r="OGQ49" s="31"/>
      <c r="OGR49" s="16"/>
      <c r="OGS49" s="17"/>
      <c r="OGT49" s="30"/>
      <c r="OGU49" s="31"/>
      <c r="OGV49" s="16"/>
      <c r="OGW49" s="17"/>
      <c r="OGX49" s="30"/>
      <c r="OGY49" s="31"/>
      <c r="OGZ49" s="16"/>
      <c r="OHA49" s="17"/>
      <c r="OHB49" s="30"/>
      <c r="OHC49" s="31"/>
      <c r="OHD49" s="16"/>
      <c r="OHE49" s="17"/>
      <c r="OHF49" s="30"/>
      <c r="OHG49" s="31"/>
      <c r="OHH49" s="16"/>
      <c r="OHI49" s="17"/>
      <c r="OHJ49" s="30"/>
      <c r="OHK49" s="31"/>
      <c r="OHL49" s="16"/>
      <c r="OHM49" s="17"/>
      <c r="OHN49" s="30"/>
      <c r="OHO49" s="31"/>
      <c r="OHP49" s="16"/>
      <c r="OHQ49" s="17"/>
      <c r="OHR49" s="30"/>
      <c r="OHS49" s="31"/>
      <c r="OHT49" s="16"/>
      <c r="OHU49" s="17"/>
      <c r="OHV49" s="30"/>
      <c r="OHW49" s="31"/>
      <c r="OHX49" s="16"/>
      <c r="OHY49" s="17"/>
      <c r="OHZ49" s="30"/>
      <c r="OIA49" s="31"/>
      <c r="OIB49" s="16"/>
      <c r="OIC49" s="17"/>
      <c r="OID49" s="30"/>
      <c r="OIE49" s="31"/>
      <c r="OIF49" s="16"/>
      <c r="OIG49" s="17"/>
      <c r="OIH49" s="30"/>
      <c r="OII49" s="31"/>
      <c r="OIJ49" s="16"/>
      <c r="OIK49" s="17"/>
      <c r="OIL49" s="30"/>
      <c r="OIM49" s="31"/>
      <c r="OIN49" s="16"/>
      <c r="OIO49" s="17"/>
      <c r="OIP49" s="30"/>
      <c r="OIQ49" s="31"/>
      <c r="OIR49" s="16"/>
      <c r="OIS49" s="17"/>
      <c r="OIT49" s="30"/>
      <c r="OIU49" s="31"/>
      <c r="OIV49" s="16"/>
      <c r="OIW49" s="17"/>
      <c r="OIX49" s="30"/>
      <c r="OIY49" s="31"/>
      <c r="OIZ49" s="16"/>
      <c r="OJA49" s="17"/>
      <c r="OJB49" s="30"/>
      <c r="OJC49" s="31"/>
      <c r="OJD49" s="16"/>
      <c r="OJE49" s="17"/>
      <c r="OJF49" s="30"/>
      <c r="OJG49" s="31"/>
      <c r="OJH49" s="16"/>
      <c r="OJI49" s="17"/>
      <c r="OJJ49" s="30"/>
      <c r="OJK49" s="31"/>
      <c r="OJL49" s="16"/>
      <c r="OJM49" s="17"/>
      <c r="OJN49" s="30"/>
      <c r="OJO49" s="31"/>
      <c r="OJP49" s="16"/>
      <c r="OJQ49" s="17"/>
      <c r="OJR49" s="30"/>
      <c r="OJS49" s="31"/>
      <c r="OJT49" s="16"/>
      <c r="OJU49" s="17"/>
      <c r="OJV49" s="30"/>
      <c r="OJW49" s="31"/>
      <c r="OJX49" s="16"/>
      <c r="OJY49" s="17"/>
      <c r="OJZ49" s="30"/>
      <c r="OKA49" s="31"/>
      <c r="OKB49" s="16"/>
      <c r="OKC49" s="17"/>
      <c r="OKD49" s="30"/>
      <c r="OKE49" s="31"/>
      <c r="OKF49" s="16"/>
      <c r="OKG49" s="17"/>
      <c r="OKH49" s="30"/>
      <c r="OKI49" s="31"/>
      <c r="OKJ49" s="16"/>
      <c r="OKK49" s="17"/>
      <c r="OKL49" s="30"/>
      <c r="OKM49" s="31"/>
      <c r="OKN49" s="16"/>
      <c r="OKO49" s="17"/>
      <c r="OKP49" s="30"/>
      <c r="OKQ49" s="31"/>
      <c r="OKR49" s="16"/>
      <c r="OKS49" s="17"/>
      <c r="OKT49" s="30"/>
      <c r="OKU49" s="31"/>
      <c r="OKV49" s="16"/>
      <c r="OKW49" s="17"/>
      <c r="OKX49" s="30"/>
      <c r="OKY49" s="31"/>
      <c r="OKZ49" s="16"/>
      <c r="OLA49" s="17"/>
      <c r="OLB49" s="30"/>
      <c r="OLC49" s="31"/>
      <c r="OLD49" s="16"/>
      <c r="OLE49" s="17"/>
      <c r="OLF49" s="30"/>
      <c r="OLG49" s="31"/>
      <c r="OLH49" s="16"/>
      <c r="OLI49" s="17"/>
      <c r="OLJ49" s="30"/>
      <c r="OLK49" s="31"/>
      <c r="OLL49" s="16"/>
      <c r="OLM49" s="17"/>
      <c r="OLN49" s="30"/>
      <c r="OLO49" s="31"/>
      <c r="OLP49" s="16"/>
      <c r="OLQ49" s="17"/>
      <c r="OLR49" s="30"/>
      <c r="OLS49" s="31"/>
      <c r="OLT49" s="16"/>
      <c r="OLU49" s="17"/>
      <c r="OLV49" s="30"/>
      <c r="OLW49" s="31"/>
      <c r="OLX49" s="16"/>
      <c r="OLY49" s="17"/>
      <c r="OLZ49" s="30"/>
      <c r="OMA49" s="31"/>
      <c r="OMB49" s="16"/>
      <c r="OMC49" s="17"/>
      <c r="OMD49" s="30"/>
      <c r="OME49" s="31"/>
      <c r="OMF49" s="16"/>
      <c r="OMG49" s="17"/>
      <c r="OMH49" s="30"/>
      <c r="OMI49" s="31"/>
      <c r="OMJ49" s="16"/>
      <c r="OMK49" s="17"/>
      <c r="OML49" s="30"/>
      <c r="OMM49" s="31"/>
      <c r="OMN49" s="16"/>
      <c r="OMO49" s="17"/>
      <c r="OMP49" s="30"/>
      <c r="OMQ49" s="31"/>
      <c r="OMR49" s="16"/>
      <c r="OMS49" s="17"/>
      <c r="OMT49" s="30"/>
      <c r="OMU49" s="31"/>
      <c r="OMV49" s="16"/>
      <c r="OMW49" s="17"/>
      <c r="OMX49" s="30"/>
      <c r="OMY49" s="31"/>
      <c r="OMZ49" s="16"/>
      <c r="ONA49" s="17"/>
      <c r="ONB49" s="30"/>
      <c r="ONC49" s="31"/>
      <c r="OND49" s="16"/>
      <c r="ONE49" s="17"/>
      <c r="ONF49" s="30"/>
      <c r="ONG49" s="31"/>
      <c r="ONH49" s="16"/>
      <c r="ONI49" s="17"/>
      <c r="ONJ49" s="30"/>
      <c r="ONK49" s="31"/>
      <c r="ONL49" s="16"/>
      <c r="ONM49" s="17"/>
      <c r="ONN49" s="30"/>
      <c r="ONO49" s="31"/>
      <c r="ONP49" s="16"/>
      <c r="ONQ49" s="17"/>
      <c r="ONR49" s="30"/>
      <c r="ONS49" s="31"/>
      <c r="ONT49" s="16"/>
      <c r="ONU49" s="17"/>
      <c r="ONV49" s="30"/>
      <c r="ONW49" s="31"/>
      <c r="ONX49" s="16"/>
      <c r="ONY49" s="17"/>
      <c r="ONZ49" s="30"/>
      <c r="OOA49" s="31"/>
      <c r="OOB49" s="16"/>
      <c r="OOC49" s="17"/>
      <c r="OOD49" s="30"/>
      <c r="OOE49" s="31"/>
      <c r="OOF49" s="16"/>
      <c r="OOG49" s="17"/>
      <c r="OOH49" s="30"/>
      <c r="OOI49" s="31"/>
      <c r="OOJ49" s="16"/>
      <c r="OOK49" s="17"/>
      <c r="OOL49" s="30"/>
      <c r="OOM49" s="31"/>
      <c r="OON49" s="16"/>
      <c r="OOO49" s="17"/>
      <c r="OOP49" s="30"/>
      <c r="OOQ49" s="31"/>
      <c r="OOR49" s="16"/>
      <c r="OOS49" s="17"/>
      <c r="OOT49" s="30"/>
      <c r="OOU49" s="31"/>
      <c r="OOV49" s="16"/>
      <c r="OOW49" s="17"/>
      <c r="OOX49" s="30"/>
      <c r="OOY49" s="31"/>
      <c r="OOZ49" s="16"/>
      <c r="OPA49" s="17"/>
      <c r="OPB49" s="30"/>
      <c r="OPC49" s="31"/>
      <c r="OPD49" s="16"/>
      <c r="OPE49" s="17"/>
      <c r="OPF49" s="30"/>
      <c r="OPG49" s="31"/>
      <c r="OPH49" s="16"/>
      <c r="OPI49" s="17"/>
      <c r="OPJ49" s="30"/>
      <c r="OPK49" s="31"/>
      <c r="OPL49" s="16"/>
      <c r="OPM49" s="17"/>
      <c r="OPN49" s="30"/>
      <c r="OPO49" s="31"/>
      <c r="OPP49" s="16"/>
      <c r="OPQ49" s="17"/>
      <c r="OPR49" s="30"/>
      <c r="OPS49" s="31"/>
      <c r="OPT49" s="16"/>
      <c r="OPU49" s="17"/>
      <c r="OPV49" s="30"/>
      <c r="OPW49" s="31"/>
      <c r="OPX49" s="16"/>
      <c r="OPY49" s="17"/>
      <c r="OPZ49" s="30"/>
      <c r="OQA49" s="31"/>
      <c r="OQB49" s="16"/>
      <c r="OQC49" s="17"/>
      <c r="OQD49" s="30"/>
      <c r="OQE49" s="31"/>
      <c r="OQF49" s="16"/>
      <c r="OQG49" s="17"/>
      <c r="OQH49" s="30"/>
      <c r="OQI49" s="31"/>
      <c r="OQJ49" s="16"/>
      <c r="OQK49" s="17"/>
      <c r="OQL49" s="30"/>
      <c r="OQM49" s="31"/>
      <c r="OQN49" s="16"/>
      <c r="OQO49" s="17"/>
      <c r="OQP49" s="30"/>
      <c r="OQQ49" s="31"/>
      <c r="OQR49" s="16"/>
      <c r="OQS49" s="17"/>
      <c r="OQT49" s="30"/>
      <c r="OQU49" s="31"/>
      <c r="OQV49" s="16"/>
      <c r="OQW49" s="17"/>
      <c r="OQX49" s="30"/>
      <c r="OQY49" s="31"/>
      <c r="OQZ49" s="16"/>
      <c r="ORA49" s="17"/>
      <c r="ORB49" s="30"/>
      <c r="ORC49" s="31"/>
      <c r="ORD49" s="16"/>
      <c r="ORE49" s="17"/>
      <c r="ORF49" s="30"/>
      <c r="ORG49" s="31"/>
      <c r="ORH49" s="16"/>
      <c r="ORI49" s="17"/>
      <c r="ORJ49" s="30"/>
      <c r="ORK49" s="31"/>
      <c r="ORL49" s="16"/>
      <c r="ORM49" s="17"/>
      <c r="ORN49" s="30"/>
      <c r="ORO49" s="31"/>
      <c r="ORP49" s="16"/>
      <c r="ORQ49" s="17"/>
      <c r="ORR49" s="30"/>
      <c r="ORS49" s="31"/>
      <c r="ORT49" s="16"/>
      <c r="ORU49" s="17"/>
      <c r="ORV49" s="30"/>
      <c r="ORW49" s="31"/>
      <c r="ORX49" s="16"/>
      <c r="ORY49" s="17"/>
      <c r="ORZ49" s="30"/>
      <c r="OSA49" s="31"/>
      <c r="OSB49" s="16"/>
      <c r="OSC49" s="17"/>
      <c r="OSD49" s="30"/>
      <c r="OSE49" s="31"/>
      <c r="OSF49" s="16"/>
      <c r="OSG49" s="17"/>
      <c r="OSH49" s="30"/>
      <c r="OSI49" s="31"/>
      <c r="OSJ49" s="16"/>
      <c r="OSK49" s="17"/>
      <c r="OSL49" s="30"/>
      <c r="OSM49" s="31"/>
      <c r="OSN49" s="16"/>
      <c r="OSO49" s="17"/>
      <c r="OSP49" s="30"/>
      <c r="OSQ49" s="31"/>
      <c r="OSR49" s="16"/>
      <c r="OSS49" s="17"/>
      <c r="OST49" s="30"/>
      <c r="OSU49" s="31"/>
      <c r="OSV49" s="16"/>
      <c r="OSW49" s="17"/>
      <c r="OSX49" s="30"/>
      <c r="OSY49" s="31"/>
      <c r="OSZ49" s="16"/>
      <c r="OTA49" s="17"/>
      <c r="OTB49" s="30"/>
      <c r="OTC49" s="31"/>
      <c r="OTD49" s="16"/>
      <c r="OTE49" s="17"/>
      <c r="OTF49" s="30"/>
      <c r="OTG49" s="31"/>
      <c r="OTH49" s="16"/>
      <c r="OTI49" s="17"/>
      <c r="OTJ49" s="30"/>
      <c r="OTK49" s="31"/>
      <c r="OTL49" s="16"/>
      <c r="OTM49" s="17"/>
      <c r="OTN49" s="30"/>
      <c r="OTO49" s="31"/>
      <c r="OTP49" s="16"/>
      <c r="OTQ49" s="17"/>
      <c r="OTR49" s="30"/>
      <c r="OTS49" s="31"/>
      <c r="OTT49" s="16"/>
      <c r="OTU49" s="17"/>
      <c r="OTV49" s="30"/>
      <c r="OTW49" s="31"/>
      <c r="OTX49" s="16"/>
      <c r="OTY49" s="17"/>
      <c r="OTZ49" s="30"/>
      <c r="OUA49" s="31"/>
      <c r="OUB49" s="16"/>
      <c r="OUC49" s="17"/>
      <c r="OUD49" s="30"/>
      <c r="OUE49" s="31"/>
      <c r="OUF49" s="16"/>
      <c r="OUG49" s="17"/>
      <c r="OUH49" s="30"/>
      <c r="OUI49" s="31"/>
      <c r="OUJ49" s="16"/>
      <c r="OUK49" s="17"/>
      <c r="OUL49" s="30"/>
      <c r="OUM49" s="31"/>
      <c r="OUN49" s="16"/>
      <c r="OUO49" s="17"/>
      <c r="OUP49" s="30"/>
      <c r="OUQ49" s="31"/>
      <c r="OUR49" s="16"/>
      <c r="OUS49" s="17"/>
      <c r="OUT49" s="30"/>
      <c r="OUU49" s="31"/>
      <c r="OUV49" s="16"/>
      <c r="OUW49" s="17"/>
      <c r="OUX49" s="30"/>
      <c r="OUY49" s="31"/>
      <c r="OUZ49" s="16"/>
      <c r="OVA49" s="17"/>
      <c r="OVB49" s="30"/>
      <c r="OVC49" s="31"/>
      <c r="OVD49" s="16"/>
      <c r="OVE49" s="17"/>
      <c r="OVF49" s="30"/>
      <c r="OVG49" s="31"/>
      <c r="OVH49" s="16"/>
      <c r="OVI49" s="17"/>
      <c r="OVJ49" s="30"/>
      <c r="OVK49" s="31"/>
      <c r="OVL49" s="16"/>
      <c r="OVM49" s="17"/>
      <c r="OVN49" s="30"/>
      <c r="OVO49" s="31"/>
      <c r="OVP49" s="16"/>
      <c r="OVQ49" s="17"/>
      <c r="OVR49" s="30"/>
      <c r="OVS49" s="31"/>
      <c r="OVT49" s="16"/>
      <c r="OVU49" s="17"/>
      <c r="OVV49" s="30"/>
      <c r="OVW49" s="31"/>
      <c r="OVX49" s="16"/>
      <c r="OVY49" s="17"/>
      <c r="OVZ49" s="30"/>
      <c r="OWA49" s="31"/>
      <c r="OWB49" s="16"/>
      <c r="OWC49" s="17"/>
      <c r="OWD49" s="30"/>
      <c r="OWE49" s="31"/>
      <c r="OWF49" s="16"/>
      <c r="OWG49" s="17"/>
      <c r="OWH49" s="30"/>
      <c r="OWI49" s="31"/>
      <c r="OWJ49" s="16"/>
      <c r="OWK49" s="17"/>
      <c r="OWL49" s="30"/>
      <c r="OWM49" s="31"/>
      <c r="OWN49" s="16"/>
      <c r="OWO49" s="17"/>
      <c r="OWP49" s="30"/>
      <c r="OWQ49" s="31"/>
      <c r="OWR49" s="16"/>
      <c r="OWS49" s="17"/>
      <c r="OWT49" s="30"/>
      <c r="OWU49" s="31"/>
      <c r="OWV49" s="16"/>
      <c r="OWW49" s="17"/>
      <c r="OWX49" s="30"/>
      <c r="OWY49" s="31"/>
      <c r="OWZ49" s="16"/>
      <c r="OXA49" s="17"/>
      <c r="OXB49" s="30"/>
      <c r="OXC49" s="31"/>
      <c r="OXD49" s="16"/>
      <c r="OXE49" s="17"/>
      <c r="OXF49" s="30"/>
      <c r="OXG49" s="31"/>
      <c r="OXH49" s="16"/>
      <c r="OXI49" s="17"/>
      <c r="OXJ49" s="30"/>
      <c r="OXK49" s="31"/>
      <c r="OXL49" s="16"/>
      <c r="OXM49" s="17"/>
      <c r="OXN49" s="30"/>
      <c r="OXO49" s="31"/>
      <c r="OXP49" s="16"/>
      <c r="OXQ49" s="17"/>
      <c r="OXR49" s="30"/>
      <c r="OXS49" s="31"/>
      <c r="OXT49" s="16"/>
      <c r="OXU49" s="17"/>
      <c r="OXV49" s="30"/>
      <c r="OXW49" s="31"/>
      <c r="OXX49" s="16"/>
      <c r="OXY49" s="17"/>
      <c r="OXZ49" s="30"/>
      <c r="OYA49" s="31"/>
      <c r="OYB49" s="16"/>
      <c r="OYC49" s="17"/>
      <c r="OYD49" s="30"/>
      <c r="OYE49" s="31"/>
      <c r="OYF49" s="16"/>
      <c r="OYG49" s="17"/>
      <c r="OYH49" s="30"/>
      <c r="OYI49" s="31"/>
      <c r="OYJ49" s="16"/>
      <c r="OYK49" s="17"/>
      <c r="OYL49" s="30"/>
      <c r="OYM49" s="31"/>
      <c r="OYN49" s="16"/>
      <c r="OYO49" s="17"/>
      <c r="OYP49" s="30"/>
      <c r="OYQ49" s="31"/>
      <c r="OYR49" s="16"/>
      <c r="OYS49" s="17"/>
      <c r="OYT49" s="30"/>
      <c r="OYU49" s="31"/>
      <c r="OYV49" s="16"/>
      <c r="OYW49" s="17"/>
      <c r="OYX49" s="30"/>
      <c r="OYY49" s="31"/>
      <c r="OYZ49" s="16"/>
      <c r="OZA49" s="17"/>
      <c r="OZB49" s="30"/>
      <c r="OZC49" s="31"/>
      <c r="OZD49" s="16"/>
      <c r="OZE49" s="17"/>
      <c r="OZF49" s="30"/>
      <c r="OZG49" s="31"/>
      <c r="OZH49" s="16"/>
      <c r="OZI49" s="17"/>
      <c r="OZJ49" s="30"/>
      <c r="OZK49" s="31"/>
      <c r="OZL49" s="16"/>
      <c r="OZM49" s="17"/>
      <c r="OZN49" s="30"/>
      <c r="OZO49" s="31"/>
      <c r="OZP49" s="16"/>
      <c r="OZQ49" s="17"/>
      <c r="OZR49" s="30"/>
      <c r="OZS49" s="31"/>
      <c r="OZT49" s="16"/>
      <c r="OZU49" s="17"/>
      <c r="OZV49" s="30"/>
      <c r="OZW49" s="31"/>
      <c r="OZX49" s="16"/>
      <c r="OZY49" s="17"/>
      <c r="OZZ49" s="30"/>
      <c r="PAA49" s="31"/>
      <c r="PAB49" s="16"/>
      <c r="PAC49" s="17"/>
      <c r="PAD49" s="30"/>
      <c r="PAE49" s="31"/>
      <c r="PAF49" s="16"/>
      <c r="PAG49" s="17"/>
      <c r="PAH49" s="30"/>
      <c r="PAI49" s="31"/>
      <c r="PAJ49" s="16"/>
      <c r="PAK49" s="17"/>
      <c r="PAL49" s="30"/>
      <c r="PAM49" s="31"/>
      <c r="PAN49" s="16"/>
      <c r="PAO49" s="17"/>
      <c r="PAP49" s="30"/>
      <c r="PAQ49" s="31"/>
      <c r="PAR49" s="16"/>
      <c r="PAS49" s="17"/>
      <c r="PAT49" s="30"/>
      <c r="PAU49" s="31"/>
      <c r="PAV49" s="16"/>
      <c r="PAW49" s="17"/>
      <c r="PAX49" s="30"/>
      <c r="PAY49" s="31"/>
      <c r="PAZ49" s="16"/>
      <c r="PBA49" s="17"/>
      <c r="PBB49" s="30"/>
      <c r="PBC49" s="31"/>
      <c r="PBD49" s="16"/>
      <c r="PBE49" s="17"/>
      <c r="PBF49" s="30"/>
      <c r="PBG49" s="31"/>
      <c r="PBH49" s="16"/>
      <c r="PBI49" s="17"/>
      <c r="PBJ49" s="30"/>
      <c r="PBK49" s="31"/>
      <c r="PBL49" s="16"/>
      <c r="PBM49" s="17"/>
      <c r="PBN49" s="30"/>
      <c r="PBO49" s="31"/>
      <c r="PBP49" s="16"/>
      <c r="PBQ49" s="17"/>
      <c r="PBR49" s="30"/>
      <c r="PBS49" s="31"/>
      <c r="PBT49" s="16"/>
      <c r="PBU49" s="17"/>
      <c r="PBV49" s="30"/>
      <c r="PBW49" s="31"/>
      <c r="PBX49" s="16"/>
      <c r="PBY49" s="17"/>
      <c r="PBZ49" s="30"/>
      <c r="PCA49" s="31"/>
      <c r="PCB49" s="16"/>
      <c r="PCC49" s="17"/>
      <c r="PCD49" s="30"/>
      <c r="PCE49" s="31"/>
      <c r="PCF49" s="16"/>
      <c r="PCG49" s="17"/>
      <c r="PCH49" s="30"/>
      <c r="PCI49" s="31"/>
      <c r="PCJ49" s="16"/>
      <c r="PCK49" s="17"/>
      <c r="PCL49" s="30"/>
      <c r="PCM49" s="31"/>
      <c r="PCN49" s="16"/>
      <c r="PCO49" s="17"/>
      <c r="PCP49" s="30"/>
      <c r="PCQ49" s="31"/>
      <c r="PCR49" s="16"/>
      <c r="PCS49" s="17"/>
      <c r="PCT49" s="30"/>
      <c r="PCU49" s="31"/>
      <c r="PCV49" s="16"/>
      <c r="PCW49" s="17"/>
      <c r="PCX49" s="30"/>
      <c r="PCY49" s="31"/>
      <c r="PCZ49" s="16"/>
      <c r="PDA49" s="17"/>
      <c r="PDB49" s="30"/>
      <c r="PDC49" s="31"/>
      <c r="PDD49" s="16"/>
      <c r="PDE49" s="17"/>
      <c r="PDF49" s="30"/>
      <c r="PDG49" s="31"/>
      <c r="PDH49" s="16"/>
      <c r="PDI49" s="17"/>
      <c r="PDJ49" s="30"/>
      <c r="PDK49" s="31"/>
      <c r="PDL49" s="16"/>
      <c r="PDM49" s="17"/>
      <c r="PDN49" s="30"/>
      <c r="PDO49" s="31"/>
      <c r="PDP49" s="16"/>
      <c r="PDQ49" s="17"/>
      <c r="PDR49" s="30"/>
      <c r="PDS49" s="31"/>
      <c r="PDT49" s="16"/>
      <c r="PDU49" s="17"/>
      <c r="PDV49" s="30"/>
      <c r="PDW49" s="31"/>
      <c r="PDX49" s="16"/>
      <c r="PDY49" s="17"/>
      <c r="PDZ49" s="30"/>
      <c r="PEA49" s="31"/>
      <c r="PEB49" s="16"/>
      <c r="PEC49" s="17"/>
      <c r="PED49" s="30"/>
      <c r="PEE49" s="31"/>
      <c r="PEF49" s="16"/>
      <c r="PEG49" s="17"/>
      <c r="PEH49" s="30"/>
      <c r="PEI49" s="31"/>
      <c r="PEJ49" s="16"/>
      <c r="PEK49" s="17"/>
      <c r="PEL49" s="30"/>
      <c r="PEM49" s="31"/>
      <c r="PEN49" s="16"/>
      <c r="PEO49" s="17"/>
      <c r="PEP49" s="30"/>
      <c r="PEQ49" s="31"/>
      <c r="PER49" s="16"/>
      <c r="PES49" s="17"/>
      <c r="PET49" s="30"/>
      <c r="PEU49" s="31"/>
      <c r="PEV49" s="16"/>
      <c r="PEW49" s="17"/>
      <c r="PEX49" s="30"/>
      <c r="PEY49" s="31"/>
      <c r="PEZ49" s="16"/>
      <c r="PFA49" s="17"/>
      <c r="PFB49" s="30"/>
      <c r="PFC49" s="31"/>
      <c r="PFD49" s="16"/>
      <c r="PFE49" s="17"/>
      <c r="PFF49" s="30"/>
      <c r="PFG49" s="31"/>
      <c r="PFH49" s="16"/>
      <c r="PFI49" s="17"/>
      <c r="PFJ49" s="30"/>
      <c r="PFK49" s="31"/>
      <c r="PFL49" s="16"/>
      <c r="PFM49" s="17"/>
      <c r="PFN49" s="30"/>
      <c r="PFO49" s="31"/>
      <c r="PFP49" s="16"/>
      <c r="PFQ49" s="17"/>
      <c r="PFR49" s="30"/>
      <c r="PFS49" s="31"/>
      <c r="PFT49" s="16"/>
      <c r="PFU49" s="17"/>
      <c r="PFV49" s="30"/>
      <c r="PFW49" s="31"/>
      <c r="PFX49" s="16"/>
      <c r="PFY49" s="17"/>
      <c r="PFZ49" s="30"/>
      <c r="PGA49" s="31"/>
      <c r="PGB49" s="16"/>
      <c r="PGC49" s="17"/>
      <c r="PGD49" s="30"/>
      <c r="PGE49" s="31"/>
      <c r="PGF49" s="16"/>
      <c r="PGG49" s="17"/>
      <c r="PGH49" s="30"/>
      <c r="PGI49" s="31"/>
      <c r="PGJ49" s="16"/>
      <c r="PGK49" s="17"/>
      <c r="PGL49" s="30"/>
      <c r="PGM49" s="31"/>
      <c r="PGN49" s="16"/>
      <c r="PGO49" s="17"/>
      <c r="PGP49" s="30"/>
      <c r="PGQ49" s="31"/>
      <c r="PGR49" s="16"/>
      <c r="PGS49" s="17"/>
      <c r="PGT49" s="30"/>
      <c r="PGU49" s="31"/>
      <c r="PGV49" s="16"/>
      <c r="PGW49" s="17"/>
      <c r="PGX49" s="30"/>
      <c r="PGY49" s="31"/>
      <c r="PGZ49" s="16"/>
      <c r="PHA49" s="17"/>
      <c r="PHB49" s="30"/>
      <c r="PHC49" s="31"/>
      <c r="PHD49" s="16"/>
      <c r="PHE49" s="17"/>
      <c r="PHF49" s="30"/>
      <c r="PHG49" s="31"/>
      <c r="PHH49" s="16"/>
      <c r="PHI49" s="17"/>
      <c r="PHJ49" s="30"/>
      <c r="PHK49" s="31"/>
      <c r="PHL49" s="16"/>
      <c r="PHM49" s="17"/>
      <c r="PHN49" s="30"/>
      <c r="PHO49" s="31"/>
      <c r="PHP49" s="16"/>
      <c r="PHQ49" s="17"/>
      <c r="PHR49" s="30"/>
      <c r="PHS49" s="31"/>
      <c r="PHT49" s="16"/>
      <c r="PHU49" s="17"/>
      <c r="PHV49" s="30"/>
      <c r="PHW49" s="31"/>
      <c r="PHX49" s="16"/>
      <c r="PHY49" s="17"/>
      <c r="PHZ49" s="30"/>
      <c r="PIA49" s="31"/>
      <c r="PIB49" s="16"/>
      <c r="PIC49" s="17"/>
      <c r="PID49" s="30"/>
      <c r="PIE49" s="31"/>
      <c r="PIF49" s="16"/>
      <c r="PIG49" s="17"/>
      <c r="PIH49" s="30"/>
      <c r="PII49" s="31"/>
      <c r="PIJ49" s="16"/>
      <c r="PIK49" s="17"/>
      <c r="PIL49" s="30"/>
      <c r="PIM49" s="31"/>
      <c r="PIN49" s="16"/>
      <c r="PIO49" s="17"/>
      <c r="PIP49" s="30"/>
      <c r="PIQ49" s="31"/>
      <c r="PIR49" s="16"/>
      <c r="PIS49" s="17"/>
      <c r="PIT49" s="30"/>
      <c r="PIU49" s="31"/>
      <c r="PIV49" s="16"/>
      <c r="PIW49" s="17"/>
      <c r="PIX49" s="30"/>
      <c r="PIY49" s="31"/>
      <c r="PIZ49" s="16"/>
      <c r="PJA49" s="17"/>
      <c r="PJB49" s="30"/>
      <c r="PJC49" s="31"/>
      <c r="PJD49" s="16"/>
      <c r="PJE49" s="17"/>
      <c r="PJF49" s="30"/>
      <c r="PJG49" s="31"/>
      <c r="PJH49" s="16"/>
      <c r="PJI49" s="17"/>
      <c r="PJJ49" s="30"/>
      <c r="PJK49" s="31"/>
      <c r="PJL49" s="16"/>
      <c r="PJM49" s="17"/>
      <c r="PJN49" s="30"/>
      <c r="PJO49" s="31"/>
      <c r="PJP49" s="16"/>
      <c r="PJQ49" s="17"/>
      <c r="PJR49" s="30"/>
      <c r="PJS49" s="31"/>
      <c r="PJT49" s="16"/>
      <c r="PJU49" s="17"/>
      <c r="PJV49" s="30"/>
      <c r="PJW49" s="31"/>
      <c r="PJX49" s="16"/>
      <c r="PJY49" s="17"/>
      <c r="PJZ49" s="30"/>
      <c r="PKA49" s="31"/>
      <c r="PKB49" s="16"/>
      <c r="PKC49" s="17"/>
      <c r="PKD49" s="30"/>
      <c r="PKE49" s="31"/>
      <c r="PKF49" s="16"/>
      <c r="PKG49" s="17"/>
      <c r="PKH49" s="30"/>
      <c r="PKI49" s="31"/>
      <c r="PKJ49" s="16"/>
      <c r="PKK49" s="17"/>
      <c r="PKL49" s="30"/>
      <c r="PKM49" s="31"/>
      <c r="PKN49" s="16"/>
      <c r="PKO49" s="17"/>
      <c r="PKP49" s="30"/>
      <c r="PKQ49" s="31"/>
      <c r="PKR49" s="16"/>
      <c r="PKS49" s="17"/>
      <c r="PKT49" s="30"/>
      <c r="PKU49" s="31"/>
      <c r="PKV49" s="16"/>
      <c r="PKW49" s="17"/>
      <c r="PKX49" s="30"/>
      <c r="PKY49" s="31"/>
      <c r="PKZ49" s="16"/>
      <c r="PLA49" s="17"/>
      <c r="PLB49" s="30"/>
      <c r="PLC49" s="31"/>
      <c r="PLD49" s="16"/>
      <c r="PLE49" s="17"/>
      <c r="PLF49" s="30"/>
      <c r="PLG49" s="31"/>
      <c r="PLH49" s="16"/>
      <c r="PLI49" s="17"/>
      <c r="PLJ49" s="30"/>
      <c r="PLK49" s="31"/>
      <c r="PLL49" s="16"/>
      <c r="PLM49" s="17"/>
      <c r="PLN49" s="30"/>
      <c r="PLO49" s="31"/>
      <c r="PLP49" s="16"/>
      <c r="PLQ49" s="17"/>
      <c r="PLR49" s="30"/>
      <c r="PLS49" s="31"/>
      <c r="PLT49" s="16"/>
      <c r="PLU49" s="17"/>
      <c r="PLV49" s="30"/>
      <c r="PLW49" s="31"/>
      <c r="PLX49" s="16"/>
      <c r="PLY49" s="17"/>
      <c r="PLZ49" s="30"/>
      <c r="PMA49" s="31"/>
      <c r="PMB49" s="16"/>
      <c r="PMC49" s="17"/>
      <c r="PMD49" s="30"/>
      <c r="PME49" s="31"/>
      <c r="PMF49" s="16"/>
      <c r="PMG49" s="17"/>
      <c r="PMH49" s="30"/>
      <c r="PMI49" s="31"/>
      <c r="PMJ49" s="16"/>
      <c r="PMK49" s="17"/>
      <c r="PML49" s="30"/>
      <c r="PMM49" s="31"/>
      <c r="PMN49" s="16"/>
      <c r="PMO49" s="17"/>
      <c r="PMP49" s="30"/>
      <c r="PMQ49" s="31"/>
      <c r="PMR49" s="16"/>
      <c r="PMS49" s="17"/>
      <c r="PMT49" s="30"/>
      <c r="PMU49" s="31"/>
      <c r="PMV49" s="16"/>
      <c r="PMW49" s="17"/>
      <c r="PMX49" s="30"/>
      <c r="PMY49" s="31"/>
      <c r="PMZ49" s="16"/>
      <c r="PNA49" s="17"/>
      <c r="PNB49" s="30"/>
      <c r="PNC49" s="31"/>
      <c r="PND49" s="16"/>
      <c r="PNE49" s="17"/>
      <c r="PNF49" s="30"/>
      <c r="PNG49" s="31"/>
      <c r="PNH49" s="16"/>
      <c r="PNI49" s="17"/>
      <c r="PNJ49" s="30"/>
      <c r="PNK49" s="31"/>
      <c r="PNL49" s="16"/>
      <c r="PNM49" s="17"/>
      <c r="PNN49" s="30"/>
      <c r="PNO49" s="31"/>
      <c r="PNP49" s="16"/>
      <c r="PNQ49" s="17"/>
      <c r="PNR49" s="30"/>
      <c r="PNS49" s="31"/>
      <c r="PNT49" s="16"/>
      <c r="PNU49" s="17"/>
      <c r="PNV49" s="30"/>
      <c r="PNW49" s="31"/>
      <c r="PNX49" s="16"/>
      <c r="PNY49" s="17"/>
      <c r="PNZ49" s="30"/>
      <c r="POA49" s="31"/>
      <c r="POB49" s="16"/>
      <c r="POC49" s="17"/>
      <c r="POD49" s="30"/>
      <c r="POE49" s="31"/>
      <c r="POF49" s="16"/>
      <c r="POG49" s="17"/>
      <c r="POH49" s="30"/>
      <c r="POI49" s="31"/>
      <c r="POJ49" s="16"/>
      <c r="POK49" s="17"/>
      <c r="POL49" s="30"/>
      <c r="POM49" s="31"/>
      <c r="PON49" s="16"/>
      <c r="POO49" s="17"/>
      <c r="POP49" s="30"/>
      <c r="POQ49" s="31"/>
      <c r="POR49" s="16"/>
      <c r="POS49" s="17"/>
      <c r="POT49" s="30"/>
      <c r="POU49" s="31"/>
      <c r="POV49" s="16"/>
      <c r="POW49" s="17"/>
      <c r="POX49" s="30"/>
      <c r="POY49" s="31"/>
      <c r="POZ49" s="16"/>
      <c r="PPA49" s="17"/>
      <c r="PPB49" s="30"/>
      <c r="PPC49" s="31"/>
      <c r="PPD49" s="16"/>
      <c r="PPE49" s="17"/>
      <c r="PPF49" s="30"/>
      <c r="PPG49" s="31"/>
      <c r="PPH49" s="16"/>
      <c r="PPI49" s="17"/>
      <c r="PPJ49" s="30"/>
      <c r="PPK49" s="31"/>
      <c r="PPL49" s="16"/>
      <c r="PPM49" s="17"/>
      <c r="PPN49" s="30"/>
      <c r="PPO49" s="31"/>
      <c r="PPP49" s="16"/>
      <c r="PPQ49" s="17"/>
      <c r="PPR49" s="30"/>
      <c r="PPS49" s="31"/>
      <c r="PPT49" s="16"/>
      <c r="PPU49" s="17"/>
      <c r="PPV49" s="30"/>
      <c r="PPW49" s="31"/>
      <c r="PPX49" s="16"/>
      <c r="PPY49" s="17"/>
      <c r="PPZ49" s="30"/>
      <c r="PQA49" s="31"/>
      <c r="PQB49" s="16"/>
      <c r="PQC49" s="17"/>
      <c r="PQD49" s="30"/>
      <c r="PQE49" s="31"/>
      <c r="PQF49" s="16"/>
      <c r="PQG49" s="17"/>
      <c r="PQH49" s="30"/>
      <c r="PQI49" s="31"/>
      <c r="PQJ49" s="16"/>
      <c r="PQK49" s="17"/>
      <c r="PQL49" s="30"/>
      <c r="PQM49" s="31"/>
      <c r="PQN49" s="16"/>
      <c r="PQO49" s="17"/>
      <c r="PQP49" s="30"/>
      <c r="PQQ49" s="31"/>
      <c r="PQR49" s="16"/>
      <c r="PQS49" s="17"/>
      <c r="PQT49" s="30"/>
      <c r="PQU49" s="31"/>
      <c r="PQV49" s="16"/>
      <c r="PQW49" s="17"/>
      <c r="PQX49" s="30"/>
      <c r="PQY49" s="31"/>
      <c r="PQZ49" s="16"/>
      <c r="PRA49" s="17"/>
      <c r="PRB49" s="30"/>
      <c r="PRC49" s="31"/>
      <c r="PRD49" s="16"/>
      <c r="PRE49" s="17"/>
      <c r="PRF49" s="30"/>
      <c r="PRG49" s="31"/>
      <c r="PRH49" s="16"/>
      <c r="PRI49" s="17"/>
      <c r="PRJ49" s="30"/>
      <c r="PRK49" s="31"/>
      <c r="PRL49" s="16"/>
      <c r="PRM49" s="17"/>
      <c r="PRN49" s="30"/>
      <c r="PRO49" s="31"/>
      <c r="PRP49" s="16"/>
      <c r="PRQ49" s="17"/>
      <c r="PRR49" s="30"/>
      <c r="PRS49" s="31"/>
      <c r="PRT49" s="16"/>
      <c r="PRU49" s="17"/>
      <c r="PRV49" s="30"/>
      <c r="PRW49" s="31"/>
      <c r="PRX49" s="16"/>
      <c r="PRY49" s="17"/>
      <c r="PRZ49" s="30"/>
      <c r="PSA49" s="31"/>
      <c r="PSB49" s="16"/>
      <c r="PSC49" s="17"/>
      <c r="PSD49" s="30"/>
      <c r="PSE49" s="31"/>
      <c r="PSF49" s="16"/>
      <c r="PSG49" s="17"/>
      <c r="PSH49" s="30"/>
      <c r="PSI49" s="31"/>
      <c r="PSJ49" s="16"/>
      <c r="PSK49" s="17"/>
      <c r="PSL49" s="30"/>
      <c r="PSM49" s="31"/>
      <c r="PSN49" s="16"/>
      <c r="PSO49" s="17"/>
      <c r="PSP49" s="30"/>
      <c r="PSQ49" s="31"/>
      <c r="PSR49" s="16"/>
      <c r="PSS49" s="17"/>
      <c r="PST49" s="30"/>
      <c r="PSU49" s="31"/>
      <c r="PSV49" s="16"/>
      <c r="PSW49" s="17"/>
      <c r="PSX49" s="30"/>
      <c r="PSY49" s="31"/>
      <c r="PSZ49" s="16"/>
      <c r="PTA49" s="17"/>
      <c r="PTB49" s="30"/>
      <c r="PTC49" s="31"/>
      <c r="PTD49" s="16"/>
      <c r="PTE49" s="17"/>
      <c r="PTF49" s="30"/>
      <c r="PTG49" s="31"/>
      <c r="PTH49" s="16"/>
      <c r="PTI49" s="17"/>
      <c r="PTJ49" s="30"/>
      <c r="PTK49" s="31"/>
      <c r="PTL49" s="16"/>
      <c r="PTM49" s="17"/>
      <c r="PTN49" s="30"/>
      <c r="PTO49" s="31"/>
      <c r="PTP49" s="16"/>
      <c r="PTQ49" s="17"/>
      <c r="PTR49" s="30"/>
      <c r="PTS49" s="31"/>
      <c r="PTT49" s="16"/>
      <c r="PTU49" s="17"/>
      <c r="PTV49" s="30"/>
      <c r="PTW49" s="31"/>
      <c r="PTX49" s="16"/>
      <c r="PTY49" s="17"/>
      <c r="PTZ49" s="30"/>
      <c r="PUA49" s="31"/>
      <c r="PUB49" s="16"/>
      <c r="PUC49" s="17"/>
      <c r="PUD49" s="30"/>
      <c r="PUE49" s="31"/>
      <c r="PUF49" s="16"/>
      <c r="PUG49" s="17"/>
      <c r="PUH49" s="30"/>
      <c r="PUI49" s="31"/>
      <c r="PUJ49" s="16"/>
      <c r="PUK49" s="17"/>
      <c r="PUL49" s="30"/>
      <c r="PUM49" s="31"/>
      <c r="PUN49" s="16"/>
      <c r="PUO49" s="17"/>
      <c r="PUP49" s="30"/>
      <c r="PUQ49" s="31"/>
      <c r="PUR49" s="16"/>
      <c r="PUS49" s="17"/>
      <c r="PUT49" s="30"/>
      <c r="PUU49" s="31"/>
      <c r="PUV49" s="16"/>
      <c r="PUW49" s="17"/>
      <c r="PUX49" s="30"/>
      <c r="PUY49" s="31"/>
      <c r="PUZ49" s="16"/>
      <c r="PVA49" s="17"/>
      <c r="PVB49" s="30"/>
      <c r="PVC49" s="31"/>
      <c r="PVD49" s="16"/>
      <c r="PVE49" s="17"/>
      <c r="PVF49" s="30"/>
      <c r="PVG49" s="31"/>
      <c r="PVH49" s="16"/>
      <c r="PVI49" s="17"/>
      <c r="PVJ49" s="30"/>
      <c r="PVK49" s="31"/>
      <c r="PVL49" s="16"/>
      <c r="PVM49" s="17"/>
      <c r="PVN49" s="30"/>
      <c r="PVO49" s="31"/>
      <c r="PVP49" s="16"/>
      <c r="PVQ49" s="17"/>
      <c r="PVR49" s="30"/>
      <c r="PVS49" s="31"/>
      <c r="PVT49" s="16"/>
      <c r="PVU49" s="17"/>
      <c r="PVV49" s="30"/>
      <c r="PVW49" s="31"/>
      <c r="PVX49" s="16"/>
      <c r="PVY49" s="17"/>
      <c r="PVZ49" s="30"/>
      <c r="PWA49" s="31"/>
      <c r="PWB49" s="16"/>
      <c r="PWC49" s="17"/>
      <c r="PWD49" s="30"/>
      <c r="PWE49" s="31"/>
      <c r="PWF49" s="16"/>
      <c r="PWG49" s="17"/>
      <c r="PWH49" s="30"/>
      <c r="PWI49" s="31"/>
      <c r="PWJ49" s="16"/>
      <c r="PWK49" s="17"/>
      <c r="PWL49" s="30"/>
      <c r="PWM49" s="31"/>
      <c r="PWN49" s="16"/>
      <c r="PWO49" s="17"/>
      <c r="PWP49" s="30"/>
      <c r="PWQ49" s="31"/>
      <c r="PWR49" s="16"/>
      <c r="PWS49" s="17"/>
      <c r="PWT49" s="30"/>
      <c r="PWU49" s="31"/>
      <c r="PWV49" s="16"/>
      <c r="PWW49" s="17"/>
      <c r="PWX49" s="30"/>
      <c r="PWY49" s="31"/>
      <c r="PWZ49" s="16"/>
      <c r="PXA49" s="17"/>
      <c r="PXB49" s="30"/>
      <c r="PXC49" s="31"/>
      <c r="PXD49" s="16"/>
      <c r="PXE49" s="17"/>
      <c r="PXF49" s="30"/>
      <c r="PXG49" s="31"/>
      <c r="PXH49" s="16"/>
      <c r="PXI49" s="17"/>
      <c r="PXJ49" s="30"/>
      <c r="PXK49" s="31"/>
      <c r="PXL49" s="16"/>
      <c r="PXM49" s="17"/>
      <c r="PXN49" s="30"/>
      <c r="PXO49" s="31"/>
      <c r="PXP49" s="16"/>
      <c r="PXQ49" s="17"/>
      <c r="PXR49" s="30"/>
      <c r="PXS49" s="31"/>
      <c r="PXT49" s="16"/>
      <c r="PXU49" s="17"/>
      <c r="PXV49" s="30"/>
      <c r="PXW49" s="31"/>
      <c r="PXX49" s="16"/>
      <c r="PXY49" s="17"/>
      <c r="PXZ49" s="30"/>
      <c r="PYA49" s="31"/>
      <c r="PYB49" s="16"/>
      <c r="PYC49" s="17"/>
      <c r="PYD49" s="30"/>
      <c r="PYE49" s="31"/>
      <c r="PYF49" s="16"/>
      <c r="PYG49" s="17"/>
      <c r="PYH49" s="30"/>
      <c r="PYI49" s="31"/>
      <c r="PYJ49" s="16"/>
      <c r="PYK49" s="17"/>
      <c r="PYL49" s="30"/>
      <c r="PYM49" s="31"/>
      <c r="PYN49" s="16"/>
      <c r="PYO49" s="17"/>
      <c r="PYP49" s="30"/>
      <c r="PYQ49" s="31"/>
      <c r="PYR49" s="16"/>
      <c r="PYS49" s="17"/>
      <c r="PYT49" s="30"/>
      <c r="PYU49" s="31"/>
      <c r="PYV49" s="16"/>
      <c r="PYW49" s="17"/>
      <c r="PYX49" s="30"/>
      <c r="PYY49" s="31"/>
      <c r="PYZ49" s="16"/>
      <c r="PZA49" s="17"/>
      <c r="PZB49" s="30"/>
      <c r="PZC49" s="31"/>
      <c r="PZD49" s="16"/>
      <c r="PZE49" s="17"/>
      <c r="PZF49" s="30"/>
      <c r="PZG49" s="31"/>
      <c r="PZH49" s="16"/>
      <c r="PZI49" s="17"/>
      <c r="PZJ49" s="30"/>
      <c r="PZK49" s="31"/>
      <c r="PZL49" s="16"/>
      <c r="PZM49" s="17"/>
      <c r="PZN49" s="30"/>
      <c r="PZO49" s="31"/>
      <c r="PZP49" s="16"/>
      <c r="PZQ49" s="17"/>
      <c r="PZR49" s="30"/>
      <c r="PZS49" s="31"/>
      <c r="PZT49" s="16"/>
      <c r="PZU49" s="17"/>
      <c r="PZV49" s="30"/>
      <c r="PZW49" s="31"/>
      <c r="PZX49" s="16"/>
      <c r="PZY49" s="17"/>
      <c r="PZZ49" s="30"/>
      <c r="QAA49" s="31"/>
      <c r="QAB49" s="16"/>
      <c r="QAC49" s="17"/>
      <c r="QAD49" s="30"/>
      <c r="QAE49" s="31"/>
      <c r="QAF49" s="16"/>
      <c r="QAG49" s="17"/>
      <c r="QAH49" s="30"/>
      <c r="QAI49" s="31"/>
      <c r="QAJ49" s="16"/>
      <c r="QAK49" s="17"/>
      <c r="QAL49" s="30"/>
      <c r="QAM49" s="31"/>
      <c r="QAN49" s="16"/>
      <c r="QAO49" s="17"/>
      <c r="QAP49" s="30"/>
      <c r="QAQ49" s="31"/>
      <c r="QAR49" s="16"/>
      <c r="QAS49" s="17"/>
      <c r="QAT49" s="30"/>
      <c r="QAU49" s="31"/>
      <c r="QAV49" s="16"/>
      <c r="QAW49" s="17"/>
      <c r="QAX49" s="30"/>
      <c r="QAY49" s="31"/>
      <c r="QAZ49" s="16"/>
      <c r="QBA49" s="17"/>
      <c r="QBB49" s="30"/>
      <c r="QBC49" s="31"/>
      <c r="QBD49" s="16"/>
      <c r="QBE49" s="17"/>
      <c r="QBF49" s="30"/>
      <c r="QBG49" s="31"/>
      <c r="QBH49" s="16"/>
      <c r="QBI49" s="17"/>
      <c r="QBJ49" s="30"/>
      <c r="QBK49" s="31"/>
      <c r="QBL49" s="16"/>
      <c r="QBM49" s="17"/>
      <c r="QBN49" s="30"/>
      <c r="QBO49" s="31"/>
      <c r="QBP49" s="16"/>
      <c r="QBQ49" s="17"/>
      <c r="QBR49" s="30"/>
      <c r="QBS49" s="31"/>
      <c r="QBT49" s="16"/>
      <c r="QBU49" s="17"/>
      <c r="QBV49" s="30"/>
      <c r="QBW49" s="31"/>
      <c r="QBX49" s="16"/>
      <c r="QBY49" s="17"/>
      <c r="QBZ49" s="30"/>
      <c r="QCA49" s="31"/>
      <c r="QCB49" s="16"/>
      <c r="QCC49" s="17"/>
      <c r="QCD49" s="30"/>
      <c r="QCE49" s="31"/>
      <c r="QCF49" s="16"/>
      <c r="QCG49" s="17"/>
      <c r="QCH49" s="30"/>
      <c r="QCI49" s="31"/>
      <c r="QCJ49" s="16"/>
      <c r="QCK49" s="17"/>
      <c r="QCL49" s="30"/>
      <c r="QCM49" s="31"/>
      <c r="QCN49" s="16"/>
      <c r="QCO49" s="17"/>
      <c r="QCP49" s="30"/>
      <c r="QCQ49" s="31"/>
      <c r="QCR49" s="16"/>
      <c r="QCS49" s="17"/>
      <c r="QCT49" s="30"/>
      <c r="QCU49" s="31"/>
      <c r="QCV49" s="16"/>
      <c r="QCW49" s="17"/>
      <c r="QCX49" s="30"/>
      <c r="QCY49" s="31"/>
      <c r="QCZ49" s="16"/>
      <c r="QDA49" s="17"/>
      <c r="QDB49" s="30"/>
      <c r="QDC49" s="31"/>
      <c r="QDD49" s="16"/>
      <c r="QDE49" s="17"/>
      <c r="QDF49" s="30"/>
      <c r="QDG49" s="31"/>
      <c r="QDH49" s="16"/>
      <c r="QDI49" s="17"/>
      <c r="QDJ49" s="30"/>
      <c r="QDK49" s="31"/>
      <c r="QDL49" s="16"/>
      <c r="QDM49" s="17"/>
      <c r="QDN49" s="30"/>
      <c r="QDO49" s="31"/>
      <c r="QDP49" s="16"/>
      <c r="QDQ49" s="17"/>
      <c r="QDR49" s="30"/>
      <c r="QDS49" s="31"/>
      <c r="QDT49" s="16"/>
      <c r="QDU49" s="17"/>
      <c r="QDV49" s="30"/>
      <c r="QDW49" s="31"/>
      <c r="QDX49" s="16"/>
      <c r="QDY49" s="17"/>
      <c r="QDZ49" s="30"/>
      <c r="QEA49" s="31"/>
      <c r="QEB49" s="16"/>
      <c r="QEC49" s="17"/>
      <c r="QED49" s="30"/>
      <c r="QEE49" s="31"/>
      <c r="QEF49" s="16"/>
      <c r="QEG49" s="17"/>
      <c r="QEH49" s="30"/>
      <c r="QEI49" s="31"/>
      <c r="QEJ49" s="16"/>
      <c r="QEK49" s="17"/>
      <c r="QEL49" s="30"/>
      <c r="QEM49" s="31"/>
      <c r="QEN49" s="16"/>
      <c r="QEO49" s="17"/>
      <c r="QEP49" s="30"/>
      <c r="QEQ49" s="31"/>
      <c r="QER49" s="16"/>
      <c r="QES49" s="17"/>
      <c r="QET49" s="30"/>
      <c r="QEU49" s="31"/>
      <c r="QEV49" s="16"/>
      <c r="QEW49" s="17"/>
      <c r="QEX49" s="30"/>
      <c r="QEY49" s="31"/>
      <c r="QEZ49" s="16"/>
      <c r="QFA49" s="17"/>
      <c r="QFB49" s="30"/>
      <c r="QFC49" s="31"/>
      <c r="QFD49" s="16"/>
      <c r="QFE49" s="17"/>
      <c r="QFF49" s="30"/>
      <c r="QFG49" s="31"/>
      <c r="QFH49" s="16"/>
      <c r="QFI49" s="17"/>
      <c r="QFJ49" s="30"/>
      <c r="QFK49" s="31"/>
      <c r="QFL49" s="16"/>
      <c r="QFM49" s="17"/>
      <c r="QFN49" s="30"/>
      <c r="QFO49" s="31"/>
      <c r="QFP49" s="16"/>
      <c r="QFQ49" s="17"/>
      <c r="QFR49" s="30"/>
      <c r="QFS49" s="31"/>
      <c r="QFT49" s="16"/>
      <c r="QFU49" s="17"/>
      <c r="QFV49" s="30"/>
      <c r="QFW49" s="31"/>
      <c r="QFX49" s="16"/>
      <c r="QFY49" s="17"/>
      <c r="QFZ49" s="30"/>
      <c r="QGA49" s="31"/>
      <c r="QGB49" s="16"/>
      <c r="QGC49" s="17"/>
      <c r="QGD49" s="30"/>
      <c r="QGE49" s="31"/>
      <c r="QGF49" s="16"/>
      <c r="QGG49" s="17"/>
      <c r="QGH49" s="30"/>
      <c r="QGI49" s="31"/>
      <c r="QGJ49" s="16"/>
      <c r="QGK49" s="17"/>
      <c r="QGL49" s="30"/>
      <c r="QGM49" s="31"/>
      <c r="QGN49" s="16"/>
      <c r="QGO49" s="17"/>
      <c r="QGP49" s="30"/>
      <c r="QGQ49" s="31"/>
      <c r="QGR49" s="16"/>
      <c r="QGS49" s="17"/>
      <c r="QGT49" s="30"/>
      <c r="QGU49" s="31"/>
      <c r="QGV49" s="16"/>
      <c r="QGW49" s="17"/>
      <c r="QGX49" s="30"/>
      <c r="QGY49" s="31"/>
      <c r="QGZ49" s="16"/>
      <c r="QHA49" s="17"/>
      <c r="QHB49" s="30"/>
      <c r="QHC49" s="31"/>
      <c r="QHD49" s="16"/>
      <c r="QHE49" s="17"/>
      <c r="QHF49" s="30"/>
      <c r="QHG49" s="31"/>
      <c r="QHH49" s="16"/>
      <c r="QHI49" s="17"/>
      <c r="QHJ49" s="30"/>
      <c r="QHK49" s="31"/>
      <c r="QHL49" s="16"/>
      <c r="QHM49" s="17"/>
      <c r="QHN49" s="30"/>
      <c r="QHO49" s="31"/>
      <c r="QHP49" s="16"/>
      <c r="QHQ49" s="17"/>
      <c r="QHR49" s="30"/>
      <c r="QHS49" s="31"/>
      <c r="QHT49" s="16"/>
      <c r="QHU49" s="17"/>
      <c r="QHV49" s="30"/>
      <c r="QHW49" s="31"/>
      <c r="QHX49" s="16"/>
      <c r="QHY49" s="17"/>
      <c r="QHZ49" s="30"/>
      <c r="QIA49" s="31"/>
      <c r="QIB49" s="16"/>
      <c r="QIC49" s="17"/>
      <c r="QID49" s="30"/>
      <c r="QIE49" s="31"/>
      <c r="QIF49" s="16"/>
      <c r="QIG49" s="17"/>
      <c r="QIH49" s="30"/>
      <c r="QII49" s="31"/>
      <c r="QIJ49" s="16"/>
      <c r="QIK49" s="17"/>
      <c r="QIL49" s="30"/>
      <c r="QIM49" s="31"/>
      <c r="QIN49" s="16"/>
      <c r="QIO49" s="17"/>
      <c r="QIP49" s="30"/>
      <c r="QIQ49" s="31"/>
      <c r="QIR49" s="16"/>
      <c r="QIS49" s="17"/>
      <c r="QIT49" s="30"/>
      <c r="QIU49" s="31"/>
      <c r="QIV49" s="16"/>
      <c r="QIW49" s="17"/>
      <c r="QIX49" s="30"/>
      <c r="QIY49" s="31"/>
      <c r="QIZ49" s="16"/>
      <c r="QJA49" s="17"/>
      <c r="QJB49" s="30"/>
      <c r="QJC49" s="31"/>
      <c r="QJD49" s="16"/>
      <c r="QJE49" s="17"/>
      <c r="QJF49" s="30"/>
      <c r="QJG49" s="31"/>
      <c r="QJH49" s="16"/>
      <c r="QJI49" s="17"/>
      <c r="QJJ49" s="30"/>
      <c r="QJK49" s="31"/>
      <c r="QJL49" s="16"/>
      <c r="QJM49" s="17"/>
      <c r="QJN49" s="30"/>
      <c r="QJO49" s="31"/>
      <c r="QJP49" s="16"/>
      <c r="QJQ49" s="17"/>
      <c r="QJR49" s="30"/>
      <c r="QJS49" s="31"/>
      <c r="QJT49" s="16"/>
      <c r="QJU49" s="17"/>
      <c r="QJV49" s="30"/>
      <c r="QJW49" s="31"/>
      <c r="QJX49" s="16"/>
      <c r="QJY49" s="17"/>
      <c r="QJZ49" s="30"/>
      <c r="QKA49" s="31"/>
      <c r="QKB49" s="16"/>
      <c r="QKC49" s="17"/>
      <c r="QKD49" s="30"/>
      <c r="QKE49" s="31"/>
      <c r="QKF49" s="16"/>
      <c r="QKG49" s="17"/>
      <c r="QKH49" s="30"/>
      <c r="QKI49" s="31"/>
      <c r="QKJ49" s="16"/>
      <c r="QKK49" s="17"/>
      <c r="QKL49" s="30"/>
      <c r="QKM49" s="31"/>
      <c r="QKN49" s="16"/>
      <c r="QKO49" s="17"/>
      <c r="QKP49" s="30"/>
      <c r="QKQ49" s="31"/>
      <c r="QKR49" s="16"/>
      <c r="QKS49" s="17"/>
      <c r="QKT49" s="30"/>
      <c r="QKU49" s="31"/>
      <c r="QKV49" s="16"/>
      <c r="QKW49" s="17"/>
      <c r="QKX49" s="30"/>
      <c r="QKY49" s="31"/>
      <c r="QKZ49" s="16"/>
      <c r="QLA49" s="17"/>
      <c r="QLB49" s="30"/>
      <c r="QLC49" s="31"/>
      <c r="QLD49" s="16"/>
      <c r="QLE49" s="17"/>
      <c r="QLF49" s="30"/>
      <c r="QLG49" s="31"/>
      <c r="QLH49" s="16"/>
      <c r="QLI49" s="17"/>
      <c r="QLJ49" s="30"/>
      <c r="QLK49" s="31"/>
      <c r="QLL49" s="16"/>
      <c r="QLM49" s="17"/>
      <c r="QLN49" s="30"/>
      <c r="QLO49" s="31"/>
      <c r="QLP49" s="16"/>
      <c r="QLQ49" s="17"/>
      <c r="QLR49" s="30"/>
      <c r="QLS49" s="31"/>
      <c r="QLT49" s="16"/>
      <c r="QLU49" s="17"/>
      <c r="QLV49" s="30"/>
      <c r="QLW49" s="31"/>
      <c r="QLX49" s="16"/>
      <c r="QLY49" s="17"/>
      <c r="QLZ49" s="30"/>
      <c r="QMA49" s="31"/>
      <c r="QMB49" s="16"/>
      <c r="QMC49" s="17"/>
      <c r="QMD49" s="30"/>
      <c r="QME49" s="31"/>
      <c r="QMF49" s="16"/>
      <c r="QMG49" s="17"/>
      <c r="QMH49" s="30"/>
      <c r="QMI49" s="31"/>
      <c r="QMJ49" s="16"/>
      <c r="QMK49" s="17"/>
      <c r="QML49" s="30"/>
      <c r="QMM49" s="31"/>
      <c r="QMN49" s="16"/>
      <c r="QMO49" s="17"/>
      <c r="QMP49" s="30"/>
      <c r="QMQ49" s="31"/>
      <c r="QMR49" s="16"/>
      <c r="QMS49" s="17"/>
      <c r="QMT49" s="30"/>
      <c r="QMU49" s="31"/>
      <c r="QMV49" s="16"/>
      <c r="QMW49" s="17"/>
      <c r="QMX49" s="30"/>
      <c r="QMY49" s="31"/>
      <c r="QMZ49" s="16"/>
      <c r="QNA49" s="17"/>
      <c r="QNB49" s="30"/>
      <c r="QNC49" s="31"/>
      <c r="QND49" s="16"/>
      <c r="QNE49" s="17"/>
      <c r="QNF49" s="30"/>
      <c r="QNG49" s="31"/>
      <c r="QNH49" s="16"/>
      <c r="QNI49" s="17"/>
      <c r="QNJ49" s="30"/>
      <c r="QNK49" s="31"/>
      <c r="QNL49" s="16"/>
      <c r="QNM49" s="17"/>
      <c r="QNN49" s="30"/>
      <c r="QNO49" s="31"/>
      <c r="QNP49" s="16"/>
      <c r="QNQ49" s="17"/>
      <c r="QNR49" s="30"/>
      <c r="QNS49" s="31"/>
      <c r="QNT49" s="16"/>
      <c r="QNU49" s="17"/>
      <c r="QNV49" s="30"/>
      <c r="QNW49" s="31"/>
      <c r="QNX49" s="16"/>
      <c r="QNY49" s="17"/>
      <c r="QNZ49" s="30"/>
      <c r="QOA49" s="31"/>
      <c r="QOB49" s="16"/>
      <c r="QOC49" s="17"/>
      <c r="QOD49" s="30"/>
      <c r="QOE49" s="31"/>
      <c r="QOF49" s="16"/>
      <c r="QOG49" s="17"/>
      <c r="QOH49" s="30"/>
      <c r="QOI49" s="31"/>
      <c r="QOJ49" s="16"/>
      <c r="QOK49" s="17"/>
      <c r="QOL49" s="30"/>
      <c r="QOM49" s="31"/>
      <c r="QON49" s="16"/>
      <c r="QOO49" s="17"/>
      <c r="QOP49" s="30"/>
      <c r="QOQ49" s="31"/>
      <c r="QOR49" s="16"/>
      <c r="QOS49" s="17"/>
      <c r="QOT49" s="30"/>
      <c r="QOU49" s="31"/>
      <c r="QOV49" s="16"/>
      <c r="QOW49" s="17"/>
      <c r="QOX49" s="30"/>
      <c r="QOY49" s="31"/>
      <c r="QOZ49" s="16"/>
      <c r="QPA49" s="17"/>
      <c r="QPB49" s="30"/>
      <c r="QPC49" s="31"/>
      <c r="QPD49" s="16"/>
      <c r="QPE49" s="17"/>
      <c r="QPF49" s="30"/>
      <c r="QPG49" s="31"/>
      <c r="QPH49" s="16"/>
      <c r="QPI49" s="17"/>
      <c r="QPJ49" s="30"/>
      <c r="QPK49" s="31"/>
      <c r="QPL49" s="16"/>
      <c r="QPM49" s="17"/>
      <c r="QPN49" s="30"/>
      <c r="QPO49" s="31"/>
      <c r="QPP49" s="16"/>
      <c r="QPQ49" s="17"/>
      <c r="QPR49" s="30"/>
      <c r="QPS49" s="31"/>
      <c r="QPT49" s="16"/>
      <c r="QPU49" s="17"/>
      <c r="QPV49" s="30"/>
      <c r="QPW49" s="31"/>
      <c r="QPX49" s="16"/>
      <c r="QPY49" s="17"/>
      <c r="QPZ49" s="30"/>
      <c r="QQA49" s="31"/>
      <c r="QQB49" s="16"/>
      <c r="QQC49" s="17"/>
      <c r="QQD49" s="30"/>
      <c r="QQE49" s="31"/>
      <c r="QQF49" s="16"/>
      <c r="QQG49" s="17"/>
      <c r="QQH49" s="30"/>
      <c r="QQI49" s="31"/>
      <c r="QQJ49" s="16"/>
      <c r="QQK49" s="17"/>
      <c r="QQL49" s="30"/>
      <c r="QQM49" s="31"/>
      <c r="QQN49" s="16"/>
      <c r="QQO49" s="17"/>
      <c r="QQP49" s="30"/>
      <c r="QQQ49" s="31"/>
      <c r="QQR49" s="16"/>
      <c r="QQS49" s="17"/>
      <c r="QQT49" s="30"/>
      <c r="QQU49" s="31"/>
      <c r="QQV49" s="16"/>
      <c r="QQW49" s="17"/>
      <c r="QQX49" s="30"/>
      <c r="QQY49" s="31"/>
      <c r="QQZ49" s="16"/>
      <c r="QRA49" s="17"/>
      <c r="QRB49" s="30"/>
      <c r="QRC49" s="31"/>
      <c r="QRD49" s="16"/>
      <c r="QRE49" s="17"/>
      <c r="QRF49" s="30"/>
      <c r="QRG49" s="31"/>
      <c r="QRH49" s="16"/>
      <c r="QRI49" s="17"/>
      <c r="QRJ49" s="30"/>
      <c r="QRK49" s="31"/>
      <c r="QRL49" s="16"/>
      <c r="QRM49" s="17"/>
      <c r="QRN49" s="30"/>
      <c r="QRO49" s="31"/>
      <c r="QRP49" s="16"/>
      <c r="QRQ49" s="17"/>
      <c r="QRR49" s="30"/>
      <c r="QRS49" s="31"/>
      <c r="QRT49" s="16"/>
      <c r="QRU49" s="17"/>
      <c r="QRV49" s="30"/>
      <c r="QRW49" s="31"/>
      <c r="QRX49" s="16"/>
      <c r="QRY49" s="17"/>
      <c r="QRZ49" s="30"/>
      <c r="QSA49" s="31"/>
      <c r="QSB49" s="16"/>
      <c r="QSC49" s="17"/>
      <c r="QSD49" s="30"/>
      <c r="QSE49" s="31"/>
      <c r="QSF49" s="16"/>
      <c r="QSG49" s="17"/>
      <c r="QSH49" s="30"/>
      <c r="QSI49" s="31"/>
      <c r="QSJ49" s="16"/>
      <c r="QSK49" s="17"/>
      <c r="QSL49" s="30"/>
      <c r="QSM49" s="31"/>
      <c r="QSN49" s="16"/>
      <c r="QSO49" s="17"/>
      <c r="QSP49" s="30"/>
      <c r="QSQ49" s="31"/>
      <c r="QSR49" s="16"/>
      <c r="QSS49" s="17"/>
      <c r="QST49" s="30"/>
      <c r="QSU49" s="31"/>
      <c r="QSV49" s="16"/>
      <c r="QSW49" s="17"/>
      <c r="QSX49" s="30"/>
      <c r="QSY49" s="31"/>
      <c r="QSZ49" s="16"/>
      <c r="QTA49" s="17"/>
      <c r="QTB49" s="30"/>
      <c r="QTC49" s="31"/>
      <c r="QTD49" s="16"/>
      <c r="QTE49" s="17"/>
      <c r="QTF49" s="30"/>
      <c r="QTG49" s="31"/>
      <c r="QTH49" s="16"/>
      <c r="QTI49" s="17"/>
      <c r="QTJ49" s="30"/>
      <c r="QTK49" s="31"/>
      <c r="QTL49" s="16"/>
      <c r="QTM49" s="17"/>
      <c r="QTN49" s="30"/>
      <c r="QTO49" s="31"/>
      <c r="QTP49" s="16"/>
      <c r="QTQ49" s="17"/>
      <c r="QTR49" s="30"/>
      <c r="QTS49" s="31"/>
      <c r="QTT49" s="16"/>
      <c r="QTU49" s="17"/>
      <c r="QTV49" s="30"/>
      <c r="QTW49" s="31"/>
      <c r="QTX49" s="16"/>
      <c r="QTY49" s="17"/>
      <c r="QTZ49" s="30"/>
      <c r="QUA49" s="31"/>
      <c r="QUB49" s="16"/>
      <c r="QUC49" s="17"/>
      <c r="QUD49" s="30"/>
      <c r="QUE49" s="31"/>
      <c r="QUF49" s="16"/>
      <c r="QUG49" s="17"/>
      <c r="QUH49" s="30"/>
      <c r="QUI49" s="31"/>
      <c r="QUJ49" s="16"/>
      <c r="QUK49" s="17"/>
      <c r="QUL49" s="30"/>
      <c r="QUM49" s="31"/>
      <c r="QUN49" s="16"/>
      <c r="QUO49" s="17"/>
      <c r="QUP49" s="30"/>
      <c r="QUQ49" s="31"/>
      <c r="QUR49" s="16"/>
      <c r="QUS49" s="17"/>
      <c r="QUT49" s="30"/>
      <c r="QUU49" s="31"/>
      <c r="QUV49" s="16"/>
      <c r="QUW49" s="17"/>
      <c r="QUX49" s="30"/>
      <c r="QUY49" s="31"/>
      <c r="QUZ49" s="16"/>
      <c r="QVA49" s="17"/>
      <c r="QVB49" s="30"/>
      <c r="QVC49" s="31"/>
      <c r="QVD49" s="16"/>
      <c r="QVE49" s="17"/>
      <c r="QVF49" s="30"/>
      <c r="QVG49" s="31"/>
      <c r="QVH49" s="16"/>
      <c r="QVI49" s="17"/>
      <c r="QVJ49" s="30"/>
      <c r="QVK49" s="31"/>
      <c r="QVL49" s="16"/>
      <c r="QVM49" s="17"/>
      <c r="QVN49" s="30"/>
      <c r="QVO49" s="31"/>
      <c r="QVP49" s="16"/>
      <c r="QVQ49" s="17"/>
      <c r="QVR49" s="30"/>
      <c r="QVS49" s="31"/>
      <c r="QVT49" s="16"/>
      <c r="QVU49" s="17"/>
      <c r="QVV49" s="30"/>
      <c r="QVW49" s="31"/>
      <c r="QVX49" s="16"/>
      <c r="QVY49" s="17"/>
      <c r="QVZ49" s="30"/>
      <c r="QWA49" s="31"/>
      <c r="QWB49" s="16"/>
      <c r="QWC49" s="17"/>
      <c r="QWD49" s="30"/>
      <c r="QWE49" s="31"/>
      <c r="QWF49" s="16"/>
      <c r="QWG49" s="17"/>
      <c r="QWH49" s="30"/>
      <c r="QWI49" s="31"/>
      <c r="QWJ49" s="16"/>
      <c r="QWK49" s="17"/>
      <c r="QWL49" s="30"/>
      <c r="QWM49" s="31"/>
      <c r="QWN49" s="16"/>
      <c r="QWO49" s="17"/>
      <c r="QWP49" s="30"/>
      <c r="QWQ49" s="31"/>
      <c r="QWR49" s="16"/>
      <c r="QWS49" s="17"/>
      <c r="QWT49" s="30"/>
      <c r="QWU49" s="31"/>
      <c r="QWV49" s="16"/>
      <c r="QWW49" s="17"/>
      <c r="QWX49" s="30"/>
      <c r="QWY49" s="31"/>
      <c r="QWZ49" s="16"/>
      <c r="QXA49" s="17"/>
      <c r="QXB49" s="30"/>
      <c r="QXC49" s="31"/>
      <c r="QXD49" s="16"/>
      <c r="QXE49" s="17"/>
      <c r="QXF49" s="30"/>
      <c r="QXG49" s="31"/>
      <c r="QXH49" s="16"/>
      <c r="QXI49" s="17"/>
      <c r="QXJ49" s="30"/>
      <c r="QXK49" s="31"/>
      <c r="QXL49" s="16"/>
      <c r="QXM49" s="17"/>
      <c r="QXN49" s="30"/>
      <c r="QXO49" s="31"/>
      <c r="QXP49" s="16"/>
      <c r="QXQ49" s="17"/>
      <c r="QXR49" s="30"/>
      <c r="QXS49" s="31"/>
      <c r="QXT49" s="16"/>
      <c r="QXU49" s="17"/>
      <c r="QXV49" s="30"/>
      <c r="QXW49" s="31"/>
      <c r="QXX49" s="16"/>
      <c r="QXY49" s="17"/>
      <c r="QXZ49" s="30"/>
      <c r="QYA49" s="31"/>
      <c r="QYB49" s="16"/>
      <c r="QYC49" s="17"/>
      <c r="QYD49" s="30"/>
      <c r="QYE49" s="31"/>
      <c r="QYF49" s="16"/>
      <c r="QYG49" s="17"/>
      <c r="QYH49" s="30"/>
      <c r="QYI49" s="31"/>
      <c r="QYJ49" s="16"/>
      <c r="QYK49" s="17"/>
      <c r="QYL49" s="30"/>
      <c r="QYM49" s="31"/>
      <c r="QYN49" s="16"/>
      <c r="QYO49" s="17"/>
      <c r="QYP49" s="30"/>
      <c r="QYQ49" s="31"/>
      <c r="QYR49" s="16"/>
      <c r="QYS49" s="17"/>
      <c r="QYT49" s="30"/>
      <c r="QYU49" s="31"/>
      <c r="QYV49" s="16"/>
      <c r="QYW49" s="17"/>
      <c r="QYX49" s="30"/>
      <c r="QYY49" s="31"/>
      <c r="QYZ49" s="16"/>
      <c r="QZA49" s="17"/>
      <c r="QZB49" s="30"/>
      <c r="QZC49" s="31"/>
      <c r="QZD49" s="16"/>
      <c r="QZE49" s="17"/>
      <c r="QZF49" s="30"/>
      <c r="QZG49" s="31"/>
      <c r="QZH49" s="16"/>
      <c r="QZI49" s="17"/>
      <c r="QZJ49" s="30"/>
      <c r="QZK49" s="31"/>
      <c r="QZL49" s="16"/>
      <c r="QZM49" s="17"/>
      <c r="QZN49" s="30"/>
      <c r="QZO49" s="31"/>
      <c r="QZP49" s="16"/>
      <c r="QZQ49" s="17"/>
      <c r="QZR49" s="30"/>
      <c r="QZS49" s="31"/>
      <c r="QZT49" s="16"/>
      <c r="QZU49" s="17"/>
      <c r="QZV49" s="30"/>
      <c r="QZW49" s="31"/>
      <c r="QZX49" s="16"/>
      <c r="QZY49" s="17"/>
      <c r="QZZ49" s="30"/>
      <c r="RAA49" s="31"/>
      <c r="RAB49" s="16"/>
      <c r="RAC49" s="17"/>
      <c r="RAD49" s="30"/>
      <c r="RAE49" s="31"/>
      <c r="RAF49" s="16"/>
      <c r="RAG49" s="17"/>
      <c r="RAH49" s="30"/>
      <c r="RAI49" s="31"/>
      <c r="RAJ49" s="16"/>
      <c r="RAK49" s="17"/>
      <c r="RAL49" s="30"/>
      <c r="RAM49" s="31"/>
      <c r="RAN49" s="16"/>
      <c r="RAO49" s="17"/>
      <c r="RAP49" s="30"/>
      <c r="RAQ49" s="31"/>
      <c r="RAR49" s="16"/>
      <c r="RAS49" s="17"/>
      <c r="RAT49" s="30"/>
      <c r="RAU49" s="31"/>
      <c r="RAV49" s="16"/>
      <c r="RAW49" s="17"/>
      <c r="RAX49" s="30"/>
      <c r="RAY49" s="31"/>
      <c r="RAZ49" s="16"/>
      <c r="RBA49" s="17"/>
      <c r="RBB49" s="30"/>
      <c r="RBC49" s="31"/>
      <c r="RBD49" s="16"/>
      <c r="RBE49" s="17"/>
      <c r="RBF49" s="30"/>
      <c r="RBG49" s="31"/>
      <c r="RBH49" s="16"/>
      <c r="RBI49" s="17"/>
      <c r="RBJ49" s="30"/>
      <c r="RBK49" s="31"/>
      <c r="RBL49" s="16"/>
      <c r="RBM49" s="17"/>
      <c r="RBN49" s="30"/>
      <c r="RBO49" s="31"/>
      <c r="RBP49" s="16"/>
      <c r="RBQ49" s="17"/>
      <c r="RBR49" s="30"/>
      <c r="RBS49" s="31"/>
      <c r="RBT49" s="16"/>
      <c r="RBU49" s="17"/>
      <c r="RBV49" s="30"/>
      <c r="RBW49" s="31"/>
      <c r="RBX49" s="16"/>
      <c r="RBY49" s="17"/>
      <c r="RBZ49" s="30"/>
      <c r="RCA49" s="31"/>
      <c r="RCB49" s="16"/>
      <c r="RCC49" s="17"/>
      <c r="RCD49" s="30"/>
      <c r="RCE49" s="31"/>
      <c r="RCF49" s="16"/>
      <c r="RCG49" s="17"/>
      <c r="RCH49" s="30"/>
      <c r="RCI49" s="31"/>
      <c r="RCJ49" s="16"/>
      <c r="RCK49" s="17"/>
      <c r="RCL49" s="30"/>
      <c r="RCM49" s="31"/>
      <c r="RCN49" s="16"/>
      <c r="RCO49" s="17"/>
      <c r="RCP49" s="30"/>
      <c r="RCQ49" s="31"/>
      <c r="RCR49" s="16"/>
      <c r="RCS49" s="17"/>
      <c r="RCT49" s="30"/>
      <c r="RCU49" s="31"/>
      <c r="RCV49" s="16"/>
      <c r="RCW49" s="17"/>
      <c r="RCX49" s="30"/>
      <c r="RCY49" s="31"/>
      <c r="RCZ49" s="16"/>
      <c r="RDA49" s="17"/>
      <c r="RDB49" s="30"/>
      <c r="RDC49" s="31"/>
      <c r="RDD49" s="16"/>
      <c r="RDE49" s="17"/>
      <c r="RDF49" s="30"/>
      <c r="RDG49" s="31"/>
      <c r="RDH49" s="16"/>
      <c r="RDI49" s="17"/>
      <c r="RDJ49" s="30"/>
      <c r="RDK49" s="31"/>
      <c r="RDL49" s="16"/>
      <c r="RDM49" s="17"/>
      <c r="RDN49" s="30"/>
      <c r="RDO49" s="31"/>
      <c r="RDP49" s="16"/>
      <c r="RDQ49" s="17"/>
      <c r="RDR49" s="30"/>
      <c r="RDS49" s="31"/>
      <c r="RDT49" s="16"/>
      <c r="RDU49" s="17"/>
      <c r="RDV49" s="30"/>
      <c r="RDW49" s="31"/>
      <c r="RDX49" s="16"/>
      <c r="RDY49" s="17"/>
      <c r="RDZ49" s="30"/>
      <c r="REA49" s="31"/>
      <c r="REB49" s="16"/>
      <c r="REC49" s="17"/>
      <c r="RED49" s="30"/>
      <c r="REE49" s="31"/>
      <c r="REF49" s="16"/>
      <c r="REG49" s="17"/>
      <c r="REH49" s="30"/>
      <c r="REI49" s="31"/>
      <c r="REJ49" s="16"/>
      <c r="REK49" s="17"/>
      <c r="REL49" s="30"/>
      <c r="REM49" s="31"/>
      <c r="REN49" s="16"/>
      <c r="REO49" s="17"/>
      <c r="REP49" s="30"/>
      <c r="REQ49" s="31"/>
      <c r="RER49" s="16"/>
      <c r="RES49" s="17"/>
      <c r="RET49" s="30"/>
      <c r="REU49" s="31"/>
      <c r="REV49" s="16"/>
      <c r="REW49" s="17"/>
      <c r="REX49" s="30"/>
      <c r="REY49" s="31"/>
      <c r="REZ49" s="16"/>
      <c r="RFA49" s="17"/>
      <c r="RFB49" s="30"/>
      <c r="RFC49" s="31"/>
      <c r="RFD49" s="16"/>
      <c r="RFE49" s="17"/>
      <c r="RFF49" s="30"/>
      <c r="RFG49" s="31"/>
      <c r="RFH49" s="16"/>
      <c r="RFI49" s="17"/>
      <c r="RFJ49" s="30"/>
      <c r="RFK49" s="31"/>
      <c r="RFL49" s="16"/>
      <c r="RFM49" s="17"/>
      <c r="RFN49" s="30"/>
      <c r="RFO49" s="31"/>
      <c r="RFP49" s="16"/>
      <c r="RFQ49" s="17"/>
      <c r="RFR49" s="30"/>
      <c r="RFS49" s="31"/>
      <c r="RFT49" s="16"/>
      <c r="RFU49" s="17"/>
      <c r="RFV49" s="30"/>
      <c r="RFW49" s="31"/>
      <c r="RFX49" s="16"/>
      <c r="RFY49" s="17"/>
      <c r="RFZ49" s="30"/>
      <c r="RGA49" s="31"/>
      <c r="RGB49" s="16"/>
      <c r="RGC49" s="17"/>
      <c r="RGD49" s="30"/>
      <c r="RGE49" s="31"/>
      <c r="RGF49" s="16"/>
      <c r="RGG49" s="17"/>
      <c r="RGH49" s="30"/>
      <c r="RGI49" s="31"/>
      <c r="RGJ49" s="16"/>
      <c r="RGK49" s="17"/>
      <c r="RGL49" s="30"/>
      <c r="RGM49" s="31"/>
      <c r="RGN49" s="16"/>
      <c r="RGO49" s="17"/>
      <c r="RGP49" s="30"/>
      <c r="RGQ49" s="31"/>
      <c r="RGR49" s="16"/>
      <c r="RGS49" s="17"/>
      <c r="RGT49" s="30"/>
      <c r="RGU49" s="31"/>
      <c r="RGV49" s="16"/>
      <c r="RGW49" s="17"/>
      <c r="RGX49" s="30"/>
      <c r="RGY49" s="31"/>
      <c r="RGZ49" s="16"/>
      <c r="RHA49" s="17"/>
      <c r="RHB49" s="30"/>
      <c r="RHC49" s="31"/>
      <c r="RHD49" s="16"/>
      <c r="RHE49" s="17"/>
      <c r="RHF49" s="30"/>
      <c r="RHG49" s="31"/>
      <c r="RHH49" s="16"/>
      <c r="RHI49" s="17"/>
      <c r="RHJ49" s="30"/>
      <c r="RHK49" s="31"/>
      <c r="RHL49" s="16"/>
      <c r="RHM49" s="17"/>
      <c r="RHN49" s="30"/>
      <c r="RHO49" s="31"/>
      <c r="RHP49" s="16"/>
      <c r="RHQ49" s="17"/>
      <c r="RHR49" s="30"/>
      <c r="RHS49" s="31"/>
      <c r="RHT49" s="16"/>
      <c r="RHU49" s="17"/>
      <c r="RHV49" s="30"/>
      <c r="RHW49" s="31"/>
      <c r="RHX49" s="16"/>
      <c r="RHY49" s="17"/>
      <c r="RHZ49" s="30"/>
      <c r="RIA49" s="31"/>
      <c r="RIB49" s="16"/>
      <c r="RIC49" s="17"/>
      <c r="RID49" s="30"/>
      <c r="RIE49" s="31"/>
      <c r="RIF49" s="16"/>
      <c r="RIG49" s="17"/>
      <c r="RIH49" s="30"/>
      <c r="RII49" s="31"/>
      <c r="RIJ49" s="16"/>
      <c r="RIK49" s="17"/>
      <c r="RIL49" s="30"/>
      <c r="RIM49" s="31"/>
      <c r="RIN49" s="16"/>
      <c r="RIO49" s="17"/>
      <c r="RIP49" s="30"/>
      <c r="RIQ49" s="31"/>
      <c r="RIR49" s="16"/>
      <c r="RIS49" s="17"/>
      <c r="RIT49" s="30"/>
      <c r="RIU49" s="31"/>
      <c r="RIV49" s="16"/>
      <c r="RIW49" s="17"/>
      <c r="RIX49" s="30"/>
      <c r="RIY49" s="31"/>
      <c r="RIZ49" s="16"/>
      <c r="RJA49" s="17"/>
      <c r="RJB49" s="30"/>
      <c r="RJC49" s="31"/>
      <c r="RJD49" s="16"/>
      <c r="RJE49" s="17"/>
      <c r="RJF49" s="30"/>
      <c r="RJG49" s="31"/>
      <c r="RJH49" s="16"/>
      <c r="RJI49" s="17"/>
      <c r="RJJ49" s="30"/>
      <c r="RJK49" s="31"/>
      <c r="RJL49" s="16"/>
      <c r="RJM49" s="17"/>
      <c r="RJN49" s="30"/>
      <c r="RJO49" s="31"/>
      <c r="RJP49" s="16"/>
      <c r="RJQ49" s="17"/>
      <c r="RJR49" s="30"/>
      <c r="RJS49" s="31"/>
      <c r="RJT49" s="16"/>
      <c r="RJU49" s="17"/>
      <c r="RJV49" s="30"/>
      <c r="RJW49" s="31"/>
      <c r="RJX49" s="16"/>
      <c r="RJY49" s="17"/>
      <c r="RJZ49" s="30"/>
      <c r="RKA49" s="31"/>
      <c r="RKB49" s="16"/>
      <c r="RKC49" s="17"/>
      <c r="RKD49" s="30"/>
      <c r="RKE49" s="31"/>
      <c r="RKF49" s="16"/>
      <c r="RKG49" s="17"/>
      <c r="RKH49" s="30"/>
      <c r="RKI49" s="31"/>
      <c r="RKJ49" s="16"/>
      <c r="RKK49" s="17"/>
      <c r="RKL49" s="30"/>
      <c r="RKM49" s="31"/>
      <c r="RKN49" s="16"/>
      <c r="RKO49" s="17"/>
      <c r="RKP49" s="30"/>
      <c r="RKQ49" s="31"/>
      <c r="RKR49" s="16"/>
      <c r="RKS49" s="17"/>
      <c r="RKT49" s="30"/>
      <c r="RKU49" s="31"/>
      <c r="RKV49" s="16"/>
      <c r="RKW49" s="17"/>
      <c r="RKX49" s="30"/>
      <c r="RKY49" s="31"/>
      <c r="RKZ49" s="16"/>
      <c r="RLA49" s="17"/>
      <c r="RLB49" s="30"/>
      <c r="RLC49" s="31"/>
      <c r="RLD49" s="16"/>
      <c r="RLE49" s="17"/>
      <c r="RLF49" s="30"/>
      <c r="RLG49" s="31"/>
      <c r="RLH49" s="16"/>
      <c r="RLI49" s="17"/>
      <c r="RLJ49" s="30"/>
      <c r="RLK49" s="31"/>
      <c r="RLL49" s="16"/>
      <c r="RLM49" s="17"/>
      <c r="RLN49" s="30"/>
      <c r="RLO49" s="31"/>
      <c r="RLP49" s="16"/>
      <c r="RLQ49" s="17"/>
      <c r="RLR49" s="30"/>
      <c r="RLS49" s="31"/>
      <c r="RLT49" s="16"/>
      <c r="RLU49" s="17"/>
      <c r="RLV49" s="30"/>
      <c r="RLW49" s="31"/>
      <c r="RLX49" s="16"/>
      <c r="RLY49" s="17"/>
      <c r="RLZ49" s="30"/>
      <c r="RMA49" s="31"/>
      <c r="RMB49" s="16"/>
      <c r="RMC49" s="17"/>
      <c r="RMD49" s="30"/>
      <c r="RME49" s="31"/>
      <c r="RMF49" s="16"/>
      <c r="RMG49" s="17"/>
      <c r="RMH49" s="30"/>
      <c r="RMI49" s="31"/>
      <c r="RMJ49" s="16"/>
      <c r="RMK49" s="17"/>
      <c r="RML49" s="30"/>
      <c r="RMM49" s="31"/>
      <c r="RMN49" s="16"/>
      <c r="RMO49" s="17"/>
      <c r="RMP49" s="30"/>
      <c r="RMQ49" s="31"/>
      <c r="RMR49" s="16"/>
      <c r="RMS49" s="17"/>
      <c r="RMT49" s="30"/>
      <c r="RMU49" s="31"/>
      <c r="RMV49" s="16"/>
      <c r="RMW49" s="17"/>
      <c r="RMX49" s="30"/>
      <c r="RMY49" s="31"/>
      <c r="RMZ49" s="16"/>
      <c r="RNA49" s="17"/>
      <c r="RNB49" s="30"/>
      <c r="RNC49" s="31"/>
      <c r="RND49" s="16"/>
      <c r="RNE49" s="17"/>
      <c r="RNF49" s="30"/>
      <c r="RNG49" s="31"/>
      <c r="RNH49" s="16"/>
      <c r="RNI49" s="17"/>
      <c r="RNJ49" s="30"/>
      <c r="RNK49" s="31"/>
      <c r="RNL49" s="16"/>
      <c r="RNM49" s="17"/>
      <c r="RNN49" s="30"/>
      <c r="RNO49" s="31"/>
      <c r="RNP49" s="16"/>
      <c r="RNQ49" s="17"/>
      <c r="RNR49" s="30"/>
      <c r="RNS49" s="31"/>
      <c r="RNT49" s="16"/>
      <c r="RNU49" s="17"/>
      <c r="RNV49" s="30"/>
      <c r="RNW49" s="31"/>
      <c r="RNX49" s="16"/>
      <c r="RNY49" s="17"/>
      <c r="RNZ49" s="30"/>
      <c r="ROA49" s="31"/>
      <c r="ROB49" s="16"/>
      <c r="ROC49" s="17"/>
      <c r="ROD49" s="30"/>
      <c r="ROE49" s="31"/>
      <c r="ROF49" s="16"/>
      <c r="ROG49" s="17"/>
      <c r="ROH49" s="30"/>
      <c r="ROI49" s="31"/>
      <c r="ROJ49" s="16"/>
      <c r="ROK49" s="17"/>
      <c r="ROL49" s="30"/>
      <c r="ROM49" s="31"/>
      <c r="RON49" s="16"/>
      <c r="ROO49" s="17"/>
      <c r="ROP49" s="30"/>
      <c r="ROQ49" s="31"/>
      <c r="ROR49" s="16"/>
      <c r="ROS49" s="17"/>
      <c r="ROT49" s="30"/>
      <c r="ROU49" s="31"/>
      <c r="ROV49" s="16"/>
      <c r="ROW49" s="17"/>
      <c r="ROX49" s="30"/>
      <c r="ROY49" s="31"/>
      <c r="ROZ49" s="16"/>
      <c r="RPA49" s="17"/>
      <c r="RPB49" s="30"/>
      <c r="RPC49" s="31"/>
      <c r="RPD49" s="16"/>
      <c r="RPE49" s="17"/>
      <c r="RPF49" s="30"/>
      <c r="RPG49" s="31"/>
      <c r="RPH49" s="16"/>
      <c r="RPI49" s="17"/>
      <c r="RPJ49" s="30"/>
      <c r="RPK49" s="31"/>
      <c r="RPL49" s="16"/>
      <c r="RPM49" s="17"/>
      <c r="RPN49" s="30"/>
      <c r="RPO49" s="31"/>
      <c r="RPP49" s="16"/>
      <c r="RPQ49" s="17"/>
      <c r="RPR49" s="30"/>
      <c r="RPS49" s="31"/>
      <c r="RPT49" s="16"/>
      <c r="RPU49" s="17"/>
      <c r="RPV49" s="30"/>
      <c r="RPW49" s="31"/>
      <c r="RPX49" s="16"/>
      <c r="RPY49" s="17"/>
      <c r="RPZ49" s="30"/>
      <c r="RQA49" s="31"/>
      <c r="RQB49" s="16"/>
      <c r="RQC49" s="17"/>
      <c r="RQD49" s="30"/>
      <c r="RQE49" s="31"/>
      <c r="RQF49" s="16"/>
      <c r="RQG49" s="17"/>
      <c r="RQH49" s="30"/>
      <c r="RQI49" s="31"/>
      <c r="RQJ49" s="16"/>
      <c r="RQK49" s="17"/>
      <c r="RQL49" s="30"/>
      <c r="RQM49" s="31"/>
      <c r="RQN49" s="16"/>
      <c r="RQO49" s="17"/>
      <c r="RQP49" s="30"/>
      <c r="RQQ49" s="31"/>
      <c r="RQR49" s="16"/>
      <c r="RQS49" s="17"/>
      <c r="RQT49" s="30"/>
      <c r="RQU49" s="31"/>
      <c r="RQV49" s="16"/>
      <c r="RQW49" s="17"/>
      <c r="RQX49" s="30"/>
      <c r="RQY49" s="31"/>
      <c r="RQZ49" s="16"/>
      <c r="RRA49" s="17"/>
      <c r="RRB49" s="30"/>
      <c r="RRC49" s="31"/>
      <c r="RRD49" s="16"/>
      <c r="RRE49" s="17"/>
      <c r="RRF49" s="30"/>
      <c r="RRG49" s="31"/>
      <c r="RRH49" s="16"/>
      <c r="RRI49" s="17"/>
      <c r="RRJ49" s="30"/>
      <c r="RRK49" s="31"/>
      <c r="RRL49" s="16"/>
      <c r="RRM49" s="17"/>
      <c r="RRN49" s="30"/>
      <c r="RRO49" s="31"/>
      <c r="RRP49" s="16"/>
      <c r="RRQ49" s="17"/>
      <c r="RRR49" s="30"/>
      <c r="RRS49" s="31"/>
      <c r="RRT49" s="16"/>
      <c r="RRU49" s="17"/>
      <c r="RRV49" s="30"/>
      <c r="RRW49" s="31"/>
      <c r="RRX49" s="16"/>
      <c r="RRY49" s="17"/>
      <c r="RRZ49" s="30"/>
      <c r="RSA49" s="31"/>
      <c r="RSB49" s="16"/>
      <c r="RSC49" s="17"/>
      <c r="RSD49" s="30"/>
      <c r="RSE49" s="31"/>
      <c r="RSF49" s="16"/>
      <c r="RSG49" s="17"/>
      <c r="RSH49" s="30"/>
      <c r="RSI49" s="31"/>
      <c r="RSJ49" s="16"/>
      <c r="RSK49" s="17"/>
      <c r="RSL49" s="30"/>
      <c r="RSM49" s="31"/>
      <c r="RSN49" s="16"/>
      <c r="RSO49" s="17"/>
      <c r="RSP49" s="30"/>
      <c r="RSQ49" s="31"/>
      <c r="RSR49" s="16"/>
      <c r="RSS49" s="17"/>
      <c r="RST49" s="30"/>
      <c r="RSU49" s="31"/>
      <c r="RSV49" s="16"/>
      <c r="RSW49" s="17"/>
      <c r="RSX49" s="30"/>
      <c r="RSY49" s="31"/>
      <c r="RSZ49" s="16"/>
      <c r="RTA49" s="17"/>
      <c r="RTB49" s="30"/>
      <c r="RTC49" s="31"/>
      <c r="RTD49" s="16"/>
      <c r="RTE49" s="17"/>
      <c r="RTF49" s="30"/>
      <c r="RTG49" s="31"/>
      <c r="RTH49" s="16"/>
      <c r="RTI49" s="17"/>
      <c r="RTJ49" s="30"/>
      <c r="RTK49" s="31"/>
      <c r="RTL49" s="16"/>
      <c r="RTM49" s="17"/>
      <c r="RTN49" s="30"/>
      <c r="RTO49" s="31"/>
      <c r="RTP49" s="16"/>
      <c r="RTQ49" s="17"/>
      <c r="RTR49" s="30"/>
      <c r="RTS49" s="31"/>
      <c r="RTT49" s="16"/>
      <c r="RTU49" s="17"/>
      <c r="RTV49" s="30"/>
      <c r="RTW49" s="31"/>
      <c r="RTX49" s="16"/>
      <c r="RTY49" s="17"/>
      <c r="RTZ49" s="30"/>
      <c r="RUA49" s="31"/>
      <c r="RUB49" s="16"/>
      <c r="RUC49" s="17"/>
      <c r="RUD49" s="30"/>
      <c r="RUE49" s="31"/>
      <c r="RUF49" s="16"/>
      <c r="RUG49" s="17"/>
      <c r="RUH49" s="30"/>
      <c r="RUI49" s="31"/>
      <c r="RUJ49" s="16"/>
      <c r="RUK49" s="17"/>
      <c r="RUL49" s="30"/>
      <c r="RUM49" s="31"/>
      <c r="RUN49" s="16"/>
      <c r="RUO49" s="17"/>
      <c r="RUP49" s="30"/>
      <c r="RUQ49" s="31"/>
      <c r="RUR49" s="16"/>
      <c r="RUS49" s="17"/>
      <c r="RUT49" s="30"/>
      <c r="RUU49" s="31"/>
      <c r="RUV49" s="16"/>
      <c r="RUW49" s="17"/>
      <c r="RUX49" s="30"/>
      <c r="RUY49" s="31"/>
      <c r="RUZ49" s="16"/>
      <c r="RVA49" s="17"/>
      <c r="RVB49" s="30"/>
      <c r="RVC49" s="31"/>
      <c r="RVD49" s="16"/>
      <c r="RVE49" s="17"/>
      <c r="RVF49" s="30"/>
      <c r="RVG49" s="31"/>
      <c r="RVH49" s="16"/>
      <c r="RVI49" s="17"/>
      <c r="RVJ49" s="30"/>
      <c r="RVK49" s="31"/>
      <c r="RVL49" s="16"/>
      <c r="RVM49" s="17"/>
      <c r="RVN49" s="30"/>
      <c r="RVO49" s="31"/>
      <c r="RVP49" s="16"/>
      <c r="RVQ49" s="17"/>
      <c r="RVR49" s="30"/>
      <c r="RVS49" s="31"/>
      <c r="RVT49" s="16"/>
      <c r="RVU49" s="17"/>
      <c r="RVV49" s="30"/>
      <c r="RVW49" s="31"/>
      <c r="RVX49" s="16"/>
      <c r="RVY49" s="17"/>
      <c r="RVZ49" s="30"/>
      <c r="RWA49" s="31"/>
      <c r="RWB49" s="16"/>
      <c r="RWC49" s="17"/>
      <c r="RWD49" s="30"/>
      <c r="RWE49" s="31"/>
      <c r="RWF49" s="16"/>
      <c r="RWG49" s="17"/>
      <c r="RWH49" s="30"/>
      <c r="RWI49" s="31"/>
      <c r="RWJ49" s="16"/>
      <c r="RWK49" s="17"/>
      <c r="RWL49" s="30"/>
      <c r="RWM49" s="31"/>
      <c r="RWN49" s="16"/>
      <c r="RWO49" s="17"/>
      <c r="RWP49" s="30"/>
      <c r="RWQ49" s="31"/>
      <c r="RWR49" s="16"/>
      <c r="RWS49" s="17"/>
      <c r="RWT49" s="30"/>
      <c r="RWU49" s="31"/>
      <c r="RWV49" s="16"/>
      <c r="RWW49" s="17"/>
      <c r="RWX49" s="30"/>
      <c r="RWY49" s="31"/>
      <c r="RWZ49" s="16"/>
      <c r="RXA49" s="17"/>
      <c r="RXB49" s="30"/>
      <c r="RXC49" s="31"/>
      <c r="RXD49" s="16"/>
      <c r="RXE49" s="17"/>
      <c r="RXF49" s="30"/>
      <c r="RXG49" s="31"/>
      <c r="RXH49" s="16"/>
      <c r="RXI49" s="17"/>
      <c r="RXJ49" s="30"/>
      <c r="RXK49" s="31"/>
      <c r="RXL49" s="16"/>
      <c r="RXM49" s="17"/>
      <c r="RXN49" s="30"/>
      <c r="RXO49" s="31"/>
      <c r="RXP49" s="16"/>
      <c r="RXQ49" s="17"/>
      <c r="RXR49" s="30"/>
      <c r="RXS49" s="31"/>
      <c r="RXT49" s="16"/>
      <c r="RXU49" s="17"/>
      <c r="RXV49" s="30"/>
      <c r="RXW49" s="31"/>
      <c r="RXX49" s="16"/>
      <c r="RXY49" s="17"/>
      <c r="RXZ49" s="30"/>
      <c r="RYA49" s="31"/>
      <c r="RYB49" s="16"/>
      <c r="RYC49" s="17"/>
      <c r="RYD49" s="30"/>
      <c r="RYE49" s="31"/>
      <c r="RYF49" s="16"/>
      <c r="RYG49" s="17"/>
      <c r="RYH49" s="30"/>
      <c r="RYI49" s="31"/>
      <c r="RYJ49" s="16"/>
      <c r="RYK49" s="17"/>
      <c r="RYL49" s="30"/>
      <c r="RYM49" s="31"/>
      <c r="RYN49" s="16"/>
      <c r="RYO49" s="17"/>
      <c r="RYP49" s="30"/>
      <c r="RYQ49" s="31"/>
      <c r="RYR49" s="16"/>
      <c r="RYS49" s="17"/>
      <c r="RYT49" s="30"/>
      <c r="RYU49" s="31"/>
      <c r="RYV49" s="16"/>
      <c r="RYW49" s="17"/>
      <c r="RYX49" s="30"/>
      <c r="RYY49" s="31"/>
      <c r="RYZ49" s="16"/>
      <c r="RZA49" s="17"/>
      <c r="RZB49" s="30"/>
      <c r="RZC49" s="31"/>
      <c r="RZD49" s="16"/>
      <c r="RZE49" s="17"/>
      <c r="RZF49" s="30"/>
      <c r="RZG49" s="31"/>
      <c r="RZH49" s="16"/>
      <c r="RZI49" s="17"/>
      <c r="RZJ49" s="30"/>
      <c r="RZK49" s="31"/>
      <c r="RZL49" s="16"/>
      <c r="RZM49" s="17"/>
      <c r="RZN49" s="30"/>
      <c r="RZO49" s="31"/>
      <c r="RZP49" s="16"/>
      <c r="RZQ49" s="17"/>
      <c r="RZR49" s="30"/>
      <c r="RZS49" s="31"/>
      <c r="RZT49" s="16"/>
      <c r="RZU49" s="17"/>
      <c r="RZV49" s="30"/>
      <c r="RZW49" s="31"/>
      <c r="RZX49" s="16"/>
      <c r="RZY49" s="17"/>
      <c r="RZZ49" s="30"/>
      <c r="SAA49" s="31"/>
      <c r="SAB49" s="16"/>
      <c r="SAC49" s="17"/>
      <c r="SAD49" s="30"/>
      <c r="SAE49" s="31"/>
      <c r="SAF49" s="16"/>
      <c r="SAG49" s="17"/>
      <c r="SAH49" s="30"/>
      <c r="SAI49" s="31"/>
      <c r="SAJ49" s="16"/>
      <c r="SAK49" s="17"/>
      <c r="SAL49" s="30"/>
      <c r="SAM49" s="31"/>
      <c r="SAN49" s="16"/>
      <c r="SAO49" s="17"/>
      <c r="SAP49" s="30"/>
      <c r="SAQ49" s="31"/>
      <c r="SAR49" s="16"/>
      <c r="SAS49" s="17"/>
      <c r="SAT49" s="30"/>
      <c r="SAU49" s="31"/>
      <c r="SAV49" s="16"/>
      <c r="SAW49" s="17"/>
      <c r="SAX49" s="30"/>
      <c r="SAY49" s="31"/>
      <c r="SAZ49" s="16"/>
      <c r="SBA49" s="17"/>
      <c r="SBB49" s="30"/>
      <c r="SBC49" s="31"/>
      <c r="SBD49" s="16"/>
      <c r="SBE49" s="17"/>
      <c r="SBF49" s="30"/>
      <c r="SBG49" s="31"/>
      <c r="SBH49" s="16"/>
      <c r="SBI49" s="17"/>
      <c r="SBJ49" s="30"/>
      <c r="SBK49" s="31"/>
      <c r="SBL49" s="16"/>
      <c r="SBM49" s="17"/>
      <c r="SBN49" s="30"/>
      <c r="SBO49" s="31"/>
      <c r="SBP49" s="16"/>
      <c r="SBQ49" s="17"/>
      <c r="SBR49" s="30"/>
      <c r="SBS49" s="31"/>
      <c r="SBT49" s="16"/>
      <c r="SBU49" s="17"/>
      <c r="SBV49" s="30"/>
      <c r="SBW49" s="31"/>
      <c r="SBX49" s="16"/>
      <c r="SBY49" s="17"/>
      <c r="SBZ49" s="30"/>
      <c r="SCA49" s="31"/>
      <c r="SCB49" s="16"/>
      <c r="SCC49" s="17"/>
      <c r="SCD49" s="30"/>
      <c r="SCE49" s="31"/>
      <c r="SCF49" s="16"/>
      <c r="SCG49" s="17"/>
      <c r="SCH49" s="30"/>
      <c r="SCI49" s="31"/>
      <c r="SCJ49" s="16"/>
      <c r="SCK49" s="17"/>
      <c r="SCL49" s="30"/>
      <c r="SCM49" s="31"/>
      <c r="SCN49" s="16"/>
      <c r="SCO49" s="17"/>
      <c r="SCP49" s="30"/>
      <c r="SCQ49" s="31"/>
      <c r="SCR49" s="16"/>
      <c r="SCS49" s="17"/>
      <c r="SCT49" s="30"/>
      <c r="SCU49" s="31"/>
      <c r="SCV49" s="16"/>
      <c r="SCW49" s="17"/>
      <c r="SCX49" s="30"/>
      <c r="SCY49" s="31"/>
      <c r="SCZ49" s="16"/>
      <c r="SDA49" s="17"/>
      <c r="SDB49" s="30"/>
      <c r="SDC49" s="31"/>
      <c r="SDD49" s="16"/>
      <c r="SDE49" s="17"/>
      <c r="SDF49" s="30"/>
      <c r="SDG49" s="31"/>
      <c r="SDH49" s="16"/>
      <c r="SDI49" s="17"/>
      <c r="SDJ49" s="30"/>
      <c r="SDK49" s="31"/>
      <c r="SDL49" s="16"/>
      <c r="SDM49" s="17"/>
      <c r="SDN49" s="30"/>
      <c r="SDO49" s="31"/>
      <c r="SDP49" s="16"/>
      <c r="SDQ49" s="17"/>
      <c r="SDR49" s="30"/>
      <c r="SDS49" s="31"/>
      <c r="SDT49" s="16"/>
      <c r="SDU49" s="17"/>
      <c r="SDV49" s="30"/>
      <c r="SDW49" s="31"/>
      <c r="SDX49" s="16"/>
      <c r="SDY49" s="17"/>
      <c r="SDZ49" s="30"/>
      <c r="SEA49" s="31"/>
      <c r="SEB49" s="16"/>
      <c r="SEC49" s="17"/>
      <c r="SED49" s="30"/>
      <c r="SEE49" s="31"/>
      <c r="SEF49" s="16"/>
      <c r="SEG49" s="17"/>
      <c r="SEH49" s="30"/>
      <c r="SEI49" s="31"/>
      <c r="SEJ49" s="16"/>
      <c r="SEK49" s="17"/>
      <c r="SEL49" s="30"/>
      <c r="SEM49" s="31"/>
      <c r="SEN49" s="16"/>
      <c r="SEO49" s="17"/>
      <c r="SEP49" s="30"/>
      <c r="SEQ49" s="31"/>
      <c r="SER49" s="16"/>
      <c r="SES49" s="17"/>
      <c r="SET49" s="30"/>
      <c r="SEU49" s="31"/>
      <c r="SEV49" s="16"/>
      <c r="SEW49" s="17"/>
      <c r="SEX49" s="30"/>
      <c r="SEY49" s="31"/>
      <c r="SEZ49" s="16"/>
      <c r="SFA49" s="17"/>
      <c r="SFB49" s="30"/>
      <c r="SFC49" s="31"/>
      <c r="SFD49" s="16"/>
      <c r="SFE49" s="17"/>
      <c r="SFF49" s="30"/>
      <c r="SFG49" s="31"/>
      <c r="SFH49" s="16"/>
      <c r="SFI49" s="17"/>
      <c r="SFJ49" s="30"/>
      <c r="SFK49" s="31"/>
      <c r="SFL49" s="16"/>
      <c r="SFM49" s="17"/>
      <c r="SFN49" s="30"/>
      <c r="SFO49" s="31"/>
      <c r="SFP49" s="16"/>
      <c r="SFQ49" s="17"/>
      <c r="SFR49" s="30"/>
      <c r="SFS49" s="31"/>
      <c r="SFT49" s="16"/>
      <c r="SFU49" s="17"/>
      <c r="SFV49" s="30"/>
      <c r="SFW49" s="31"/>
      <c r="SFX49" s="16"/>
      <c r="SFY49" s="17"/>
      <c r="SFZ49" s="30"/>
      <c r="SGA49" s="31"/>
      <c r="SGB49" s="16"/>
      <c r="SGC49" s="17"/>
      <c r="SGD49" s="30"/>
      <c r="SGE49" s="31"/>
      <c r="SGF49" s="16"/>
      <c r="SGG49" s="17"/>
      <c r="SGH49" s="30"/>
      <c r="SGI49" s="31"/>
      <c r="SGJ49" s="16"/>
      <c r="SGK49" s="17"/>
      <c r="SGL49" s="30"/>
      <c r="SGM49" s="31"/>
      <c r="SGN49" s="16"/>
      <c r="SGO49" s="17"/>
      <c r="SGP49" s="30"/>
      <c r="SGQ49" s="31"/>
      <c r="SGR49" s="16"/>
      <c r="SGS49" s="17"/>
      <c r="SGT49" s="30"/>
      <c r="SGU49" s="31"/>
      <c r="SGV49" s="16"/>
      <c r="SGW49" s="17"/>
      <c r="SGX49" s="30"/>
      <c r="SGY49" s="31"/>
      <c r="SGZ49" s="16"/>
      <c r="SHA49" s="17"/>
      <c r="SHB49" s="30"/>
      <c r="SHC49" s="31"/>
      <c r="SHD49" s="16"/>
      <c r="SHE49" s="17"/>
      <c r="SHF49" s="30"/>
      <c r="SHG49" s="31"/>
      <c r="SHH49" s="16"/>
      <c r="SHI49" s="17"/>
      <c r="SHJ49" s="30"/>
      <c r="SHK49" s="31"/>
      <c r="SHL49" s="16"/>
      <c r="SHM49" s="17"/>
      <c r="SHN49" s="30"/>
      <c r="SHO49" s="31"/>
      <c r="SHP49" s="16"/>
      <c r="SHQ49" s="17"/>
      <c r="SHR49" s="30"/>
      <c r="SHS49" s="31"/>
      <c r="SHT49" s="16"/>
      <c r="SHU49" s="17"/>
      <c r="SHV49" s="30"/>
      <c r="SHW49" s="31"/>
      <c r="SHX49" s="16"/>
      <c r="SHY49" s="17"/>
      <c r="SHZ49" s="30"/>
      <c r="SIA49" s="31"/>
      <c r="SIB49" s="16"/>
      <c r="SIC49" s="17"/>
      <c r="SID49" s="30"/>
      <c r="SIE49" s="31"/>
      <c r="SIF49" s="16"/>
      <c r="SIG49" s="17"/>
      <c r="SIH49" s="30"/>
      <c r="SII49" s="31"/>
      <c r="SIJ49" s="16"/>
      <c r="SIK49" s="17"/>
      <c r="SIL49" s="30"/>
      <c r="SIM49" s="31"/>
      <c r="SIN49" s="16"/>
      <c r="SIO49" s="17"/>
      <c r="SIP49" s="30"/>
      <c r="SIQ49" s="31"/>
      <c r="SIR49" s="16"/>
      <c r="SIS49" s="17"/>
      <c r="SIT49" s="30"/>
      <c r="SIU49" s="31"/>
      <c r="SIV49" s="16"/>
      <c r="SIW49" s="17"/>
      <c r="SIX49" s="30"/>
      <c r="SIY49" s="31"/>
      <c r="SIZ49" s="16"/>
      <c r="SJA49" s="17"/>
      <c r="SJB49" s="30"/>
      <c r="SJC49" s="31"/>
      <c r="SJD49" s="16"/>
      <c r="SJE49" s="17"/>
      <c r="SJF49" s="30"/>
      <c r="SJG49" s="31"/>
      <c r="SJH49" s="16"/>
      <c r="SJI49" s="17"/>
      <c r="SJJ49" s="30"/>
      <c r="SJK49" s="31"/>
      <c r="SJL49" s="16"/>
      <c r="SJM49" s="17"/>
      <c r="SJN49" s="30"/>
      <c r="SJO49" s="31"/>
      <c r="SJP49" s="16"/>
      <c r="SJQ49" s="17"/>
      <c r="SJR49" s="30"/>
      <c r="SJS49" s="31"/>
      <c r="SJT49" s="16"/>
      <c r="SJU49" s="17"/>
      <c r="SJV49" s="30"/>
      <c r="SJW49" s="31"/>
      <c r="SJX49" s="16"/>
      <c r="SJY49" s="17"/>
      <c r="SJZ49" s="30"/>
      <c r="SKA49" s="31"/>
      <c r="SKB49" s="16"/>
      <c r="SKC49" s="17"/>
      <c r="SKD49" s="30"/>
      <c r="SKE49" s="31"/>
      <c r="SKF49" s="16"/>
      <c r="SKG49" s="17"/>
      <c r="SKH49" s="30"/>
      <c r="SKI49" s="31"/>
      <c r="SKJ49" s="16"/>
      <c r="SKK49" s="17"/>
      <c r="SKL49" s="30"/>
      <c r="SKM49" s="31"/>
      <c r="SKN49" s="16"/>
      <c r="SKO49" s="17"/>
      <c r="SKP49" s="30"/>
      <c r="SKQ49" s="31"/>
      <c r="SKR49" s="16"/>
      <c r="SKS49" s="17"/>
      <c r="SKT49" s="30"/>
      <c r="SKU49" s="31"/>
      <c r="SKV49" s="16"/>
      <c r="SKW49" s="17"/>
      <c r="SKX49" s="30"/>
      <c r="SKY49" s="31"/>
      <c r="SKZ49" s="16"/>
      <c r="SLA49" s="17"/>
      <c r="SLB49" s="30"/>
      <c r="SLC49" s="31"/>
      <c r="SLD49" s="16"/>
      <c r="SLE49" s="17"/>
      <c r="SLF49" s="30"/>
      <c r="SLG49" s="31"/>
      <c r="SLH49" s="16"/>
      <c r="SLI49" s="17"/>
      <c r="SLJ49" s="30"/>
      <c r="SLK49" s="31"/>
      <c r="SLL49" s="16"/>
      <c r="SLM49" s="17"/>
      <c r="SLN49" s="30"/>
      <c r="SLO49" s="31"/>
      <c r="SLP49" s="16"/>
      <c r="SLQ49" s="17"/>
      <c r="SLR49" s="30"/>
      <c r="SLS49" s="31"/>
      <c r="SLT49" s="16"/>
      <c r="SLU49" s="17"/>
      <c r="SLV49" s="30"/>
      <c r="SLW49" s="31"/>
      <c r="SLX49" s="16"/>
      <c r="SLY49" s="17"/>
      <c r="SLZ49" s="30"/>
      <c r="SMA49" s="31"/>
      <c r="SMB49" s="16"/>
      <c r="SMC49" s="17"/>
      <c r="SMD49" s="30"/>
      <c r="SME49" s="31"/>
      <c r="SMF49" s="16"/>
      <c r="SMG49" s="17"/>
      <c r="SMH49" s="30"/>
      <c r="SMI49" s="31"/>
      <c r="SMJ49" s="16"/>
      <c r="SMK49" s="17"/>
      <c r="SML49" s="30"/>
      <c r="SMM49" s="31"/>
      <c r="SMN49" s="16"/>
      <c r="SMO49" s="17"/>
      <c r="SMP49" s="30"/>
      <c r="SMQ49" s="31"/>
      <c r="SMR49" s="16"/>
      <c r="SMS49" s="17"/>
      <c r="SMT49" s="30"/>
      <c r="SMU49" s="31"/>
      <c r="SMV49" s="16"/>
      <c r="SMW49" s="17"/>
      <c r="SMX49" s="30"/>
      <c r="SMY49" s="31"/>
      <c r="SMZ49" s="16"/>
      <c r="SNA49" s="17"/>
      <c r="SNB49" s="30"/>
      <c r="SNC49" s="31"/>
      <c r="SND49" s="16"/>
      <c r="SNE49" s="17"/>
      <c r="SNF49" s="30"/>
      <c r="SNG49" s="31"/>
      <c r="SNH49" s="16"/>
      <c r="SNI49" s="17"/>
      <c r="SNJ49" s="30"/>
      <c r="SNK49" s="31"/>
      <c r="SNL49" s="16"/>
      <c r="SNM49" s="17"/>
      <c r="SNN49" s="30"/>
      <c r="SNO49" s="31"/>
      <c r="SNP49" s="16"/>
      <c r="SNQ49" s="17"/>
      <c r="SNR49" s="30"/>
      <c r="SNS49" s="31"/>
      <c r="SNT49" s="16"/>
      <c r="SNU49" s="17"/>
      <c r="SNV49" s="30"/>
      <c r="SNW49" s="31"/>
      <c r="SNX49" s="16"/>
      <c r="SNY49" s="17"/>
      <c r="SNZ49" s="30"/>
      <c r="SOA49" s="31"/>
      <c r="SOB49" s="16"/>
      <c r="SOC49" s="17"/>
      <c r="SOD49" s="30"/>
      <c r="SOE49" s="31"/>
      <c r="SOF49" s="16"/>
      <c r="SOG49" s="17"/>
      <c r="SOH49" s="30"/>
      <c r="SOI49" s="31"/>
      <c r="SOJ49" s="16"/>
      <c r="SOK49" s="17"/>
      <c r="SOL49" s="30"/>
      <c r="SOM49" s="31"/>
      <c r="SON49" s="16"/>
      <c r="SOO49" s="17"/>
      <c r="SOP49" s="30"/>
      <c r="SOQ49" s="31"/>
      <c r="SOR49" s="16"/>
      <c r="SOS49" s="17"/>
      <c r="SOT49" s="30"/>
      <c r="SOU49" s="31"/>
      <c r="SOV49" s="16"/>
      <c r="SOW49" s="17"/>
      <c r="SOX49" s="30"/>
      <c r="SOY49" s="31"/>
      <c r="SOZ49" s="16"/>
      <c r="SPA49" s="17"/>
      <c r="SPB49" s="30"/>
      <c r="SPC49" s="31"/>
      <c r="SPD49" s="16"/>
      <c r="SPE49" s="17"/>
      <c r="SPF49" s="30"/>
      <c r="SPG49" s="31"/>
      <c r="SPH49" s="16"/>
      <c r="SPI49" s="17"/>
      <c r="SPJ49" s="30"/>
      <c r="SPK49" s="31"/>
      <c r="SPL49" s="16"/>
      <c r="SPM49" s="17"/>
      <c r="SPN49" s="30"/>
      <c r="SPO49" s="31"/>
      <c r="SPP49" s="16"/>
      <c r="SPQ49" s="17"/>
      <c r="SPR49" s="30"/>
      <c r="SPS49" s="31"/>
      <c r="SPT49" s="16"/>
      <c r="SPU49" s="17"/>
      <c r="SPV49" s="30"/>
      <c r="SPW49" s="31"/>
      <c r="SPX49" s="16"/>
      <c r="SPY49" s="17"/>
      <c r="SPZ49" s="30"/>
      <c r="SQA49" s="31"/>
      <c r="SQB49" s="16"/>
      <c r="SQC49" s="17"/>
      <c r="SQD49" s="30"/>
      <c r="SQE49" s="31"/>
      <c r="SQF49" s="16"/>
      <c r="SQG49" s="17"/>
      <c r="SQH49" s="30"/>
      <c r="SQI49" s="31"/>
      <c r="SQJ49" s="16"/>
      <c r="SQK49" s="17"/>
      <c r="SQL49" s="30"/>
      <c r="SQM49" s="31"/>
      <c r="SQN49" s="16"/>
      <c r="SQO49" s="17"/>
      <c r="SQP49" s="30"/>
      <c r="SQQ49" s="31"/>
      <c r="SQR49" s="16"/>
      <c r="SQS49" s="17"/>
      <c r="SQT49" s="30"/>
      <c r="SQU49" s="31"/>
      <c r="SQV49" s="16"/>
      <c r="SQW49" s="17"/>
      <c r="SQX49" s="30"/>
      <c r="SQY49" s="31"/>
      <c r="SQZ49" s="16"/>
      <c r="SRA49" s="17"/>
      <c r="SRB49" s="30"/>
      <c r="SRC49" s="31"/>
      <c r="SRD49" s="16"/>
      <c r="SRE49" s="17"/>
      <c r="SRF49" s="30"/>
      <c r="SRG49" s="31"/>
      <c r="SRH49" s="16"/>
      <c r="SRI49" s="17"/>
      <c r="SRJ49" s="30"/>
      <c r="SRK49" s="31"/>
      <c r="SRL49" s="16"/>
      <c r="SRM49" s="17"/>
      <c r="SRN49" s="30"/>
      <c r="SRO49" s="31"/>
      <c r="SRP49" s="16"/>
      <c r="SRQ49" s="17"/>
      <c r="SRR49" s="30"/>
      <c r="SRS49" s="31"/>
      <c r="SRT49" s="16"/>
      <c r="SRU49" s="17"/>
      <c r="SRV49" s="30"/>
      <c r="SRW49" s="31"/>
      <c r="SRX49" s="16"/>
      <c r="SRY49" s="17"/>
      <c r="SRZ49" s="30"/>
      <c r="SSA49" s="31"/>
      <c r="SSB49" s="16"/>
      <c r="SSC49" s="17"/>
      <c r="SSD49" s="30"/>
      <c r="SSE49" s="31"/>
      <c r="SSF49" s="16"/>
      <c r="SSG49" s="17"/>
      <c r="SSH49" s="30"/>
      <c r="SSI49" s="31"/>
      <c r="SSJ49" s="16"/>
      <c r="SSK49" s="17"/>
      <c r="SSL49" s="30"/>
      <c r="SSM49" s="31"/>
      <c r="SSN49" s="16"/>
      <c r="SSO49" s="17"/>
      <c r="SSP49" s="30"/>
      <c r="SSQ49" s="31"/>
      <c r="SSR49" s="16"/>
      <c r="SSS49" s="17"/>
      <c r="SST49" s="30"/>
      <c r="SSU49" s="31"/>
      <c r="SSV49" s="16"/>
      <c r="SSW49" s="17"/>
      <c r="SSX49" s="30"/>
      <c r="SSY49" s="31"/>
      <c r="SSZ49" s="16"/>
      <c r="STA49" s="17"/>
      <c r="STB49" s="30"/>
      <c r="STC49" s="31"/>
      <c r="STD49" s="16"/>
      <c r="STE49" s="17"/>
      <c r="STF49" s="30"/>
      <c r="STG49" s="31"/>
      <c r="STH49" s="16"/>
      <c r="STI49" s="17"/>
      <c r="STJ49" s="30"/>
      <c r="STK49" s="31"/>
      <c r="STL49" s="16"/>
      <c r="STM49" s="17"/>
      <c r="STN49" s="30"/>
      <c r="STO49" s="31"/>
      <c r="STP49" s="16"/>
      <c r="STQ49" s="17"/>
      <c r="STR49" s="30"/>
      <c r="STS49" s="31"/>
      <c r="STT49" s="16"/>
      <c r="STU49" s="17"/>
      <c r="STV49" s="30"/>
      <c r="STW49" s="31"/>
      <c r="STX49" s="16"/>
      <c r="STY49" s="17"/>
      <c r="STZ49" s="30"/>
      <c r="SUA49" s="31"/>
      <c r="SUB49" s="16"/>
      <c r="SUC49" s="17"/>
      <c r="SUD49" s="30"/>
      <c r="SUE49" s="31"/>
      <c r="SUF49" s="16"/>
      <c r="SUG49" s="17"/>
      <c r="SUH49" s="30"/>
      <c r="SUI49" s="31"/>
      <c r="SUJ49" s="16"/>
      <c r="SUK49" s="17"/>
      <c r="SUL49" s="30"/>
      <c r="SUM49" s="31"/>
      <c r="SUN49" s="16"/>
      <c r="SUO49" s="17"/>
      <c r="SUP49" s="30"/>
      <c r="SUQ49" s="31"/>
      <c r="SUR49" s="16"/>
      <c r="SUS49" s="17"/>
      <c r="SUT49" s="30"/>
      <c r="SUU49" s="31"/>
      <c r="SUV49" s="16"/>
      <c r="SUW49" s="17"/>
      <c r="SUX49" s="30"/>
      <c r="SUY49" s="31"/>
      <c r="SUZ49" s="16"/>
      <c r="SVA49" s="17"/>
      <c r="SVB49" s="30"/>
      <c r="SVC49" s="31"/>
      <c r="SVD49" s="16"/>
      <c r="SVE49" s="17"/>
      <c r="SVF49" s="30"/>
      <c r="SVG49" s="31"/>
      <c r="SVH49" s="16"/>
      <c r="SVI49" s="17"/>
      <c r="SVJ49" s="30"/>
      <c r="SVK49" s="31"/>
      <c r="SVL49" s="16"/>
      <c r="SVM49" s="17"/>
      <c r="SVN49" s="30"/>
      <c r="SVO49" s="31"/>
      <c r="SVP49" s="16"/>
      <c r="SVQ49" s="17"/>
      <c r="SVR49" s="30"/>
      <c r="SVS49" s="31"/>
      <c r="SVT49" s="16"/>
      <c r="SVU49" s="17"/>
      <c r="SVV49" s="30"/>
      <c r="SVW49" s="31"/>
      <c r="SVX49" s="16"/>
      <c r="SVY49" s="17"/>
      <c r="SVZ49" s="30"/>
      <c r="SWA49" s="31"/>
      <c r="SWB49" s="16"/>
      <c r="SWC49" s="17"/>
      <c r="SWD49" s="30"/>
      <c r="SWE49" s="31"/>
      <c r="SWF49" s="16"/>
      <c r="SWG49" s="17"/>
      <c r="SWH49" s="30"/>
      <c r="SWI49" s="31"/>
      <c r="SWJ49" s="16"/>
      <c r="SWK49" s="17"/>
      <c r="SWL49" s="30"/>
      <c r="SWM49" s="31"/>
      <c r="SWN49" s="16"/>
      <c r="SWO49" s="17"/>
      <c r="SWP49" s="30"/>
      <c r="SWQ49" s="31"/>
      <c r="SWR49" s="16"/>
      <c r="SWS49" s="17"/>
      <c r="SWT49" s="30"/>
      <c r="SWU49" s="31"/>
      <c r="SWV49" s="16"/>
      <c r="SWW49" s="17"/>
      <c r="SWX49" s="30"/>
      <c r="SWY49" s="31"/>
      <c r="SWZ49" s="16"/>
      <c r="SXA49" s="17"/>
      <c r="SXB49" s="30"/>
      <c r="SXC49" s="31"/>
      <c r="SXD49" s="16"/>
      <c r="SXE49" s="17"/>
      <c r="SXF49" s="30"/>
      <c r="SXG49" s="31"/>
      <c r="SXH49" s="16"/>
      <c r="SXI49" s="17"/>
      <c r="SXJ49" s="30"/>
      <c r="SXK49" s="31"/>
      <c r="SXL49" s="16"/>
      <c r="SXM49" s="17"/>
      <c r="SXN49" s="30"/>
      <c r="SXO49" s="31"/>
      <c r="SXP49" s="16"/>
      <c r="SXQ49" s="17"/>
      <c r="SXR49" s="30"/>
      <c r="SXS49" s="31"/>
      <c r="SXT49" s="16"/>
      <c r="SXU49" s="17"/>
      <c r="SXV49" s="30"/>
      <c r="SXW49" s="31"/>
      <c r="SXX49" s="16"/>
      <c r="SXY49" s="17"/>
      <c r="SXZ49" s="30"/>
      <c r="SYA49" s="31"/>
      <c r="SYB49" s="16"/>
      <c r="SYC49" s="17"/>
      <c r="SYD49" s="30"/>
      <c r="SYE49" s="31"/>
      <c r="SYF49" s="16"/>
      <c r="SYG49" s="17"/>
      <c r="SYH49" s="30"/>
      <c r="SYI49" s="31"/>
      <c r="SYJ49" s="16"/>
      <c r="SYK49" s="17"/>
      <c r="SYL49" s="30"/>
      <c r="SYM49" s="31"/>
      <c r="SYN49" s="16"/>
      <c r="SYO49" s="17"/>
      <c r="SYP49" s="30"/>
      <c r="SYQ49" s="31"/>
      <c r="SYR49" s="16"/>
      <c r="SYS49" s="17"/>
      <c r="SYT49" s="30"/>
      <c r="SYU49" s="31"/>
      <c r="SYV49" s="16"/>
      <c r="SYW49" s="17"/>
      <c r="SYX49" s="30"/>
      <c r="SYY49" s="31"/>
      <c r="SYZ49" s="16"/>
      <c r="SZA49" s="17"/>
      <c r="SZB49" s="30"/>
      <c r="SZC49" s="31"/>
      <c r="SZD49" s="16"/>
      <c r="SZE49" s="17"/>
      <c r="SZF49" s="30"/>
      <c r="SZG49" s="31"/>
      <c r="SZH49" s="16"/>
      <c r="SZI49" s="17"/>
      <c r="SZJ49" s="30"/>
      <c r="SZK49" s="31"/>
      <c r="SZL49" s="16"/>
      <c r="SZM49" s="17"/>
      <c r="SZN49" s="30"/>
      <c r="SZO49" s="31"/>
      <c r="SZP49" s="16"/>
      <c r="SZQ49" s="17"/>
      <c r="SZR49" s="30"/>
      <c r="SZS49" s="31"/>
      <c r="SZT49" s="16"/>
      <c r="SZU49" s="17"/>
      <c r="SZV49" s="30"/>
      <c r="SZW49" s="31"/>
      <c r="SZX49" s="16"/>
      <c r="SZY49" s="17"/>
      <c r="SZZ49" s="30"/>
      <c r="TAA49" s="31"/>
      <c r="TAB49" s="16"/>
      <c r="TAC49" s="17"/>
      <c r="TAD49" s="30"/>
      <c r="TAE49" s="31"/>
      <c r="TAF49" s="16"/>
      <c r="TAG49" s="17"/>
      <c r="TAH49" s="30"/>
      <c r="TAI49" s="31"/>
      <c r="TAJ49" s="16"/>
      <c r="TAK49" s="17"/>
      <c r="TAL49" s="30"/>
      <c r="TAM49" s="31"/>
      <c r="TAN49" s="16"/>
      <c r="TAO49" s="17"/>
      <c r="TAP49" s="30"/>
      <c r="TAQ49" s="31"/>
      <c r="TAR49" s="16"/>
      <c r="TAS49" s="17"/>
      <c r="TAT49" s="30"/>
      <c r="TAU49" s="31"/>
      <c r="TAV49" s="16"/>
      <c r="TAW49" s="17"/>
      <c r="TAX49" s="30"/>
      <c r="TAY49" s="31"/>
      <c r="TAZ49" s="16"/>
      <c r="TBA49" s="17"/>
      <c r="TBB49" s="30"/>
      <c r="TBC49" s="31"/>
      <c r="TBD49" s="16"/>
      <c r="TBE49" s="17"/>
      <c r="TBF49" s="30"/>
      <c r="TBG49" s="31"/>
      <c r="TBH49" s="16"/>
      <c r="TBI49" s="17"/>
      <c r="TBJ49" s="30"/>
      <c r="TBK49" s="31"/>
      <c r="TBL49" s="16"/>
      <c r="TBM49" s="17"/>
      <c r="TBN49" s="30"/>
      <c r="TBO49" s="31"/>
      <c r="TBP49" s="16"/>
      <c r="TBQ49" s="17"/>
      <c r="TBR49" s="30"/>
      <c r="TBS49" s="31"/>
      <c r="TBT49" s="16"/>
      <c r="TBU49" s="17"/>
      <c r="TBV49" s="30"/>
      <c r="TBW49" s="31"/>
      <c r="TBX49" s="16"/>
      <c r="TBY49" s="17"/>
      <c r="TBZ49" s="30"/>
      <c r="TCA49" s="31"/>
      <c r="TCB49" s="16"/>
      <c r="TCC49" s="17"/>
      <c r="TCD49" s="30"/>
      <c r="TCE49" s="31"/>
      <c r="TCF49" s="16"/>
      <c r="TCG49" s="17"/>
      <c r="TCH49" s="30"/>
      <c r="TCI49" s="31"/>
      <c r="TCJ49" s="16"/>
      <c r="TCK49" s="17"/>
      <c r="TCL49" s="30"/>
      <c r="TCM49" s="31"/>
      <c r="TCN49" s="16"/>
      <c r="TCO49" s="17"/>
      <c r="TCP49" s="30"/>
      <c r="TCQ49" s="31"/>
      <c r="TCR49" s="16"/>
      <c r="TCS49" s="17"/>
      <c r="TCT49" s="30"/>
      <c r="TCU49" s="31"/>
      <c r="TCV49" s="16"/>
      <c r="TCW49" s="17"/>
      <c r="TCX49" s="30"/>
      <c r="TCY49" s="31"/>
      <c r="TCZ49" s="16"/>
      <c r="TDA49" s="17"/>
      <c r="TDB49" s="30"/>
      <c r="TDC49" s="31"/>
      <c r="TDD49" s="16"/>
      <c r="TDE49" s="17"/>
      <c r="TDF49" s="30"/>
      <c r="TDG49" s="31"/>
      <c r="TDH49" s="16"/>
      <c r="TDI49" s="17"/>
      <c r="TDJ49" s="30"/>
      <c r="TDK49" s="31"/>
      <c r="TDL49" s="16"/>
      <c r="TDM49" s="17"/>
      <c r="TDN49" s="30"/>
      <c r="TDO49" s="31"/>
      <c r="TDP49" s="16"/>
      <c r="TDQ49" s="17"/>
      <c r="TDR49" s="30"/>
      <c r="TDS49" s="31"/>
      <c r="TDT49" s="16"/>
      <c r="TDU49" s="17"/>
      <c r="TDV49" s="30"/>
      <c r="TDW49" s="31"/>
      <c r="TDX49" s="16"/>
      <c r="TDY49" s="17"/>
      <c r="TDZ49" s="30"/>
      <c r="TEA49" s="31"/>
      <c r="TEB49" s="16"/>
      <c r="TEC49" s="17"/>
      <c r="TED49" s="30"/>
      <c r="TEE49" s="31"/>
      <c r="TEF49" s="16"/>
      <c r="TEG49" s="17"/>
      <c r="TEH49" s="30"/>
      <c r="TEI49" s="31"/>
      <c r="TEJ49" s="16"/>
      <c r="TEK49" s="17"/>
      <c r="TEL49" s="30"/>
      <c r="TEM49" s="31"/>
      <c r="TEN49" s="16"/>
      <c r="TEO49" s="17"/>
      <c r="TEP49" s="30"/>
      <c r="TEQ49" s="31"/>
      <c r="TER49" s="16"/>
      <c r="TES49" s="17"/>
      <c r="TET49" s="30"/>
      <c r="TEU49" s="31"/>
      <c r="TEV49" s="16"/>
      <c r="TEW49" s="17"/>
      <c r="TEX49" s="30"/>
      <c r="TEY49" s="31"/>
      <c r="TEZ49" s="16"/>
      <c r="TFA49" s="17"/>
      <c r="TFB49" s="30"/>
      <c r="TFC49" s="31"/>
      <c r="TFD49" s="16"/>
      <c r="TFE49" s="17"/>
      <c r="TFF49" s="30"/>
      <c r="TFG49" s="31"/>
      <c r="TFH49" s="16"/>
      <c r="TFI49" s="17"/>
      <c r="TFJ49" s="30"/>
      <c r="TFK49" s="31"/>
      <c r="TFL49" s="16"/>
      <c r="TFM49" s="17"/>
      <c r="TFN49" s="30"/>
      <c r="TFO49" s="31"/>
      <c r="TFP49" s="16"/>
      <c r="TFQ49" s="17"/>
      <c r="TFR49" s="30"/>
      <c r="TFS49" s="31"/>
      <c r="TFT49" s="16"/>
      <c r="TFU49" s="17"/>
      <c r="TFV49" s="30"/>
      <c r="TFW49" s="31"/>
      <c r="TFX49" s="16"/>
      <c r="TFY49" s="17"/>
      <c r="TFZ49" s="30"/>
      <c r="TGA49" s="31"/>
      <c r="TGB49" s="16"/>
      <c r="TGC49" s="17"/>
      <c r="TGD49" s="30"/>
      <c r="TGE49" s="31"/>
      <c r="TGF49" s="16"/>
      <c r="TGG49" s="17"/>
      <c r="TGH49" s="30"/>
      <c r="TGI49" s="31"/>
      <c r="TGJ49" s="16"/>
      <c r="TGK49" s="17"/>
      <c r="TGL49" s="30"/>
      <c r="TGM49" s="31"/>
      <c r="TGN49" s="16"/>
      <c r="TGO49" s="17"/>
      <c r="TGP49" s="30"/>
      <c r="TGQ49" s="31"/>
      <c r="TGR49" s="16"/>
      <c r="TGS49" s="17"/>
      <c r="TGT49" s="30"/>
      <c r="TGU49" s="31"/>
      <c r="TGV49" s="16"/>
      <c r="TGW49" s="17"/>
      <c r="TGX49" s="30"/>
      <c r="TGY49" s="31"/>
      <c r="TGZ49" s="16"/>
      <c r="THA49" s="17"/>
      <c r="THB49" s="30"/>
      <c r="THC49" s="31"/>
      <c r="THD49" s="16"/>
      <c r="THE49" s="17"/>
      <c r="THF49" s="30"/>
      <c r="THG49" s="31"/>
      <c r="THH49" s="16"/>
      <c r="THI49" s="17"/>
      <c r="THJ49" s="30"/>
      <c r="THK49" s="31"/>
      <c r="THL49" s="16"/>
      <c r="THM49" s="17"/>
      <c r="THN49" s="30"/>
      <c r="THO49" s="31"/>
      <c r="THP49" s="16"/>
      <c r="THQ49" s="17"/>
      <c r="THR49" s="30"/>
      <c r="THS49" s="31"/>
      <c r="THT49" s="16"/>
      <c r="THU49" s="17"/>
      <c r="THV49" s="30"/>
      <c r="THW49" s="31"/>
      <c r="THX49" s="16"/>
      <c r="THY49" s="17"/>
      <c r="THZ49" s="30"/>
      <c r="TIA49" s="31"/>
      <c r="TIB49" s="16"/>
      <c r="TIC49" s="17"/>
      <c r="TID49" s="30"/>
      <c r="TIE49" s="31"/>
      <c r="TIF49" s="16"/>
      <c r="TIG49" s="17"/>
      <c r="TIH49" s="30"/>
      <c r="TII49" s="31"/>
      <c r="TIJ49" s="16"/>
      <c r="TIK49" s="17"/>
      <c r="TIL49" s="30"/>
      <c r="TIM49" s="31"/>
      <c r="TIN49" s="16"/>
      <c r="TIO49" s="17"/>
      <c r="TIP49" s="30"/>
      <c r="TIQ49" s="31"/>
      <c r="TIR49" s="16"/>
      <c r="TIS49" s="17"/>
      <c r="TIT49" s="30"/>
      <c r="TIU49" s="31"/>
      <c r="TIV49" s="16"/>
      <c r="TIW49" s="17"/>
      <c r="TIX49" s="30"/>
      <c r="TIY49" s="31"/>
      <c r="TIZ49" s="16"/>
      <c r="TJA49" s="17"/>
      <c r="TJB49" s="30"/>
      <c r="TJC49" s="31"/>
      <c r="TJD49" s="16"/>
      <c r="TJE49" s="17"/>
      <c r="TJF49" s="30"/>
      <c r="TJG49" s="31"/>
      <c r="TJH49" s="16"/>
      <c r="TJI49" s="17"/>
      <c r="TJJ49" s="30"/>
      <c r="TJK49" s="31"/>
      <c r="TJL49" s="16"/>
      <c r="TJM49" s="17"/>
      <c r="TJN49" s="30"/>
      <c r="TJO49" s="31"/>
      <c r="TJP49" s="16"/>
      <c r="TJQ49" s="17"/>
      <c r="TJR49" s="30"/>
      <c r="TJS49" s="31"/>
      <c r="TJT49" s="16"/>
      <c r="TJU49" s="17"/>
      <c r="TJV49" s="30"/>
      <c r="TJW49" s="31"/>
      <c r="TJX49" s="16"/>
      <c r="TJY49" s="17"/>
      <c r="TJZ49" s="30"/>
      <c r="TKA49" s="31"/>
      <c r="TKB49" s="16"/>
      <c r="TKC49" s="17"/>
      <c r="TKD49" s="30"/>
      <c r="TKE49" s="31"/>
      <c r="TKF49" s="16"/>
      <c r="TKG49" s="17"/>
      <c r="TKH49" s="30"/>
      <c r="TKI49" s="31"/>
      <c r="TKJ49" s="16"/>
      <c r="TKK49" s="17"/>
      <c r="TKL49" s="30"/>
      <c r="TKM49" s="31"/>
      <c r="TKN49" s="16"/>
      <c r="TKO49" s="17"/>
      <c r="TKP49" s="30"/>
      <c r="TKQ49" s="31"/>
      <c r="TKR49" s="16"/>
      <c r="TKS49" s="17"/>
      <c r="TKT49" s="30"/>
      <c r="TKU49" s="31"/>
      <c r="TKV49" s="16"/>
      <c r="TKW49" s="17"/>
      <c r="TKX49" s="30"/>
      <c r="TKY49" s="31"/>
      <c r="TKZ49" s="16"/>
      <c r="TLA49" s="17"/>
      <c r="TLB49" s="30"/>
      <c r="TLC49" s="31"/>
      <c r="TLD49" s="16"/>
      <c r="TLE49" s="17"/>
      <c r="TLF49" s="30"/>
      <c r="TLG49" s="31"/>
      <c r="TLH49" s="16"/>
      <c r="TLI49" s="17"/>
      <c r="TLJ49" s="30"/>
      <c r="TLK49" s="31"/>
      <c r="TLL49" s="16"/>
      <c r="TLM49" s="17"/>
      <c r="TLN49" s="30"/>
      <c r="TLO49" s="31"/>
      <c r="TLP49" s="16"/>
      <c r="TLQ49" s="17"/>
      <c r="TLR49" s="30"/>
      <c r="TLS49" s="31"/>
      <c r="TLT49" s="16"/>
      <c r="TLU49" s="17"/>
      <c r="TLV49" s="30"/>
      <c r="TLW49" s="31"/>
      <c r="TLX49" s="16"/>
      <c r="TLY49" s="17"/>
      <c r="TLZ49" s="30"/>
      <c r="TMA49" s="31"/>
      <c r="TMB49" s="16"/>
      <c r="TMC49" s="17"/>
      <c r="TMD49" s="30"/>
      <c r="TME49" s="31"/>
      <c r="TMF49" s="16"/>
      <c r="TMG49" s="17"/>
      <c r="TMH49" s="30"/>
      <c r="TMI49" s="31"/>
      <c r="TMJ49" s="16"/>
      <c r="TMK49" s="17"/>
      <c r="TML49" s="30"/>
      <c r="TMM49" s="31"/>
      <c r="TMN49" s="16"/>
      <c r="TMO49" s="17"/>
      <c r="TMP49" s="30"/>
      <c r="TMQ49" s="31"/>
      <c r="TMR49" s="16"/>
      <c r="TMS49" s="17"/>
      <c r="TMT49" s="30"/>
      <c r="TMU49" s="31"/>
      <c r="TMV49" s="16"/>
      <c r="TMW49" s="17"/>
      <c r="TMX49" s="30"/>
      <c r="TMY49" s="31"/>
      <c r="TMZ49" s="16"/>
      <c r="TNA49" s="17"/>
      <c r="TNB49" s="30"/>
      <c r="TNC49" s="31"/>
      <c r="TND49" s="16"/>
      <c r="TNE49" s="17"/>
      <c r="TNF49" s="30"/>
      <c r="TNG49" s="31"/>
      <c r="TNH49" s="16"/>
      <c r="TNI49" s="17"/>
      <c r="TNJ49" s="30"/>
      <c r="TNK49" s="31"/>
      <c r="TNL49" s="16"/>
      <c r="TNM49" s="17"/>
      <c r="TNN49" s="30"/>
      <c r="TNO49" s="31"/>
      <c r="TNP49" s="16"/>
      <c r="TNQ49" s="17"/>
      <c r="TNR49" s="30"/>
      <c r="TNS49" s="31"/>
      <c r="TNT49" s="16"/>
      <c r="TNU49" s="17"/>
      <c r="TNV49" s="30"/>
      <c r="TNW49" s="31"/>
      <c r="TNX49" s="16"/>
      <c r="TNY49" s="17"/>
      <c r="TNZ49" s="30"/>
      <c r="TOA49" s="31"/>
      <c r="TOB49" s="16"/>
      <c r="TOC49" s="17"/>
      <c r="TOD49" s="30"/>
      <c r="TOE49" s="31"/>
      <c r="TOF49" s="16"/>
      <c r="TOG49" s="17"/>
      <c r="TOH49" s="30"/>
      <c r="TOI49" s="31"/>
      <c r="TOJ49" s="16"/>
      <c r="TOK49" s="17"/>
      <c r="TOL49" s="30"/>
      <c r="TOM49" s="31"/>
      <c r="TON49" s="16"/>
      <c r="TOO49" s="17"/>
      <c r="TOP49" s="30"/>
      <c r="TOQ49" s="31"/>
      <c r="TOR49" s="16"/>
      <c r="TOS49" s="17"/>
      <c r="TOT49" s="30"/>
      <c r="TOU49" s="31"/>
      <c r="TOV49" s="16"/>
      <c r="TOW49" s="17"/>
      <c r="TOX49" s="30"/>
      <c r="TOY49" s="31"/>
      <c r="TOZ49" s="16"/>
      <c r="TPA49" s="17"/>
      <c r="TPB49" s="30"/>
      <c r="TPC49" s="31"/>
      <c r="TPD49" s="16"/>
      <c r="TPE49" s="17"/>
      <c r="TPF49" s="30"/>
      <c r="TPG49" s="31"/>
      <c r="TPH49" s="16"/>
      <c r="TPI49" s="17"/>
      <c r="TPJ49" s="30"/>
      <c r="TPK49" s="31"/>
      <c r="TPL49" s="16"/>
      <c r="TPM49" s="17"/>
      <c r="TPN49" s="30"/>
      <c r="TPO49" s="31"/>
      <c r="TPP49" s="16"/>
      <c r="TPQ49" s="17"/>
      <c r="TPR49" s="30"/>
      <c r="TPS49" s="31"/>
      <c r="TPT49" s="16"/>
      <c r="TPU49" s="17"/>
      <c r="TPV49" s="30"/>
      <c r="TPW49" s="31"/>
      <c r="TPX49" s="16"/>
      <c r="TPY49" s="17"/>
      <c r="TPZ49" s="30"/>
      <c r="TQA49" s="31"/>
      <c r="TQB49" s="16"/>
      <c r="TQC49" s="17"/>
      <c r="TQD49" s="30"/>
      <c r="TQE49" s="31"/>
      <c r="TQF49" s="16"/>
      <c r="TQG49" s="17"/>
      <c r="TQH49" s="30"/>
      <c r="TQI49" s="31"/>
      <c r="TQJ49" s="16"/>
      <c r="TQK49" s="17"/>
      <c r="TQL49" s="30"/>
      <c r="TQM49" s="31"/>
      <c r="TQN49" s="16"/>
      <c r="TQO49" s="17"/>
      <c r="TQP49" s="30"/>
      <c r="TQQ49" s="31"/>
      <c r="TQR49" s="16"/>
      <c r="TQS49" s="17"/>
      <c r="TQT49" s="30"/>
      <c r="TQU49" s="31"/>
      <c r="TQV49" s="16"/>
      <c r="TQW49" s="17"/>
      <c r="TQX49" s="30"/>
      <c r="TQY49" s="31"/>
      <c r="TQZ49" s="16"/>
      <c r="TRA49" s="17"/>
      <c r="TRB49" s="30"/>
      <c r="TRC49" s="31"/>
      <c r="TRD49" s="16"/>
      <c r="TRE49" s="17"/>
      <c r="TRF49" s="30"/>
      <c r="TRG49" s="31"/>
      <c r="TRH49" s="16"/>
      <c r="TRI49" s="17"/>
      <c r="TRJ49" s="30"/>
      <c r="TRK49" s="31"/>
      <c r="TRL49" s="16"/>
      <c r="TRM49" s="17"/>
      <c r="TRN49" s="30"/>
      <c r="TRO49" s="31"/>
      <c r="TRP49" s="16"/>
      <c r="TRQ49" s="17"/>
      <c r="TRR49" s="30"/>
      <c r="TRS49" s="31"/>
      <c r="TRT49" s="16"/>
      <c r="TRU49" s="17"/>
      <c r="TRV49" s="30"/>
      <c r="TRW49" s="31"/>
      <c r="TRX49" s="16"/>
      <c r="TRY49" s="17"/>
      <c r="TRZ49" s="30"/>
      <c r="TSA49" s="31"/>
      <c r="TSB49" s="16"/>
      <c r="TSC49" s="17"/>
      <c r="TSD49" s="30"/>
      <c r="TSE49" s="31"/>
      <c r="TSF49" s="16"/>
      <c r="TSG49" s="17"/>
      <c r="TSH49" s="30"/>
      <c r="TSI49" s="31"/>
      <c r="TSJ49" s="16"/>
      <c r="TSK49" s="17"/>
      <c r="TSL49" s="30"/>
      <c r="TSM49" s="31"/>
      <c r="TSN49" s="16"/>
      <c r="TSO49" s="17"/>
      <c r="TSP49" s="30"/>
      <c r="TSQ49" s="31"/>
      <c r="TSR49" s="16"/>
      <c r="TSS49" s="17"/>
      <c r="TST49" s="30"/>
      <c r="TSU49" s="31"/>
      <c r="TSV49" s="16"/>
      <c r="TSW49" s="17"/>
      <c r="TSX49" s="30"/>
      <c r="TSY49" s="31"/>
      <c r="TSZ49" s="16"/>
      <c r="TTA49" s="17"/>
      <c r="TTB49" s="30"/>
      <c r="TTC49" s="31"/>
      <c r="TTD49" s="16"/>
      <c r="TTE49" s="17"/>
      <c r="TTF49" s="30"/>
      <c r="TTG49" s="31"/>
      <c r="TTH49" s="16"/>
      <c r="TTI49" s="17"/>
      <c r="TTJ49" s="30"/>
      <c r="TTK49" s="31"/>
      <c r="TTL49" s="16"/>
      <c r="TTM49" s="17"/>
      <c r="TTN49" s="30"/>
      <c r="TTO49" s="31"/>
      <c r="TTP49" s="16"/>
      <c r="TTQ49" s="17"/>
      <c r="TTR49" s="30"/>
      <c r="TTS49" s="31"/>
      <c r="TTT49" s="16"/>
      <c r="TTU49" s="17"/>
      <c r="TTV49" s="30"/>
      <c r="TTW49" s="31"/>
      <c r="TTX49" s="16"/>
      <c r="TTY49" s="17"/>
      <c r="TTZ49" s="30"/>
      <c r="TUA49" s="31"/>
      <c r="TUB49" s="16"/>
      <c r="TUC49" s="17"/>
      <c r="TUD49" s="30"/>
      <c r="TUE49" s="31"/>
      <c r="TUF49" s="16"/>
      <c r="TUG49" s="17"/>
      <c r="TUH49" s="30"/>
      <c r="TUI49" s="31"/>
      <c r="TUJ49" s="16"/>
      <c r="TUK49" s="17"/>
      <c r="TUL49" s="30"/>
      <c r="TUM49" s="31"/>
      <c r="TUN49" s="16"/>
      <c r="TUO49" s="17"/>
      <c r="TUP49" s="30"/>
      <c r="TUQ49" s="31"/>
      <c r="TUR49" s="16"/>
      <c r="TUS49" s="17"/>
      <c r="TUT49" s="30"/>
      <c r="TUU49" s="31"/>
      <c r="TUV49" s="16"/>
      <c r="TUW49" s="17"/>
      <c r="TUX49" s="30"/>
      <c r="TUY49" s="31"/>
      <c r="TUZ49" s="16"/>
      <c r="TVA49" s="17"/>
      <c r="TVB49" s="30"/>
      <c r="TVC49" s="31"/>
      <c r="TVD49" s="16"/>
      <c r="TVE49" s="17"/>
      <c r="TVF49" s="30"/>
      <c r="TVG49" s="31"/>
      <c r="TVH49" s="16"/>
      <c r="TVI49" s="17"/>
      <c r="TVJ49" s="30"/>
      <c r="TVK49" s="31"/>
      <c r="TVL49" s="16"/>
      <c r="TVM49" s="17"/>
      <c r="TVN49" s="30"/>
      <c r="TVO49" s="31"/>
      <c r="TVP49" s="16"/>
      <c r="TVQ49" s="17"/>
      <c r="TVR49" s="30"/>
      <c r="TVS49" s="31"/>
      <c r="TVT49" s="16"/>
      <c r="TVU49" s="17"/>
      <c r="TVV49" s="30"/>
      <c r="TVW49" s="31"/>
      <c r="TVX49" s="16"/>
      <c r="TVY49" s="17"/>
      <c r="TVZ49" s="30"/>
      <c r="TWA49" s="31"/>
      <c r="TWB49" s="16"/>
      <c r="TWC49" s="17"/>
      <c r="TWD49" s="30"/>
      <c r="TWE49" s="31"/>
      <c r="TWF49" s="16"/>
      <c r="TWG49" s="17"/>
      <c r="TWH49" s="30"/>
      <c r="TWI49" s="31"/>
      <c r="TWJ49" s="16"/>
      <c r="TWK49" s="17"/>
      <c r="TWL49" s="30"/>
      <c r="TWM49" s="31"/>
      <c r="TWN49" s="16"/>
      <c r="TWO49" s="17"/>
      <c r="TWP49" s="30"/>
      <c r="TWQ49" s="31"/>
      <c r="TWR49" s="16"/>
      <c r="TWS49" s="17"/>
      <c r="TWT49" s="30"/>
      <c r="TWU49" s="31"/>
      <c r="TWV49" s="16"/>
      <c r="TWW49" s="17"/>
      <c r="TWX49" s="30"/>
      <c r="TWY49" s="31"/>
      <c r="TWZ49" s="16"/>
      <c r="TXA49" s="17"/>
      <c r="TXB49" s="30"/>
      <c r="TXC49" s="31"/>
      <c r="TXD49" s="16"/>
      <c r="TXE49" s="17"/>
      <c r="TXF49" s="30"/>
      <c r="TXG49" s="31"/>
      <c r="TXH49" s="16"/>
      <c r="TXI49" s="17"/>
      <c r="TXJ49" s="30"/>
      <c r="TXK49" s="31"/>
      <c r="TXL49" s="16"/>
      <c r="TXM49" s="17"/>
      <c r="TXN49" s="30"/>
      <c r="TXO49" s="31"/>
      <c r="TXP49" s="16"/>
      <c r="TXQ49" s="17"/>
      <c r="TXR49" s="30"/>
      <c r="TXS49" s="31"/>
      <c r="TXT49" s="16"/>
      <c r="TXU49" s="17"/>
      <c r="TXV49" s="30"/>
      <c r="TXW49" s="31"/>
      <c r="TXX49" s="16"/>
      <c r="TXY49" s="17"/>
      <c r="TXZ49" s="30"/>
      <c r="TYA49" s="31"/>
      <c r="TYB49" s="16"/>
      <c r="TYC49" s="17"/>
      <c r="TYD49" s="30"/>
      <c r="TYE49" s="31"/>
      <c r="TYF49" s="16"/>
      <c r="TYG49" s="17"/>
      <c r="TYH49" s="30"/>
      <c r="TYI49" s="31"/>
      <c r="TYJ49" s="16"/>
      <c r="TYK49" s="17"/>
      <c r="TYL49" s="30"/>
      <c r="TYM49" s="31"/>
      <c r="TYN49" s="16"/>
      <c r="TYO49" s="17"/>
      <c r="TYP49" s="30"/>
      <c r="TYQ49" s="31"/>
      <c r="TYR49" s="16"/>
      <c r="TYS49" s="17"/>
      <c r="TYT49" s="30"/>
      <c r="TYU49" s="31"/>
      <c r="TYV49" s="16"/>
      <c r="TYW49" s="17"/>
      <c r="TYX49" s="30"/>
      <c r="TYY49" s="31"/>
      <c r="TYZ49" s="16"/>
      <c r="TZA49" s="17"/>
      <c r="TZB49" s="30"/>
      <c r="TZC49" s="31"/>
      <c r="TZD49" s="16"/>
      <c r="TZE49" s="17"/>
      <c r="TZF49" s="30"/>
      <c r="TZG49" s="31"/>
      <c r="TZH49" s="16"/>
      <c r="TZI49" s="17"/>
      <c r="TZJ49" s="30"/>
      <c r="TZK49" s="31"/>
      <c r="TZL49" s="16"/>
      <c r="TZM49" s="17"/>
      <c r="TZN49" s="30"/>
      <c r="TZO49" s="31"/>
      <c r="TZP49" s="16"/>
      <c r="TZQ49" s="17"/>
      <c r="TZR49" s="30"/>
      <c r="TZS49" s="31"/>
      <c r="TZT49" s="16"/>
      <c r="TZU49" s="17"/>
      <c r="TZV49" s="30"/>
      <c r="TZW49" s="31"/>
      <c r="TZX49" s="16"/>
      <c r="TZY49" s="17"/>
      <c r="TZZ49" s="30"/>
      <c r="UAA49" s="31"/>
      <c r="UAB49" s="16"/>
      <c r="UAC49" s="17"/>
      <c r="UAD49" s="30"/>
      <c r="UAE49" s="31"/>
      <c r="UAF49" s="16"/>
      <c r="UAG49" s="17"/>
      <c r="UAH49" s="30"/>
      <c r="UAI49" s="31"/>
      <c r="UAJ49" s="16"/>
      <c r="UAK49" s="17"/>
      <c r="UAL49" s="30"/>
      <c r="UAM49" s="31"/>
      <c r="UAN49" s="16"/>
      <c r="UAO49" s="17"/>
      <c r="UAP49" s="30"/>
      <c r="UAQ49" s="31"/>
      <c r="UAR49" s="16"/>
      <c r="UAS49" s="17"/>
      <c r="UAT49" s="30"/>
      <c r="UAU49" s="31"/>
      <c r="UAV49" s="16"/>
      <c r="UAW49" s="17"/>
      <c r="UAX49" s="30"/>
      <c r="UAY49" s="31"/>
      <c r="UAZ49" s="16"/>
      <c r="UBA49" s="17"/>
      <c r="UBB49" s="30"/>
      <c r="UBC49" s="31"/>
      <c r="UBD49" s="16"/>
      <c r="UBE49" s="17"/>
      <c r="UBF49" s="30"/>
      <c r="UBG49" s="31"/>
      <c r="UBH49" s="16"/>
      <c r="UBI49" s="17"/>
      <c r="UBJ49" s="30"/>
      <c r="UBK49" s="31"/>
      <c r="UBL49" s="16"/>
      <c r="UBM49" s="17"/>
      <c r="UBN49" s="30"/>
      <c r="UBO49" s="31"/>
      <c r="UBP49" s="16"/>
      <c r="UBQ49" s="17"/>
      <c r="UBR49" s="30"/>
      <c r="UBS49" s="31"/>
      <c r="UBT49" s="16"/>
      <c r="UBU49" s="17"/>
      <c r="UBV49" s="30"/>
      <c r="UBW49" s="31"/>
      <c r="UBX49" s="16"/>
      <c r="UBY49" s="17"/>
      <c r="UBZ49" s="30"/>
      <c r="UCA49" s="31"/>
      <c r="UCB49" s="16"/>
      <c r="UCC49" s="17"/>
      <c r="UCD49" s="30"/>
      <c r="UCE49" s="31"/>
      <c r="UCF49" s="16"/>
      <c r="UCG49" s="17"/>
      <c r="UCH49" s="30"/>
      <c r="UCI49" s="31"/>
      <c r="UCJ49" s="16"/>
      <c r="UCK49" s="17"/>
      <c r="UCL49" s="30"/>
      <c r="UCM49" s="31"/>
      <c r="UCN49" s="16"/>
      <c r="UCO49" s="17"/>
      <c r="UCP49" s="30"/>
      <c r="UCQ49" s="31"/>
      <c r="UCR49" s="16"/>
      <c r="UCS49" s="17"/>
      <c r="UCT49" s="30"/>
      <c r="UCU49" s="31"/>
      <c r="UCV49" s="16"/>
      <c r="UCW49" s="17"/>
      <c r="UCX49" s="30"/>
      <c r="UCY49" s="31"/>
      <c r="UCZ49" s="16"/>
      <c r="UDA49" s="17"/>
      <c r="UDB49" s="30"/>
      <c r="UDC49" s="31"/>
      <c r="UDD49" s="16"/>
      <c r="UDE49" s="17"/>
      <c r="UDF49" s="30"/>
      <c r="UDG49" s="31"/>
      <c r="UDH49" s="16"/>
      <c r="UDI49" s="17"/>
      <c r="UDJ49" s="30"/>
      <c r="UDK49" s="31"/>
      <c r="UDL49" s="16"/>
      <c r="UDM49" s="17"/>
      <c r="UDN49" s="30"/>
      <c r="UDO49" s="31"/>
      <c r="UDP49" s="16"/>
      <c r="UDQ49" s="17"/>
      <c r="UDR49" s="30"/>
      <c r="UDS49" s="31"/>
      <c r="UDT49" s="16"/>
      <c r="UDU49" s="17"/>
      <c r="UDV49" s="30"/>
      <c r="UDW49" s="31"/>
      <c r="UDX49" s="16"/>
      <c r="UDY49" s="17"/>
      <c r="UDZ49" s="30"/>
      <c r="UEA49" s="31"/>
      <c r="UEB49" s="16"/>
      <c r="UEC49" s="17"/>
      <c r="UED49" s="30"/>
      <c r="UEE49" s="31"/>
      <c r="UEF49" s="16"/>
      <c r="UEG49" s="17"/>
      <c r="UEH49" s="30"/>
      <c r="UEI49" s="31"/>
      <c r="UEJ49" s="16"/>
      <c r="UEK49" s="17"/>
      <c r="UEL49" s="30"/>
      <c r="UEM49" s="31"/>
      <c r="UEN49" s="16"/>
      <c r="UEO49" s="17"/>
      <c r="UEP49" s="30"/>
      <c r="UEQ49" s="31"/>
      <c r="UER49" s="16"/>
      <c r="UES49" s="17"/>
      <c r="UET49" s="30"/>
      <c r="UEU49" s="31"/>
      <c r="UEV49" s="16"/>
      <c r="UEW49" s="17"/>
      <c r="UEX49" s="30"/>
      <c r="UEY49" s="31"/>
      <c r="UEZ49" s="16"/>
      <c r="UFA49" s="17"/>
      <c r="UFB49" s="30"/>
      <c r="UFC49" s="31"/>
      <c r="UFD49" s="16"/>
      <c r="UFE49" s="17"/>
      <c r="UFF49" s="30"/>
      <c r="UFG49" s="31"/>
      <c r="UFH49" s="16"/>
      <c r="UFI49" s="17"/>
      <c r="UFJ49" s="30"/>
      <c r="UFK49" s="31"/>
      <c r="UFL49" s="16"/>
      <c r="UFM49" s="17"/>
      <c r="UFN49" s="30"/>
      <c r="UFO49" s="31"/>
      <c r="UFP49" s="16"/>
      <c r="UFQ49" s="17"/>
      <c r="UFR49" s="30"/>
      <c r="UFS49" s="31"/>
      <c r="UFT49" s="16"/>
      <c r="UFU49" s="17"/>
      <c r="UFV49" s="30"/>
      <c r="UFW49" s="31"/>
      <c r="UFX49" s="16"/>
      <c r="UFY49" s="17"/>
      <c r="UFZ49" s="30"/>
      <c r="UGA49" s="31"/>
      <c r="UGB49" s="16"/>
      <c r="UGC49" s="17"/>
      <c r="UGD49" s="30"/>
      <c r="UGE49" s="31"/>
      <c r="UGF49" s="16"/>
      <c r="UGG49" s="17"/>
      <c r="UGH49" s="30"/>
      <c r="UGI49" s="31"/>
      <c r="UGJ49" s="16"/>
      <c r="UGK49" s="17"/>
      <c r="UGL49" s="30"/>
      <c r="UGM49" s="31"/>
      <c r="UGN49" s="16"/>
      <c r="UGO49" s="17"/>
      <c r="UGP49" s="30"/>
      <c r="UGQ49" s="31"/>
      <c r="UGR49" s="16"/>
      <c r="UGS49" s="17"/>
      <c r="UGT49" s="30"/>
      <c r="UGU49" s="31"/>
      <c r="UGV49" s="16"/>
      <c r="UGW49" s="17"/>
      <c r="UGX49" s="30"/>
      <c r="UGY49" s="31"/>
      <c r="UGZ49" s="16"/>
      <c r="UHA49" s="17"/>
      <c r="UHB49" s="30"/>
      <c r="UHC49" s="31"/>
      <c r="UHD49" s="16"/>
      <c r="UHE49" s="17"/>
      <c r="UHF49" s="30"/>
      <c r="UHG49" s="31"/>
      <c r="UHH49" s="16"/>
      <c r="UHI49" s="17"/>
      <c r="UHJ49" s="30"/>
      <c r="UHK49" s="31"/>
      <c r="UHL49" s="16"/>
      <c r="UHM49" s="17"/>
      <c r="UHN49" s="30"/>
      <c r="UHO49" s="31"/>
      <c r="UHP49" s="16"/>
      <c r="UHQ49" s="17"/>
      <c r="UHR49" s="30"/>
      <c r="UHS49" s="31"/>
      <c r="UHT49" s="16"/>
      <c r="UHU49" s="17"/>
      <c r="UHV49" s="30"/>
      <c r="UHW49" s="31"/>
      <c r="UHX49" s="16"/>
      <c r="UHY49" s="17"/>
      <c r="UHZ49" s="30"/>
      <c r="UIA49" s="31"/>
      <c r="UIB49" s="16"/>
      <c r="UIC49" s="17"/>
      <c r="UID49" s="30"/>
      <c r="UIE49" s="31"/>
      <c r="UIF49" s="16"/>
      <c r="UIG49" s="17"/>
      <c r="UIH49" s="30"/>
      <c r="UII49" s="31"/>
      <c r="UIJ49" s="16"/>
      <c r="UIK49" s="17"/>
      <c r="UIL49" s="30"/>
      <c r="UIM49" s="31"/>
      <c r="UIN49" s="16"/>
      <c r="UIO49" s="17"/>
      <c r="UIP49" s="30"/>
      <c r="UIQ49" s="31"/>
      <c r="UIR49" s="16"/>
      <c r="UIS49" s="17"/>
      <c r="UIT49" s="30"/>
      <c r="UIU49" s="31"/>
      <c r="UIV49" s="16"/>
      <c r="UIW49" s="17"/>
      <c r="UIX49" s="30"/>
      <c r="UIY49" s="31"/>
      <c r="UIZ49" s="16"/>
      <c r="UJA49" s="17"/>
      <c r="UJB49" s="30"/>
      <c r="UJC49" s="31"/>
      <c r="UJD49" s="16"/>
      <c r="UJE49" s="17"/>
      <c r="UJF49" s="30"/>
      <c r="UJG49" s="31"/>
      <c r="UJH49" s="16"/>
      <c r="UJI49" s="17"/>
      <c r="UJJ49" s="30"/>
      <c r="UJK49" s="31"/>
      <c r="UJL49" s="16"/>
      <c r="UJM49" s="17"/>
      <c r="UJN49" s="30"/>
      <c r="UJO49" s="31"/>
      <c r="UJP49" s="16"/>
      <c r="UJQ49" s="17"/>
      <c r="UJR49" s="30"/>
      <c r="UJS49" s="31"/>
      <c r="UJT49" s="16"/>
      <c r="UJU49" s="17"/>
      <c r="UJV49" s="30"/>
      <c r="UJW49" s="31"/>
      <c r="UJX49" s="16"/>
      <c r="UJY49" s="17"/>
      <c r="UJZ49" s="30"/>
      <c r="UKA49" s="31"/>
      <c r="UKB49" s="16"/>
      <c r="UKC49" s="17"/>
      <c r="UKD49" s="30"/>
      <c r="UKE49" s="31"/>
      <c r="UKF49" s="16"/>
      <c r="UKG49" s="17"/>
      <c r="UKH49" s="30"/>
      <c r="UKI49" s="31"/>
      <c r="UKJ49" s="16"/>
      <c r="UKK49" s="17"/>
      <c r="UKL49" s="30"/>
      <c r="UKM49" s="31"/>
      <c r="UKN49" s="16"/>
      <c r="UKO49" s="17"/>
      <c r="UKP49" s="30"/>
      <c r="UKQ49" s="31"/>
      <c r="UKR49" s="16"/>
      <c r="UKS49" s="17"/>
      <c r="UKT49" s="30"/>
      <c r="UKU49" s="31"/>
      <c r="UKV49" s="16"/>
      <c r="UKW49" s="17"/>
      <c r="UKX49" s="30"/>
      <c r="UKY49" s="31"/>
      <c r="UKZ49" s="16"/>
      <c r="ULA49" s="17"/>
      <c r="ULB49" s="30"/>
      <c r="ULC49" s="31"/>
      <c r="ULD49" s="16"/>
      <c r="ULE49" s="17"/>
      <c r="ULF49" s="30"/>
      <c r="ULG49" s="31"/>
      <c r="ULH49" s="16"/>
      <c r="ULI49" s="17"/>
      <c r="ULJ49" s="30"/>
      <c r="ULK49" s="31"/>
      <c r="ULL49" s="16"/>
      <c r="ULM49" s="17"/>
      <c r="ULN49" s="30"/>
      <c r="ULO49" s="31"/>
      <c r="ULP49" s="16"/>
      <c r="ULQ49" s="17"/>
      <c r="ULR49" s="30"/>
      <c r="ULS49" s="31"/>
      <c r="ULT49" s="16"/>
      <c r="ULU49" s="17"/>
      <c r="ULV49" s="30"/>
      <c r="ULW49" s="31"/>
      <c r="ULX49" s="16"/>
      <c r="ULY49" s="17"/>
      <c r="ULZ49" s="30"/>
      <c r="UMA49" s="31"/>
      <c r="UMB49" s="16"/>
      <c r="UMC49" s="17"/>
      <c r="UMD49" s="30"/>
      <c r="UME49" s="31"/>
      <c r="UMF49" s="16"/>
      <c r="UMG49" s="17"/>
      <c r="UMH49" s="30"/>
      <c r="UMI49" s="31"/>
      <c r="UMJ49" s="16"/>
      <c r="UMK49" s="17"/>
      <c r="UML49" s="30"/>
      <c r="UMM49" s="31"/>
      <c r="UMN49" s="16"/>
      <c r="UMO49" s="17"/>
      <c r="UMP49" s="30"/>
      <c r="UMQ49" s="31"/>
      <c r="UMR49" s="16"/>
      <c r="UMS49" s="17"/>
      <c r="UMT49" s="30"/>
      <c r="UMU49" s="31"/>
      <c r="UMV49" s="16"/>
      <c r="UMW49" s="17"/>
      <c r="UMX49" s="30"/>
      <c r="UMY49" s="31"/>
      <c r="UMZ49" s="16"/>
      <c r="UNA49" s="17"/>
      <c r="UNB49" s="30"/>
      <c r="UNC49" s="31"/>
      <c r="UND49" s="16"/>
      <c r="UNE49" s="17"/>
      <c r="UNF49" s="30"/>
      <c r="UNG49" s="31"/>
      <c r="UNH49" s="16"/>
      <c r="UNI49" s="17"/>
      <c r="UNJ49" s="30"/>
      <c r="UNK49" s="31"/>
      <c r="UNL49" s="16"/>
      <c r="UNM49" s="17"/>
      <c r="UNN49" s="30"/>
      <c r="UNO49" s="31"/>
      <c r="UNP49" s="16"/>
      <c r="UNQ49" s="17"/>
      <c r="UNR49" s="30"/>
      <c r="UNS49" s="31"/>
      <c r="UNT49" s="16"/>
      <c r="UNU49" s="17"/>
      <c r="UNV49" s="30"/>
      <c r="UNW49" s="31"/>
      <c r="UNX49" s="16"/>
      <c r="UNY49" s="17"/>
      <c r="UNZ49" s="30"/>
      <c r="UOA49" s="31"/>
      <c r="UOB49" s="16"/>
      <c r="UOC49" s="17"/>
      <c r="UOD49" s="30"/>
      <c r="UOE49" s="31"/>
      <c r="UOF49" s="16"/>
      <c r="UOG49" s="17"/>
      <c r="UOH49" s="30"/>
      <c r="UOI49" s="31"/>
      <c r="UOJ49" s="16"/>
      <c r="UOK49" s="17"/>
      <c r="UOL49" s="30"/>
      <c r="UOM49" s="31"/>
      <c r="UON49" s="16"/>
      <c r="UOO49" s="17"/>
      <c r="UOP49" s="30"/>
      <c r="UOQ49" s="31"/>
      <c r="UOR49" s="16"/>
      <c r="UOS49" s="17"/>
      <c r="UOT49" s="30"/>
      <c r="UOU49" s="31"/>
      <c r="UOV49" s="16"/>
      <c r="UOW49" s="17"/>
      <c r="UOX49" s="30"/>
      <c r="UOY49" s="31"/>
      <c r="UOZ49" s="16"/>
      <c r="UPA49" s="17"/>
      <c r="UPB49" s="30"/>
      <c r="UPC49" s="31"/>
      <c r="UPD49" s="16"/>
      <c r="UPE49" s="17"/>
      <c r="UPF49" s="30"/>
      <c r="UPG49" s="31"/>
      <c r="UPH49" s="16"/>
      <c r="UPI49" s="17"/>
      <c r="UPJ49" s="30"/>
      <c r="UPK49" s="31"/>
      <c r="UPL49" s="16"/>
      <c r="UPM49" s="17"/>
      <c r="UPN49" s="30"/>
      <c r="UPO49" s="31"/>
      <c r="UPP49" s="16"/>
      <c r="UPQ49" s="17"/>
      <c r="UPR49" s="30"/>
      <c r="UPS49" s="31"/>
      <c r="UPT49" s="16"/>
      <c r="UPU49" s="17"/>
      <c r="UPV49" s="30"/>
      <c r="UPW49" s="31"/>
      <c r="UPX49" s="16"/>
      <c r="UPY49" s="17"/>
      <c r="UPZ49" s="30"/>
      <c r="UQA49" s="31"/>
      <c r="UQB49" s="16"/>
      <c r="UQC49" s="17"/>
      <c r="UQD49" s="30"/>
      <c r="UQE49" s="31"/>
      <c r="UQF49" s="16"/>
      <c r="UQG49" s="17"/>
      <c r="UQH49" s="30"/>
      <c r="UQI49" s="31"/>
      <c r="UQJ49" s="16"/>
      <c r="UQK49" s="17"/>
      <c r="UQL49" s="30"/>
      <c r="UQM49" s="31"/>
      <c r="UQN49" s="16"/>
      <c r="UQO49" s="17"/>
      <c r="UQP49" s="30"/>
      <c r="UQQ49" s="31"/>
      <c r="UQR49" s="16"/>
      <c r="UQS49" s="17"/>
      <c r="UQT49" s="30"/>
      <c r="UQU49" s="31"/>
      <c r="UQV49" s="16"/>
      <c r="UQW49" s="17"/>
      <c r="UQX49" s="30"/>
      <c r="UQY49" s="31"/>
      <c r="UQZ49" s="16"/>
      <c r="URA49" s="17"/>
      <c r="URB49" s="30"/>
      <c r="URC49" s="31"/>
      <c r="URD49" s="16"/>
      <c r="URE49" s="17"/>
      <c r="URF49" s="30"/>
      <c r="URG49" s="31"/>
      <c r="URH49" s="16"/>
      <c r="URI49" s="17"/>
      <c r="URJ49" s="30"/>
      <c r="URK49" s="31"/>
      <c r="URL49" s="16"/>
      <c r="URM49" s="17"/>
      <c r="URN49" s="30"/>
      <c r="URO49" s="31"/>
      <c r="URP49" s="16"/>
      <c r="URQ49" s="17"/>
      <c r="URR49" s="30"/>
      <c r="URS49" s="31"/>
      <c r="URT49" s="16"/>
      <c r="URU49" s="17"/>
      <c r="URV49" s="30"/>
      <c r="URW49" s="31"/>
      <c r="URX49" s="16"/>
      <c r="URY49" s="17"/>
      <c r="URZ49" s="30"/>
      <c r="USA49" s="31"/>
      <c r="USB49" s="16"/>
      <c r="USC49" s="17"/>
      <c r="USD49" s="30"/>
      <c r="USE49" s="31"/>
      <c r="USF49" s="16"/>
      <c r="USG49" s="17"/>
      <c r="USH49" s="30"/>
      <c r="USI49" s="31"/>
      <c r="USJ49" s="16"/>
      <c r="USK49" s="17"/>
      <c r="USL49" s="30"/>
      <c r="USM49" s="31"/>
      <c r="USN49" s="16"/>
      <c r="USO49" s="17"/>
      <c r="USP49" s="30"/>
      <c r="USQ49" s="31"/>
      <c r="USR49" s="16"/>
      <c r="USS49" s="17"/>
      <c r="UST49" s="30"/>
      <c r="USU49" s="31"/>
      <c r="USV49" s="16"/>
      <c r="USW49" s="17"/>
      <c r="USX49" s="30"/>
      <c r="USY49" s="31"/>
      <c r="USZ49" s="16"/>
      <c r="UTA49" s="17"/>
      <c r="UTB49" s="30"/>
      <c r="UTC49" s="31"/>
      <c r="UTD49" s="16"/>
      <c r="UTE49" s="17"/>
      <c r="UTF49" s="30"/>
      <c r="UTG49" s="31"/>
      <c r="UTH49" s="16"/>
      <c r="UTI49" s="17"/>
      <c r="UTJ49" s="30"/>
      <c r="UTK49" s="31"/>
      <c r="UTL49" s="16"/>
      <c r="UTM49" s="17"/>
      <c r="UTN49" s="30"/>
      <c r="UTO49" s="31"/>
      <c r="UTP49" s="16"/>
      <c r="UTQ49" s="17"/>
      <c r="UTR49" s="30"/>
      <c r="UTS49" s="31"/>
      <c r="UTT49" s="16"/>
      <c r="UTU49" s="17"/>
      <c r="UTV49" s="30"/>
      <c r="UTW49" s="31"/>
      <c r="UTX49" s="16"/>
      <c r="UTY49" s="17"/>
      <c r="UTZ49" s="30"/>
      <c r="UUA49" s="31"/>
      <c r="UUB49" s="16"/>
      <c r="UUC49" s="17"/>
      <c r="UUD49" s="30"/>
      <c r="UUE49" s="31"/>
      <c r="UUF49" s="16"/>
      <c r="UUG49" s="17"/>
      <c r="UUH49" s="30"/>
      <c r="UUI49" s="31"/>
      <c r="UUJ49" s="16"/>
      <c r="UUK49" s="17"/>
      <c r="UUL49" s="30"/>
      <c r="UUM49" s="31"/>
      <c r="UUN49" s="16"/>
      <c r="UUO49" s="17"/>
      <c r="UUP49" s="30"/>
      <c r="UUQ49" s="31"/>
      <c r="UUR49" s="16"/>
      <c r="UUS49" s="17"/>
      <c r="UUT49" s="30"/>
      <c r="UUU49" s="31"/>
      <c r="UUV49" s="16"/>
      <c r="UUW49" s="17"/>
      <c r="UUX49" s="30"/>
      <c r="UUY49" s="31"/>
      <c r="UUZ49" s="16"/>
      <c r="UVA49" s="17"/>
      <c r="UVB49" s="30"/>
      <c r="UVC49" s="31"/>
      <c r="UVD49" s="16"/>
      <c r="UVE49" s="17"/>
      <c r="UVF49" s="30"/>
      <c r="UVG49" s="31"/>
      <c r="UVH49" s="16"/>
      <c r="UVI49" s="17"/>
      <c r="UVJ49" s="30"/>
      <c r="UVK49" s="31"/>
      <c r="UVL49" s="16"/>
      <c r="UVM49" s="17"/>
      <c r="UVN49" s="30"/>
      <c r="UVO49" s="31"/>
      <c r="UVP49" s="16"/>
      <c r="UVQ49" s="17"/>
      <c r="UVR49" s="30"/>
      <c r="UVS49" s="31"/>
      <c r="UVT49" s="16"/>
      <c r="UVU49" s="17"/>
      <c r="UVV49" s="30"/>
      <c r="UVW49" s="31"/>
      <c r="UVX49" s="16"/>
      <c r="UVY49" s="17"/>
      <c r="UVZ49" s="30"/>
      <c r="UWA49" s="31"/>
      <c r="UWB49" s="16"/>
      <c r="UWC49" s="17"/>
      <c r="UWD49" s="30"/>
      <c r="UWE49" s="31"/>
      <c r="UWF49" s="16"/>
      <c r="UWG49" s="17"/>
      <c r="UWH49" s="30"/>
      <c r="UWI49" s="31"/>
      <c r="UWJ49" s="16"/>
      <c r="UWK49" s="17"/>
      <c r="UWL49" s="30"/>
      <c r="UWM49" s="31"/>
      <c r="UWN49" s="16"/>
      <c r="UWO49" s="17"/>
      <c r="UWP49" s="30"/>
      <c r="UWQ49" s="31"/>
      <c r="UWR49" s="16"/>
      <c r="UWS49" s="17"/>
      <c r="UWT49" s="30"/>
      <c r="UWU49" s="31"/>
      <c r="UWV49" s="16"/>
      <c r="UWW49" s="17"/>
      <c r="UWX49" s="30"/>
      <c r="UWY49" s="31"/>
      <c r="UWZ49" s="16"/>
      <c r="UXA49" s="17"/>
      <c r="UXB49" s="30"/>
      <c r="UXC49" s="31"/>
      <c r="UXD49" s="16"/>
      <c r="UXE49" s="17"/>
      <c r="UXF49" s="30"/>
      <c r="UXG49" s="31"/>
      <c r="UXH49" s="16"/>
      <c r="UXI49" s="17"/>
      <c r="UXJ49" s="30"/>
      <c r="UXK49" s="31"/>
      <c r="UXL49" s="16"/>
      <c r="UXM49" s="17"/>
      <c r="UXN49" s="30"/>
      <c r="UXO49" s="31"/>
      <c r="UXP49" s="16"/>
      <c r="UXQ49" s="17"/>
      <c r="UXR49" s="30"/>
      <c r="UXS49" s="31"/>
      <c r="UXT49" s="16"/>
      <c r="UXU49" s="17"/>
      <c r="UXV49" s="30"/>
      <c r="UXW49" s="31"/>
      <c r="UXX49" s="16"/>
      <c r="UXY49" s="17"/>
      <c r="UXZ49" s="30"/>
      <c r="UYA49" s="31"/>
      <c r="UYB49" s="16"/>
      <c r="UYC49" s="17"/>
      <c r="UYD49" s="30"/>
      <c r="UYE49" s="31"/>
      <c r="UYF49" s="16"/>
      <c r="UYG49" s="17"/>
      <c r="UYH49" s="30"/>
      <c r="UYI49" s="31"/>
      <c r="UYJ49" s="16"/>
      <c r="UYK49" s="17"/>
      <c r="UYL49" s="30"/>
      <c r="UYM49" s="31"/>
      <c r="UYN49" s="16"/>
      <c r="UYO49" s="17"/>
      <c r="UYP49" s="30"/>
      <c r="UYQ49" s="31"/>
      <c r="UYR49" s="16"/>
      <c r="UYS49" s="17"/>
      <c r="UYT49" s="30"/>
      <c r="UYU49" s="31"/>
      <c r="UYV49" s="16"/>
      <c r="UYW49" s="17"/>
      <c r="UYX49" s="30"/>
      <c r="UYY49" s="31"/>
      <c r="UYZ49" s="16"/>
      <c r="UZA49" s="17"/>
      <c r="UZB49" s="30"/>
      <c r="UZC49" s="31"/>
      <c r="UZD49" s="16"/>
      <c r="UZE49" s="17"/>
      <c r="UZF49" s="30"/>
      <c r="UZG49" s="31"/>
      <c r="UZH49" s="16"/>
      <c r="UZI49" s="17"/>
      <c r="UZJ49" s="30"/>
      <c r="UZK49" s="31"/>
      <c r="UZL49" s="16"/>
      <c r="UZM49" s="17"/>
      <c r="UZN49" s="30"/>
      <c r="UZO49" s="31"/>
      <c r="UZP49" s="16"/>
      <c r="UZQ49" s="17"/>
      <c r="UZR49" s="30"/>
      <c r="UZS49" s="31"/>
      <c r="UZT49" s="16"/>
      <c r="UZU49" s="17"/>
      <c r="UZV49" s="30"/>
      <c r="UZW49" s="31"/>
      <c r="UZX49" s="16"/>
      <c r="UZY49" s="17"/>
      <c r="UZZ49" s="30"/>
      <c r="VAA49" s="31"/>
      <c r="VAB49" s="16"/>
      <c r="VAC49" s="17"/>
      <c r="VAD49" s="30"/>
      <c r="VAE49" s="31"/>
      <c r="VAF49" s="16"/>
      <c r="VAG49" s="17"/>
      <c r="VAH49" s="30"/>
      <c r="VAI49" s="31"/>
      <c r="VAJ49" s="16"/>
      <c r="VAK49" s="17"/>
      <c r="VAL49" s="30"/>
      <c r="VAM49" s="31"/>
      <c r="VAN49" s="16"/>
      <c r="VAO49" s="17"/>
      <c r="VAP49" s="30"/>
      <c r="VAQ49" s="31"/>
      <c r="VAR49" s="16"/>
      <c r="VAS49" s="17"/>
      <c r="VAT49" s="30"/>
      <c r="VAU49" s="31"/>
      <c r="VAV49" s="16"/>
      <c r="VAW49" s="17"/>
      <c r="VAX49" s="30"/>
      <c r="VAY49" s="31"/>
      <c r="VAZ49" s="16"/>
      <c r="VBA49" s="17"/>
      <c r="VBB49" s="30"/>
      <c r="VBC49" s="31"/>
      <c r="VBD49" s="16"/>
      <c r="VBE49" s="17"/>
      <c r="VBF49" s="30"/>
      <c r="VBG49" s="31"/>
      <c r="VBH49" s="16"/>
      <c r="VBI49" s="17"/>
      <c r="VBJ49" s="30"/>
      <c r="VBK49" s="31"/>
      <c r="VBL49" s="16"/>
      <c r="VBM49" s="17"/>
      <c r="VBN49" s="30"/>
      <c r="VBO49" s="31"/>
      <c r="VBP49" s="16"/>
      <c r="VBQ49" s="17"/>
      <c r="VBR49" s="30"/>
      <c r="VBS49" s="31"/>
      <c r="VBT49" s="16"/>
      <c r="VBU49" s="17"/>
      <c r="VBV49" s="30"/>
      <c r="VBW49" s="31"/>
      <c r="VBX49" s="16"/>
      <c r="VBY49" s="17"/>
      <c r="VBZ49" s="30"/>
      <c r="VCA49" s="31"/>
      <c r="VCB49" s="16"/>
      <c r="VCC49" s="17"/>
      <c r="VCD49" s="30"/>
      <c r="VCE49" s="31"/>
      <c r="VCF49" s="16"/>
      <c r="VCG49" s="17"/>
      <c r="VCH49" s="30"/>
      <c r="VCI49" s="31"/>
      <c r="VCJ49" s="16"/>
      <c r="VCK49" s="17"/>
      <c r="VCL49" s="30"/>
      <c r="VCM49" s="31"/>
      <c r="VCN49" s="16"/>
      <c r="VCO49" s="17"/>
      <c r="VCP49" s="30"/>
      <c r="VCQ49" s="31"/>
      <c r="VCR49" s="16"/>
      <c r="VCS49" s="17"/>
      <c r="VCT49" s="30"/>
      <c r="VCU49" s="31"/>
      <c r="VCV49" s="16"/>
      <c r="VCW49" s="17"/>
      <c r="VCX49" s="30"/>
      <c r="VCY49" s="31"/>
      <c r="VCZ49" s="16"/>
      <c r="VDA49" s="17"/>
      <c r="VDB49" s="30"/>
      <c r="VDC49" s="31"/>
      <c r="VDD49" s="16"/>
      <c r="VDE49" s="17"/>
      <c r="VDF49" s="30"/>
      <c r="VDG49" s="31"/>
      <c r="VDH49" s="16"/>
      <c r="VDI49" s="17"/>
      <c r="VDJ49" s="30"/>
      <c r="VDK49" s="31"/>
      <c r="VDL49" s="16"/>
      <c r="VDM49" s="17"/>
      <c r="VDN49" s="30"/>
      <c r="VDO49" s="31"/>
      <c r="VDP49" s="16"/>
      <c r="VDQ49" s="17"/>
      <c r="VDR49" s="30"/>
      <c r="VDS49" s="31"/>
      <c r="VDT49" s="16"/>
      <c r="VDU49" s="17"/>
      <c r="VDV49" s="30"/>
      <c r="VDW49" s="31"/>
      <c r="VDX49" s="16"/>
      <c r="VDY49" s="17"/>
      <c r="VDZ49" s="30"/>
      <c r="VEA49" s="31"/>
      <c r="VEB49" s="16"/>
      <c r="VEC49" s="17"/>
      <c r="VED49" s="30"/>
      <c r="VEE49" s="31"/>
      <c r="VEF49" s="16"/>
      <c r="VEG49" s="17"/>
      <c r="VEH49" s="30"/>
      <c r="VEI49" s="31"/>
      <c r="VEJ49" s="16"/>
      <c r="VEK49" s="17"/>
      <c r="VEL49" s="30"/>
      <c r="VEM49" s="31"/>
      <c r="VEN49" s="16"/>
      <c r="VEO49" s="17"/>
      <c r="VEP49" s="30"/>
      <c r="VEQ49" s="31"/>
      <c r="VER49" s="16"/>
      <c r="VES49" s="17"/>
      <c r="VET49" s="30"/>
      <c r="VEU49" s="31"/>
      <c r="VEV49" s="16"/>
      <c r="VEW49" s="17"/>
      <c r="VEX49" s="30"/>
      <c r="VEY49" s="31"/>
      <c r="VEZ49" s="16"/>
      <c r="VFA49" s="17"/>
      <c r="VFB49" s="30"/>
      <c r="VFC49" s="31"/>
      <c r="VFD49" s="16"/>
      <c r="VFE49" s="17"/>
      <c r="VFF49" s="30"/>
      <c r="VFG49" s="31"/>
      <c r="VFH49" s="16"/>
      <c r="VFI49" s="17"/>
      <c r="VFJ49" s="30"/>
      <c r="VFK49" s="31"/>
      <c r="VFL49" s="16"/>
      <c r="VFM49" s="17"/>
      <c r="VFN49" s="30"/>
      <c r="VFO49" s="31"/>
      <c r="VFP49" s="16"/>
      <c r="VFQ49" s="17"/>
      <c r="VFR49" s="30"/>
      <c r="VFS49" s="31"/>
      <c r="VFT49" s="16"/>
      <c r="VFU49" s="17"/>
      <c r="VFV49" s="30"/>
      <c r="VFW49" s="31"/>
      <c r="VFX49" s="16"/>
      <c r="VFY49" s="17"/>
      <c r="VFZ49" s="30"/>
      <c r="VGA49" s="31"/>
      <c r="VGB49" s="16"/>
      <c r="VGC49" s="17"/>
      <c r="VGD49" s="30"/>
      <c r="VGE49" s="31"/>
      <c r="VGF49" s="16"/>
      <c r="VGG49" s="17"/>
      <c r="VGH49" s="30"/>
      <c r="VGI49" s="31"/>
      <c r="VGJ49" s="16"/>
      <c r="VGK49" s="17"/>
      <c r="VGL49" s="30"/>
      <c r="VGM49" s="31"/>
      <c r="VGN49" s="16"/>
      <c r="VGO49" s="17"/>
      <c r="VGP49" s="30"/>
      <c r="VGQ49" s="31"/>
      <c r="VGR49" s="16"/>
      <c r="VGS49" s="17"/>
      <c r="VGT49" s="30"/>
      <c r="VGU49" s="31"/>
      <c r="VGV49" s="16"/>
      <c r="VGW49" s="17"/>
      <c r="VGX49" s="30"/>
      <c r="VGY49" s="31"/>
      <c r="VGZ49" s="16"/>
      <c r="VHA49" s="17"/>
      <c r="VHB49" s="30"/>
      <c r="VHC49" s="31"/>
      <c r="VHD49" s="16"/>
      <c r="VHE49" s="17"/>
      <c r="VHF49" s="30"/>
      <c r="VHG49" s="31"/>
      <c r="VHH49" s="16"/>
      <c r="VHI49" s="17"/>
      <c r="VHJ49" s="30"/>
      <c r="VHK49" s="31"/>
      <c r="VHL49" s="16"/>
      <c r="VHM49" s="17"/>
      <c r="VHN49" s="30"/>
      <c r="VHO49" s="31"/>
      <c r="VHP49" s="16"/>
      <c r="VHQ49" s="17"/>
      <c r="VHR49" s="30"/>
      <c r="VHS49" s="31"/>
      <c r="VHT49" s="16"/>
      <c r="VHU49" s="17"/>
      <c r="VHV49" s="30"/>
      <c r="VHW49" s="31"/>
      <c r="VHX49" s="16"/>
      <c r="VHY49" s="17"/>
      <c r="VHZ49" s="30"/>
      <c r="VIA49" s="31"/>
      <c r="VIB49" s="16"/>
      <c r="VIC49" s="17"/>
      <c r="VID49" s="30"/>
      <c r="VIE49" s="31"/>
      <c r="VIF49" s="16"/>
      <c r="VIG49" s="17"/>
      <c r="VIH49" s="30"/>
      <c r="VII49" s="31"/>
      <c r="VIJ49" s="16"/>
      <c r="VIK49" s="17"/>
      <c r="VIL49" s="30"/>
      <c r="VIM49" s="31"/>
      <c r="VIN49" s="16"/>
      <c r="VIO49" s="17"/>
      <c r="VIP49" s="30"/>
      <c r="VIQ49" s="31"/>
      <c r="VIR49" s="16"/>
      <c r="VIS49" s="17"/>
      <c r="VIT49" s="30"/>
      <c r="VIU49" s="31"/>
      <c r="VIV49" s="16"/>
      <c r="VIW49" s="17"/>
      <c r="VIX49" s="30"/>
      <c r="VIY49" s="31"/>
      <c r="VIZ49" s="16"/>
      <c r="VJA49" s="17"/>
      <c r="VJB49" s="30"/>
      <c r="VJC49" s="31"/>
      <c r="VJD49" s="16"/>
      <c r="VJE49" s="17"/>
      <c r="VJF49" s="30"/>
      <c r="VJG49" s="31"/>
      <c r="VJH49" s="16"/>
      <c r="VJI49" s="17"/>
      <c r="VJJ49" s="30"/>
      <c r="VJK49" s="31"/>
      <c r="VJL49" s="16"/>
      <c r="VJM49" s="17"/>
      <c r="VJN49" s="30"/>
      <c r="VJO49" s="31"/>
      <c r="VJP49" s="16"/>
      <c r="VJQ49" s="17"/>
      <c r="VJR49" s="30"/>
      <c r="VJS49" s="31"/>
      <c r="VJT49" s="16"/>
      <c r="VJU49" s="17"/>
      <c r="VJV49" s="30"/>
      <c r="VJW49" s="31"/>
      <c r="VJX49" s="16"/>
      <c r="VJY49" s="17"/>
      <c r="VJZ49" s="30"/>
      <c r="VKA49" s="31"/>
      <c r="VKB49" s="16"/>
      <c r="VKC49" s="17"/>
      <c r="VKD49" s="30"/>
      <c r="VKE49" s="31"/>
      <c r="VKF49" s="16"/>
      <c r="VKG49" s="17"/>
      <c r="VKH49" s="30"/>
      <c r="VKI49" s="31"/>
      <c r="VKJ49" s="16"/>
      <c r="VKK49" s="17"/>
      <c r="VKL49" s="30"/>
      <c r="VKM49" s="31"/>
      <c r="VKN49" s="16"/>
      <c r="VKO49" s="17"/>
      <c r="VKP49" s="30"/>
      <c r="VKQ49" s="31"/>
      <c r="VKR49" s="16"/>
      <c r="VKS49" s="17"/>
      <c r="VKT49" s="30"/>
      <c r="VKU49" s="31"/>
      <c r="VKV49" s="16"/>
      <c r="VKW49" s="17"/>
      <c r="VKX49" s="30"/>
      <c r="VKY49" s="31"/>
      <c r="VKZ49" s="16"/>
      <c r="VLA49" s="17"/>
      <c r="VLB49" s="30"/>
      <c r="VLC49" s="31"/>
      <c r="VLD49" s="16"/>
      <c r="VLE49" s="17"/>
      <c r="VLF49" s="30"/>
      <c r="VLG49" s="31"/>
      <c r="VLH49" s="16"/>
      <c r="VLI49" s="17"/>
      <c r="VLJ49" s="30"/>
      <c r="VLK49" s="31"/>
      <c r="VLL49" s="16"/>
      <c r="VLM49" s="17"/>
      <c r="VLN49" s="30"/>
      <c r="VLO49" s="31"/>
      <c r="VLP49" s="16"/>
      <c r="VLQ49" s="17"/>
      <c r="VLR49" s="30"/>
      <c r="VLS49" s="31"/>
      <c r="VLT49" s="16"/>
      <c r="VLU49" s="17"/>
      <c r="VLV49" s="30"/>
      <c r="VLW49" s="31"/>
      <c r="VLX49" s="16"/>
      <c r="VLY49" s="17"/>
      <c r="VLZ49" s="30"/>
      <c r="VMA49" s="31"/>
      <c r="VMB49" s="16"/>
      <c r="VMC49" s="17"/>
      <c r="VMD49" s="30"/>
      <c r="VME49" s="31"/>
      <c r="VMF49" s="16"/>
      <c r="VMG49" s="17"/>
      <c r="VMH49" s="30"/>
      <c r="VMI49" s="31"/>
      <c r="VMJ49" s="16"/>
      <c r="VMK49" s="17"/>
      <c r="VML49" s="30"/>
      <c r="VMM49" s="31"/>
      <c r="VMN49" s="16"/>
      <c r="VMO49" s="17"/>
      <c r="VMP49" s="30"/>
      <c r="VMQ49" s="31"/>
      <c r="VMR49" s="16"/>
      <c r="VMS49" s="17"/>
      <c r="VMT49" s="30"/>
      <c r="VMU49" s="31"/>
      <c r="VMV49" s="16"/>
      <c r="VMW49" s="17"/>
      <c r="VMX49" s="30"/>
      <c r="VMY49" s="31"/>
      <c r="VMZ49" s="16"/>
      <c r="VNA49" s="17"/>
      <c r="VNB49" s="30"/>
      <c r="VNC49" s="31"/>
      <c r="VND49" s="16"/>
      <c r="VNE49" s="17"/>
      <c r="VNF49" s="30"/>
      <c r="VNG49" s="31"/>
      <c r="VNH49" s="16"/>
      <c r="VNI49" s="17"/>
      <c r="VNJ49" s="30"/>
      <c r="VNK49" s="31"/>
      <c r="VNL49" s="16"/>
      <c r="VNM49" s="17"/>
      <c r="VNN49" s="30"/>
      <c r="VNO49" s="31"/>
      <c r="VNP49" s="16"/>
      <c r="VNQ49" s="17"/>
      <c r="VNR49" s="30"/>
      <c r="VNS49" s="31"/>
      <c r="VNT49" s="16"/>
      <c r="VNU49" s="17"/>
      <c r="VNV49" s="30"/>
      <c r="VNW49" s="31"/>
      <c r="VNX49" s="16"/>
      <c r="VNY49" s="17"/>
      <c r="VNZ49" s="30"/>
      <c r="VOA49" s="31"/>
      <c r="VOB49" s="16"/>
      <c r="VOC49" s="17"/>
      <c r="VOD49" s="30"/>
      <c r="VOE49" s="31"/>
      <c r="VOF49" s="16"/>
      <c r="VOG49" s="17"/>
      <c r="VOH49" s="30"/>
      <c r="VOI49" s="31"/>
      <c r="VOJ49" s="16"/>
      <c r="VOK49" s="17"/>
      <c r="VOL49" s="30"/>
      <c r="VOM49" s="31"/>
      <c r="VON49" s="16"/>
      <c r="VOO49" s="17"/>
      <c r="VOP49" s="30"/>
      <c r="VOQ49" s="31"/>
      <c r="VOR49" s="16"/>
      <c r="VOS49" s="17"/>
      <c r="VOT49" s="30"/>
      <c r="VOU49" s="31"/>
      <c r="VOV49" s="16"/>
      <c r="VOW49" s="17"/>
      <c r="VOX49" s="30"/>
      <c r="VOY49" s="31"/>
      <c r="VOZ49" s="16"/>
      <c r="VPA49" s="17"/>
      <c r="VPB49" s="30"/>
      <c r="VPC49" s="31"/>
      <c r="VPD49" s="16"/>
      <c r="VPE49" s="17"/>
      <c r="VPF49" s="30"/>
      <c r="VPG49" s="31"/>
      <c r="VPH49" s="16"/>
      <c r="VPI49" s="17"/>
      <c r="VPJ49" s="30"/>
      <c r="VPK49" s="31"/>
      <c r="VPL49" s="16"/>
      <c r="VPM49" s="17"/>
      <c r="VPN49" s="30"/>
      <c r="VPO49" s="31"/>
      <c r="VPP49" s="16"/>
      <c r="VPQ49" s="17"/>
      <c r="VPR49" s="30"/>
      <c r="VPS49" s="31"/>
      <c r="VPT49" s="16"/>
      <c r="VPU49" s="17"/>
      <c r="VPV49" s="30"/>
      <c r="VPW49" s="31"/>
      <c r="VPX49" s="16"/>
      <c r="VPY49" s="17"/>
      <c r="VPZ49" s="30"/>
      <c r="VQA49" s="31"/>
      <c r="VQB49" s="16"/>
      <c r="VQC49" s="17"/>
      <c r="VQD49" s="30"/>
      <c r="VQE49" s="31"/>
      <c r="VQF49" s="16"/>
      <c r="VQG49" s="17"/>
      <c r="VQH49" s="30"/>
      <c r="VQI49" s="31"/>
      <c r="VQJ49" s="16"/>
      <c r="VQK49" s="17"/>
      <c r="VQL49" s="30"/>
      <c r="VQM49" s="31"/>
      <c r="VQN49" s="16"/>
      <c r="VQO49" s="17"/>
      <c r="VQP49" s="30"/>
      <c r="VQQ49" s="31"/>
      <c r="VQR49" s="16"/>
      <c r="VQS49" s="17"/>
      <c r="VQT49" s="30"/>
      <c r="VQU49" s="31"/>
      <c r="VQV49" s="16"/>
      <c r="VQW49" s="17"/>
      <c r="VQX49" s="30"/>
      <c r="VQY49" s="31"/>
      <c r="VQZ49" s="16"/>
      <c r="VRA49" s="17"/>
      <c r="VRB49" s="30"/>
      <c r="VRC49" s="31"/>
      <c r="VRD49" s="16"/>
      <c r="VRE49" s="17"/>
      <c r="VRF49" s="30"/>
      <c r="VRG49" s="31"/>
      <c r="VRH49" s="16"/>
      <c r="VRI49" s="17"/>
      <c r="VRJ49" s="30"/>
      <c r="VRK49" s="31"/>
      <c r="VRL49" s="16"/>
      <c r="VRM49" s="17"/>
      <c r="VRN49" s="30"/>
      <c r="VRO49" s="31"/>
      <c r="VRP49" s="16"/>
      <c r="VRQ49" s="17"/>
      <c r="VRR49" s="30"/>
      <c r="VRS49" s="31"/>
      <c r="VRT49" s="16"/>
      <c r="VRU49" s="17"/>
      <c r="VRV49" s="30"/>
      <c r="VRW49" s="31"/>
      <c r="VRX49" s="16"/>
      <c r="VRY49" s="17"/>
      <c r="VRZ49" s="30"/>
      <c r="VSA49" s="31"/>
      <c r="VSB49" s="16"/>
      <c r="VSC49" s="17"/>
      <c r="VSD49" s="30"/>
      <c r="VSE49" s="31"/>
      <c r="VSF49" s="16"/>
      <c r="VSG49" s="17"/>
      <c r="VSH49" s="30"/>
      <c r="VSI49" s="31"/>
      <c r="VSJ49" s="16"/>
      <c r="VSK49" s="17"/>
      <c r="VSL49" s="30"/>
      <c r="VSM49" s="31"/>
      <c r="VSN49" s="16"/>
      <c r="VSO49" s="17"/>
      <c r="VSP49" s="30"/>
      <c r="VSQ49" s="31"/>
      <c r="VSR49" s="16"/>
      <c r="VSS49" s="17"/>
      <c r="VST49" s="30"/>
      <c r="VSU49" s="31"/>
      <c r="VSV49" s="16"/>
      <c r="VSW49" s="17"/>
      <c r="VSX49" s="30"/>
      <c r="VSY49" s="31"/>
      <c r="VSZ49" s="16"/>
      <c r="VTA49" s="17"/>
      <c r="VTB49" s="30"/>
      <c r="VTC49" s="31"/>
      <c r="VTD49" s="16"/>
      <c r="VTE49" s="17"/>
      <c r="VTF49" s="30"/>
      <c r="VTG49" s="31"/>
      <c r="VTH49" s="16"/>
      <c r="VTI49" s="17"/>
      <c r="VTJ49" s="30"/>
      <c r="VTK49" s="31"/>
      <c r="VTL49" s="16"/>
      <c r="VTM49" s="17"/>
      <c r="VTN49" s="30"/>
      <c r="VTO49" s="31"/>
      <c r="VTP49" s="16"/>
      <c r="VTQ49" s="17"/>
      <c r="VTR49" s="30"/>
      <c r="VTS49" s="31"/>
      <c r="VTT49" s="16"/>
      <c r="VTU49" s="17"/>
      <c r="VTV49" s="30"/>
      <c r="VTW49" s="31"/>
      <c r="VTX49" s="16"/>
      <c r="VTY49" s="17"/>
      <c r="VTZ49" s="30"/>
      <c r="VUA49" s="31"/>
      <c r="VUB49" s="16"/>
      <c r="VUC49" s="17"/>
      <c r="VUD49" s="30"/>
      <c r="VUE49" s="31"/>
      <c r="VUF49" s="16"/>
      <c r="VUG49" s="17"/>
      <c r="VUH49" s="30"/>
      <c r="VUI49" s="31"/>
      <c r="VUJ49" s="16"/>
      <c r="VUK49" s="17"/>
      <c r="VUL49" s="30"/>
      <c r="VUM49" s="31"/>
      <c r="VUN49" s="16"/>
      <c r="VUO49" s="17"/>
      <c r="VUP49" s="30"/>
      <c r="VUQ49" s="31"/>
      <c r="VUR49" s="16"/>
      <c r="VUS49" s="17"/>
      <c r="VUT49" s="30"/>
      <c r="VUU49" s="31"/>
      <c r="VUV49" s="16"/>
      <c r="VUW49" s="17"/>
      <c r="VUX49" s="30"/>
      <c r="VUY49" s="31"/>
      <c r="VUZ49" s="16"/>
      <c r="VVA49" s="17"/>
      <c r="VVB49" s="30"/>
      <c r="VVC49" s="31"/>
      <c r="VVD49" s="16"/>
      <c r="VVE49" s="17"/>
      <c r="VVF49" s="30"/>
      <c r="VVG49" s="31"/>
      <c r="VVH49" s="16"/>
      <c r="VVI49" s="17"/>
      <c r="VVJ49" s="30"/>
      <c r="VVK49" s="31"/>
      <c r="VVL49" s="16"/>
      <c r="VVM49" s="17"/>
      <c r="VVN49" s="30"/>
      <c r="VVO49" s="31"/>
      <c r="VVP49" s="16"/>
      <c r="VVQ49" s="17"/>
      <c r="VVR49" s="30"/>
      <c r="VVS49" s="31"/>
      <c r="VVT49" s="16"/>
      <c r="VVU49" s="17"/>
      <c r="VVV49" s="30"/>
      <c r="VVW49" s="31"/>
      <c r="VVX49" s="16"/>
      <c r="VVY49" s="17"/>
      <c r="VVZ49" s="30"/>
      <c r="VWA49" s="31"/>
      <c r="VWB49" s="16"/>
      <c r="VWC49" s="17"/>
      <c r="VWD49" s="30"/>
      <c r="VWE49" s="31"/>
      <c r="VWF49" s="16"/>
      <c r="VWG49" s="17"/>
      <c r="VWH49" s="30"/>
      <c r="VWI49" s="31"/>
      <c r="VWJ49" s="16"/>
      <c r="VWK49" s="17"/>
      <c r="VWL49" s="30"/>
      <c r="VWM49" s="31"/>
      <c r="VWN49" s="16"/>
      <c r="VWO49" s="17"/>
      <c r="VWP49" s="30"/>
      <c r="VWQ49" s="31"/>
      <c r="VWR49" s="16"/>
      <c r="VWS49" s="17"/>
      <c r="VWT49" s="30"/>
      <c r="VWU49" s="31"/>
      <c r="VWV49" s="16"/>
      <c r="VWW49" s="17"/>
      <c r="VWX49" s="30"/>
      <c r="VWY49" s="31"/>
      <c r="VWZ49" s="16"/>
      <c r="VXA49" s="17"/>
      <c r="VXB49" s="30"/>
      <c r="VXC49" s="31"/>
      <c r="VXD49" s="16"/>
      <c r="VXE49" s="17"/>
      <c r="VXF49" s="30"/>
      <c r="VXG49" s="31"/>
      <c r="VXH49" s="16"/>
      <c r="VXI49" s="17"/>
      <c r="VXJ49" s="30"/>
      <c r="VXK49" s="31"/>
      <c r="VXL49" s="16"/>
      <c r="VXM49" s="17"/>
      <c r="VXN49" s="30"/>
      <c r="VXO49" s="31"/>
      <c r="VXP49" s="16"/>
      <c r="VXQ49" s="17"/>
      <c r="VXR49" s="30"/>
      <c r="VXS49" s="31"/>
      <c r="VXT49" s="16"/>
      <c r="VXU49" s="17"/>
      <c r="VXV49" s="30"/>
      <c r="VXW49" s="31"/>
      <c r="VXX49" s="16"/>
      <c r="VXY49" s="17"/>
      <c r="VXZ49" s="30"/>
      <c r="VYA49" s="31"/>
      <c r="VYB49" s="16"/>
      <c r="VYC49" s="17"/>
      <c r="VYD49" s="30"/>
      <c r="VYE49" s="31"/>
      <c r="VYF49" s="16"/>
      <c r="VYG49" s="17"/>
      <c r="VYH49" s="30"/>
      <c r="VYI49" s="31"/>
      <c r="VYJ49" s="16"/>
      <c r="VYK49" s="17"/>
      <c r="VYL49" s="30"/>
      <c r="VYM49" s="31"/>
      <c r="VYN49" s="16"/>
      <c r="VYO49" s="17"/>
      <c r="VYP49" s="30"/>
      <c r="VYQ49" s="31"/>
      <c r="VYR49" s="16"/>
      <c r="VYS49" s="17"/>
      <c r="VYT49" s="30"/>
      <c r="VYU49" s="31"/>
      <c r="VYV49" s="16"/>
      <c r="VYW49" s="17"/>
      <c r="VYX49" s="30"/>
      <c r="VYY49" s="31"/>
      <c r="VYZ49" s="16"/>
      <c r="VZA49" s="17"/>
      <c r="VZB49" s="30"/>
      <c r="VZC49" s="31"/>
      <c r="VZD49" s="16"/>
      <c r="VZE49" s="17"/>
      <c r="VZF49" s="30"/>
      <c r="VZG49" s="31"/>
      <c r="VZH49" s="16"/>
      <c r="VZI49" s="17"/>
      <c r="VZJ49" s="30"/>
      <c r="VZK49" s="31"/>
      <c r="VZL49" s="16"/>
      <c r="VZM49" s="17"/>
      <c r="VZN49" s="30"/>
      <c r="VZO49" s="31"/>
      <c r="VZP49" s="16"/>
      <c r="VZQ49" s="17"/>
      <c r="VZR49" s="30"/>
      <c r="VZS49" s="31"/>
      <c r="VZT49" s="16"/>
      <c r="VZU49" s="17"/>
      <c r="VZV49" s="30"/>
      <c r="VZW49" s="31"/>
      <c r="VZX49" s="16"/>
      <c r="VZY49" s="17"/>
      <c r="VZZ49" s="30"/>
      <c r="WAA49" s="31"/>
      <c r="WAB49" s="16"/>
      <c r="WAC49" s="17"/>
      <c r="WAD49" s="30"/>
      <c r="WAE49" s="31"/>
      <c r="WAF49" s="16"/>
      <c r="WAG49" s="17"/>
      <c r="WAH49" s="30"/>
      <c r="WAI49" s="31"/>
      <c r="WAJ49" s="16"/>
      <c r="WAK49" s="17"/>
      <c r="WAL49" s="30"/>
      <c r="WAM49" s="31"/>
      <c r="WAN49" s="16"/>
      <c r="WAO49" s="17"/>
      <c r="WAP49" s="30"/>
      <c r="WAQ49" s="31"/>
      <c r="WAR49" s="16"/>
      <c r="WAS49" s="17"/>
      <c r="WAT49" s="30"/>
      <c r="WAU49" s="31"/>
      <c r="WAV49" s="16"/>
      <c r="WAW49" s="17"/>
      <c r="WAX49" s="30"/>
      <c r="WAY49" s="31"/>
      <c r="WAZ49" s="16"/>
      <c r="WBA49" s="17"/>
      <c r="WBB49" s="30"/>
      <c r="WBC49" s="31"/>
      <c r="WBD49" s="16"/>
      <c r="WBE49" s="17"/>
      <c r="WBF49" s="30"/>
      <c r="WBG49" s="31"/>
      <c r="WBH49" s="16"/>
      <c r="WBI49" s="17"/>
      <c r="WBJ49" s="30"/>
      <c r="WBK49" s="31"/>
      <c r="WBL49" s="16"/>
      <c r="WBM49" s="17"/>
      <c r="WBN49" s="30"/>
      <c r="WBO49" s="31"/>
      <c r="WBP49" s="16"/>
      <c r="WBQ49" s="17"/>
      <c r="WBR49" s="30"/>
      <c r="WBS49" s="31"/>
      <c r="WBT49" s="16"/>
      <c r="WBU49" s="17"/>
      <c r="WBV49" s="30"/>
      <c r="WBW49" s="31"/>
      <c r="WBX49" s="16"/>
      <c r="WBY49" s="17"/>
      <c r="WBZ49" s="30"/>
      <c r="WCA49" s="31"/>
      <c r="WCB49" s="16"/>
      <c r="WCC49" s="17"/>
      <c r="WCD49" s="30"/>
      <c r="WCE49" s="31"/>
      <c r="WCF49" s="16"/>
      <c r="WCG49" s="17"/>
      <c r="WCH49" s="30"/>
      <c r="WCI49" s="31"/>
      <c r="WCJ49" s="16"/>
      <c r="WCK49" s="17"/>
      <c r="WCL49" s="30"/>
      <c r="WCM49" s="31"/>
      <c r="WCN49" s="16"/>
      <c r="WCO49" s="17"/>
      <c r="WCP49" s="30"/>
      <c r="WCQ49" s="31"/>
      <c r="WCR49" s="16"/>
      <c r="WCS49" s="17"/>
      <c r="WCT49" s="30"/>
      <c r="WCU49" s="31"/>
      <c r="WCV49" s="16"/>
      <c r="WCW49" s="17"/>
      <c r="WCX49" s="30"/>
      <c r="WCY49" s="31"/>
      <c r="WCZ49" s="16"/>
      <c r="WDA49" s="17"/>
      <c r="WDB49" s="30"/>
      <c r="WDC49" s="31"/>
      <c r="WDD49" s="16"/>
      <c r="WDE49" s="17"/>
      <c r="WDF49" s="30"/>
      <c r="WDG49" s="31"/>
      <c r="WDH49" s="16"/>
      <c r="WDI49" s="17"/>
      <c r="WDJ49" s="30"/>
      <c r="WDK49" s="31"/>
      <c r="WDL49" s="16"/>
      <c r="WDM49" s="17"/>
      <c r="WDN49" s="30"/>
      <c r="WDO49" s="31"/>
      <c r="WDP49" s="16"/>
      <c r="WDQ49" s="17"/>
      <c r="WDR49" s="30"/>
      <c r="WDS49" s="31"/>
      <c r="WDT49" s="16"/>
      <c r="WDU49" s="17"/>
      <c r="WDV49" s="30"/>
      <c r="WDW49" s="31"/>
      <c r="WDX49" s="16"/>
      <c r="WDY49" s="17"/>
      <c r="WDZ49" s="30"/>
      <c r="WEA49" s="31"/>
      <c r="WEB49" s="16"/>
      <c r="WEC49" s="17"/>
      <c r="WED49" s="30"/>
      <c r="WEE49" s="31"/>
      <c r="WEF49" s="16"/>
      <c r="WEG49" s="17"/>
      <c r="WEH49" s="30"/>
      <c r="WEI49" s="31"/>
      <c r="WEJ49" s="16"/>
      <c r="WEK49" s="17"/>
      <c r="WEL49" s="30"/>
      <c r="WEM49" s="31"/>
      <c r="WEN49" s="16"/>
      <c r="WEO49" s="17"/>
      <c r="WEP49" s="30"/>
      <c r="WEQ49" s="31"/>
      <c r="WER49" s="16"/>
      <c r="WES49" s="17"/>
      <c r="WET49" s="30"/>
      <c r="WEU49" s="31"/>
      <c r="WEV49" s="16"/>
      <c r="WEW49" s="17"/>
      <c r="WEX49" s="30"/>
      <c r="WEY49" s="31"/>
      <c r="WEZ49" s="16"/>
      <c r="WFA49" s="17"/>
      <c r="WFB49" s="30"/>
      <c r="WFC49" s="31"/>
      <c r="WFD49" s="16"/>
      <c r="WFE49" s="17"/>
      <c r="WFF49" s="30"/>
      <c r="WFG49" s="31"/>
      <c r="WFH49" s="16"/>
      <c r="WFI49" s="17"/>
      <c r="WFJ49" s="30"/>
      <c r="WFK49" s="31"/>
      <c r="WFL49" s="16"/>
      <c r="WFM49" s="17"/>
      <c r="WFN49" s="30"/>
      <c r="WFO49" s="31"/>
      <c r="WFP49" s="16"/>
      <c r="WFQ49" s="17"/>
      <c r="WFR49" s="30"/>
      <c r="WFS49" s="31"/>
      <c r="WFT49" s="16"/>
      <c r="WFU49" s="17"/>
      <c r="WFV49" s="30"/>
      <c r="WFW49" s="31"/>
      <c r="WFX49" s="16"/>
      <c r="WFY49" s="17"/>
      <c r="WFZ49" s="30"/>
      <c r="WGA49" s="31"/>
      <c r="WGB49" s="16"/>
      <c r="WGC49" s="17"/>
      <c r="WGD49" s="30"/>
      <c r="WGE49" s="31"/>
      <c r="WGF49" s="16"/>
      <c r="WGG49" s="17"/>
      <c r="WGH49" s="30"/>
      <c r="WGI49" s="31"/>
      <c r="WGJ49" s="16"/>
      <c r="WGK49" s="17"/>
      <c r="WGL49" s="30"/>
      <c r="WGM49" s="31"/>
      <c r="WGN49" s="16"/>
      <c r="WGO49" s="17"/>
      <c r="WGP49" s="30"/>
      <c r="WGQ49" s="31"/>
      <c r="WGR49" s="16"/>
      <c r="WGS49" s="17"/>
      <c r="WGT49" s="30"/>
      <c r="WGU49" s="31"/>
      <c r="WGV49" s="16"/>
      <c r="WGW49" s="17"/>
      <c r="WGX49" s="30"/>
      <c r="WGY49" s="31"/>
      <c r="WGZ49" s="16"/>
      <c r="WHA49" s="17"/>
      <c r="WHB49" s="30"/>
      <c r="WHC49" s="31"/>
      <c r="WHD49" s="16"/>
      <c r="WHE49" s="17"/>
      <c r="WHF49" s="30"/>
      <c r="WHG49" s="31"/>
      <c r="WHH49" s="16"/>
      <c r="WHI49" s="17"/>
      <c r="WHJ49" s="30"/>
      <c r="WHK49" s="31"/>
      <c r="WHL49" s="16"/>
      <c r="WHM49" s="17"/>
      <c r="WHN49" s="30"/>
      <c r="WHO49" s="31"/>
      <c r="WHP49" s="16"/>
      <c r="WHQ49" s="17"/>
      <c r="WHR49" s="30"/>
      <c r="WHS49" s="31"/>
      <c r="WHT49" s="16"/>
      <c r="WHU49" s="17"/>
      <c r="WHV49" s="30"/>
      <c r="WHW49" s="31"/>
      <c r="WHX49" s="16"/>
      <c r="WHY49" s="17"/>
      <c r="WHZ49" s="30"/>
      <c r="WIA49" s="31"/>
      <c r="WIB49" s="16"/>
      <c r="WIC49" s="17"/>
      <c r="WID49" s="30"/>
      <c r="WIE49" s="31"/>
      <c r="WIF49" s="16"/>
      <c r="WIG49" s="17"/>
      <c r="WIH49" s="30"/>
      <c r="WII49" s="31"/>
      <c r="WIJ49" s="16"/>
      <c r="WIK49" s="17"/>
      <c r="WIL49" s="30"/>
      <c r="WIM49" s="31"/>
      <c r="WIN49" s="16"/>
      <c r="WIO49" s="17"/>
      <c r="WIP49" s="30"/>
      <c r="WIQ49" s="31"/>
      <c r="WIR49" s="16"/>
      <c r="WIS49" s="17"/>
      <c r="WIT49" s="30"/>
      <c r="WIU49" s="31"/>
      <c r="WIV49" s="16"/>
      <c r="WIW49" s="17"/>
      <c r="WIX49" s="30"/>
      <c r="WIY49" s="31"/>
      <c r="WIZ49" s="16"/>
      <c r="WJA49" s="17"/>
      <c r="WJB49" s="30"/>
      <c r="WJC49" s="31"/>
      <c r="WJD49" s="16"/>
      <c r="WJE49" s="17"/>
      <c r="WJF49" s="30"/>
      <c r="WJG49" s="31"/>
      <c r="WJH49" s="16"/>
      <c r="WJI49" s="17"/>
      <c r="WJJ49" s="30"/>
      <c r="WJK49" s="31"/>
      <c r="WJL49" s="16"/>
      <c r="WJM49" s="17"/>
      <c r="WJN49" s="30"/>
      <c r="WJO49" s="31"/>
      <c r="WJP49" s="16"/>
      <c r="WJQ49" s="17"/>
      <c r="WJR49" s="30"/>
      <c r="WJS49" s="31"/>
      <c r="WJT49" s="16"/>
      <c r="WJU49" s="17"/>
      <c r="WJV49" s="30"/>
      <c r="WJW49" s="31"/>
      <c r="WJX49" s="16"/>
      <c r="WJY49" s="17"/>
      <c r="WJZ49" s="30"/>
      <c r="WKA49" s="31"/>
      <c r="WKB49" s="16"/>
      <c r="WKC49" s="17"/>
      <c r="WKD49" s="30"/>
      <c r="WKE49" s="31"/>
      <c r="WKF49" s="16"/>
      <c r="WKG49" s="17"/>
      <c r="WKH49" s="30"/>
      <c r="WKI49" s="31"/>
      <c r="WKJ49" s="16"/>
      <c r="WKK49" s="17"/>
      <c r="WKL49" s="30"/>
      <c r="WKM49" s="31"/>
      <c r="WKN49" s="16"/>
      <c r="WKO49" s="17"/>
      <c r="WKP49" s="30"/>
      <c r="WKQ49" s="31"/>
      <c r="WKR49" s="16"/>
      <c r="WKS49" s="17"/>
      <c r="WKT49" s="30"/>
      <c r="WKU49" s="31"/>
      <c r="WKV49" s="16"/>
      <c r="WKW49" s="17"/>
      <c r="WKX49" s="30"/>
      <c r="WKY49" s="31"/>
      <c r="WKZ49" s="16"/>
      <c r="WLA49" s="17"/>
      <c r="WLB49" s="30"/>
      <c r="WLC49" s="31"/>
      <c r="WLD49" s="16"/>
      <c r="WLE49" s="17"/>
      <c r="WLF49" s="30"/>
      <c r="WLG49" s="31"/>
      <c r="WLH49" s="16"/>
      <c r="WLI49" s="17"/>
      <c r="WLJ49" s="30"/>
      <c r="WLK49" s="31"/>
      <c r="WLL49" s="16"/>
      <c r="WLM49" s="17"/>
      <c r="WLN49" s="30"/>
      <c r="WLO49" s="31"/>
      <c r="WLP49" s="16"/>
      <c r="WLQ49" s="17"/>
      <c r="WLR49" s="30"/>
      <c r="WLS49" s="31"/>
      <c r="WLT49" s="16"/>
      <c r="WLU49" s="17"/>
      <c r="WLV49" s="30"/>
      <c r="WLW49" s="31"/>
      <c r="WLX49" s="16"/>
      <c r="WLY49" s="17"/>
      <c r="WLZ49" s="30"/>
      <c r="WMA49" s="31"/>
      <c r="WMB49" s="16"/>
      <c r="WMC49" s="17"/>
      <c r="WMD49" s="30"/>
      <c r="WME49" s="31"/>
      <c r="WMF49" s="16"/>
      <c r="WMG49" s="17"/>
      <c r="WMH49" s="30"/>
      <c r="WMI49" s="31"/>
      <c r="WMJ49" s="16"/>
      <c r="WMK49" s="17"/>
      <c r="WML49" s="30"/>
      <c r="WMM49" s="31"/>
      <c r="WMN49" s="16"/>
      <c r="WMO49" s="17"/>
      <c r="WMP49" s="30"/>
      <c r="WMQ49" s="31"/>
      <c r="WMR49" s="16"/>
      <c r="WMS49" s="17"/>
      <c r="WMT49" s="30"/>
      <c r="WMU49" s="31"/>
      <c r="WMV49" s="16"/>
      <c r="WMW49" s="17"/>
      <c r="WMX49" s="30"/>
      <c r="WMY49" s="31"/>
      <c r="WMZ49" s="16"/>
      <c r="WNA49" s="17"/>
      <c r="WNB49" s="30"/>
      <c r="WNC49" s="31"/>
      <c r="WND49" s="16"/>
      <c r="WNE49" s="17"/>
      <c r="WNF49" s="30"/>
      <c r="WNG49" s="31"/>
      <c r="WNH49" s="16"/>
      <c r="WNI49" s="17"/>
      <c r="WNJ49" s="30"/>
      <c r="WNK49" s="31"/>
      <c r="WNL49" s="16"/>
      <c r="WNM49" s="17"/>
      <c r="WNN49" s="30"/>
      <c r="WNO49" s="31"/>
      <c r="WNP49" s="16"/>
      <c r="WNQ49" s="17"/>
      <c r="WNR49" s="30"/>
      <c r="WNS49" s="31"/>
      <c r="WNT49" s="16"/>
      <c r="WNU49" s="17"/>
      <c r="WNV49" s="30"/>
      <c r="WNW49" s="31"/>
      <c r="WNX49" s="16"/>
      <c r="WNY49" s="17"/>
      <c r="WNZ49" s="30"/>
      <c r="WOA49" s="31"/>
      <c r="WOB49" s="16"/>
      <c r="WOC49" s="17"/>
      <c r="WOD49" s="30"/>
      <c r="WOE49" s="31"/>
      <c r="WOF49" s="16"/>
      <c r="WOG49" s="17"/>
      <c r="WOH49" s="30"/>
      <c r="WOI49" s="31"/>
      <c r="WOJ49" s="16"/>
      <c r="WOK49" s="17"/>
      <c r="WOL49" s="30"/>
      <c r="WOM49" s="31"/>
      <c r="WON49" s="16"/>
      <c r="WOO49" s="17"/>
      <c r="WOP49" s="30"/>
      <c r="WOQ49" s="31"/>
      <c r="WOR49" s="16"/>
      <c r="WOS49" s="17"/>
      <c r="WOT49" s="30"/>
      <c r="WOU49" s="31"/>
      <c r="WOV49" s="16"/>
      <c r="WOW49" s="17"/>
      <c r="WOX49" s="30"/>
      <c r="WOY49" s="31"/>
      <c r="WOZ49" s="16"/>
      <c r="WPA49" s="17"/>
      <c r="WPB49" s="30"/>
      <c r="WPC49" s="31"/>
      <c r="WPD49" s="16"/>
      <c r="WPE49" s="17"/>
      <c r="WPF49" s="30"/>
      <c r="WPG49" s="31"/>
      <c r="WPH49" s="16"/>
      <c r="WPI49" s="17"/>
      <c r="WPJ49" s="30"/>
      <c r="WPK49" s="31"/>
      <c r="WPL49" s="16"/>
      <c r="WPM49" s="17"/>
      <c r="WPN49" s="30"/>
      <c r="WPO49" s="31"/>
      <c r="WPP49" s="16"/>
      <c r="WPQ49" s="17"/>
      <c r="WPR49" s="30"/>
      <c r="WPS49" s="31"/>
      <c r="WPT49" s="16"/>
      <c r="WPU49" s="17"/>
      <c r="WPV49" s="30"/>
      <c r="WPW49" s="31"/>
      <c r="WPX49" s="16"/>
      <c r="WPY49" s="17"/>
      <c r="WPZ49" s="30"/>
      <c r="WQA49" s="31"/>
      <c r="WQB49" s="16"/>
      <c r="WQC49" s="17"/>
      <c r="WQD49" s="30"/>
      <c r="WQE49" s="31"/>
      <c r="WQF49" s="16"/>
      <c r="WQG49" s="17"/>
      <c r="WQH49" s="30"/>
      <c r="WQI49" s="31"/>
      <c r="WQJ49" s="16"/>
      <c r="WQK49" s="17"/>
      <c r="WQL49" s="30"/>
      <c r="WQM49" s="31"/>
      <c r="WQN49" s="16"/>
      <c r="WQO49" s="17"/>
      <c r="WQP49" s="30"/>
      <c r="WQQ49" s="31"/>
      <c r="WQR49" s="16"/>
      <c r="WQS49" s="17"/>
      <c r="WQT49" s="30"/>
      <c r="WQU49" s="31"/>
      <c r="WQV49" s="16"/>
      <c r="WQW49" s="17"/>
      <c r="WQX49" s="30"/>
      <c r="WQY49" s="31"/>
      <c r="WQZ49" s="16"/>
      <c r="WRA49" s="17"/>
      <c r="WRB49" s="30"/>
      <c r="WRC49" s="31"/>
      <c r="WRD49" s="16"/>
      <c r="WRE49" s="17"/>
      <c r="WRF49" s="30"/>
      <c r="WRG49" s="31"/>
      <c r="WRH49" s="16"/>
      <c r="WRI49" s="17"/>
      <c r="WRJ49" s="30"/>
      <c r="WRK49" s="31"/>
      <c r="WRL49" s="16"/>
      <c r="WRM49" s="17"/>
      <c r="WRN49" s="30"/>
      <c r="WRO49" s="31"/>
      <c r="WRP49" s="16"/>
      <c r="WRQ49" s="17"/>
      <c r="WRR49" s="30"/>
      <c r="WRS49" s="31"/>
      <c r="WRT49" s="16"/>
      <c r="WRU49" s="17"/>
      <c r="WRV49" s="30"/>
      <c r="WRW49" s="31"/>
      <c r="WRX49" s="16"/>
      <c r="WRY49" s="17"/>
      <c r="WRZ49" s="30"/>
      <c r="WSA49" s="31"/>
      <c r="WSB49" s="16"/>
      <c r="WSC49" s="17"/>
      <c r="WSD49" s="30"/>
      <c r="WSE49" s="31"/>
      <c r="WSF49" s="16"/>
      <c r="WSG49" s="17"/>
      <c r="WSH49" s="30"/>
      <c r="WSI49" s="31"/>
      <c r="WSJ49" s="16"/>
      <c r="WSK49" s="17"/>
      <c r="WSL49" s="30"/>
      <c r="WSM49" s="31"/>
      <c r="WSN49" s="16"/>
      <c r="WSO49" s="17"/>
      <c r="WSP49" s="30"/>
      <c r="WSQ49" s="31"/>
      <c r="WSR49" s="16"/>
      <c r="WSS49" s="17"/>
      <c r="WST49" s="30"/>
      <c r="WSU49" s="31"/>
      <c r="WSV49" s="16"/>
      <c r="WSW49" s="17"/>
      <c r="WSX49" s="30"/>
      <c r="WSY49" s="31"/>
      <c r="WSZ49" s="16"/>
      <c r="WTA49" s="17"/>
      <c r="WTB49" s="30"/>
      <c r="WTC49" s="31"/>
      <c r="WTD49" s="16"/>
      <c r="WTE49" s="17"/>
      <c r="WTF49" s="30"/>
      <c r="WTG49" s="31"/>
      <c r="WTH49" s="16"/>
      <c r="WTI49" s="17"/>
      <c r="WTJ49" s="30"/>
      <c r="WTK49" s="31"/>
      <c r="WTL49" s="16"/>
      <c r="WTM49" s="17"/>
      <c r="WTN49" s="30"/>
      <c r="WTO49" s="31"/>
      <c r="WTP49" s="16"/>
      <c r="WTQ49" s="17"/>
      <c r="WTR49" s="30"/>
      <c r="WTS49" s="31"/>
      <c r="WTT49" s="16"/>
      <c r="WTU49" s="17"/>
      <c r="WTV49" s="30"/>
      <c r="WTW49" s="31"/>
      <c r="WTX49" s="16"/>
      <c r="WTY49" s="17"/>
      <c r="WTZ49" s="30"/>
      <c r="WUA49" s="31"/>
      <c r="WUB49" s="16"/>
      <c r="WUC49" s="17"/>
      <c r="WUD49" s="30"/>
      <c r="WUE49" s="31"/>
      <c r="WUF49" s="16"/>
      <c r="WUG49" s="17"/>
      <c r="WUH49" s="30"/>
      <c r="WUI49" s="31"/>
      <c r="WUJ49" s="16"/>
      <c r="WUK49" s="17"/>
      <c r="WUL49" s="30"/>
      <c r="WUM49" s="31"/>
      <c r="WUN49" s="16"/>
      <c r="WUO49" s="17"/>
      <c r="WUP49" s="30"/>
      <c r="WUQ49" s="31"/>
      <c r="WUR49" s="16"/>
      <c r="WUS49" s="17"/>
      <c r="WUT49" s="30"/>
      <c r="WUU49" s="31"/>
      <c r="WUV49" s="16"/>
      <c r="WUW49" s="17"/>
      <c r="WUX49" s="30"/>
      <c r="WUY49" s="31"/>
      <c r="WUZ49" s="16"/>
      <c r="WVA49" s="17"/>
      <c r="WVB49" s="30"/>
      <c r="WVC49" s="31"/>
      <c r="WVD49" s="16"/>
      <c r="WVE49" s="17"/>
      <c r="WVF49" s="30"/>
      <c r="WVG49" s="31"/>
      <c r="WVH49" s="16"/>
      <c r="WVI49" s="17"/>
      <c r="WVJ49" s="30"/>
      <c r="WVK49" s="31"/>
      <c r="WVL49" s="16"/>
      <c r="WVM49" s="17"/>
      <c r="WVN49" s="30"/>
      <c r="WVO49" s="31"/>
      <c r="WVP49" s="16"/>
      <c r="WVQ49" s="17"/>
      <c r="WVR49" s="30"/>
      <c r="WVS49" s="31"/>
      <c r="WVT49" s="16"/>
      <c r="WVU49" s="17"/>
      <c r="WVV49" s="30"/>
      <c r="WVW49" s="31"/>
      <c r="WVX49" s="16"/>
      <c r="WVY49" s="17"/>
      <c r="WVZ49" s="30"/>
      <c r="WWA49" s="31"/>
      <c r="WWB49" s="16"/>
      <c r="WWC49" s="17"/>
      <c r="WWD49" s="30"/>
      <c r="WWE49" s="31"/>
      <c r="WWF49" s="16"/>
      <c r="WWG49" s="17"/>
      <c r="WWH49" s="30"/>
      <c r="WWI49" s="31"/>
      <c r="WWJ49" s="16"/>
      <c r="WWK49" s="17"/>
      <c r="WWL49" s="30"/>
      <c r="WWM49" s="31"/>
      <c r="WWN49" s="16"/>
      <c r="WWO49" s="17"/>
      <c r="WWP49" s="30"/>
      <c r="WWQ49" s="31"/>
      <c r="WWR49" s="16"/>
      <c r="WWS49" s="17"/>
      <c r="WWT49" s="30"/>
      <c r="WWU49" s="31"/>
      <c r="WWV49" s="16"/>
      <c r="WWW49" s="17"/>
      <c r="WWX49" s="30"/>
      <c r="WWY49" s="31"/>
      <c r="WWZ49" s="16"/>
      <c r="WXA49" s="17"/>
      <c r="WXB49" s="30"/>
      <c r="WXC49" s="31"/>
      <c r="WXD49" s="16"/>
      <c r="WXE49" s="17"/>
      <c r="WXF49" s="30"/>
      <c r="WXG49" s="31"/>
      <c r="WXH49" s="16"/>
      <c r="WXI49" s="17"/>
      <c r="WXJ49" s="30"/>
      <c r="WXK49" s="31"/>
      <c r="WXL49" s="16"/>
      <c r="WXM49" s="17"/>
      <c r="WXN49" s="30"/>
      <c r="WXO49" s="31"/>
      <c r="WXP49" s="16"/>
      <c r="WXQ49" s="17"/>
      <c r="WXR49" s="30"/>
      <c r="WXS49" s="31"/>
      <c r="WXT49" s="16"/>
      <c r="WXU49" s="17"/>
      <c r="WXV49" s="30"/>
      <c r="WXW49" s="31"/>
      <c r="WXX49" s="16"/>
      <c r="WXY49" s="17"/>
      <c r="WXZ49" s="30"/>
      <c r="WYA49" s="31"/>
      <c r="WYB49" s="16"/>
      <c r="WYC49" s="17"/>
      <c r="WYD49" s="30"/>
      <c r="WYE49" s="31"/>
      <c r="WYF49" s="16"/>
      <c r="WYG49" s="17"/>
      <c r="WYH49" s="30"/>
      <c r="WYI49" s="31"/>
      <c r="WYJ49" s="16"/>
      <c r="WYK49" s="17"/>
      <c r="WYL49" s="30"/>
      <c r="WYM49" s="31"/>
      <c r="WYN49" s="16"/>
      <c r="WYO49" s="17"/>
      <c r="WYP49" s="30"/>
      <c r="WYQ49" s="31"/>
      <c r="WYR49" s="16"/>
      <c r="WYS49" s="17"/>
      <c r="WYT49" s="30"/>
      <c r="WYU49" s="31"/>
      <c r="WYV49" s="16"/>
      <c r="WYW49" s="17"/>
      <c r="WYX49" s="30"/>
      <c r="WYY49" s="31"/>
      <c r="WYZ49" s="16"/>
      <c r="WZA49" s="17"/>
      <c r="WZB49" s="30"/>
      <c r="WZC49" s="31"/>
      <c r="WZD49" s="16"/>
      <c r="WZE49" s="17"/>
      <c r="WZF49" s="30"/>
      <c r="WZG49" s="31"/>
      <c r="WZH49" s="16"/>
      <c r="WZI49" s="17"/>
      <c r="WZJ49" s="30"/>
      <c r="WZK49" s="31"/>
      <c r="WZL49" s="16"/>
      <c r="WZM49" s="17"/>
      <c r="WZN49" s="30"/>
      <c r="WZO49" s="31"/>
      <c r="WZP49" s="16"/>
      <c r="WZQ49" s="17"/>
      <c r="WZR49" s="30"/>
      <c r="WZS49" s="31"/>
      <c r="WZT49" s="16"/>
      <c r="WZU49" s="17"/>
      <c r="WZV49" s="30"/>
      <c r="WZW49" s="31"/>
      <c r="WZX49" s="16"/>
      <c r="WZY49" s="17"/>
      <c r="WZZ49" s="30"/>
      <c r="XAA49" s="31"/>
      <c r="XAB49" s="16"/>
      <c r="XAC49" s="17"/>
      <c r="XAD49" s="30"/>
      <c r="XAE49" s="31"/>
      <c r="XAF49" s="16"/>
      <c r="XAG49" s="17"/>
      <c r="XAH49" s="30"/>
      <c r="XAI49" s="31"/>
      <c r="XAJ49" s="16"/>
      <c r="XAK49" s="17"/>
      <c r="XAL49" s="30"/>
      <c r="XAM49" s="31"/>
      <c r="XAN49" s="16"/>
      <c r="XAO49" s="17"/>
      <c r="XAP49" s="30"/>
      <c r="XAQ49" s="31"/>
      <c r="XAR49" s="16"/>
      <c r="XAS49" s="17"/>
      <c r="XAT49" s="30"/>
      <c r="XAU49" s="31"/>
      <c r="XAV49" s="16"/>
      <c r="XAW49" s="17"/>
      <c r="XAX49" s="30"/>
      <c r="XAY49" s="31"/>
      <c r="XAZ49" s="16"/>
      <c r="XBA49" s="17"/>
      <c r="XBB49" s="30"/>
      <c r="XBC49" s="31"/>
      <c r="XBD49" s="16"/>
      <c r="XBE49" s="17"/>
      <c r="XBF49" s="30"/>
      <c r="XBG49" s="31"/>
      <c r="XBH49" s="16"/>
      <c r="XBI49" s="17"/>
      <c r="XBJ49" s="30"/>
      <c r="XBK49" s="31"/>
      <c r="XBL49" s="16"/>
      <c r="XBM49" s="17"/>
      <c r="XBN49" s="30"/>
      <c r="XBO49" s="31"/>
      <c r="XBP49" s="16"/>
      <c r="XBQ49" s="17"/>
      <c r="XBR49" s="30"/>
      <c r="XBS49" s="31"/>
      <c r="XBT49" s="16"/>
      <c r="XBU49" s="17"/>
      <c r="XBV49" s="30"/>
      <c r="XBW49" s="31"/>
      <c r="XBX49" s="16"/>
      <c r="XBY49" s="17"/>
      <c r="XBZ49" s="30"/>
      <c r="XCA49" s="31"/>
      <c r="XCB49" s="16"/>
      <c r="XCC49" s="17"/>
      <c r="XCD49" s="30"/>
      <c r="XCE49" s="31"/>
      <c r="XCF49" s="16"/>
      <c r="XCG49" s="17"/>
      <c r="XCH49" s="30"/>
      <c r="XCI49" s="31"/>
      <c r="XCJ49" s="16"/>
      <c r="XCK49" s="17"/>
      <c r="XCL49" s="30"/>
      <c r="XCM49" s="31"/>
      <c r="XCN49" s="16"/>
      <c r="XCO49" s="17"/>
      <c r="XCP49" s="30"/>
      <c r="XCQ49" s="31"/>
      <c r="XCR49" s="16"/>
      <c r="XCS49" s="17"/>
      <c r="XCT49" s="30"/>
      <c r="XCU49" s="31"/>
      <c r="XCV49" s="16"/>
      <c r="XCW49" s="17"/>
      <c r="XCX49" s="30"/>
      <c r="XCY49" s="31"/>
      <c r="XCZ49" s="16"/>
      <c r="XDA49" s="17"/>
      <c r="XDB49" s="30"/>
      <c r="XDC49" s="31"/>
      <c r="XDD49" s="16"/>
      <c r="XDE49" s="17"/>
      <c r="XDF49" s="30"/>
      <c r="XDG49" s="31"/>
      <c r="XDH49" s="16"/>
      <c r="XDI49" s="17"/>
      <c r="XDJ49" s="30"/>
      <c r="XDK49" s="31"/>
      <c r="XDL49" s="16"/>
      <c r="XDM49" s="17"/>
      <c r="XDN49" s="30"/>
      <c r="XDO49" s="31"/>
      <c r="XDP49" s="16"/>
      <c r="XDQ49" s="17"/>
      <c r="XDR49" s="30"/>
      <c r="XDS49" s="31"/>
      <c r="XDT49" s="16"/>
      <c r="XDU49" s="17"/>
      <c r="XDV49" s="30"/>
      <c r="XDW49" s="31"/>
      <c r="XDX49" s="16"/>
      <c r="XDY49" s="17"/>
      <c r="XDZ49" s="30"/>
      <c r="XEA49" s="31"/>
      <c r="XEB49" s="16"/>
      <c r="XEC49" s="17"/>
      <c r="XED49" s="30"/>
      <c r="XEE49" s="31"/>
      <c r="XEF49" s="16"/>
      <c r="XEG49" s="17"/>
      <c r="XEH49" s="30"/>
      <c r="XEI49" s="31"/>
      <c r="XEJ49" s="16"/>
      <c r="XEK49" s="17"/>
      <c r="XEL49" s="30"/>
      <c r="XEM49" s="31"/>
      <c r="XEN49" s="16"/>
      <c r="XEO49" s="17"/>
      <c r="XEP49" s="30"/>
      <c r="XEQ49" s="31"/>
    </row>
    <row r="50" spans="1:16371" ht="60" x14ac:dyDescent="0.2">
      <c r="A50" s="13">
        <f>A48+1</f>
        <v>44</v>
      </c>
      <c r="B50" s="18">
        <f>'F-PLA-05 PLAN INDIC 2020'!N304</f>
        <v>2302</v>
      </c>
      <c r="C50" s="62" t="str">
        <f>'F-PLA-05 PLAN INDIC 2020'!O304</f>
        <v>Fomento del desarrollo de aplicaciones, software y contenidos para impulsar la apropiación de las Tecnologías de la Información y las Comunicaciones (TIC) "Quindío paraiso empresarial TIC-Quindío TIC"</v>
      </c>
      <c r="D50" s="57">
        <f>'F-PLA-05 PLAN INDIC 2020'!AF304</f>
        <v>353721000</v>
      </c>
      <c r="E50" s="57">
        <f>'F-PLA-05 PLAN INDIC 2020'!AG304</f>
        <v>329072188</v>
      </c>
      <c r="F50" s="57">
        <f>'F-PLA-05 PLAN INDIC 2020'!AH304</f>
        <v>329072188</v>
      </c>
    </row>
    <row r="51" spans="1:16371" ht="45" x14ac:dyDescent="0.2">
      <c r="A51" s="13">
        <f t="shared" ref="A51:A52" si="3">A50+1</f>
        <v>45</v>
      </c>
      <c r="B51" s="13">
        <f>'F-PLA-05 PLAN INDIC 2020'!N311</f>
        <v>4502</v>
      </c>
      <c r="C51" s="59" t="str">
        <f>'F-PLA-05 PLAN INDIC 2020'!O311</f>
        <v>Fortalecimiento del buen gobierno para el respeto y garantía de los derechos humanos. "Quindío integrado y participativo"</v>
      </c>
      <c r="D51" s="57">
        <f>'F-PLA-05 PLAN INDIC 2020'!AF311</f>
        <v>719188575.16000009</v>
      </c>
      <c r="E51" s="57">
        <f>'F-PLA-05 PLAN INDIC 2020'!AG311</f>
        <v>451113094</v>
      </c>
      <c r="F51" s="57">
        <f>'F-PLA-05 PLAN INDIC 2020'!AH311</f>
        <v>451113094</v>
      </c>
    </row>
    <row r="52" spans="1:16371" ht="45" x14ac:dyDescent="0.2">
      <c r="A52" s="13">
        <f t="shared" si="3"/>
        <v>46</v>
      </c>
      <c r="B52" s="13">
        <f>'F-PLA-05 PLAN INDIC 2020'!N327</f>
        <v>4599</v>
      </c>
      <c r="C52" s="59" t="str">
        <f>'F-PLA-05 PLAN INDIC 2020'!O327</f>
        <v>Fortalecimiento a la gestión y dirección de la  administración pública Territorial. "Quindío con una administración al servicio de la ciudadanía"</v>
      </c>
      <c r="D52" s="57">
        <f>'F-PLA-05 PLAN INDIC 2020'!AF327</f>
        <v>4455973164.5799999</v>
      </c>
      <c r="E52" s="57">
        <f>'F-PLA-05 PLAN INDIC 2020'!AG327</f>
        <v>3342094067.3299999</v>
      </c>
      <c r="F52" s="57">
        <f>'F-PLA-05 PLAN INDIC 2020'!AH327</f>
        <v>3262049053.3299999</v>
      </c>
    </row>
    <row r="53" spans="1:16371" x14ac:dyDescent="0.25">
      <c r="D53" s="58"/>
      <c r="E53" s="58"/>
      <c r="F53" s="58"/>
    </row>
    <row r="54" spans="1:16371" x14ac:dyDescent="0.2">
      <c r="A54" s="275"/>
      <c r="B54" s="276"/>
      <c r="C54" s="277"/>
      <c r="D54" s="56">
        <f>D49+D38+D23+D3</f>
        <v>391791993174.62</v>
      </c>
      <c r="E54" s="56">
        <f>E49+E38+E23+E3</f>
        <v>286414658484.21332</v>
      </c>
      <c r="F54" s="56">
        <f>F49+F38+F23+F3</f>
        <v>263330071102.21329</v>
      </c>
    </row>
  </sheetData>
  <mergeCells count="2">
    <mergeCell ref="A1:F1"/>
    <mergeCell ref="A54:C5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F-PLA-05 PLAN INDIC 2020</vt:lpstr>
      <vt:lpstr>PROGRAMAS PLAN INDICATIVO</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AUXPLANEACION32</dc:creator>
  <cp:lastModifiedBy>AUXPLANEACION03</cp:lastModifiedBy>
  <dcterms:created xsi:type="dcterms:W3CDTF">2020-07-11T21:43:52Z</dcterms:created>
  <dcterms:modified xsi:type="dcterms:W3CDTF">2023-01-11T19:26:37Z</dcterms:modified>
</cp:coreProperties>
</file>