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INSTRUMENTOS DE PLANIFDICACION\INSTRUMENTOS 2017\INSTRUMENTOS III TRIMESTRE 2017\PROGRAMACION III TRIMESTRE 2017\"/>
    </mc:Choice>
  </mc:AlternateContent>
  <workbookProtection workbookPassword="9151" lockStructure="1"/>
  <bookViews>
    <workbookView xWindow="0" yWindow="0" windowWidth="24000" windowHeight="9135"/>
  </bookViews>
  <sheets>
    <sheet name="SGTO P. NDICATIVO" sheetId="51" r:id="rId1"/>
  </sheets>
  <definedNames>
    <definedName name="_xlnm._FilterDatabase" localSheetId="0" hidden="1">'SGTO P. NDICATIVO'!$A$11:$BP$434</definedName>
  </definedNames>
  <calcPr calcId="152511"/>
  <fileRecoveryPr autoRecover="0"/>
</workbook>
</file>

<file path=xl/calcChain.xml><?xml version="1.0" encoding="utf-8"?>
<calcChain xmlns="http://schemas.openxmlformats.org/spreadsheetml/2006/main">
  <c r="W380" i="51" l="1"/>
  <c r="W62" i="51"/>
  <c r="J437" i="51" l="1"/>
  <c r="AA366" i="51"/>
  <c r="AA371" i="51"/>
  <c r="AA375" i="51"/>
  <c r="AA382" i="51"/>
  <c r="AA385" i="51"/>
  <c r="AA405" i="51"/>
  <c r="AA411" i="51"/>
  <c r="AA325" i="51"/>
  <c r="AA331" i="51"/>
  <c r="AA336" i="51"/>
  <c r="AA341" i="51"/>
  <c r="AA347" i="51"/>
  <c r="AA351" i="51"/>
  <c r="AA355" i="51"/>
  <c r="AA361" i="51"/>
  <c r="AA98" i="51"/>
  <c r="AA102" i="51"/>
  <c r="AA109" i="51"/>
  <c r="AA112" i="51"/>
  <c r="AA121" i="51"/>
  <c r="AA132" i="51"/>
  <c r="AA137" i="51"/>
  <c r="AA140" i="51"/>
  <c r="AA146" i="51"/>
  <c r="AA153" i="51"/>
  <c r="AA156" i="51"/>
  <c r="AA158" i="51"/>
  <c r="AA160" i="51"/>
  <c r="AA164" i="51"/>
  <c r="AA168" i="51"/>
  <c r="AA170" i="51"/>
  <c r="AA173" i="51"/>
  <c r="AA175" i="51"/>
  <c r="AA179" i="51"/>
  <c r="AA185" i="51"/>
  <c r="AA190" i="51"/>
  <c r="AA193" i="51"/>
  <c r="AA198" i="51"/>
  <c r="AA202" i="51"/>
  <c r="AA206" i="51"/>
  <c r="AA215" i="51"/>
  <c r="AA218" i="51"/>
  <c r="AA222" i="51"/>
  <c r="AA227" i="51"/>
  <c r="AA230" i="51"/>
  <c r="AA235" i="51"/>
  <c r="AA237" i="51"/>
  <c r="AA239" i="51"/>
  <c r="AA242" i="51"/>
  <c r="AA246" i="51"/>
  <c r="AA248" i="51"/>
  <c r="AA252" i="51"/>
  <c r="AA255" i="51"/>
  <c r="AA259" i="51"/>
  <c r="AA258" i="51" s="1"/>
  <c r="AA264" i="51"/>
  <c r="AA267" i="51"/>
  <c r="AA270" i="51"/>
  <c r="AA272" i="51"/>
  <c r="AA276" i="51"/>
  <c r="AA280" i="51"/>
  <c r="AA283" i="51"/>
  <c r="AA286" i="51"/>
  <c r="AA289" i="51"/>
  <c r="AA291" i="51"/>
  <c r="AA293" i="51"/>
  <c r="AA296" i="51"/>
  <c r="AA295" i="51" s="1"/>
  <c r="AA302" i="51"/>
  <c r="AA305" i="51"/>
  <c r="AA307" i="51"/>
  <c r="AA309" i="51"/>
  <c r="AA314" i="51"/>
  <c r="AA318" i="51"/>
  <c r="AA321" i="51"/>
  <c r="AA320" i="51" s="1"/>
  <c r="AA38" i="51"/>
  <c r="AA43" i="51"/>
  <c r="AA50" i="51"/>
  <c r="AA55" i="51"/>
  <c r="AA59" i="51"/>
  <c r="AA65" i="51"/>
  <c r="AA70" i="51"/>
  <c r="AA75" i="51"/>
  <c r="AA78" i="51"/>
  <c r="AA80" i="51"/>
  <c r="AA83" i="51"/>
  <c r="AA87" i="51"/>
  <c r="AA13" i="51"/>
  <c r="AA20" i="51"/>
  <c r="AA28" i="51"/>
  <c r="AB366" i="51"/>
  <c r="AB371" i="51"/>
  <c r="AB375" i="51"/>
  <c r="AB382" i="51"/>
  <c r="AB385" i="51"/>
  <c r="AB405" i="51"/>
  <c r="AB411" i="51"/>
  <c r="AB326" i="51"/>
  <c r="AB325" i="51" s="1"/>
  <c r="AB331" i="51"/>
  <c r="AB336" i="51"/>
  <c r="AB341" i="51"/>
  <c r="AB347" i="51"/>
  <c r="AB351" i="51"/>
  <c r="AB355" i="51"/>
  <c r="AB361" i="51"/>
  <c r="AB99" i="51"/>
  <c r="AB98" i="51" s="1"/>
  <c r="AB102" i="51"/>
  <c r="AB109" i="51"/>
  <c r="AB112" i="51"/>
  <c r="AB121" i="51"/>
  <c r="AB132" i="51"/>
  <c r="AB137" i="51"/>
  <c r="AB140" i="51"/>
  <c r="AB146" i="51"/>
  <c r="AB153" i="51"/>
  <c r="AB156" i="51"/>
  <c r="AB158" i="51"/>
  <c r="AB160" i="51"/>
  <c r="AB165" i="51"/>
  <c r="AB164" i="51" s="1"/>
  <c r="AB168" i="51"/>
  <c r="AB170" i="51"/>
  <c r="AB173" i="51"/>
  <c r="AB175" i="51"/>
  <c r="AB179" i="51"/>
  <c r="AB185" i="51"/>
  <c r="AB190" i="51"/>
  <c r="AB193" i="51"/>
  <c r="AB198" i="51"/>
  <c r="AB202" i="51"/>
  <c r="AB206" i="51"/>
  <c r="AB212" i="51"/>
  <c r="AB215" i="51"/>
  <c r="AB218" i="51"/>
  <c r="AB222" i="51"/>
  <c r="AB227" i="51"/>
  <c r="AB230" i="51"/>
  <c r="AB235" i="51"/>
  <c r="AB237" i="51"/>
  <c r="AB239" i="51"/>
  <c r="AB242" i="51"/>
  <c r="AB246" i="51"/>
  <c r="AB248" i="51"/>
  <c r="AB252" i="51"/>
  <c r="AB256" i="51"/>
  <c r="AB255" i="51" s="1"/>
  <c r="AB259" i="51"/>
  <c r="AB258" i="51" s="1"/>
  <c r="AB264" i="51"/>
  <c r="AB267" i="51"/>
  <c r="AB270" i="51"/>
  <c r="AB272" i="51"/>
  <c r="AB276" i="51"/>
  <c r="AB280" i="51"/>
  <c r="AB283" i="51"/>
  <c r="AB286" i="51"/>
  <c r="AB289" i="51"/>
  <c r="AB291" i="51"/>
  <c r="AB293" i="51"/>
  <c r="AB296" i="51"/>
  <c r="AB295" i="51" s="1"/>
  <c r="AB302" i="51"/>
  <c r="AB305" i="51"/>
  <c r="AB307" i="51"/>
  <c r="AB309" i="51"/>
  <c r="AB314" i="51"/>
  <c r="AB318" i="51"/>
  <c r="AB321" i="51"/>
  <c r="AB320" i="51" s="1"/>
  <c r="AB38" i="51"/>
  <c r="AB43" i="51"/>
  <c r="AB50" i="51"/>
  <c r="AB55" i="51"/>
  <c r="AB59" i="51"/>
  <c r="AB65" i="51"/>
  <c r="AB70" i="51"/>
  <c r="AB75" i="51"/>
  <c r="AB78" i="51"/>
  <c r="AB80" i="51"/>
  <c r="AB84" i="51"/>
  <c r="AJ84" i="51" s="1"/>
  <c r="AB94" i="51"/>
  <c r="AJ94" i="51" s="1"/>
  <c r="AB13" i="51"/>
  <c r="AB20" i="51"/>
  <c r="AB28" i="51"/>
  <c r="AC367" i="51"/>
  <c r="AC366" i="51" s="1"/>
  <c r="AC371" i="51"/>
  <c r="AC375" i="51"/>
  <c r="AC383" i="51"/>
  <c r="AC382" i="51" s="1"/>
  <c r="AC385" i="51"/>
  <c r="AC405" i="51"/>
  <c r="AC420" i="51"/>
  <c r="AC411" i="51" s="1"/>
  <c r="AC325" i="51"/>
  <c r="AC331" i="51"/>
  <c r="AC336" i="51"/>
  <c r="AC341" i="51"/>
  <c r="AC350" i="51"/>
  <c r="AC347" i="51" s="1"/>
  <c r="AC352" i="51"/>
  <c r="AJ352" i="51" s="1"/>
  <c r="AC353" i="51"/>
  <c r="AJ353" i="51" s="1"/>
  <c r="AC357" i="51"/>
  <c r="AJ357" i="51" s="1"/>
  <c r="AC358" i="51"/>
  <c r="AJ358" i="51" s="1"/>
  <c r="AC360" i="51"/>
  <c r="AC361" i="51"/>
  <c r="AC99" i="51"/>
  <c r="AC98" i="51" s="1"/>
  <c r="AC102" i="51"/>
  <c r="AC109" i="51"/>
  <c r="AC112" i="51"/>
  <c r="AC121" i="51"/>
  <c r="AC132" i="51"/>
  <c r="AC137" i="51"/>
  <c r="AC140" i="51"/>
  <c r="AC146" i="51"/>
  <c r="AC153" i="51"/>
  <c r="AC156" i="51"/>
  <c r="AC158" i="51"/>
  <c r="AC160" i="51"/>
  <c r="AC164" i="51"/>
  <c r="AC168" i="51"/>
  <c r="AC170" i="51"/>
  <c r="AC173" i="51"/>
  <c r="AC175" i="51"/>
  <c r="AC179" i="51"/>
  <c r="AC185" i="51"/>
  <c r="AC190" i="51"/>
  <c r="AC193" i="51"/>
  <c r="AC198" i="51"/>
  <c r="AC202" i="51"/>
  <c r="AC206" i="51"/>
  <c r="AC212" i="51"/>
  <c r="AC215" i="51"/>
  <c r="AC218" i="51"/>
  <c r="AC222" i="51"/>
  <c r="AC227" i="51"/>
  <c r="AC230" i="51"/>
  <c r="AC235" i="51"/>
  <c r="AC237" i="51"/>
  <c r="AC239" i="51"/>
  <c r="AC242" i="51"/>
  <c r="AC246" i="51"/>
  <c r="AC248" i="51"/>
  <c r="AC252" i="51"/>
  <c r="AC255" i="51"/>
  <c r="AC259" i="51"/>
  <c r="AC258" i="51" s="1"/>
  <c r="AC264" i="51"/>
  <c r="AC267" i="51"/>
  <c r="AC271" i="51"/>
  <c r="AC270" i="51" s="1"/>
  <c r="AC273" i="51"/>
  <c r="AC272" i="51" s="1"/>
  <c r="AC278" i="51"/>
  <c r="AC276" i="51" s="1"/>
  <c r="AC281" i="51"/>
  <c r="AC280" i="51" s="1"/>
  <c r="AC283" i="51"/>
  <c r="AC288" i="51"/>
  <c r="AC286" i="51" s="1"/>
  <c r="AC289" i="51"/>
  <c r="AC292" i="51"/>
  <c r="AC291" i="51" s="1"/>
  <c r="AC293" i="51"/>
  <c r="AC297" i="51"/>
  <c r="AJ297" i="51" s="1"/>
  <c r="AC303" i="51"/>
  <c r="AJ303" i="51" s="1"/>
  <c r="AC304" i="51"/>
  <c r="AJ304" i="51" s="1"/>
  <c r="AC305" i="51"/>
  <c r="AC307" i="51"/>
  <c r="AC309" i="51"/>
  <c r="AC314" i="51"/>
  <c r="AC318" i="51"/>
  <c r="AC321" i="51"/>
  <c r="AC320" i="51" s="1"/>
  <c r="AC38" i="51"/>
  <c r="AC43" i="51"/>
  <c r="AC51" i="51"/>
  <c r="AC50" i="51" s="1"/>
  <c r="AC55" i="51"/>
  <c r="AC59" i="51"/>
  <c r="AC65" i="51"/>
  <c r="AC70" i="51"/>
  <c r="AC75" i="51"/>
  <c r="AC78" i="51"/>
  <c r="AC80" i="51"/>
  <c r="AC83" i="51"/>
  <c r="AC87" i="51"/>
  <c r="AC13" i="51"/>
  <c r="AC20" i="51"/>
  <c r="AC30" i="51"/>
  <c r="AJ30" i="51" s="1"/>
  <c r="AC34" i="51"/>
  <c r="AJ34" i="51" s="1"/>
  <c r="AD366" i="51"/>
  <c r="AD371" i="51"/>
  <c r="AD375" i="51"/>
  <c r="AD382" i="51"/>
  <c r="AD385" i="51"/>
  <c r="AD405" i="51"/>
  <c r="AD411" i="51"/>
  <c r="AD325" i="51"/>
  <c r="AD331" i="51"/>
  <c r="AD336" i="51"/>
  <c r="AD341" i="51"/>
  <c r="AD347" i="51"/>
  <c r="AD351" i="51"/>
  <c r="AD355" i="51"/>
  <c r="AD361" i="51"/>
  <c r="AD98" i="51"/>
  <c r="AD102" i="51"/>
  <c r="AD109" i="51"/>
  <c r="AD112" i="51"/>
  <c r="AD121" i="51"/>
  <c r="AD132" i="51"/>
  <c r="AD137" i="51"/>
  <c r="AD140" i="51"/>
  <c r="AD146" i="51"/>
  <c r="AD153" i="51"/>
  <c r="AD156" i="51"/>
  <c r="AD158" i="51"/>
  <c r="AD160" i="51"/>
  <c r="AD164" i="51"/>
  <c r="AD168" i="51"/>
  <c r="AD170" i="51"/>
  <c r="AD173" i="51"/>
  <c r="AD175" i="51"/>
  <c r="AD179" i="51"/>
  <c r="AD185" i="51"/>
  <c r="AD190" i="51"/>
  <c r="AD193" i="51"/>
  <c r="AD198" i="51"/>
  <c r="AD202" i="51"/>
  <c r="AD206" i="51"/>
  <c r="AD212" i="51"/>
  <c r="AD215" i="51"/>
  <c r="AD218" i="51"/>
  <c r="AD222" i="51"/>
  <c r="AD227" i="51"/>
  <c r="AD230" i="51"/>
  <c r="AD235" i="51"/>
  <c r="AD237" i="51"/>
  <c r="AD239" i="51"/>
  <c r="AD244" i="51"/>
  <c r="AD242" i="51" s="1"/>
  <c r="AD246" i="51"/>
  <c r="AD248" i="51"/>
  <c r="AD252" i="51"/>
  <c r="AD255" i="51"/>
  <c r="AD259" i="51"/>
  <c r="AD258" i="51" s="1"/>
  <c r="AD264" i="51"/>
  <c r="AD267" i="51"/>
  <c r="AD270" i="51"/>
  <c r="AD272" i="51"/>
  <c r="AD276" i="51"/>
  <c r="AD280" i="51"/>
  <c r="AD283" i="51"/>
  <c r="AD286" i="51"/>
  <c r="AD289" i="51"/>
  <c r="AD291" i="51"/>
  <c r="AD293" i="51"/>
  <c r="AD296" i="51"/>
  <c r="AD295" i="51" s="1"/>
  <c r="AD302" i="51"/>
  <c r="AD305" i="51"/>
  <c r="AD307" i="51"/>
  <c r="AD309" i="51"/>
  <c r="AD314" i="51"/>
  <c r="AD318" i="51"/>
  <c r="AD321" i="51"/>
  <c r="AD320" i="51" s="1"/>
  <c r="AD38" i="51"/>
  <c r="AD43" i="51"/>
  <c r="AD50" i="51"/>
  <c r="AD55" i="51"/>
  <c r="AD59" i="51"/>
  <c r="AD65" i="51"/>
  <c r="AD70" i="51"/>
  <c r="AD75" i="51"/>
  <c r="AD78" i="51"/>
  <c r="AD80" i="51"/>
  <c r="AD83" i="51"/>
  <c r="AD87" i="51"/>
  <c r="AD13" i="51"/>
  <c r="AD20" i="51"/>
  <c r="AD28" i="51"/>
  <c r="AE366" i="51"/>
  <c r="AE371" i="51"/>
  <c r="AE375" i="51"/>
  <c r="AE382" i="51"/>
  <c r="AE385" i="51"/>
  <c r="AE405" i="51"/>
  <c r="AE411" i="51"/>
  <c r="AE325" i="51"/>
  <c r="AE331" i="51"/>
  <c r="AE336" i="51"/>
  <c r="AE341" i="51"/>
  <c r="AE347" i="51"/>
  <c r="AE351" i="51"/>
  <c r="AE355" i="51"/>
  <c r="AE361" i="51"/>
  <c r="AE98" i="51"/>
  <c r="AE102" i="51"/>
  <c r="AE109" i="51"/>
  <c r="AE112" i="51"/>
  <c r="AE121" i="51"/>
  <c r="AE132" i="51"/>
  <c r="AE137" i="51"/>
  <c r="AE140" i="51"/>
  <c r="AE146" i="51"/>
  <c r="AE153" i="51"/>
  <c r="AE156" i="51"/>
  <c r="AE158" i="51"/>
  <c r="AE160" i="51"/>
  <c r="AE164" i="51"/>
  <c r="AE168" i="51"/>
  <c r="AE170" i="51"/>
  <c r="AE173" i="51"/>
  <c r="AE175" i="51"/>
  <c r="AE179" i="51"/>
  <c r="AE185" i="51"/>
  <c r="AE190" i="51"/>
  <c r="AE193" i="51"/>
  <c r="AE198" i="51"/>
  <c r="AE202" i="51"/>
  <c r="AE206" i="51"/>
  <c r="AE212" i="51"/>
  <c r="AE215" i="51"/>
  <c r="AE218" i="51"/>
  <c r="AE222" i="51"/>
  <c r="AE227" i="51"/>
  <c r="AE230" i="51"/>
  <c r="AE235" i="51"/>
  <c r="AE237" i="51"/>
  <c r="AE239" i="51"/>
  <c r="AE242" i="51"/>
  <c r="AE246" i="51"/>
  <c r="AE248" i="51"/>
  <c r="AE252" i="51"/>
  <c r="AE255" i="51"/>
  <c r="AE259" i="51"/>
  <c r="AE258" i="51" s="1"/>
  <c r="AE264" i="51"/>
  <c r="AE267" i="51"/>
  <c r="AE270" i="51"/>
  <c r="AE272" i="51"/>
  <c r="AE276" i="51"/>
  <c r="AE280" i="51"/>
  <c r="AE283" i="51"/>
  <c r="AE286" i="51"/>
  <c r="AE289" i="51"/>
  <c r="AE291" i="51"/>
  <c r="AE293" i="51"/>
  <c r="AE296" i="51"/>
  <c r="AE295" i="51" s="1"/>
  <c r="AE302" i="51"/>
  <c r="AE305" i="51"/>
  <c r="AE307" i="51"/>
  <c r="AE309" i="51"/>
  <c r="AE314" i="51"/>
  <c r="AE318" i="51"/>
  <c r="AE321" i="51"/>
  <c r="AE320" i="51" s="1"/>
  <c r="AE38" i="51"/>
  <c r="AE43" i="51"/>
  <c r="AE50" i="51"/>
  <c r="AE55" i="51"/>
  <c r="AE59" i="51"/>
  <c r="AE65" i="51"/>
  <c r="AE70" i="51"/>
  <c r="AE75" i="51"/>
  <c r="AE78" i="51"/>
  <c r="AE80" i="51"/>
  <c r="AE83" i="51"/>
  <c r="AE87" i="51"/>
  <c r="AE13" i="51"/>
  <c r="AE20" i="51"/>
  <c r="AE28" i="51"/>
  <c r="AF366" i="51"/>
  <c r="AF371" i="51"/>
  <c r="AF375" i="51"/>
  <c r="AF382" i="51"/>
  <c r="AF385" i="51"/>
  <c r="AF405" i="51"/>
  <c r="AF411" i="51"/>
  <c r="AF325" i="51"/>
  <c r="AF331" i="51"/>
  <c r="AF336" i="51"/>
  <c r="AF341" i="51"/>
  <c r="AF347" i="51"/>
  <c r="AF351" i="51"/>
  <c r="AF355" i="51"/>
  <c r="AF361" i="51"/>
  <c r="AF98" i="51"/>
  <c r="AF102" i="51"/>
  <c r="AF109" i="51"/>
  <c r="AF112" i="51"/>
  <c r="AF121" i="51"/>
  <c r="AF132" i="51"/>
  <c r="AF137" i="51"/>
  <c r="AF140" i="51"/>
  <c r="AF146" i="51"/>
  <c r="AF153" i="51"/>
  <c r="AF156" i="51"/>
  <c r="AF158" i="51"/>
  <c r="AF160" i="51"/>
  <c r="AF164" i="51"/>
  <c r="AF168" i="51"/>
  <c r="AF170" i="51"/>
  <c r="AF173" i="51"/>
  <c r="AF175" i="51"/>
  <c r="AF179" i="51"/>
  <c r="AF185" i="51"/>
  <c r="AF190" i="51"/>
  <c r="AF193" i="51"/>
  <c r="AF198" i="51"/>
  <c r="AF202" i="51"/>
  <c r="AF206" i="51"/>
  <c r="AF212" i="51"/>
  <c r="AF215" i="51"/>
  <c r="AF218" i="51"/>
  <c r="AF222" i="51"/>
  <c r="AF227" i="51"/>
  <c r="AF230" i="51"/>
  <c r="AF235" i="51"/>
  <c r="AF237" i="51"/>
  <c r="AF239" i="51"/>
  <c r="AF242" i="51"/>
  <c r="AF246" i="51"/>
  <c r="AF248" i="51"/>
  <c r="AF252" i="51"/>
  <c r="AF255" i="51"/>
  <c r="AF259" i="51"/>
  <c r="AF258" i="51" s="1"/>
  <c r="AF264" i="51"/>
  <c r="AF267" i="51"/>
  <c r="AF270" i="51"/>
  <c r="AF272" i="51"/>
  <c r="AF276" i="51"/>
  <c r="AF280" i="51"/>
  <c r="AF283" i="51"/>
  <c r="AF286" i="51"/>
  <c r="AF289" i="51"/>
  <c r="AF291" i="51"/>
  <c r="AF293" i="51"/>
  <c r="AF296" i="51"/>
  <c r="AF295" i="51" s="1"/>
  <c r="AF302" i="51"/>
  <c r="AF305" i="51"/>
  <c r="AF307" i="51"/>
  <c r="AF309" i="51"/>
  <c r="AF314" i="51"/>
  <c r="AF318" i="51"/>
  <c r="AF321" i="51"/>
  <c r="AF320" i="51" s="1"/>
  <c r="AF38" i="51"/>
  <c r="AF43" i="51"/>
  <c r="AF50" i="51"/>
  <c r="AF55" i="51"/>
  <c r="AF59" i="51"/>
  <c r="AF65" i="51"/>
  <c r="AF70" i="51"/>
  <c r="AF75" i="51"/>
  <c r="AF78" i="51"/>
  <c r="AF80" i="51"/>
  <c r="AF83" i="51"/>
  <c r="AF87" i="51"/>
  <c r="AF13" i="51"/>
  <c r="AF20" i="51"/>
  <c r="AF28" i="51"/>
  <c r="AG366" i="51"/>
  <c r="AG371" i="51"/>
  <c r="AG375" i="51"/>
  <c r="AG382" i="51"/>
  <c r="AG385" i="51"/>
  <c r="AG405" i="51"/>
  <c r="AG411" i="51"/>
  <c r="AG325" i="51"/>
  <c r="AG331" i="51"/>
  <c r="AG336" i="51"/>
  <c r="AG341" i="51"/>
  <c r="AG347" i="51"/>
  <c r="AG351" i="51"/>
  <c r="AG355" i="51"/>
  <c r="AG361" i="51"/>
  <c r="AG98" i="51"/>
  <c r="AG102" i="51"/>
  <c r="AG109" i="51"/>
  <c r="AG112" i="51"/>
  <c r="AG121" i="51"/>
  <c r="AG132" i="51"/>
  <c r="AG137" i="51"/>
  <c r="AG140" i="51"/>
  <c r="AG146" i="51"/>
  <c r="AG153" i="51"/>
  <c r="AG156" i="51"/>
  <c r="AG158" i="51"/>
  <c r="AG160" i="51"/>
  <c r="AG164" i="51"/>
  <c r="AG168" i="51"/>
  <c r="AG170" i="51"/>
  <c r="AG173" i="51"/>
  <c r="AG175" i="51"/>
  <c r="AG179" i="51"/>
  <c r="AG185" i="51"/>
  <c r="AG190" i="51"/>
  <c r="AG193" i="51"/>
  <c r="AG198" i="51"/>
  <c r="AG202" i="51"/>
  <c r="AG206" i="51"/>
  <c r="AG212" i="51"/>
  <c r="AG215" i="51"/>
  <c r="AG218" i="51"/>
  <c r="AG222" i="51"/>
  <c r="AG227" i="51"/>
  <c r="AG230" i="51"/>
  <c r="AG235" i="51"/>
  <c r="AG237" i="51"/>
  <c r="AG239" i="51"/>
  <c r="AG242" i="51"/>
  <c r="AG246" i="51"/>
  <c r="AG248" i="51"/>
  <c r="AG252" i="51"/>
  <c r="AG255" i="51"/>
  <c r="AG259" i="51"/>
  <c r="AG258" i="51" s="1"/>
  <c r="AG264" i="51"/>
  <c r="AG267" i="51"/>
  <c r="AG270" i="51"/>
  <c r="AG272" i="51"/>
  <c r="AG276" i="51"/>
  <c r="AG280" i="51"/>
  <c r="AG283" i="51"/>
  <c r="AG286" i="51"/>
  <c r="AG289" i="51"/>
  <c r="AG291" i="51"/>
  <c r="AG293" i="51"/>
  <c r="AG296" i="51"/>
  <c r="AG295" i="51" s="1"/>
  <c r="AG302" i="51"/>
  <c r="AG305" i="51"/>
  <c r="AG307" i="51"/>
  <c r="AG309" i="51"/>
  <c r="AG314" i="51"/>
  <c r="AG318" i="51"/>
  <c r="AG321" i="51"/>
  <c r="AG320" i="51" s="1"/>
  <c r="AG38" i="51"/>
  <c r="AG43" i="51"/>
  <c r="AG50" i="51"/>
  <c r="AG55" i="51"/>
  <c r="AG59" i="51"/>
  <c r="AG65" i="51"/>
  <c r="AG70" i="51"/>
  <c r="AG75" i="51"/>
  <c r="AG78" i="51"/>
  <c r="AG80" i="51"/>
  <c r="AG83" i="51"/>
  <c r="AG87" i="51"/>
  <c r="AG13" i="51"/>
  <c r="AG20" i="51"/>
  <c r="AG28" i="51"/>
  <c r="AH366" i="51"/>
  <c r="AH371" i="51"/>
  <c r="AH375" i="51"/>
  <c r="AH382" i="51"/>
  <c r="AH385" i="51"/>
  <c r="AH405" i="51"/>
  <c r="AH411" i="51"/>
  <c r="AH325" i="51"/>
  <c r="AH331" i="51"/>
  <c r="AH336" i="51"/>
  <c r="AH341" i="51"/>
  <c r="AH347" i="51"/>
  <c r="AH351" i="51"/>
  <c r="AH355" i="51"/>
  <c r="AH361" i="51"/>
  <c r="AH98" i="51"/>
  <c r="AH102" i="51"/>
  <c r="AH109" i="51"/>
  <c r="AH112" i="51"/>
  <c r="AH121" i="51"/>
  <c r="AH132" i="51"/>
  <c r="AH137" i="51"/>
  <c r="AH140" i="51"/>
  <c r="AH146" i="51"/>
  <c r="AH153" i="51"/>
  <c r="AH156" i="51"/>
  <c r="AH158" i="51"/>
  <c r="AH160" i="51"/>
  <c r="AH164" i="51"/>
  <c r="AH168" i="51"/>
  <c r="AH170" i="51"/>
  <c r="AH173" i="51"/>
  <c r="AH175" i="51"/>
  <c r="AH179" i="51"/>
  <c r="AH185" i="51"/>
  <c r="AH190" i="51"/>
  <c r="AH193" i="51"/>
  <c r="AH201" i="51"/>
  <c r="AH198" i="51" s="1"/>
  <c r="AH203" i="51"/>
  <c r="AH202" i="51" s="1"/>
  <c r="AH209" i="51"/>
  <c r="AH206" i="51" s="1"/>
  <c r="AH212" i="51"/>
  <c r="AH216" i="51"/>
  <c r="AH215" i="51" s="1"/>
  <c r="AH218" i="51"/>
  <c r="AH225" i="51"/>
  <c r="AH222" i="51" s="1"/>
  <c r="AH227" i="51"/>
  <c r="AH230" i="51"/>
  <c r="AH235" i="51"/>
  <c r="AH237" i="51"/>
  <c r="AH239" i="51"/>
  <c r="AH242" i="51"/>
  <c r="AH246" i="51"/>
  <c r="AH248" i="51"/>
  <c r="AH252" i="51"/>
  <c r="AH255" i="51"/>
  <c r="AH259" i="51"/>
  <c r="AH258" i="51" s="1"/>
  <c r="AH264" i="51"/>
  <c r="AH267" i="51"/>
  <c r="AH270" i="51"/>
  <c r="AH272" i="51"/>
  <c r="AH276" i="51"/>
  <c r="AH280" i="51"/>
  <c r="AH283" i="51"/>
  <c r="AH286" i="51"/>
  <c r="AH289" i="51"/>
  <c r="AH291" i="51"/>
  <c r="AH293" i="51"/>
  <c r="AH296" i="51"/>
  <c r="AH295" i="51" s="1"/>
  <c r="AH302" i="51"/>
  <c r="AH305" i="51"/>
  <c r="AH307" i="51"/>
  <c r="AH309" i="51"/>
  <c r="AH314" i="51"/>
  <c r="AH318" i="51"/>
  <c r="AH321" i="51"/>
  <c r="AH320" i="51" s="1"/>
  <c r="AH38" i="51"/>
  <c r="AH43" i="51"/>
  <c r="AH50" i="51"/>
  <c r="AH55" i="51"/>
  <c r="AH59" i="51"/>
  <c r="AH65" i="51"/>
  <c r="AH70" i="51"/>
  <c r="AH75" i="51"/>
  <c r="AH78" i="51"/>
  <c r="AH80" i="51"/>
  <c r="AH83" i="51"/>
  <c r="AH87" i="51"/>
  <c r="AH13" i="51"/>
  <c r="AH20" i="51"/>
  <c r="AH28" i="51"/>
  <c r="AI366" i="51"/>
  <c r="AI371" i="51"/>
  <c r="AI375" i="51"/>
  <c r="AI382" i="51"/>
  <c r="AI385" i="51"/>
  <c r="AI405" i="51"/>
  <c r="AI411" i="51"/>
  <c r="AI325" i="51"/>
  <c r="AI331" i="51"/>
  <c r="AI336" i="51"/>
  <c r="AI341" i="51"/>
  <c r="AI347" i="51"/>
  <c r="AI351" i="51"/>
  <c r="AI355" i="51"/>
  <c r="AI361" i="51"/>
  <c r="AI98" i="51"/>
  <c r="AI102" i="51"/>
  <c r="AI109" i="51"/>
  <c r="AI112" i="51"/>
  <c r="AI121" i="51"/>
  <c r="AI132" i="51"/>
  <c r="AI137" i="51"/>
  <c r="AI140" i="51"/>
  <c r="AI146" i="51"/>
  <c r="AI153" i="51"/>
  <c r="AI156" i="51"/>
  <c r="AI158" i="51"/>
  <c r="AI160" i="51"/>
  <c r="AI164" i="51"/>
  <c r="AI168" i="51"/>
  <c r="AI170" i="51"/>
  <c r="AI173" i="51"/>
  <c r="AI175" i="51"/>
  <c r="AI179" i="51"/>
  <c r="AI185" i="51"/>
  <c r="AI190" i="51"/>
  <c r="AI193" i="51"/>
  <c r="AI198" i="51"/>
  <c r="AI202" i="51"/>
  <c r="AI206" i="51"/>
  <c r="AI212" i="51"/>
  <c r="AI215" i="51"/>
  <c r="AI218" i="51"/>
  <c r="AI222" i="51"/>
  <c r="AI227" i="51"/>
  <c r="AI230" i="51"/>
  <c r="AI235" i="51"/>
  <c r="AI237" i="51"/>
  <c r="AI239" i="51"/>
  <c r="AI242" i="51"/>
  <c r="AI246" i="51"/>
  <c r="AI248" i="51"/>
  <c r="AI252" i="51"/>
  <c r="AI255" i="51"/>
  <c r="AI259" i="51"/>
  <c r="AI258" i="51" s="1"/>
  <c r="AI264" i="51"/>
  <c r="AI267" i="51"/>
  <c r="AI270" i="51"/>
  <c r="AI272" i="51"/>
  <c r="AI276" i="51"/>
  <c r="AI280" i="51"/>
  <c r="AI283" i="51"/>
  <c r="AI286" i="51"/>
  <c r="AI289" i="51"/>
  <c r="AI291" i="51"/>
  <c r="AI293" i="51"/>
  <c r="AI296" i="51"/>
  <c r="AI295" i="51" s="1"/>
  <c r="AI302" i="51"/>
  <c r="AI305" i="51"/>
  <c r="AI307" i="51"/>
  <c r="AI309" i="51"/>
  <c r="AI314" i="51"/>
  <c r="AI318" i="51"/>
  <c r="AI321" i="51"/>
  <c r="AI320" i="51" s="1"/>
  <c r="AI38" i="51"/>
  <c r="AI43" i="51"/>
  <c r="AI50" i="51"/>
  <c r="AI55" i="51"/>
  <c r="AI59" i="51"/>
  <c r="AI65" i="51"/>
  <c r="AI70" i="51"/>
  <c r="AI75" i="51"/>
  <c r="AI78" i="51"/>
  <c r="AI80" i="51"/>
  <c r="AI83" i="51"/>
  <c r="AI87" i="51"/>
  <c r="AI16" i="51"/>
  <c r="AI13" i="51" s="1"/>
  <c r="AI20" i="51"/>
  <c r="AI28" i="51"/>
  <c r="AJ368" i="51"/>
  <c r="AJ369" i="51"/>
  <c r="AJ370" i="51"/>
  <c r="AJ372" i="51"/>
  <c r="AJ373" i="51"/>
  <c r="AJ376" i="51"/>
  <c r="AJ377" i="51"/>
  <c r="AJ378" i="51"/>
  <c r="AJ379" i="51"/>
  <c r="AJ380" i="51"/>
  <c r="AJ381" i="51"/>
  <c r="AJ386" i="51"/>
  <c r="AJ387" i="51"/>
  <c r="AJ388" i="51"/>
  <c r="AJ389" i="51"/>
  <c r="AJ390" i="51"/>
  <c r="AJ391" i="51"/>
  <c r="AJ392" i="51"/>
  <c r="AJ393" i="51"/>
  <c r="AJ394" i="51"/>
  <c r="AJ395" i="51"/>
  <c r="AJ396" i="51"/>
  <c r="AJ397" i="51"/>
  <c r="AJ398" i="51"/>
  <c r="AJ399" i="51"/>
  <c r="AJ400" i="51"/>
  <c r="AJ401" i="51"/>
  <c r="AJ402" i="51"/>
  <c r="AJ403" i="51"/>
  <c r="AJ404" i="51"/>
  <c r="AJ406" i="51"/>
  <c r="AJ407" i="51"/>
  <c r="AJ408" i="51"/>
  <c r="AJ409" i="51"/>
  <c r="AJ410" i="51"/>
  <c r="AJ412" i="51"/>
  <c r="AJ413" i="51"/>
  <c r="AJ414" i="51"/>
  <c r="AJ415" i="51"/>
  <c r="AJ416" i="51"/>
  <c r="AJ417" i="51"/>
  <c r="AJ418" i="51"/>
  <c r="AJ419" i="51"/>
  <c r="AJ421" i="51"/>
  <c r="AJ327" i="51"/>
  <c r="AJ328" i="51"/>
  <c r="AJ329" i="51"/>
  <c r="AJ330" i="51"/>
  <c r="AJ332" i="51"/>
  <c r="AJ333" i="51"/>
  <c r="AJ334" i="51"/>
  <c r="AJ335" i="51"/>
  <c r="AJ337" i="51"/>
  <c r="AJ338" i="51"/>
  <c r="AJ339" i="51"/>
  <c r="AJ342" i="51"/>
  <c r="AJ343" i="51"/>
  <c r="AJ344" i="51"/>
  <c r="AJ345" i="51"/>
  <c r="AJ346" i="51"/>
  <c r="AJ348" i="51"/>
  <c r="AJ349" i="51"/>
  <c r="AJ356" i="51"/>
  <c r="AJ359" i="51"/>
  <c r="AJ360" i="51"/>
  <c r="AJ362" i="51"/>
  <c r="AJ363" i="51"/>
  <c r="AJ100" i="51"/>
  <c r="AJ101" i="51"/>
  <c r="AJ103" i="51"/>
  <c r="AJ104" i="51"/>
  <c r="AJ105" i="51"/>
  <c r="AJ106" i="51"/>
  <c r="AJ107" i="51"/>
  <c r="AJ108" i="51"/>
  <c r="AJ110" i="51"/>
  <c r="AJ113" i="51"/>
  <c r="AJ114" i="51"/>
  <c r="AJ115" i="51"/>
  <c r="AJ116" i="51"/>
  <c r="AJ117" i="51"/>
  <c r="AJ118" i="51"/>
  <c r="AJ119" i="51"/>
  <c r="AJ120" i="51"/>
  <c r="AJ122" i="51"/>
  <c r="AJ123" i="51"/>
  <c r="AJ124" i="51"/>
  <c r="AJ125" i="51"/>
  <c r="AJ126" i="51"/>
  <c r="AJ127" i="51"/>
  <c r="AJ128" i="51"/>
  <c r="AJ129" i="51"/>
  <c r="AJ130" i="51"/>
  <c r="AJ131" i="51"/>
  <c r="AJ133" i="51"/>
  <c r="AJ134" i="51"/>
  <c r="AJ135" i="51"/>
  <c r="AJ136" i="51"/>
  <c r="AJ138" i="51"/>
  <c r="AJ141" i="51"/>
  <c r="AJ142" i="51"/>
  <c r="AJ143" i="51"/>
  <c r="AJ144" i="51"/>
  <c r="AJ145" i="51"/>
  <c r="AJ147" i="51"/>
  <c r="AJ148" i="51"/>
  <c r="AJ149" i="51"/>
  <c r="AJ150" i="51"/>
  <c r="AJ151" i="51"/>
  <c r="AJ154" i="51"/>
  <c r="AJ155" i="51"/>
  <c r="AJ157" i="51"/>
  <c r="AJ156" i="51" s="1"/>
  <c r="AJ159" i="51"/>
  <c r="AJ161" i="51"/>
  <c r="AJ162" i="51"/>
  <c r="AJ166" i="51"/>
  <c r="AJ167" i="51"/>
  <c r="AJ169" i="51"/>
  <c r="AJ171" i="51"/>
  <c r="AJ170" i="51" s="1"/>
  <c r="AJ174" i="51"/>
  <c r="AJ173" i="51" s="1"/>
  <c r="AJ176" i="51"/>
  <c r="AJ177" i="51"/>
  <c r="AJ180" i="51"/>
  <c r="AJ181" i="51"/>
  <c r="AJ182" i="51"/>
  <c r="AJ183" i="51"/>
  <c r="AJ184" i="51"/>
  <c r="AJ186" i="51"/>
  <c r="AJ187" i="51"/>
  <c r="AJ188" i="51"/>
  <c r="AJ191" i="51"/>
  <c r="AJ192" i="51"/>
  <c r="AJ194" i="51"/>
  <c r="AJ195" i="51"/>
  <c r="AJ196" i="51"/>
  <c r="AJ197" i="51"/>
  <c r="AJ199" i="51"/>
  <c r="AJ200" i="51"/>
  <c r="AJ204" i="51"/>
  <c r="AJ205" i="51"/>
  <c r="AJ207" i="51"/>
  <c r="AJ208" i="51"/>
  <c r="AJ210" i="51"/>
  <c r="AJ211" i="51"/>
  <c r="AJ213" i="51"/>
  <c r="AJ214" i="51"/>
  <c r="AJ217" i="51"/>
  <c r="AJ219" i="51"/>
  <c r="AJ220" i="51"/>
  <c r="AJ221" i="51"/>
  <c r="AJ223" i="51"/>
  <c r="AJ224" i="51"/>
  <c r="AJ226" i="51"/>
  <c r="AJ228" i="51"/>
  <c r="AJ229" i="51"/>
  <c r="AJ231" i="51"/>
  <c r="AJ232" i="51"/>
  <c r="AJ233" i="51"/>
  <c r="AJ236" i="51"/>
  <c r="AJ235" i="51" s="1"/>
  <c r="AJ238" i="51"/>
  <c r="AJ237" i="51" s="1"/>
  <c r="AJ240" i="51"/>
  <c r="AJ239" i="51" s="1"/>
  <c r="X240" i="51" s="1"/>
  <c r="AJ243" i="51"/>
  <c r="AJ245" i="51"/>
  <c r="AJ247" i="51"/>
  <c r="AJ246" i="51" s="1"/>
  <c r="AJ249" i="51"/>
  <c r="AJ250" i="51"/>
  <c r="AJ251" i="51"/>
  <c r="AJ253" i="51"/>
  <c r="AJ254" i="51"/>
  <c r="AJ257" i="51"/>
  <c r="AJ260" i="51"/>
  <c r="AJ261" i="51"/>
  <c r="AJ262" i="51"/>
  <c r="AJ265" i="51"/>
  <c r="AJ266" i="51"/>
  <c r="AJ268" i="51"/>
  <c r="AJ267" i="51" s="1"/>
  <c r="X271" i="51" s="1"/>
  <c r="AJ271" i="51"/>
  <c r="AJ270" i="51" s="1"/>
  <c r="AJ274" i="51"/>
  <c r="AJ275" i="51"/>
  <c r="AJ277" i="51"/>
  <c r="AJ279" i="51"/>
  <c r="AJ284" i="51"/>
  <c r="AJ285" i="51"/>
  <c r="AJ287" i="51"/>
  <c r="AJ290" i="51"/>
  <c r="AJ289" i="51" s="1"/>
  <c r="AJ294" i="51"/>
  <c r="AJ293" i="51" s="1"/>
  <c r="AJ298" i="51"/>
  <c r="AJ299" i="51"/>
  <c r="AJ300" i="51"/>
  <c r="AJ306" i="51"/>
  <c r="AJ305" i="51" s="1"/>
  <c r="AJ308" i="51"/>
  <c r="AJ307" i="51" s="1"/>
  <c r="AJ310" i="51"/>
  <c r="AJ311" i="51"/>
  <c r="AJ312" i="51"/>
  <c r="AJ315" i="51"/>
  <c r="AJ316" i="51"/>
  <c r="AJ317" i="51"/>
  <c r="AJ319" i="51"/>
  <c r="AJ318" i="51" s="1"/>
  <c r="AJ322" i="51"/>
  <c r="AJ321" i="51" s="1"/>
  <c r="AJ320" i="51" s="1"/>
  <c r="AJ39" i="51"/>
  <c r="AJ40" i="51"/>
  <c r="AJ41" i="51"/>
  <c r="AJ42" i="51"/>
  <c r="AJ44" i="51"/>
  <c r="AJ45" i="51"/>
  <c r="AJ46" i="51"/>
  <c r="AJ47" i="51"/>
  <c r="AJ48" i="51"/>
  <c r="AJ49" i="51"/>
  <c r="AJ52" i="51"/>
  <c r="AJ53" i="51"/>
  <c r="AJ54" i="51"/>
  <c r="AJ56" i="51"/>
  <c r="AJ57" i="51"/>
  <c r="AJ58" i="51"/>
  <c r="AJ60" i="51"/>
  <c r="AJ61" i="51"/>
  <c r="AJ62" i="51"/>
  <c r="AJ63" i="51"/>
  <c r="AJ64" i="51"/>
  <c r="AJ66" i="51"/>
  <c r="AJ67" i="51"/>
  <c r="AJ68" i="51"/>
  <c r="AJ69" i="51"/>
  <c r="AJ71" i="51"/>
  <c r="AJ72" i="51"/>
  <c r="AJ73" i="51"/>
  <c r="AJ76" i="51"/>
  <c r="AJ77" i="51"/>
  <c r="AJ79" i="51"/>
  <c r="AJ78" i="51" s="1"/>
  <c r="AJ81" i="51"/>
  <c r="AJ80" i="51" s="1"/>
  <c r="AJ85" i="51"/>
  <c r="AJ86" i="51"/>
  <c r="AJ88" i="51"/>
  <c r="AJ89" i="51"/>
  <c r="AJ90" i="51"/>
  <c r="AJ91" i="51"/>
  <c r="AJ92" i="51"/>
  <c r="AJ93" i="51"/>
  <c r="AJ95" i="51"/>
  <c r="AJ14" i="51"/>
  <c r="AJ15" i="51"/>
  <c r="AJ17" i="51"/>
  <c r="AJ18" i="51"/>
  <c r="AJ19" i="51"/>
  <c r="AJ21" i="51"/>
  <c r="AJ22" i="51"/>
  <c r="AJ23" i="51"/>
  <c r="AJ24" i="51"/>
  <c r="AJ25" i="51"/>
  <c r="AJ26" i="51"/>
  <c r="AJ27" i="51"/>
  <c r="AJ29" i="51"/>
  <c r="AJ31" i="51"/>
  <c r="AJ32" i="51"/>
  <c r="AJ33" i="51"/>
  <c r="AJ35" i="51"/>
  <c r="AK366" i="51"/>
  <c r="AK371" i="51"/>
  <c r="AK375" i="51"/>
  <c r="AK382" i="51"/>
  <c r="AK385" i="51"/>
  <c r="AK405" i="51"/>
  <c r="AK411" i="51"/>
  <c r="AK325" i="51"/>
  <c r="AK331" i="51"/>
  <c r="AK336" i="51"/>
  <c r="AK341" i="51"/>
  <c r="AK347" i="51"/>
  <c r="AK351" i="51"/>
  <c r="AK355" i="51"/>
  <c r="AK361" i="51"/>
  <c r="AK98" i="51"/>
  <c r="AK102" i="51"/>
  <c r="AK109" i="51"/>
  <c r="AK112" i="51"/>
  <c r="AK121" i="51"/>
  <c r="AK132" i="51"/>
  <c r="AK137" i="51"/>
  <c r="AK140" i="51"/>
  <c r="AK146" i="51"/>
  <c r="AK153" i="51"/>
  <c r="AK156" i="51"/>
  <c r="AK158" i="51"/>
  <c r="AK160" i="51"/>
  <c r="AK164" i="51"/>
  <c r="AK168" i="51"/>
  <c r="AK170" i="51"/>
  <c r="AK173" i="51"/>
  <c r="AK175" i="51"/>
  <c r="AK179" i="51"/>
  <c r="AK185" i="51"/>
  <c r="AK190" i="51"/>
  <c r="AK193" i="51"/>
  <c r="AK198" i="51"/>
  <c r="AK202" i="51"/>
  <c r="AK206" i="51"/>
  <c r="AK212" i="51"/>
  <c r="AK215" i="51"/>
  <c r="AK218" i="51"/>
  <c r="AK222" i="51"/>
  <c r="AK227" i="51"/>
  <c r="AK230" i="51"/>
  <c r="AK235" i="51"/>
  <c r="AK237" i="51"/>
  <c r="AK239" i="51"/>
  <c r="AK242" i="51"/>
  <c r="AK246" i="51"/>
  <c r="AK248" i="51"/>
  <c r="AK252" i="51"/>
  <c r="AK255" i="51"/>
  <c r="AK259" i="51"/>
  <c r="AK258" i="51" s="1"/>
  <c r="AK264" i="51"/>
  <c r="AK267" i="51"/>
  <c r="AK270" i="51"/>
  <c r="AK272" i="51"/>
  <c r="AK276" i="51"/>
  <c r="AK280" i="51"/>
  <c r="AK283" i="51"/>
  <c r="AK286" i="51"/>
  <c r="AK289" i="51"/>
  <c r="AK291" i="51"/>
  <c r="AK293" i="51"/>
  <c r="AK296" i="51"/>
  <c r="AK295" i="51" s="1"/>
  <c r="AK302" i="51"/>
  <c r="AK305" i="51"/>
  <c r="AK307" i="51"/>
  <c r="AK309" i="51"/>
  <c r="AK314" i="51"/>
  <c r="AK318" i="51"/>
  <c r="AK321" i="51"/>
  <c r="AK320" i="51" s="1"/>
  <c r="AK38" i="51"/>
  <c r="AK43" i="51"/>
  <c r="AK50" i="51"/>
  <c r="AK55" i="51"/>
  <c r="AK59" i="51"/>
  <c r="AK65" i="51"/>
  <c r="AK70" i="51"/>
  <c r="AK75" i="51"/>
  <c r="AK78" i="51"/>
  <c r="AK80" i="51"/>
  <c r="AK83" i="51"/>
  <c r="AK87" i="51"/>
  <c r="AK13" i="51"/>
  <c r="AK20" i="51"/>
  <c r="AK28" i="51"/>
  <c r="AL366" i="51"/>
  <c r="AL371" i="51"/>
  <c r="AL375" i="51"/>
  <c r="AL382" i="51"/>
  <c r="AL385" i="51"/>
  <c r="AL405" i="51"/>
  <c r="AL411" i="51"/>
  <c r="AL325" i="51"/>
  <c r="AL334" i="51"/>
  <c r="AT334" i="51" s="1"/>
  <c r="AL336" i="51"/>
  <c r="AL341" i="51"/>
  <c r="AL347" i="51"/>
  <c r="AL351" i="51"/>
  <c r="AL355" i="51"/>
  <c r="AL361" i="51"/>
  <c r="AL98" i="51"/>
  <c r="AL102" i="51"/>
  <c r="AL109" i="51"/>
  <c r="AL112" i="51"/>
  <c r="AL121" i="51"/>
  <c r="AL132" i="51"/>
  <c r="AL137" i="51"/>
  <c r="AL140" i="51"/>
  <c r="AL146" i="51"/>
  <c r="AL153" i="51"/>
  <c r="AL156" i="51"/>
  <c r="AL158" i="51"/>
  <c r="AL160" i="51"/>
  <c r="AL164" i="51"/>
  <c r="AL168" i="51"/>
  <c r="AL170" i="51"/>
  <c r="AL173" i="51"/>
  <c r="AL175" i="51"/>
  <c r="AL179" i="51"/>
  <c r="AL185" i="51"/>
  <c r="AL190" i="51"/>
  <c r="AL193" i="51"/>
  <c r="AL198" i="51"/>
  <c r="AL202" i="51"/>
  <c r="AL206" i="51"/>
  <c r="AL212" i="51"/>
  <c r="AL215" i="51"/>
  <c r="AL218" i="51"/>
  <c r="AL222" i="51"/>
  <c r="AL227" i="51"/>
  <c r="AL230" i="51"/>
  <c r="AL235" i="51"/>
  <c r="AL237" i="51"/>
  <c r="AL239" i="51"/>
  <c r="AL242" i="51"/>
  <c r="AL246" i="51"/>
  <c r="AL248" i="51"/>
  <c r="AL252" i="51"/>
  <c r="AL255" i="51"/>
  <c r="AL259" i="51"/>
  <c r="AL258" i="51" s="1"/>
  <c r="AL264" i="51"/>
  <c r="AL267" i="51"/>
  <c r="AL270" i="51"/>
  <c r="AL272" i="51"/>
  <c r="AL276" i="51"/>
  <c r="AL280" i="51"/>
  <c r="AL283" i="51"/>
  <c r="AL286" i="51"/>
  <c r="AL289" i="51"/>
  <c r="AL291" i="51"/>
  <c r="AL293" i="51"/>
  <c r="AL299" i="51"/>
  <c r="AT299" i="51" s="1"/>
  <c r="AL300" i="51"/>
  <c r="AT300" i="51" s="1"/>
  <c r="AL303" i="51"/>
  <c r="AL304" i="51"/>
  <c r="AL305" i="51"/>
  <c r="AL307" i="51"/>
  <c r="AL309" i="51"/>
  <c r="AL314" i="51"/>
  <c r="AL318" i="51"/>
  <c r="AL321" i="51"/>
  <c r="AL320" i="51" s="1"/>
  <c r="AL38" i="51"/>
  <c r="AL43" i="51"/>
  <c r="AL50" i="51"/>
  <c r="AL55" i="51"/>
  <c r="AL59" i="51"/>
  <c r="AL65" i="51"/>
  <c r="AL70" i="51"/>
  <c r="AL75" i="51"/>
  <c r="AL78" i="51"/>
  <c r="AL80" i="51"/>
  <c r="AL83" i="51"/>
  <c r="AL94" i="51"/>
  <c r="AT94" i="51" s="1"/>
  <c r="AL13" i="51"/>
  <c r="AL20" i="51"/>
  <c r="AL28" i="51"/>
  <c r="AM366" i="51"/>
  <c r="AM371" i="51"/>
  <c r="AM375" i="51"/>
  <c r="AM382" i="51"/>
  <c r="AM385" i="51"/>
  <c r="AM405" i="51"/>
  <c r="AM411" i="51"/>
  <c r="AM325" i="51"/>
  <c r="AM331" i="51"/>
  <c r="AM336" i="51"/>
  <c r="AM341" i="51"/>
  <c r="AM347" i="51"/>
  <c r="AM351" i="51"/>
  <c r="AM355" i="51"/>
  <c r="AM361" i="51"/>
  <c r="AM98" i="51"/>
  <c r="AM102" i="51"/>
  <c r="AM109" i="51"/>
  <c r="AM112" i="51"/>
  <c r="AM121" i="51"/>
  <c r="AM135" i="51"/>
  <c r="AM132" i="51" s="1"/>
  <c r="AM137" i="51"/>
  <c r="AM140" i="51"/>
  <c r="AM146" i="51"/>
  <c r="AM153" i="51"/>
  <c r="AM156" i="51"/>
  <c r="AM158" i="51"/>
  <c r="AM160" i="51"/>
  <c r="AM165" i="51"/>
  <c r="AM164" i="51" s="1"/>
  <c r="AM168" i="51"/>
  <c r="AM170" i="51"/>
  <c r="AM173" i="51"/>
  <c r="AM175" i="51"/>
  <c r="AM179" i="51"/>
  <c r="AM185" i="51"/>
  <c r="AM190" i="51"/>
  <c r="AM193" i="51"/>
  <c r="AM198" i="51"/>
  <c r="AM202" i="51"/>
  <c r="AM206" i="51"/>
  <c r="AM212" i="51"/>
  <c r="AM215" i="51"/>
  <c r="AM220" i="51"/>
  <c r="AM222" i="51"/>
  <c r="AM227" i="51"/>
  <c r="AM230" i="51"/>
  <c r="AM235" i="51"/>
  <c r="AM237" i="51"/>
  <c r="AM239" i="51"/>
  <c r="AM242" i="51"/>
  <c r="AM246" i="51"/>
  <c r="AM248" i="51"/>
  <c r="AM252" i="51"/>
  <c r="AM255" i="51"/>
  <c r="AM259" i="51"/>
  <c r="AM258" i="51" s="1"/>
  <c r="AM264" i="51"/>
  <c r="AM267" i="51"/>
  <c r="AM270" i="51"/>
  <c r="AM272" i="51"/>
  <c r="AM276" i="51"/>
  <c r="AM280" i="51"/>
  <c r="AM283" i="51"/>
  <c r="AM286" i="51"/>
  <c r="AM289" i="51"/>
  <c r="AM291" i="51"/>
  <c r="AM293" i="51"/>
  <c r="AM296" i="51"/>
  <c r="AM295" i="51" s="1"/>
  <c r="AM303" i="51"/>
  <c r="AM304" i="51"/>
  <c r="AM305" i="51"/>
  <c r="AM307" i="51"/>
  <c r="AM309" i="51"/>
  <c r="AM314" i="51"/>
  <c r="AM318" i="51"/>
  <c r="AM321" i="51"/>
  <c r="AM320" i="51" s="1"/>
  <c r="AM38" i="51"/>
  <c r="AM43" i="51"/>
  <c r="AM50" i="51"/>
  <c r="AM55" i="51"/>
  <c r="AM59" i="51"/>
  <c r="AM65" i="51"/>
  <c r="AM70" i="51"/>
  <c r="AM75" i="51"/>
  <c r="AM78" i="51"/>
  <c r="AM80" i="51"/>
  <c r="AM83" i="51"/>
  <c r="AM87" i="51"/>
  <c r="AM13" i="51"/>
  <c r="AM20" i="51"/>
  <c r="AM28" i="51"/>
  <c r="AN366" i="51"/>
  <c r="AN371" i="51"/>
  <c r="AN375" i="51"/>
  <c r="AN382" i="51"/>
  <c r="AN385" i="51"/>
  <c r="AN405" i="51"/>
  <c r="AN411" i="51"/>
  <c r="AN325" i="51"/>
  <c r="AN331" i="51"/>
  <c r="AN336" i="51"/>
  <c r="AN341" i="51"/>
  <c r="AN347" i="51"/>
  <c r="AN351" i="51"/>
  <c r="AN355" i="51"/>
  <c r="AN361" i="51"/>
  <c r="AN98" i="51"/>
  <c r="AN102" i="51"/>
  <c r="AN109" i="51"/>
  <c r="AN112" i="51"/>
  <c r="AN121" i="51"/>
  <c r="AN132" i="51"/>
  <c r="AN137" i="51"/>
  <c r="AN140" i="51"/>
  <c r="AN146" i="51"/>
  <c r="AN153" i="51"/>
  <c r="AN156" i="51"/>
  <c r="AN158" i="51"/>
  <c r="AN160" i="51"/>
  <c r="AN164" i="51"/>
  <c r="AN168" i="51"/>
  <c r="AN170" i="51"/>
  <c r="AN173" i="51"/>
  <c r="AN175" i="51"/>
  <c r="AN179" i="51"/>
  <c r="AN185" i="51"/>
  <c r="AN190" i="51"/>
  <c r="AN193" i="51"/>
  <c r="AN198" i="51"/>
  <c r="AN202" i="51"/>
  <c r="AN206" i="51"/>
  <c r="AN212" i="51"/>
  <c r="AN215" i="51"/>
  <c r="AN218" i="51"/>
  <c r="AN222" i="51"/>
  <c r="AN227" i="51"/>
  <c r="AN230" i="51"/>
  <c r="AN235" i="51"/>
  <c r="AN237" i="51"/>
  <c r="AN239" i="51"/>
  <c r="AN242" i="51"/>
  <c r="AN246" i="51"/>
  <c r="AN248" i="51"/>
  <c r="AN252" i="51"/>
  <c r="AN255" i="51"/>
  <c r="AN259" i="51"/>
  <c r="AN258" i="51" s="1"/>
  <c r="AN264" i="51"/>
  <c r="AN267" i="51"/>
  <c r="AN270" i="51"/>
  <c r="AN272" i="51"/>
  <c r="AN276" i="51"/>
  <c r="AN280" i="51"/>
  <c r="AN283" i="51"/>
  <c r="AN286" i="51"/>
  <c r="AN289" i="51"/>
  <c r="AN291" i="51"/>
  <c r="AN293" i="51"/>
  <c r="AN296" i="51"/>
  <c r="AN295" i="51" s="1"/>
  <c r="AN302" i="51"/>
  <c r="AN305" i="51"/>
  <c r="AN307" i="51"/>
  <c r="AN309" i="51"/>
  <c r="AN314" i="51"/>
  <c r="AN318" i="51"/>
  <c r="AN321" i="51"/>
  <c r="AN320" i="51" s="1"/>
  <c r="AN38" i="51"/>
  <c r="AN43" i="51"/>
  <c r="AN50" i="51"/>
  <c r="AN55" i="51"/>
  <c r="AN59" i="51"/>
  <c r="AN65" i="51"/>
  <c r="AN70" i="51"/>
  <c r="AN75" i="51"/>
  <c r="AN78" i="51"/>
  <c r="AN80" i="51"/>
  <c r="AN83" i="51"/>
  <c r="AN87" i="51"/>
  <c r="AN13" i="51"/>
  <c r="AN20" i="51"/>
  <c r="AN28" i="51"/>
  <c r="AO366" i="51"/>
  <c r="AO371" i="51"/>
  <c r="AO375" i="51"/>
  <c r="AO382" i="51"/>
  <c r="AO385" i="51"/>
  <c r="AO405" i="51"/>
  <c r="AO411" i="51"/>
  <c r="AO325" i="51"/>
  <c r="AO331" i="51"/>
  <c r="AO336" i="51"/>
  <c r="AO341" i="51"/>
  <c r="AO347" i="51"/>
  <c r="AO351" i="51"/>
  <c r="AO355" i="51"/>
  <c r="AO361" i="51"/>
  <c r="AO98" i="51"/>
  <c r="AO102" i="51"/>
  <c r="AO109" i="51"/>
  <c r="AO112" i="51"/>
  <c r="AO121" i="51"/>
  <c r="AO132" i="51"/>
  <c r="AO137" i="51"/>
  <c r="AO140" i="51"/>
  <c r="AO146" i="51"/>
  <c r="AO153" i="51"/>
  <c r="AO156" i="51"/>
  <c r="AO158" i="51"/>
  <c r="AO160" i="51"/>
  <c r="AO164" i="51"/>
  <c r="AO168" i="51"/>
  <c r="AO170" i="51"/>
  <c r="AO173" i="51"/>
  <c r="AO175" i="51"/>
  <c r="AO179" i="51"/>
  <c r="AO185" i="51"/>
  <c r="AO190" i="51"/>
  <c r="AO193" i="51"/>
  <c r="AO198" i="51"/>
  <c r="AO202" i="51"/>
  <c r="AO206" i="51"/>
  <c r="AO212" i="51"/>
  <c r="AO215" i="51"/>
  <c r="AO218" i="51"/>
  <c r="AO222" i="51"/>
  <c r="AO227" i="51"/>
  <c r="AO230" i="51"/>
  <c r="AO235" i="51"/>
  <c r="AO237" i="51"/>
  <c r="AO239" i="51"/>
  <c r="AO242" i="51"/>
  <c r="AO246" i="51"/>
  <c r="AO248" i="51"/>
  <c r="AO252" i="51"/>
  <c r="AO255" i="51"/>
  <c r="AO259" i="51"/>
  <c r="AO258" i="51" s="1"/>
  <c r="AO264" i="51"/>
  <c r="AO267" i="51"/>
  <c r="AO270" i="51"/>
  <c r="AO272" i="51"/>
  <c r="AO276" i="51"/>
  <c r="AO280" i="51"/>
  <c r="AO283" i="51"/>
  <c r="AO286" i="51"/>
  <c r="AO289" i="51"/>
  <c r="AO291" i="51"/>
  <c r="AO293" i="51"/>
  <c r="AO296" i="51"/>
  <c r="AO295" i="51" s="1"/>
  <c r="AO302" i="51"/>
  <c r="AO305" i="51"/>
  <c r="AO307" i="51"/>
  <c r="AO309" i="51"/>
  <c r="AO314" i="51"/>
  <c r="AO318" i="51"/>
  <c r="AO321" i="51"/>
  <c r="AO320" i="51" s="1"/>
  <c r="AO38" i="51"/>
  <c r="AO43" i="51"/>
  <c r="AO50" i="51"/>
  <c r="AO55" i="51"/>
  <c r="AO59" i="51"/>
  <c r="AO65" i="51"/>
  <c r="AO70" i="51"/>
  <c r="AO75" i="51"/>
  <c r="AO78" i="51"/>
  <c r="AO80" i="51"/>
  <c r="AO83" i="51"/>
  <c r="AO87" i="51"/>
  <c r="AO13" i="51"/>
  <c r="AO20" i="51"/>
  <c r="AO28" i="51"/>
  <c r="AP366" i="51"/>
  <c r="AP371" i="51"/>
  <c r="AP375" i="51"/>
  <c r="AP382" i="51"/>
  <c r="AP385" i="51"/>
  <c r="AP405" i="51"/>
  <c r="AP411" i="51"/>
  <c r="AP325" i="51"/>
  <c r="AP331" i="51"/>
  <c r="AP336" i="51"/>
  <c r="AP341" i="51"/>
  <c r="AP347" i="51"/>
  <c r="AP351" i="51"/>
  <c r="AP355" i="51"/>
  <c r="AP361" i="51"/>
  <c r="AP98" i="51"/>
  <c r="AP102" i="51"/>
  <c r="AP109" i="51"/>
  <c r="AP112" i="51"/>
  <c r="AP121" i="51"/>
  <c r="AP132" i="51"/>
  <c r="AP137" i="51"/>
  <c r="AP140" i="51"/>
  <c r="AP146" i="51"/>
  <c r="AP153" i="51"/>
  <c r="AP156" i="51"/>
  <c r="AP158" i="51"/>
  <c r="AP160" i="51"/>
  <c r="AP164" i="51"/>
  <c r="AP168" i="51"/>
  <c r="AP170" i="51"/>
  <c r="AP173" i="51"/>
  <c r="AP175" i="51"/>
  <c r="AP179" i="51"/>
  <c r="AP185" i="51"/>
  <c r="AP190" i="51"/>
  <c r="AP193" i="51"/>
  <c r="AP198" i="51"/>
  <c r="AP202" i="51"/>
  <c r="AP206" i="51"/>
  <c r="AP212" i="51"/>
  <c r="AP215" i="51"/>
  <c r="AP218" i="51"/>
  <c r="AP222" i="51"/>
  <c r="AP227" i="51"/>
  <c r="AP230" i="51"/>
  <c r="AP235" i="51"/>
  <c r="AP237" i="51"/>
  <c r="AP239" i="51"/>
  <c r="AP242" i="51"/>
  <c r="AP246" i="51"/>
  <c r="AP248" i="51"/>
  <c r="AP252" i="51"/>
  <c r="AP255" i="51"/>
  <c r="AP259" i="51"/>
  <c r="AP258" i="51" s="1"/>
  <c r="AP264" i="51"/>
  <c r="AP267" i="51"/>
  <c r="AP270" i="51"/>
  <c r="AP272" i="51"/>
  <c r="AP276" i="51"/>
  <c r="AP280" i="51"/>
  <c r="AP283" i="51"/>
  <c r="AP286" i="51"/>
  <c r="AP289" i="51"/>
  <c r="AP291" i="51"/>
  <c r="AP293" i="51"/>
  <c r="AP296" i="51"/>
  <c r="AP295" i="51" s="1"/>
  <c r="AP302" i="51"/>
  <c r="AP305" i="51"/>
  <c r="AP307" i="51"/>
  <c r="AP309" i="51"/>
  <c r="AP314" i="51"/>
  <c r="AP318" i="51"/>
  <c r="AP321" i="51"/>
  <c r="AP320" i="51" s="1"/>
  <c r="AP38" i="51"/>
  <c r="AP43" i="51"/>
  <c r="AP50" i="51"/>
  <c r="AP55" i="51"/>
  <c r="AP59" i="51"/>
  <c r="AP65" i="51"/>
  <c r="AP70" i="51"/>
  <c r="AP75" i="51"/>
  <c r="AP78" i="51"/>
  <c r="AP80" i="51"/>
  <c r="AP83" i="51"/>
  <c r="AP87" i="51"/>
  <c r="AP13" i="51"/>
  <c r="AP23" i="51"/>
  <c r="AT23" i="51" s="1"/>
  <c r="AP24" i="51"/>
  <c r="AT24" i="51" s="1"/>
  <c r="AP28" i="51"/>
  <c r="AQ366" i="51"/>
  <c r="AQ371" i="51"/>
  <c r="AQ375" i="51"/>
  <c r="AQ382" i="51"/>
  <c r="AQ385" i="51"/>
  <c r="AQ405" i="51"/>
  <c r="AQ411" i="51"/>
  <c r="AQ325" i="51"/>
  <c r="AQ331" i="51"/>
  <c r="AQ336" i="51"/>
  <c r="AQ341" i="51"/>
  <c r="AQ347" i="51"/>
  <c r="AQ351" i="51"/>
  <c r="AQ355" i="51"/>
  <c r="AQ361" i="51"/>
  <c r="AQ98" i="51"/>
  <c r="AQ102" i="51"/>
  <c r="AQ109" i="51"/>
  <c r="AQ112" i="51"/>
  <c r="AQ121" i="51"/>
  <c r="AQ132" i="51"/>
  <c r="AQ137" i="51"/>
  <c r="AQ140" i="51"/>
  <c r="AQ151" i="51"/>
  <c r="AQ146" i="51" s="1"/>
  <c r="AQ153" i="51"/>
  <c r="AQ156" i="51"/>
  <c r="AQ158" i="51"/>
  <c r="AQ161" i="51"/>
  <c r="AQ160" i="51" s="1"/>
  <c r="AQ164" i="51"/>
  <c r="AQ168" i="51"/>
  <c r="AQ170" i="51"/>
  <c r="AQ173" i="51"/>
  <c r="AQ175" i="51"/>
  <c r="AQ179" i="51"/>
  <c r="AQ185" i="51"/>
  <c r="AQ190" i="51"/>
  <c r="AQ193" i="51"/>
  <c r="AQ198" i="51"/>
  <c r="AQ202" i="51"/>
  <c r="AQ206" i="51"/>
  <c r="AQ212" i="51"/>
  <c r="AQ215" i="51"/>
  <c r="AQ218" i="51"/>
  <c r="AQ222" i="51"/>
  <c r="AQ227" i="51"/>
  <c r="AQ230" i="51"/>
  <c r="AQ235" i="51"/>
  <c r="AQ237" i="51"/>
  <c r="AQ239" i="51"/>
  <c r="AQ242" i="51"/>
  <c r="AQ246" i="51"/>
  <c r="AQ248" i="51"/>
  <c r="AQ252" i="51"/>
  <c r="AQ255" i="51"/>
  <c r="AQ259" i="51"/>
  <c r="AQ258" i="51" s="1"/>
  <c r="AQ264" i="51"/>
  <c r="AQ267" i="51"/>
  <c r="AQ270" i="51"/>
  <c r="AQ272" i="51"/>
  <c r="AQ276" i="51"/>
  <c r="AQ280" i="51"/>
  <c r="AQ283" i="51"/>
  <c r="AQ286" i="51"/>
  <c r="AQ289" i="51"/>
  <c r="AQ291" i="51"/>
  <c r="AQ293" i="51"/>
  <c r="AQ296" i="51"/>
  <c r="AQ295" i="51" s="1"/>
  <c r="AQ302" i="51"/>
  <c r="AQ305" i="51"/>
  <c r="AQ307" i="51"/>
  <c r="AQ309" i="51"/>
  <c r="AQ314" i="51"/>
  <c r="AQ318" i="51"/>
  <c r="AQ321" i="51"/>
  <c r="AQ320" i="51" s="1"/>
  <c r="AQ38" i="51"/>
  <c r="AQ43" i="51"/>
  <c r="AQ50" i="51"/>
  <c r="AQ55" i="51"/>
  <c r="AQ59" i="51"/>
  <c r="AQ65" i="51"/>
  <c r="AQ70" i="51"/>
  <c r="AQ75" i="51"/>
  <c r="AQ78" i="51"/>
  <c r="AQ80" i="51"/>
  <c r="AQ83" i="51"/>
  <c r="AQ87" i="51"/>
  <c r="AQ13" i="51"/>
  <c r="AQ20" i="51"/>
  <c r="AQ28" i="51"/>
  <c r="AR366" i="51"/>
  <c r="AR371" i="51"/>
  <c r="AR375" i="51"/>
  <c r="AR382" i="51"/>
  <c r="AR385" i="51"/>
  <c r="AR405" i="51"/>
  <c r="AR411" i="51"/>
  <c r="AR325" i="51"/>
  <c r="AR331" i="51"/>
  <c r="AR336" i="51"/>
  <c r="AR341" i="51"/>
  <c r="AR347" i="51"/>
  <c r="AR351" i="51"/>
  <c r="AR355" i="51"/>
  <c r="AR361" i="51"/>
  <c r="AR98" i="51"/>
  <c r="AR102" i="51"/>
  <c r="AR109" i="51"/>
  <c r="AR112" i="51"/>
  <c r="AR121" i="51"/>
  <c r="AR132" i="51"/>
  <c r="AR137" i="51"/>
  <c r="AR140" i="51"/>
  <c r="AR146" i="51"/>
  <c r="AR153" i="51"/>
  <c r="AR156" i="51"/>
  <c r="AR158" i="51"/>
  <c r="AR160" i="51"/>
  <c r="AR164" i="51"/>
  <c r="AR168" i="51"/>
  <c r="AR170" i="51"/>
  <c r="AR173" i="51"/>
  <c r="AR175" i="51"/>
  <c r="AR179" i="51"/>
  <c r="AR185" i="51"/>
  <c r="AR190" i="51"/>
  <c r="AR193" i="51"/>
  <c r="AR198" i="51"/>
  <c r="AR202" i="51"/>
  <c r="AR206" i="51"/>
  <c r="AR212" i="51"/>
  <c r="AR215" i="51"/>
  <c r="AR218" i="51"/>
  <c r="AR222" i="51"/>
  <c r="AR227" i="51"/>
  <c r="AR230" i="51"/>
  <c r="AR235" i="51"/>
  <c r="AR237" i="51"/>
  <c r="AR239" i="51"/>
  <c r="AR242" i="51"/>
  <c r="AR246" i="51"/>
  <c r="AR248" i="51"/>
  <c r="AR252" i="51"/>
  <c r="AR255" i="51"/>
  <c r="AR259" i="51"/>
  <c r="AR258" i="51" s="1"/>
  <c r="AR264" i="51"/>
  <c r="AR267" i="51"/>
  <c r="AR270" i="51"/>
  <c r="AR272" i="51"/>
  <c r="AR276" i="51"/>
  <c r="AR280" i="51"/>
  <c r="AR283" i="51"/>
  <c r="AR286" i="51"/>
  <c r="AR289" i="51"/>
  <c r="AR291" i="51"/>
  <c r="AR293" i="51"/>
  <c r="AR296" i="51"/>
  <c r="AR295" i="51" s="1"/>
  <c r="AR302" i="51"/>
  <c r="AR305" i="51"/>
  <c r="AR307" i="51"/>
  <c r="AR309" i="51"/>
  <c r="AR314" i="51"/>
  <c r="AR318" i="51"/>
  <c r="AR321" i="51"/>
  <c r="AR320" i="51" s="1"/>
  <c r="AR38" i="51"/>
  <c r="AR43" i="51"/>
  <c r="AR50" i="51"/>
  <c r="AR55" i="51"/>
  <c r="AR59" i="51"/>
  <c r="AR65" i="51"/>
  <c r="AR70" i="51"/>
  <c r="AR75" i="51"/>
  <c r="AR78" i="51"/>
  <c r="AR80" i="51"/>
  <c r="AR83" i="51"/>
  <c r="AR87" i="51"/>
  <c r="AR13" i="51"/>
  <c r="AR20" i="51"/>
  <c r="AR28" i="51"/>
  <c r="AS366" i="51"/>
  <c r="AS371" i="51"/>
  <c r="AS375" i="51"/>
  <c r="AS382" i="51"/>
  <c r="AS385" i="51"/>
  <c r="AS405" i="51"/>
  <c r="AS411" i="51"/>
  <c r="AS325" i="51"/>
  <c r="AS331" i="51"/>
  <c r="AS336" i="51"/>
  <c r="AS341" i="51"/>
  <c r="AS347" i="51"/>
  <c r="AS351" i="51"/>
  <c r="AS355" i="51"/>
  <c r="AS361" i="51"/>
  <c r="AS98" i="51"/>
  <c r="AS102" i="51"/>
  <c r="AS109" i="51"/>
  <c r="AS112" i="51"/>
  <c r="AS121" i="51"/>
  <c r="AS132" i="51"/>
  <c r="AS137" i="51"/>
  <c r="AS140" i="51"/>
  <c r="AS146" i="51"/>
  <c r="AS153" i="51"/>
  <c r="AS156" i="51"/>
  <c r="AS158" i="51"/>
  <c r="AS160" i="51"/>
  <c r="AS164" i="51"/>
  <c r="AS168" i="51"/>
  <c r="AS170" i="51"/>
  <c r="AS173" i="51"/>
  <c r="AS175" i="51"/>
  <c r="AS179" i="51"/>
  <c r="AS185" i="51"/>
  <c r="AS190" i="51"/>
  <c r="AS193" i="51"/>
  <c r="AS198" i="51"/>
  <c r="AS202" i="51"/>
  <c r="AS206" i="51"/>
  <c r="AS212" i="51"/>
  <c r="AS215" i="51"/>
  <c r="AS218" i="51"/>
  <c r="AS222" i="51"/>
  <c r="AS227" i="51"/>
  <c r="AS230" i="51"/>
  <c r="AS235" i="51"/>
  <c r="AS237" i="51"/>
  <c r="AS239" i="51"/>
  <c r="AS242" i="51"/>
  <c r="AS246" i="51"/>
  <c r="AS248" i="51"/>
  <c r="AS252" i="51"/>
  <c r="AS255" i="51"/>
  <c r="AS259" i="51"/>
  <c r="AS258" i="51" s="1"/>
  <c r="AS264" i="51"/>
  <c r="AS267" i="51"/>
  <c r="AS270" i="51"/>
  <c r="AS272" i="51"/>
  <c r="AS276" i="51"/>
  <c r="AS280" i="51"/>
  <c r="AS283" i="51"/>
  <c r="AS286" i="51"/>
  <c r="AS289" i="51"/>
  <c r="AS291" i="51"/>
  <c r="AS293" i="51"/>
  <c r="AS296" i="51"/>
  <c r="AS295" i="51" s="1"/>
  <c r="AS302" i="51"/>
  <c r="AS305" i="51"/>
  <c r="AS307" i="51"/>
  <c r="AS309" i="51"/>
  <c r="AS314" i="51"/>
  <c r="AS318" i="51"/>
  <c r="AS321" i="51"/>
  <c r="AS320" i="51" s="1"/>
  <c r="AS38" i="51"/>
  <c r="AS43" i="51"/>
  <c r="AS50" i="51"/>
  <c r="AS55" i="51"/>
  <c r="AS59" i="51"/>
  <c r="AS65" i="51"/>
  <c r="AS70" i="51"/>
  <c r="AS75" i="51"/>
  <c r="AS78" i="51"/>
  <c r="AS80" i="51"/>
  <c r="AS83" i="51"/>
  <c r="AS87" i="51"/>
  <c r="AS13" i="51"/>
  <c r="AS20" i="51"/>
  <c r="AS28" i="51"/>
  <c r="AT367" i="51"/>
  <c r="AT368" i="51"/>
  <c r="AT369" i="51"/>
  <c r="AT370" i="51"/>
  <c r="AT372" i="51"/>
  <c r="AT373" i="51"/>
  <c r="AT376" i="51"/>
  <c r="AT377" i="51"/>
  <c r="AT378" i="51"/>
  <c r="AT379" i="51"/>
  <c r="AT380" i="51"/>
  <c r="AT381" i="51"/>
  <c r="AT383" i="51"/>
  <c r="AT382" i="51" s="1"/>
  <c r="AT386" i="51"/>
  <c r="AT387" i="51"/>
  <c r="AT388" i="51"/>
  <c r="AT389" i="51"/>
  <c r="AT390" i="51"/>
  <c r="AT391" i="51"/>
  <c r="AT392" i="51"/>
  <c r="AT393" i="51"/>
  <c r="AT394" i="51"/>
  <c r="AT395" i="51"/>
  <c r="AT396" i="51"/>
  <c r="AT397" i="51"/>
  <c r="AT398" i="51"/>
  <c r="AT399" i="51"/>
  <c r="AT400" i="51"/>
  <c r="AT401" i="51"/>
  <c r="AT402" i="51"/>
  <c r="AT403" i="51"/>
  <c r="AT404" i="51"/>
  <c r="AT406" i="51"/>
  <c r="AT407" i="51"/>
  <c r="AT408" i="51"/>
  <c r="AT409" i="51"/>
  <c r="AT410" i="51"/>
  <c r="AT412" i="51"/>
  <c r="AT413" i="51"/>
  <c r="AT414" i="51"/>
  <c r="AT415" i="51"/>
  <c r="AT416" i="51"/>
  <c r="AT417" i="51"/>
  <c r="AT418" i="51"/>
  <c r="AT419" i="51"/>
  <c r="AT420" i="51"/>
  <c r="AT421" i="51"/>
  <c r="AT326" i="51"/>
  <c r="AT327" i="51"/>
  <c r="AT328" i="51"/>
  <c r="AT329" i="51"/>
  <c r="AT330" i="51"/>
  <c r="AT332" i="51"/>
  <c r="AT333" i="51"/>
  <c r="AT335" i="51"/>
  <c r="AT337" i="51"/>
  <c r="AT338" i="51"/>
  <c r="AT339" i="51"/>
  <c r="AT342" i="51"/>
  <c r="AT343" i="51"/>
  <c r="AT344" i="51"/>
  <c r="AT345" i="51"/>
  <c r="AT346" i="51"/>
  <c r="AT348" i="51"/>
  <c r="AT349" i="51"/>
  <c r="AT350" i="51"/>
  <c r="AT352" i="51"/>
  <c r="AT353" i="51"/>
  <c r="AT356" i="51"/>
  <c r="AT357" i="51"/>
  <c r="AT358" i="51"/>
  <c r="AT359" i="51"/>
  <c r="AT360" i="51"/>
  <c r="AT362" i="51"/>
  <c r="AT363" i="51"/>
  <c r="AT99" i="51"/>
  <c r="AT100" i="51"/>
  <c r="AT101" i="51"/>
  <c r="AT103" i="51"/>
  <c r="AT104" i="51"/>
  <c r="AT105" i="51"/>
  <c r="AT106" i="51"/>
  <c r="AT107" i="51"/>
  <c r="AT108" i="51"/>
  <c r="AT110" i="51"/>
  <c r="AT109" i="51" s="1"/>
  <c r="AT113" i="51"/>
  <c r="AT114" i="51"/>
  <c r="AT115" i="51"/>
  <c r="AT116" i="51"/>
  <c r="AT117" i="51"/>
  <c r="AT118" i="51"/>
  <c r="AT119" i="51"/>
  <c r="AT120" i="51"/>
  <c r="AT122" i="51"/>
  <c r="AT123" i="51"/>
  <c r="AT124" i="51"/>
  <c r="AT125" i="51"/>
  <c r="AT126" i="51"/>
  <c r="AT127" i="51"/>
  <c r="AT128" i="51"/>
  <c r="AT129" i="51"/>
  <c r="AT130" i="51"/>
  <c r="AT131" i="51"/>
  <c r="AT133" i="51"/>
  <c r="AT134" i="51"/>
  <c r="AT136" i="51"/>
  <c r="AT138" i="51"/>
  <c r="AT137" i="51" s="1"/>
  <c r="AT141" i="51"/>
  <c r="AT142" i="51"/>
  <c r="AT143" i="51"/>
  <c r="AT144" i="51"/>
  <c r="AT145" i="51"/>
  <c r="AT147" i="51"/>
  <c r="AT148" i="51"/>
  <c r="AT149" i="51"/>
  <c r="AT150" i="51"/>
  <c r="AT151" i="51"/>
  <c r="AT154" i="51"/>
  <c r="AT155" i="51"/>
  <c r="AT157" i="51"/>
  <c r="AT156" i="51" s="1"/>
  <c r="AT159" i="51"/>
  <c r="AT158" i="51" s="1"/>
  <c r="AT162" i="51"/>
  <c r="AT166" i="51"/>
  <c r="AT167" i="51"/>
  <c r="AT169" i="51"/>
  <c r="AT168" i="51" s="1"/>
  <c r="AT171" i="51"/>
  <c r="AT170" i="51" s="1"/>
  <c r="AT174" i="51"/>
  <c r="AT173" i="51" s="1"/>
  <c r="AT176" i="51"/>
  <c r="AT177" i="51"/>
  <c r="AT180" i="51"/>
  <c r="AT181" i="51"/>
  <c r="AT182" i="51"/>
  <c r="AT183" i="51"/>
  <c r="AT184" i="51"/>
  <c r="AT186" i="51"/>
  <c r="AT187" i="51"/>
  <c r="AT188" i="51"/>
  <c r="AT191" i="51"/>
  <c r="AT192" i="51"/>
  <c r="AT194" i="51"/>
  <c r="AT195" i="51"/>
  <c r="AT196" i="51"/>
  <c r="AT197" i="51"/>
  <c r="AT199" i="51"/>
  <c r="AT200" i="51"/>
  <c r="AT201" i="51"/>
  <c r="AT203" i="51"/>
  <c r="AT204" i="51"/>
  <c r="AT205" i="51"/>
  <c r="AT207" i="51"/>
  <c r="AT208" i="51"/>
  <c r="AT209" i="51"/>
  <c r="AT210" i="51"/>
  <c r="AT213" i="51"/>
  <c r="AT214" i="51"/>
  <c r="AT216" i="51"/>
  <c r="AT217" i="51"/>
  <c r="AT219" i="51"/>
  <c r="AT221" i="51"/>
  <c r="AT223" i="51"/>
  <c r="AT224" i="51"/>
  <c r="AT225" i="51"/>
  <c r="AT226" i="51"/>
  <c r="AT228" i="51"/>
  <c r="AT229" i="51"/>
  <c r="AT231" i="51"/>
  <c r="AT232" i="51"/>
  <c r="AT233" i="51"/>
  <c r="AT236" i="51"/>
  <c r="AT235" i="51" s="1"/>
  <c r="AT238" i="51"/>
  <c r="AT237" i="51" s="1"/>
  <c r="AT240" i="51"/>
  <c r="AT239" i="51" s="1"/>
  <c r="AT243" i="51"/>
  <c r="AT244" i="51"/>
  <c r="AT245" i="51"/>
  <c r="AT247" i="51"/>
  <c r="AT246" i="51" s="1"/>
  <c r="AT249" i="51"/>
  <c r="AT250" i="51"/>
  <c r="AT251" i="51"/>
  <c r="AT253" i="51"/>
  <c r="AT254" i="51"/>
  <c r="AT256" i="51"/>
  <c r="AT257" i="51"/>
  <c r="AT260" i="51"/>
  <c r="AT261" i="51"/>
  <c r="AT262" i="51"/>
  <c r="AT265" i="51"/>
  <c r="AT266" i="51"/>
  <c r="AT268" i="51"/>
  <c r="AT267" i="51" s="1"/>
  <c r="AT271" i="51"/>
  <c r="AT270" i="51" s="1"/>
  <c r="AT273" i="51"/>
  <c r="AT274" i="51"/>
  <c r="AT275" i="51"/>
  <c r="AT277" i="51"/>
  <c r="AT278" i="51"/>
  <c r="AT279" i="51"/>
  <c r="AT281" i="51"/>
  <c r="AT280" i="51" s="1"/>
  <c r="AT284" i="51"/>
  <c r="AT285" i="51"/>
  <c r="AT287" i="51"/>
  <c r="AT288" i="51"/>
  <c r="AT290" i="51"/>
  <c r="AT292" i="51"/>
  <c r="AT291" i="51" s="1"/>
  <c r="AT294" i="51"/>
  <c r="AT293" i="51" s="1"/>
  <c r="AT297" i="51"/>
  <c r="AT298" i="51"/>
  <c r="AT306" i="51"/>
  <c r="AT308" i="51"/>
  <c r="AT307" i="51" s="1"/>
  <c r="AT310" i="51"/>
  <c r="AT311" i="51"/>
  <c r="AT312" i="51"/>
  <c r="AT315" i="51"/>
  <c r="AT316" i="51"/>
  <c r="AT317" i="51"/>
  <c r="AT319" i="51"/>
  <c r="AT318" i="51" s="1"/>
  <c r="AT322" i="51"/>
  <c r="AT39" i="51"/>
  <c r="AT40" i="51"/>
  <c r="AT41" i="51"/>
  <c r="AT42" i="51"/>
  <c r="AT44" i="51"/>
  <c r="AT45" i="51"/>
  <c r="AT46" i="51"/>
  <c r="AT47" i="51"/>
  <c r="AT48" i="51"/>
  <c r="AT49" i="51"/>
  <c r="AT51" i="51"/>
  <c r="AT52" i="51"/>
  <c r="AT53" i="51"/>
  <c r="AT54" i="51"/>
  <c r="AT56" i="51"/>
  <c r="AT57" i="51"/>
  <c r="AT58" i="51"/>
  <c r="AT60" i="51"/>
  <c r="AT61" i="51"/>
  <c r="AT62" i="51"/>
  <c r="AT63" i="51"/>
  <c r="AT64" i="51"/>
  <c r="AT66" i="51"/>
  <c r="AT67" i="51"/>
  <c r="AT68" i="51"/>
  <c r="AT69" i="51"/>
  <c r="AT71" i="51"/>
  <c r="AT72" i="51"/>
  <c r="AT73" i="51"/>
  <c r="AT75" i="51"/>
  <c r="AT78" i="51"/>
  <c r="AT81" i="51"/>
  <c r="AT80" i="51" s="1"/>
  <c r="AT84" i="51"/>
  <c r="AT85" i="51"/>
  <c r="AT86" i="51"/>
  <c r="AT88" i="51"/>
  <c r="AT89" i="51"/>
  <c r="AT90" i="51"/>
  <c r="AT91" i="51"/>
  <c r="AT92" i="51"/>
  <c r="AT93" i="51"/>
  <c r="AT95" i="51"/>
  <c r="AT14" i="51"/>
  <c r="AT15" i="51"/>
  <c r="AT16" i="51"/>
  <c r="AT17" i="51"/>
  <c r="AT18" i="51"/>
  <c r="AT19" i="51"/>
  <c r="AT21" i="51"/>
  <c r="AT22" i="51"/>
  <c r="AT25" i="51"/>
  <c r="AT26" i="51"/>
  <c r="AT27" i="51"/>
  <c r="AT29" i="51"/>
  <c r="AT30" i="51"/>
  <c r="AT31" i="51"/>
  <c r="AT32" i="51"/>
  <c r="AT33" i="51"/>
  <c r="AT34" i="51"/>
  <c r="AT35" i="51"/>
  <c r="AX422" i="51"/>
  <c r="BE91" i="51"/>
  <c r="BN91" i="51" s="1"/>
  <c r="BE94" i="51"/>
  <c r="BF94" i="51"/>
  <c r="BF99" i="51"/>
  <c r="BN99" i="51" s="1"/>
  <c r="BF100" i="51"/>
  <c r="BN100" i="51" s="1"/>
  <c r="BF101" i="51"/>
  <c r="BN101" i="51" s="1"/>
  <c r="BF303" i="51"/>
  <c r="BF304" i="51"/>
  <c r="BF326" i="51"/>
  <c r="BF334" i="51"/>
  <c r="BN334" i="51" s="1"/>
  <c r="BG104" i="51"/>
  <c r="BG303" i="51"/>
  <c r="BG304" i="51"/>
  <c r="BH422" i="51"/>
  <c r="BI422" i="51"/>
  <c r="BJ22" i="51"/>
  <c r="BJ422" i="51" s="1"/>
  <c r="BK104" i="51"/>
  <c r="BK422" i="51" s="1"/>
  <c r="BL422" i="51"/>
  <c r="BM422" i="51"/>
  <c r="BN412" i="51"/>
  <c r="BN413" i="51"/>
  <c r="BN414" i="51"/>
  <c r="BN415" i="51"/>
  <c r="BN416" i="51"/>
  <c r="BN417" i="51"/>
  <c r="BN418" i="51"/>
  <c r="BN419" i="51"/>
  <c r="BN420" i="51"/>
  <c r="BN421" i="51"/>
  <c r="BN406" i="51"/>
  <c r="BN407" i="51"/>
  <c r="BN408" i="51"/>
  <c r="BN409" i="51"/>
  <c r="BN410" i="51"/>
  <c r="BN386" i="51"/>
  <c r="BN387" i="51"/>
  <c r="BN388" i="51"/>
  <c r="BN389" i="51"/>
  <c r="BN390" i="51"/>
  <c r="BN391" i="51"/>
  <c r="BN392" i="51"/>
  <c r="BN393" i="51"/>
  <c r="BN394" i="51"/>
  <c r="BN395" i="51"/>
  <c r="BN396" i="51"/>
  <c r="BN397" i="51"/>
  <c r="BN398" i="51"/>
  <c r="BN399" i="51"/>
  <c r="BN400" i="51"/>
  <c r="BN401" i="51"/>
  <c r="BN402" i="51"/>
  <c r="BN403" i="51"/>
  <c r="BN404" i="51"/>
  <c r="BN376" i="51"/>
  <c r="BN377" i="51"/>
  <c r="BN378" i="51"/>
  <c r="BN379" i="51"/>
  <c r="BN380" i="51"/>
  <c r="BN381" i="51"/>
  <c r="BN372" i="51"/>
  <c r="BN373" i="51"/>
  <c r="BN367" i="51"/>
  <c r="BN368" i="51"/>
  <c r="BN369" i="51"/>
  <c r="BN370" i="51"/>
  <c r="BN362" i="51"/>
  <c r="BN363" i="51"/>
  <c r="BN356" i="51"/>
  <c r="BN357" i="51"/>
  <c r="BN358" i="51"/>
  <c r="BN359" i="51"/>
  <c r="BN360" i="51"/>
  <c r="BN352" i="51"/>
  <c r="BN353" i="51"/>
  <c r="BN348" i="51"/>
  <c r="BN349" i="51"/>
  <c r="BN350" i="51"/>
  <c r="BN342" i="51"/>
  <c r="BN343" i="51"/>
  <c r="BN344" i="51"/>
  <c r="BN345" i="51"/>
  <c r="BN346" i="51"/>
  <c r="BN337" i="51"/>
  <c r="BN338" i="51"/>
  <c r="BN339" i="51"/>
  <c r="BN332" i="51"/>
  <c r="BN333" i="51"/>
  <c r="BN335" i="51"/>
  <c r="BN326" i="51"/>
  <c r="BN327" i="51"/>
  <c r="BN328" i="51"/>
  <c r="BN329" i="51"/>
  <c r="BN330" i="51"/>
  <c r="BN322" i="51"/>
  <c r="BN321" i="51" s="1"/>
  <c r="BN320" i="51" s="1"/>
  <c r="BN319" i="51"/>
  <c r="BN318" i="51" s="1"/>
  <c r="BN315" i="51"/>
  <c r="BN316" i="51"/>
  <c r="BN317" i="51"/>
  <c r="BN310" i="51"/>
  <c r="BN311" i="51"/>
  <c r="BN312" i="51"/>
  <c r="BN308" i="51"/>
  <c r="BN307" i="51" s="1"/>
  <c r="BN306" i="51"/>
  <c r="BN305" i="51" s="1"/>
  <c r="BN297" i="51"/>
  <c r="BN298" i="51"/>
  <c r="BN299" i="51"/>
  <c r="BN300" i="51"/>
  <c r="BN294" i="51"/>
  <c r="BN292" i="51"/>
  <c r="BN291" i="51" s="1"/>
  <c r="BN290" i="51"/>
  <c r="BN289" i="51" s="1"/>
  <c r="BN287" i="51"/>
  <c r="BN288" i="51"/>
  <c r="BN284" i="51"/>
  <c r="BN285" i="51"/>
  <c r="BN281" i="51"/>
  <c r="BN280" i="51" s="1"/>
  <c r="BN277" i="51"/>
  <c r="BN278" i="51"/>
  <c r="BN279" i="51"/>
  <c r="BN273" i="51"/>
  <c r="BN274" i="51"/>
  <c r="BN275" i="51"/>
  <c r="BN271" i="51"/>
  <c r="BN270" i="51" s="1"/>
  <c r="BN268" i="51"/>
  <c r="BN267" i="51" s="1"/>
  <c r="BN265" i="51"/>
  <c r="BN266" i="51"/>
  <c r="BN261" i="51"/>
  <c r="BN259" i="51" s="1"/>
  <c r="BN258" i="51" s="1"/>
  <c r="BN256" i="51"/>
  <c r="BN255" i="51" s="1"/>
  <c r="BN253" i="51"/>
  <c r="BN254" i="51"/>
  <c r="BN249" i="51"/>
  <c r="BN250" i="51"/>
  <c r="BN251" i="51"/>
  <c r="BN247" i="51"/>
  <c r="BN246" i="51" s="1"/>
  <c r="BN244" i="51"/>
  <c r="BN240" i="51"/>
  <c r="BN239" i="51" s="1"/>
  <c r="BN238" i="51"/>
  <c r="BN236" i="51"/>
  <c r="BN235" i="51" s="1"/>
  <c r="BN231" i="51"/>
  <c r="BN232" i="51"/>
  <c r="BN233" i="51"/>
  <c r="BN228" i="51"/>
  <c r="BN229" i="51"/>
  <c r="BN223" i="51"/>
  <c r="BN224" i="51"/>
  <c r="BN225" i="51"/>
  <c r="BN226" i="51"/>
  <c r="BN219" i="51"/>
  <c r="BN220" i="51"/>
  <c r="BN221" i="51"/>
  <c r="BN216" i="51"/>
  <c r="BN217" i="51"/>
  <c r="BN213" i="51"/>
  <c r="BN214" i="51"/>
  <c r="BN207" i="51"/>
  <c r="BN208" i="51"/>
  <c r="BN209" i="51"/>
  <c r="BN210" i="51"/>
  <c r="BN211" i="51"/>
  <c r="BN203" i="51"/>
  <c r="BN204" i="51"/>
  <c r="BN205" i="51"/>
  <c r="BN199" i="51"/>
  <c r="BN200" i="51"/>
  <c r="BN201" i="51"/>
  <c r="BN194" i="51"/>
  <c r="BN195" i="51"/>
  <c r="BN196" i="51"/>
  <c r="BN197" i="51"/>
  <c r="BN191" i="51"/>
  <c r="BN192" i="51"/>
  <c r="BN186" i="51"/>
  <c r="BN187" i="51"/>
  <c r="BN188" i="51"/>
  <c r="BN180" i="51"/>
  <c r="BN181" i="51"/>
  <c r="BN182" i="51"/>
  <c r="BN183" i="51"/>
  <c r="BN184" i="51"/>
  <c r="BN176" i="51"/>
  <c r="BN177" i="51"/>
  <c r="BN174" i="51"/>
  <c r="BN171" i="51"/>
  <c r="BN170" i="51" s="1"/>
  <c r="BN169" i="51"/>
  <c r="BN168" i="51" s="1"/>
  <c r="BN165" i="51"/>
  <c r="BN166" i="51"/>
  <c r="BN167" i="51"/>
  <c r="BN161" i="51"/>
  <c r="BN162" i="51"/>
  <c r="BN159" i="51"/>
  <c r="BN158" i="51" s="1"/>
  <c r="BN157" i="51"/>
  <c r="BN156" i="51" s="1"/>
  <c r="BN154" i="51"/>
  <c r="BN155" i="51"/>
  <c r="BN147" i="51"/>
  <c r="BN148" i="51"/>
  <c r="BN149" i="51"/>
  <c r="BN150" i="51"/>
  <c r="BN151" i="51"/>
  <c r="BN141" i="51"/>
  <c r="BN142" i="51"/>
  <c r="BN143" i="51"/>
  <c r="BN144" i="51"/>
  <c r="BN145" i="51"/>
  <c r="BN138" i="51"/>
  <c r="BN137" i="51" s="1"/>
  <c r="BN133" i="51"/>
  <c r="BN134" i="51"/>
  <c r="BN135" i="51"/>
  <c r="BN136" i="51"/>
  <c r="BN122" i="51"/>
  <c r="BN123" i="51"/>
  <c r="BN124" i="51"/>
  <c r="BN125" i="51"/>
  <c r="BN126" i="51"/>
  <c r="BN127" i="51"/>
  <c r="BN128" i="51"/>
  <c r="BN129" i="51"/>
  <c r="BN130" i="51"/>
  <c r="BN131" i="51"/>
  <c r="BN114" i="51"/>
  <c r="BN112" i="51" s="1"/>
  <c r="BN110" i="51"/>
  <c r="BN109" i="51" s="1"/>
  <c r="BN103" i="51"/>
  <c r="BN105" i="51"/>
  <c r="BN106" i="51"/>
  <c r="BN107" i="51"/>
  <c r="BN108" i="51"/>
  <c r="BN88" i="51"/>
  <c r="BN89" i="51"/>
  <c r="BN90" i="51"/>
  <c r="BN92" i="51"/>
  <c r="BN93" i="51"/>
  <c r="BN95" i="51"/>
  <c r="BN84" i="51"/>
  <c r="BN85" i="51"/>
  <c r="BN86" i="51"/>
  <c r="BN81" i="51"/>
  <c r="BN80" i="51" s="1"/>
  <c r="BN79" i="51"/>
  <c r="BN78" i="51" s="1"/>
  <c r="BN76" i="51"/>
  <c r="BN77" i="51"/>
  <c r="BN71" i="51"/>
  <c r="BN72" i="51"/>
  <c r="BN73" i="51"/>
  <c r="BN66" i="51"/>
  <c r="BN67" i="51"/>
  <c r="BN68" i="51"/>
  <c r="BN69" i="51"/>
  <c r="BN60" i="51"/>
  <c r="BN61" i="51"/>
  <c r="BN62" i="51"/>
  <c r="BN63" i="51"/>
  <c r="BN64" i="51"/>
  <c r="BN56" i="51"/>
  <c r="BN57" i="51"/>
  <c r="BN58" i="51"/>
  <c r="BN51" i="51"/>
  <c r="BN52" i="51"/>
  <c r="BN53" i="51"/>
  <c r="BN54" i="51"/>
  <c r="BN29" i="51"/>
  <c r="BN30" i="51"/>
  <c r="BN31" i="51"/>
  <c r="BN32" i="51"/>
  <c r="BN33" i="51"/>
  <c r="BN34" i="51"/>
  <c r="BN35" i="51"/>
  <c r="BN21" i="51"/>
  <c r="BN23" i="51"/>
  <c r="BN24" i="51"/>
  <c r="BN25" i="51"/>
  <c r="BN26" i="51"/>
  <c r="BN27" i="51"/>
  <c r="BN14" i="51"/>
  <c r="BN15" i="51"/>
  <c r="BN16" i="51"/>
  <c r="BN17" i="51"/>
  <c r="BN18" i="51"/>
  <c r="BN19" i="51"/>
  <c r="BN39" i="51"/>
  <c r="BN40" i="51"/>
  <c r="BN41" i="51"/>
  <c r="BN42" i="51"/>
  <c r="BN44" i="51"/>
  <c r="BN45" i="51"/>
  <c r="BN46" i="51"/>
  <c r="BN47" i="51"/>
  <c r="BN48" i="51"/>
  <c r="BN49" i="51"/>
  <c r="BN383" i="51"/>
  <c r="BN382" i="51" s="1"/>
  <c r="BD84" i="51"/>
  <c r="BD85" i="51"/>
  <c r="BD86" i="51"/>
  <c r="AV88" i="51"/>
  <c r="BD88" i="51" s="1"/>
  <c r="BD89" i="51"/>
  <c r="AV90" i="51"/>
  <c r="BD90" i="51" s="1"/>
  <c r="BD91" i="51"/>
  <c r="BD92" i="51"/>
  <c r="BD93" i="51"/>
  <c r="AV94" i="51"/>
  <c r="BD94" i="51" s="1"/>
  <c r="BD95" i="51"/>
  <c r="AV99" i="51"/>
  <c r="BD99" i="51" s="1"/>
  <c r="AV100" i="51"/>
  <c r="BD100" i="51" s="1"/>
  <c r="AV101" i="51"/>
  <c r="BD101" i="51" s="1"/>
  <c r="BD103" i="51"/>
  <c r="BD104" i="51"/>
  <c r="BD105" i="51"/>
  <c r="BD106" i="51"/>
  <c r="BD107" i="51"/>
  <c r="BD108" i="51"/>
  <c r="BD110" i="51"/>
  <c r="BD109" i="51" s="1"/>
  <c r="BD114" i="51"/>
  <c r="BD112" i="51" s="1"/>
  <c r="BD123" i="51"/>
  <c r="BD124" i="51"/>
  <c r="BD125" i="51"/>
  <c r="BD126" i="51"/>
  <c r="BD127" i="51"/>
  <c r="BD128" i="51"/>
  <c r="BC129" i="51"/>
  <c r="BD129" i="51" s="1"/>
  <c r="BD130" i="51"/>
  <c r="BD131" i="51"/>
  <c r="BD133" i="51"/>
  <c r="BD134" i="51"/>
  <c r="AW135" i="51"/>
  <c r="BD135" i="51" s="1"/>
  <c r="BD136" i="51"/>
  <c r="BD138" i="51"/>
  <c r="BD137" i="51" s="1"/>
  <c r="BD141" i="51"/>
  <c r="BD142" i="51"/>
  <c r="BD143" i="51"/>
  <c r="BD144" i="51"/>
  <c r="BD145" i="51"/>
  <c r="BD147" i="51"/>
  <c r="BD148" i="51"/>
  <c r="BD149" i="51"/>
  <c r="BD150" i="51"/>
  <c r="BD151" i="51"/>
  <c r="BD154" i="51"/>
  <c r="BD155" i="51"/>
  <c r="BD157" i="51"/>
  <c r="BD156" i="51" s="1"/>
  <c r="BD159" i="51"/>
  <c r="BD158" i="51" s="1"/>
  <c r="BD161" i="51"/>
  <c r="BD162" i="51"/>
  <c r="BD165" i="51"/>
  <c r="BD166" i="51"/>
  <c r="BD167" i="51"/>
  <c r="BD169" i="51"/>
  <c r="BD168" i="51" s="1"/>
  <c r="BD171" i="51"/>
  <c r="BD170" i="51" s="1"/>
  <c r="BD174" i="51"/>
  <c r="BD173" i="51" s="1"/>
  <c r="BD176" i="51"/>
  <c r="BD177" i="51"/>
  <c r="BD180" i="51"/>
  <c r="BD181" i="51"/>
  <c r="BD182" i="51"/>
  <c r="BD183" i="51"/>
  <c r="BD184" i="51"/>
  <c r="BD186" i="51"/>
  <c r="BD187" i="51"/>
  <c r="BD188" i="51"/>
  <c r="BD191" i="51"/>
  <c r="BD192" i="51"/>
  <c r="BD194" i="51"/>
  <c r="BD195" i="51"/>
  <c r="BD196" i="51"/>
  <c r="BD197" i="51"/>
  <c r="BD199" i="51"/>
  <c r="BD200" i="51"/>
  <c r="BD201" i="51"/>
  <c r="BD203" i="51"/>
  <c r="BD204" i="51"/>
  <c r="BD205" i="51"/>
  <c r="BD207" i="51"/>
  <c r="BD208" i="51"/>
  <c r="BD209" i="51"/>
  <c r="BD210" i="51"/>
  <c r="BD211" i="51"/>
  <c r="BD213" i="51"/>
  <c r="BD214" i="51"/>
  <c r="BD216" i="51"/>
  <c r="BD217" i="51"/>
  <c r="BD219" i="51"/>
  <c r="BD220" i="51"/>
  <c r="BD221" i="51"/>
  <c r="BD223" i="51"/>
  <c r="BD224" i="51"/>
  <c r="BD225" i="51"/>
  <c r="BD226" i="51"/>
  <c r="BD228" i="51"/>
  <c r="BD229" i="51"/>
  <c r="BD231" i="51"/>
  <c r="BD232" i="51"/>
  <c r="BD233" i="51"/>
  <c r="BD236" i="51"/>
  <c r="BD238" i="51"/>
  <c r="BD237" i="51" s="1"/>
  <c r="BD240" i="51"/>
  <c r="BD244" i="51"/>
  <c r="BD242" i="51" s="1"/>
  <c r="BD247" i="51"/>
  <c r="BD246" i="51" s="1"/>
  <c r="BD249" i="51"/>
  <c r="BD250" i="51"/>
  <c r="BD251" i="51"/>
  <c r="BD253" i="51"/>
  <c r="BD254" i="51"/>
  <c r="BD256" i="51"/>
  <c r="BD260" i="51"/>
  <c r="BD261" i="51"/>
  <c r="BD262" i="51"/>
  <c r="BD265" i="51"/>
  <c r="BD266" i="51"/>
  <c r="BD268" i="51"/>
  <c r="BD267" i="51" s="1"/>
  <c r="BD271" i="51"/>
  <c r="BD270" i="51" s="1"/>
  <c r="BD273" i="51"/>
  <c r="BD274" i="51"/>
  <c r="BD275" i="51"/>
  <c r="BD277" i="51"/>
  <c r="BD278" i="51"/>
  <c r="BD279" i="51"/>
  <c r="BD281" i="51"/>
  <c r="BD280" i="51" s="1"/>
  <c r="BD284" i="51"/>
  <c r="BD285" i="51"/>
  <c r="BD287" i="51"/>
  <c r="BD288" i="51"/>
  <c r="BD290" i="51"/>
  <c r="BD289" i="51" s="1"/>
  <c r="BD292" i="51"/>
  <c r="BD294" i="51"/>
  <c r="BD293" i="51" s="1"/>
  <c r="BD297" i="51"/>
  <c r="BD298" i="51"/>
  <c r="AV299" i="51"/>
  <c r="BD299" i="51" s="1"/>
  <c r="AV300" i="51"/>
  <c r="BD300" i="51" s="1"/>
  <c r="BD303" i="51"/>
  <c r="BD304" i="51"/>
  <c r="BD306" i="51"/>
  <c r="BD305" i="51" s="1"/>
  <c r="BD308" i="51"/>
  <c r="BD307" i="51" s="1"/>
  <c r="BD310" i="51"/>
  <c r="BD311" i="51"/>
  <c r="BD312" i="51"/>
  <c r="BD315" i="51"/>
  <c r="BD316" i="51"/>
  <c r="BD317" i="51"/>
  <c r="BD319" i="51"/>
  <c r="BD318" i="51" s="1"/>
  <c r="BD322" i="51"/>
  <c r="BD321" i="51" s="1"/>
  <c r="BD320" i="51" s="1"/>
  <c r="AV326" i="51"/>
  <c r="BD326" i="51" s="1"/>
  <c r="BD327" i="51"/>
  <c r="BD328" i="51"/>
  <c r="BD329" i="51"/>
  <c r="AV330" i="51"/>
  <c r="BD330" i="51" s="1"/>
  <c r="BD332" i="51"/>
  <c r="BD333" i="51"/>
  <c r="AV334" i="51"/>
  <c r="BD334" i="51" s="1"/>
  <c r="BD335" i="51"/>
  <c r="BD337" i="51"/>
  <c r="BD338" i="51"/>
  <c r="BD339" i="51"/>
  <c r="AU422" i="51"/>
  <c r="AW353" i="51"/>
  <c r="BD353" i="51" s="1"/>
  <c r="AW370" i="51"/>
  <c r="BD370" i="51" s="1"/>
  <c r="AW410" i="51"/>
  <c r="BD410" i="51" s="1"/>
  <c r="AY422" i="51"/>
  <c r="AZ22" i="51"/>
  <c r="AZ422" i="51" s="1"/>
  <c r="BA422" i="51"/>
  <c r="BB422" i="51"/>
  <c r="BD81" i="51"/>
  <c r="BD79" i="51"/>
  <c r="BD76" i="51"/>
  <c r="BD77" i="51"/>
  <c r="BD71" i="51"/>
  <c r="BD72" i="51"/>
  <c r="BD73" i="51"/>
  <c r="BD66" i="51"/>
  <c r="BD67" i="51"/>
  <c r="BD68" i="51"/>
  <c r="BD69" i="51"/>
  <c r="BD60" i="51"/>
  <c r="BD61" i="51"/>
  <c r="BD62" i="51"/>
  <c r="BD63" i="51"/>
  <c r="BD64" i="51"/>
  <c r="BD56" i="51"/>
  <c r="BD57" i="51"/>
  <c r="BD58" i="51"/>
  <c r="BD51" i="51"/>
  <c r="BD52" i="51"/>
  <c r="BD53" i="51"/>
  <c r="BD54" i="51"/>
  <c r="BD47" i="51"/>
  <c r="BD44" i="51"/>
  <c r="BD45" i="51"/>
  <c r="BD46" i="51"/>
  <c r="BD48" i="51"/>
  <c r="BD49" i="51"/>
  <c r="BD39" i="51"/>
  <c r="BD40" i="51"/>
  <c r="BD41" i="51"/>
  <c r="BD42" i="51"/>
  <c r="BD29" i="51"/>
  <c r="BD30" i="51"/>
  <c r="BD31" i="51"/>
  <c r="BD32" i="51"/>
  <c r="BD33" i="51"/>
  <c r="BD34" i="51"/>
  <c r="BD35" i="51"/>
  <c r="BD21" i="51"/>
  <c r="BD23" i="51"/>
  <c r="BD24" i="51"/>
  <c r="BD25" i="51"/>
  <c r="BD26" i="51"/>
  <c r="BD27" i="51"/>
  <c r="BD14" i="51"/>
  <c r="BD15" i="51"/>
  <c r="BD16" i="51"/>
  <c r="BD17" i="51"/>
  <c r="BD18" i="51"/>
  <c r="BD19" i="51"/>
  <c r="BD342" i="51"/>
  <c r="BD343" i="51"/>
  <c r="BD344" i="51"/>
  <c r="BD345" i="51"/>
  <c r="BD346" i="51"/>
  <c r="BD348" i="51"/>
  <c r="BD349" i="51"/>
  <c r="BD350" i="51"/>
  <c r="BD352" i="51"/>
  <c r="BD356" i="51"/>
  <c r="BD357" i="51"/>
  <c r="BD358" i="51"/>
  <c r="BD359" i="51"/>
  <c r="BD360" i="51"/>
  <c r="BD362" i="51"/>
  <c r="BD363" i="51"/>
  <c r="BD367" i="51"/>
  <c r="BD368" i="51"/>
  <c r="BD369" i="51"/>
  <c r="BD372" i="51"/>
  <c r="BD373" i="51"/>
  <c r="BD421" i="51"/>
  <c r="BD412" i="51"/>
  <c r="BD413" i="51"/>
  <c r="BD414" i="51"/>
  <c r="BD415" i="51"/>
  <c r="BD416" i="51"/>
  <c r="BD417" i="51"/>
  <c r="BD418" i="51"/>
  <c r="BD419" i="51"/>
  <c r="BD420" i="51"/>
  <c r="BD386" i="51"/>
  <c r="BD387" i="51"/>
  <c r="BD388" i="51"/>
  <c r="BD389" i="51"/>
  <c r="BD390" i="51"/>
  <c r="BD391" i="51"/>
  <c r="BD392" i="51"/>
  <c r="BD393" i="51"/>
  <c r="BD394" i="51"/>
  <c r="BD395" i="51"/>
  <c r="BD396" i="51"/>
  <c r="BD397" i="51"/>
  <c r="BD398" i="51"/>
  <c r="BD399" i="51"/>
  <c r="BD400" i="51"/>
  <c r="BD401" i="51"/>
  <c r="BD402" i="51"/>
  <c r="BD403" i="51"/>
  <c r="BD404" i="51"/>
  <c r="BD406" i="51"/>
  <c r="BD407" i="51"/>
  <c r="BD408" i="51"/>
  <c r="BD409" i="51"/>
  <c r="BD376" i="51"/>
  <c r="BD377" i="51"/>
  <c r="BD378" i="51"/>
  <c r="BD379" i="51"/>
  <c r="BD380" i="51"/>
  <c r="BD381" i="51"/>
  <c r="BD383" i="51"/>
  <c r="R184" i="51"/>
  <c r="AJ423" i="51"/>
  <c r="AJ281" i="51" l="1"/>
  <c r="AJ99" i="51"/>
  <c r="AJ98" i="51" s="1"/>
  <c r="AJ278" i="51"/>
  <c r="BO278" i="51" s="1"/>
  <c r="AJ225" i="51"/>
  <c r="AJ201" i="51"/>
  <c r="AJ198" i="51" s="1"/>
  <c r="X199" i="51" s="1"/>
  <c r="BN304" i="51"/>
  <c r="AJ209" i="51"/>
  <c r="BO209" i="51" s="1"/>
  <c r="BN94" i="51"/>
  <c r="BN87" i="51" s="1"/>
  <c r="AT165" i="51"/>
  <c r="AJ244" i="51"/>
  <c r="BO244" i="51" s="1"/>
  <c r="AJ367" i="51"/>
  <c r="BO367" i="51" s="1"/>
  <c r="BN303" i="51"/>
  <c r="AC351" i="51"/>
  <c r="AC340" i="51" s="1"/>
  <c r="X236" i="51"/>
  <c r="AT303" i="51"/>
  <c r="AJ51" i="51"/>
  <c r="BO51" i="51" s="1"/>
  <c r="X81" i="51"/>
  <c r="AJ165" i="51"/>
  <c r="AC28" i="51"/>
  <c r="AC12" i="51" s="1"/>
  <c r="AC11" i="51" s="1"/>
  <c r="AL87" i="51"/>
  <c r="AL82" i="51" s="1"/>
  <c r="AL331" i="51"/>
  <c r="AL324" i="51" s="1"/>
  <c r="AJ292" i="51"/>
  <c r="AJ291" i="51" s="1"/>
  <c r="AJ256" i="51"/>
  <c r="BO256" i="51" s="1"/>
  <c r="AB83" i="51"/>
  <c r="BE422" i="51"/>
  <c r="AJ216" i="51"/>
  <c r="BO216" i="51" s="1"/>
  <c r="AT161" i="51"/>
  <c r="BO161" i="51" s="1"/>
  <c r="AM302" i="51"/>
  <c r="AM301" i="51" s="1"/>
  <c r="AJ273" i="51"/>
  <c r="BO273" i="51" s="1"/>
  <c r="AC302" i="51"/>
  <c r="AC301" i="51" s="1"/>
  <c r="AP20" i="51"/>
  <c r="AP12" i="51" s="1"/>
  <c r="AP11" i="51" s="1"/>
  <c r="AL296" i="51"/>
  <c r="AL295" i="51" s="1"/>
  <c r="BO208" i="51"/>
  <c r="AJ203" i="51"/>
  <c r="BO203" i="51" s="1"/>
  <c r="AB87" i="51"/>
  <c r="AT304" i="51"/>
  <c r="X157" i="51"/>
  <c r="BD22" i="51"/>
  <c r="BD20" i="51" s="1"/>
  <c r="BF422" i="51"/>
  <c r="AJ350" i="51"/>
  <c r="AJ347" i="51" s="1"/>
  <c r="AJ383" i="51"/>
  <c r="AJ382" i="51" s="1"/>
  <c r="AC355" i="51"/>
  <c r="AC354" i="51" s="1"/>
  <c r="X171" i="51"/>
  <c r="BN104" i="51"/>
  <c r="BO104" i="51" s="1"/>
  <c r="BO210" i="51"/>
  <c r="AJ168" i="51"/>
  <c r="X169" i="51" s="1"/>
  <c r="BO169" i="51"/>
  <c r="BO168" i="51" s="1"/>
  <c r="AJ137" i="51"/>
  <c r="X138" i="51" s="1"/>
  <c r="BO138" i="51"/>
  <c r="BO137" i="51" s="1"/>
  <c r="X290" i="51"/>
  <c r="AW422" i="51"/>
  <c r="AV422" i="51"/>
  <c r="BN22" i="51"/>
  <c r="BN20" i="51" s="1"/>
  <c r="BG422" i="51"/>
  <c r="AT135" i="51"/>
  <c r="AT132" i="51" s="1"/>
  <c r="BO117" i="51"/>
  <c r="BO113" i="51"/>
  <c r="AL302" i="51"/>
  <c r="AL301" i="51" s="1"/>
  <c r="AJ16" i="51"/>
  <c r="AJ13" i="51" s="1"/>
  <c r="BO363" i="51"/>
  <c r="AJ326" i="51"/>
  <c r="BO326" i="51" s="1"/>
  <c r="AC296" i="51"/>
  <c r="AC295" i="51" s="1"/>
  <c r="BO362" i="51"/>
  <c r="X174" i="51"/>
  <c r="BC422" i="51"/>
  <c r="BN351" i="51"/>
  <c r="AJ288" i="51"/>
  <c r="AJ286" i="51" s="1"/>
  <c r="X287" i="51" s="1"/>
  <c r="BO211" i="51"/>
  <c r="BO207" i="51"/>
  <c r="AJ109" i="51"/>
  <c r="X110" i="51" s="1"/>
  <c r="BO110" i="51"/>
  <c r="BO109" i="51" s="1"/>
  <c r="AJ420" i="51"/>
  <c r="AJ411" i="51" s="1"/>
  <c r="X238" i="51"/>
  <c r="BO243" i="51"/>
  <c r="BO257" i="51"/>
  <c r="BO245" i="51"/>
  <c r="AG234" i="51"/>
  <c r="AG374" i="51"/>
  <c r="AC97" i="51"/>
  <c r="AC365" i="51"/>
  <c r="AN74" i="51"/>
  <c r="AI374" i="51"/>
  <c r="AH313" i="51"/>
  <c r="BO143" i="51"/>
  <c r="X79" i="51"/>
  <c r="BO120" i="51"/>
  <c r="BO116" i="51"/>
  <c r="X247" i="51"/>
  <c r="X322" i="51"/>
  <c r="X294" i="51"/>
  <c r="AN37" i="51"/>
  <c r="X308" i="51"/>
  <c r="BD160" i="51"/>
  <c r="AQ354" i="51"/>
  <c r="AH178" i="51"/>
  <c r="BO328" i="51"/>
  <c r="BO298" i="51"/>
  <c r="BN190" i="51"/>
  <c r="BO279" i="51"/>
  <c r="BO86" i="51"/>
  <c r="AT264" i="51"/>
  <c r="AT263" i="51" s="1"/>
  <c r="AS374" i="51"/>
  <c r="AR263" i="51"/>
  <c r="AQ82" i="51"/>
  <c r="AO374" i="51"/>
  <c r="BO266" i="51"/>
  <c r="AB313" i="51"/>
  <c r="BO339" i="51"/>
  <c r="AD263" i="51"/>
  <c r="AA263" i="51"/>
  <c r="BO408" i="51"/>
  <c r="BO403" i="51"/>
  <c r="BO391" i="51"/>
  <c r="BO387" i="51"/>
  <c r="BO360" i="51"/>
  <c r="BO356" i="51"/>
  <c r="BO311" i="51"/>
  <c r="BN160" i="51"/>
  <c r="BN371" i="51"/>
  <c r="BO378" i="51"/>
  <c r="BO404" i="51"/>
  <c r="BO400" i="51"/>
  <c r="BO396" i="51"/>
  <c r="BO392" i="51"/>
  <c r="BO388" i="51"/>
  <c r="BO421" i="51"/>
  <c r="BO369" i="51"/>
  <c r="BO345" i="51"/>
  <c r="BO329" i="51"/>
  <c r="BD302" i="51"/>
  <c r="BD264" i="51"/>
  <c r="BD263" i="51" s="1"/>
  <c r="BN75" i="51"/>
  <c r="BN74" i="51" s="1"/>
  <c r="BN286" i="51"/>
  <c r="BO317" i="51"/>
  <c r="BO274" i="51"/>
  <c r="AQ324" i="51"/>
  <c r="AO263" i="51"/>
  <c r="AO172" i="51"/>
  <c r="AN82" i="51"/>
  <c r="AK313" i="51"/>
  <c r="AH139" i="51"/>
  <c r="AH374" i="51"/>
  <c r="AF82" i="51"/>
  <c r="BO299" i="51"/>
  <c r="BO167" i="51"/>
  <c r="BO380" i="51"/>
  <c r="BO417" i="51"/>
  <c r="BO413" i="51"/>
  <c r="BO35" i="51"/>
  <c r="BO31" i="51"/>
  <c r="BO41" i="51"/>
  <c r="BO64" i="51"/>
  <c r="BO66" i="51"/>
  <c r="BO148" i="51"/>
  <c r="AT283" i="51"/>
  <c r="AT255" i="51"/>
  <c r="BO119" i="51"/>
  <c r="BO115" i="51"/>
  <c r="X306" i="51"/>
  <c r="BO370" i="51"/>
  <c r="BO46" i="51"/>
  <c r="BO197" i="51"/>
  <c r="BO118" i="51"/>
  <c r="AE365" i="51"/>
  <c r="BD347" i="51"/>
  <c r="BO333" i="51"/>
  <c r="BO287" i="51"/>
  <c r="AH263" i="51"/>
  <c r="AG354" i="51"/>
  <c r="BO19" i="51"/>
  <c r="BO15" i="51"/>
  <c r="BO25" i="51"/>
  <c r="BO32" i="51"/>
  <c r="BO42" i="51"/>
  <c r="BO95" i="51"/>
  <c r="BO106" i="51"/>
  <c r="BO251" i="51"/>
  <c r="AM384" i="51"/>
  <c r="AL178" i="51"/>
  <c r="AL354" i="51"/>
  <c r="AK301" i="51"/>
  <c r="AJ75" i="51"/>
  <c r="X76" i="51" s="1"/>
  <c r="AJ153" i="51"/>
  <c r="AI354" i="51"/>
  <c r="BN361" i="51"/>
  <c r="BO315" i="51"/>
  <c r="BO277" i="51"/>
  <c r="BO262" i="51"/>
  <c r="BO229" i="51"/>
  <c r="AT215" i="51"/>
  <c r="BO332" i="51"/>
  <c r="BO327" i="51"/>
  <c r="BO415" i="51"/>
  <c r="AJ302" i="51"/>
  <c r="AJ361" i="51"/>
  <c r="AI82" i="51"/>
  <c r="AE139" i="51"/>
  <c r="AD313" i="51"/>
  <c r="AD178" i="51"/>
  <c r="AC82" i="51"/>
  <c r="AC234" i="51"/>
  <c r="AC178" i="51"/>
  <c r="AD365" i="51"/>
  <c r="BN164" i="51"/>
  <c r="BN163" i="51" s="1"/>
  <c r="AF12" i="51"/>
  <c r="AF11" i="51" s="1"/>
  <c r="AE163" i="51"/>
  <c r="AA12" i="51"/>
  <c r="AA11" i="51" s="1"/>
  <c r="BO18" i="51"/>
  <c r="BO24" i="51"/>
  <c r="BO48" i="51"/>
  <c r="BO337" i="51"/>
  <c r="BO285" i="51"/>
  <c r="BO250" i="51"/>
  <c r="BO226" i="51"/>
  <c r="BO184" i="51"/>
  <c r="BO180" i="51"/>
  <c r="BO89" i="51"/>
  <c r="AQ263" i="51"/>
  <c r="AN354" i="51"/>
  <c r="AN384" i="51"/>
  <c r="BO419" i="51"/>
  <c r="BN185" i="51"/>
  <c r="BO381" i="51"/>
  <c r="BO348" i="51"/>
  <c r="BO343" i="51"/>
  <c r="BN293" i="51"/>
  <c r="BO294" i="51"/>
  <c r="BO293" i="51" s="1"/>
  <c r="BN331" i="51"/>
  <c r="AT385" i="51"/>
  <c r="AS313" i="51"/>
  <c r="AS263" i="51"/>
  <c r="BD405" i="51"/>
  <c r="BO416" i="51"/>
  <c r="BO372" i="51"/>
  <c r="BO368" i="51"/>
  <c r="BO128" i="51"/>
  <c r="BO124" i="51"/>
  <c r="BN50" i="51"/>
  <c r="BO200" i="51"/>
  <c r="BO219" i="51"/>
  <c r="BO224" i="51"/>
  <c r="BN252" i="51"/>
  <c r="BN264" i="51"/>
  <c r="BN263" i="51" s="1"/>
  <c r="AT361" i="51"/>
  <c r="AS178" i="51"/>
  <c r="AR313" i="51"/>
  <c r="AQ178" i="51"/>
  <c r="AQ365" i="51"/>
  <c r="AN313" i="51"/>
  <c r="AN263" i="51"/>
  <c r="AM12" i="51"/>
  <c r="AM11" i="51" s="1"/>
  <c r="AM82" i="51"/>
  <c r="AL313" i="51"/>
  <c r="AL263" i="51"/>
  <c r="AL172" i="51"/>
  <c r="AK384" i="51"/>
  <c r="BO376" i="51"/>
  <c r="BO402" i="51"/>
  <c r="BO398" i="51"/>
  <c r="BO394" i="51"/>
  <c r="BO390" i="51"/>
  <c r="BO386" i="51"/>
  <c r="BO54" i="51"/>
  <c r="BO58" i="51"/>
  <c r="BO63" i="51"/>
  <c r="BO69" i="51"/>
  <c r="BO73" i="51"/>
  <c r="BO84" i="51"/>
  <c r="AT227" i="51"/>
  <c r="AT355" i="51"/>
  <c r="AT351" i="51"/>
  <c r="AS269" i="51"/>
  <c r="AS97" i="51"/>
  <c r="AS324" i="51"/>
  <c r="AP82" i="51"/>
  <c r="AP384" i="51"/>
  <c r="AM269" i="51"/>
  <c r="AM374" i="51"/>
  <c r="AK263" i="51"/>
  <c r="AJ185" i="51"/>
  <c r="AJ132" i="51"/>
  <c r="AH354" i="51"/>
  <c r="AF263" i="51"/>
  <c r="AD163" i="51"/>
  <c r="AC139" i="51"/>
  <c r="AB111" i="51"/>
  <c r="AJ314" i="51"/>
  <c r="X315" i="51" s="1"/>
  <c r="AJ296" i="51"/>
  <c r="AJ295" i="51" s="1"/>
  <c r="AJ252" i="51"/>
  <c r="AJ179" i="51"/>
  <c r="AI12" i="51"/>
  <c r="AI11" i="51" s="1"/>
  <c r="AI313" i="51"/>
  <c r="AI263" i="51"/>
  <c r="AH269" i="51"/>
  <c r="AH365" i="51"/>
  <c r="AG178" i="51"/>
  <c r="AF139" i="51"/>
  <c r="AF374" i="51"/>
  <c r="AE263" i="51"/>
  <c r="AE172" i="51"/>
  <c r="AD111" i="51"/>
  <c r="AC282" i="51"/>
  <c r="AC384" i="51"/>
  <c r="AJ70" i="51"/>
  <c r="X73" i="51" s="1"/>
  <c r="AJ371" i="51"/>
  <c r="AI269" i="51"/>
  <c r="AI172" i="51"/>
  <c r="AI97" i="51"/>
  <c r="AI324" i="51"/>
  <c r="AI365" i="51"/>
  <c r="AD152" i="51"/>
  <c r="AD139" i="51"/>
  <c r="AL37" i="51"/>
  <c r="BO47" i="51"/>
  <c r="BO308" i="51"/>
  <c r="BO307" i="51" s="1"/>
  <c r="BO265" i="51"/>
  <c r="BO247" i="51"/>
  <c r="BO246" i="51" s="1"/>
  <c r="BO335" i="51"/>
  <c r="BO300" i="51"/>
  <c r="BD218" i="51"/>
  <c r="BD164" i="51"/>
  <c r="BD163" i="51" s="1"/>
  <c r="BO127" i="51"/>
  <c r="BO123" i="51"/>
  <c r="BO108" i="51"/>
  <c r="BO100" i="51"/>
  <c r="BO92" i="51"/>
  <c r="BO107" i="51"/>
  <c r="BO133" i="51"/>
  <c r="BN215" i="51"/>
  <c r="BN366" i="51"/>
  <c r="AT55" i="51"/>
  <c r="BO213" i="51"/>
  <c r="AT190" i="51"/>
  <c r="BO129" i="51"/>
  <c r="BO125" i="51"/>
  <c r="AS152" i="51"/>
  <c r="AS340" i="51"/>
  <c r="AR82" i="51"/>
  <c r="AP172" i="51"/>
  <c r="AP97" i="51"/>
  <c r="AP324" i="51"/>
  <c r="AM163" i="51"/>
  <c r="AL74" i="51"/>
  <c r="BO418" i="51"/>
  <c r="BO358" i="51"/>
  <c r="BO352" i="51"/>
  <c r="BO346" i="51"/>
  <c r="BO342" i="51"/>
  <c r="BO253" i="51"/>
  <c r="BN218" i="51"/>
  <c r="BO90" i="51"/>
  <c r="BO379" i="51"/>
  <c r="BO414" i="51"/>
  <c r="BD351" i="51"/>
  <c r="BO79" i="51"/>
  <c r="BO78" i="51" s="1"/>
  <c r="BO271" i="51"/>
  <c r="BO270" i="51" s="1"/>
  <c r="BO157" i="51"/>
  <c r="BO156" i="51" s="1"/>
  <c r="BD202" i="51"/>
  <c r="BO181" i="51"/>
  <c r="BO101" i="51"/>
  <c r="BN65" i="51"/>
  <c r="BO93" i="51"/>
  <c r="BN98" i="51"/>
  <c r="BN212" i="51"/>
  <c r="BO312" i="51"/>
  <c r="AT242" i="51"/>
  <c r="AT230" i="51"/>
  <c r="AR234" i="51"/>
  <c r="AR374" i="51"/>
  <c r="AQ374" i="51"/>
  <c r="AO139" i="51"/>
  <c r="AN139" i="51"/>
  <c r="AF37" i="51"/>
  <c r="AJ264" i="51"/>
  <c r="AJ263" i="51" s="1"/>
  <c r="AJ190" i="51"/>
  <c r="AJ112" i="51"/>
  <c r="X114" i="51" s="1"/>
  <c r="AI178" i="51"/>
  <c r="AI139" i="51"/>
  <c r="AI340" i="51"/>
  <c r="AH82" i="51"/>
  <c r="AH189" i="51"/>
  <c r="AE111" i="51"/>
  <c r="AD172" i="51"/>
  <c r="AC74" i="51"/>
  <c r="BN375" i="51"/>
  <c r="BN374" i="51" s="1"/>
  <c r="AT38" i="51"/>
  <c r="BO261" i="51"/>
  <c r="AT252" i="51"/>
  <c r="AT198" i="51"/>
  <c r="AT193" i="51"/>
  <c r="BO162" i="51"/>
  <c r="BO155" i="51"/>
  <c r="AS189" i="51"/>
  <c r="AS354" i="51"/>
  <c r="AR178" i="51"/>
  <c r="AQ139" i="51"/>
  <c r="AP178" i="51"/>
  <c r="AP139" i="51"/>
  <c r="AO313" i="51"/>
  <c r="AO178" i="51"/>
  <c r="AO354" i="51"/>
  <c r="AO324" i="51"/>
  <c r="AO365" i="51"/>
  <c r="AM74" i="51"/>
  <c r="AM172" i="51"/>
  <c r="AM354" i="51"/>
  <c r="AM365" i="51"/>
  <c r="AL189" i="51"/>
  <c r="AL374" i="51"/>
  <c r="AK74" i="51"/>
  <c r="AJ65" i="51"/>
  <c r="AJ59" i="51"/>
  <c r="AJ309" i="51"/>
  <c r="AG269" i="51"/>
  <c r="AG189" i="51"/>
  <c r="AF234" i="51"/>
  <c r="AF340" i="51"/>
  <c r="AE282" i="51"/>
  <c r="AE152" i="51"/>
  <c r="BO310" i="51"/>
  <c r="AT234" i="51"/>
  <c r="AT336" i="51"/>
  <c r="AS234" i="51"/>
  <c r="AS384" i="51"/>
  <c r="AS365" i="51"/>
  <c r="AR324" i="51"/>
  <c r="AQ152" i="51"/>
  <c r="AQ97" i="51"/>
  <c r="AQ384" i="51"/>
  <c r="AP301" i="51"/>
  <c r="AO12" i="51"/>
  <c r="AO11" i="51" s="1"/>
  <c r="AO301" i="51"/>
  <c r="AO340" i="51"/>
  <c r="AM234" i="51"/>
  <c r="AL234" i="51"/>
  <c r="AL365" i="51"/>
  <c r="AK12" i="51"/>
  <c r="AK11" i="51" s="1"/>
  <c r="AK234" i="51"/>
  <c r="AK163" i="51"/>
  <c r="AK97" i="51"/>
  <c r="BO275" i="51"/>
  <c r="BO225" i="51"/>
  <c r="BO204" i="51"/>
  <c r="AH340" i="51"/>
  <c r="AB354" i="51"/>
  <c r="AA313" i="51"/>
  <c r="AD340" i="51"/>
  <c r="AD374" i="51"/>
  <c r="AC313" i="51"/>
  <c r="AB263" i="51"/>
  <c r="AB163" i="51"/>
  <c r="AB152" i="51"/>
  <c r="AB324" i="51"/>
  <c r="AB384" i="51"/>
  <c r="AB365" i="51"/>
  <c r="AA139" i="51"/>
  <c r="AA374" i="51"/>
  <c r="AJ164" i="51"/>
  <c r="AJ355" i="51"/>
  <c r="AI384" i="51"/>
  <c r="AH234" i="51"/>
  <c r="AH172" i="51"/>
  <c r="AH97" i="51"/>
  <c r="AG12" i="51"/>
  <c r="AG11" i="51" s="1"/>
  <c r="AG313" i="51"/>
  <c r="AG263" i="51"/>
  <c r="AG384" i="51"/>
  <c r="AF74" i="51"/>
  <c r="AF172" i="51"/>
  <c r="AE82" i="51"/>
  <c r="AE178" i="51"/>
  <c r="AE340" i="51"/>
  <c r="AE374" i="51"/>
  <c r="AD301" i="51"/>
  <c r="AB269" i="51"/>
  <c r="AB172" i="51"/>
  <c r="AB340" i="51"/>
  <c r="AA178" i="51"/>
  <c r="AA152" i="51"/>
  <c r="AA354" i="51"/>
  <c r="BO77" i="51"/>
  <c r="BD75" i="51"/>
  <c r="BD248" i="51"/>
  <c r="BO249" i="51"/>
  <c r="BD102" i="51"/>
  <c r="BN121" i="51"/>
  <c r="BN230" i="51"/>
  <c r="BO233" i="51"/>
  <c r="AT276" i="51"/>
  <c r="AT202" i="51"/>
  <c r="AM218" i="51"/>
  <c r="AM189" i="51" s="1"/>
  <c r="AT220" i="51"/>
  <c r="AT218" i="51" s="1"/>
  <c r="AJ280" i="51"/>
  <c r="X281" i="51" s="1"/>
  <c r="BO281" i="51"/>
  <c r="BO280" i="51" s="1"/>
  <c r="AJ230" i="51"/>
  <c r="X231" i="51" s="1"/>
  <c r="BO231" i="51"/>
  <c r="BO199" i="51"/>
  <c r="AJ158" i="51"/>
  <c r="X159" i="51" s="1"/>
  <c r="BO159" i="51"/>
  <c r="BO158" i="51" s="1"/>
  <c r="BO151" i="51"/>
  <c r="X268" i="51"/>
  <c r="BD385" i="51"/>
  <c r="BD366" i="51"/>
  <c r="BO27" i="51"/>
  <c r="BO23" i="51"/>
  <c r="BO34" i="51"/>
  <c r="BO30" i="51"/>
  <c r="BO40" i="51"/>
  <c r="BO221" i="51"/>
  <c r="BD286" i="51"/>
  <c r="BO236" i="51"/>
  <c r="BO235" i="51" s="1"/>
  <c r="BD235" i="51"/>
  <c r="BN222" i="51"/>
  <c r="BO223" i="51"/>
  <c r="BO330" i="51"/>
  <c r="BD382" i="51"/>
  <c r="BD361" i="51"/>
  <c r="BD325" i="51"/>
  <c r="BO134" i="51"/>
  <c r="AR282" i="51"/>
  <c r="AM37" i="51"/>
  <c r="AK37" i="51"/>
  <c r="BD291" i="51"/>
  <c r="BD215" i="51"/>
  <c r="BO217" i="51"/>
  <c r="BN173" i="51"/>
  <c r="BO174" i="51"/>
  <c r="BO173" i="51" s="1"/>
  <c r="BO144" i="51"/>
  <c r="AN241" i="51"/>
  <c r="AN189" i="51"/>
  <c r="AM111" i="51"/>
  <c r="BO407" i="51"/>
  <c r="BO399" i="51"/>
  <c r="BO395" i="51"/>
  <c r="BO373" i="51"/>
  <c r="BO359" i="51"/>
  <c r="BO344" i="51"/>
  <c r="BO33" i="51"/>
  <c r="BO45" i="51"/>
  <c r="BO53" i="51"/>
  <c r="BO57" i="51"/>
  <c r="BO62" i="51"/>
  <c r="BO68" i="51"/>
  <c r="BO76" i="51"/>
  <c r="BD331" i="51"/>
  <c r="BD314" i="51"/>
  <c r="BD313" i="51" s="1"/>
  <c r="BD259" i="51"/>
  <c r="BD258" i="51" s="1"/>
  <c r="BO240" i="51"/>
  <c r="BO239" i="51" s="1"/>
  <c r="BD153" i="51"/>
  <c r="BO91" i="51"/>
  <c r="BN43" i="51"/>
  <c r="BN83" i="51"/>
  <c r="BO188" i="51"/>
  <c r="AT314" i="51"/>
  <c r="AT313" i="51" s="1"/>
  <c r="AT222" i="51"/>
  <c r="AT153" i="51"/>
  <c r="AT98" i="51"/>
  <c r="AS301" i="51"/>
  <c r="AR269" i="51"/>
  <c r="AR152" i="51"/>
  <c r="AQ340" i="51"/>
  <c r="AP313" i="51"/>
  <c r="AP263" i="51"/>
  <c r="AP365" i="51"/>
  <c r="AO111" i="51"/>
  <c r="AO384" i="51"/>
  <c r="AM178" i="51"/>
  <c r="AL111" i="51"/>
  <c r="AL384" i="51"/>
  <c r="AK241" i="51"/>
  <c r="AK189" i="51"/>
  <c r="AK354" i="51"/>
  <c r="BO49" i="51"/>
  <c r="BO52" i="51"/>
  <c r="BO61" i="51"/>
  <c r="BO71" i="51"/>
  <c r="BD272" i="51"/>
  <c r="BD212" i="51"/>
  <c r="BD198" i="51"/>
  <c r="BD175" i="51"/>
  <c r="BD172" i="51" s="1"/>
  <c r="BO147" i="51"/>
  <c r="BO131" i="51"/>
  <c r="BN13" i="51"/>
  <c r="AT259" i="51"/>
  <c r="AT258" i="51" s="1"/>
  <c r="AS139" i="51"/>
  <c r="AR12" i="51"/>
  <c r="AR11" i="51" s="1"/>
  <c r="AR384" i="51"/>
  <c r="AN269" i="51"/>
  <c r="BO357" i="51"/>
  <c r="BD309" i="51"/>
  <c r="BD252" i="51"/>
  <c r="BO105" i="51"/>
  <c r="BO401" i="51"/>
  <c r="BO397" i="51"/>
  <c r="BO393" i="51"/>
  <c r="BO389" i="51"/>
  <c r="AR189" i="51"/>
  <c r="AQ12" i="51"/>
  <c r="AQ11" i="51" s="1"/>
  <c r="AQ37" i="51"/>
  <c r="AP241" i="51"/>
  <c r="AP163" i="51"/>
  <c r="AN178" i="51"/>
  <c r="AN340" i="51"/>
  <c r="AN374" i="51"/>
  <c r="AM152" i="51"/>
  <c r="AK269" i="51"/>
  <c r="BO192" i="51"/>
  <c r="BN206" i="51"/>
  <c r="BN276" i="51"/>
  <c r="BN283" i="51"/>
  <c r="BO410" i="51"/>
  <c r="BO406" i="51"/>
  <c r="AT74" i="51"/>
  <c r="AT286" i="51"/>
  <c r="BO166" i="51"/>
  <c r="AT371" i="51"/>
  <c r="AS74" i="51"/>
  <c r="AR37" i="51"/>
  <c r="AR172" i="51"/>
  <c r="AR111" i="51"/>
  <c r="AQ74" i="51"/>
  <c r="AQ301" i="51"/>
  <c r="AQ163" i="51"/>
  <c r="AP74" i="51"/>
  <c r="AP111" i="51"/>
  <c r="AP340" i="51"/>
  <c r="AP374" i="51"/>
  <c r="AO82" i="51"/>
  <c r="AO269" i="51"/>
  <c r="AO189" i="51"/>
  <c r="AO163" i="51"/>
  <c r="AN12" i="51"/>
  <c r="AN11" i="51" s="1"/>
  <c r="AN301" i="51"/>
  <c r="AN234" i="51"/>
  <c r="AN163" i="51"/>
  <c r="AN97" i="51"/>
  <c r="AL12" i="51"/>
  <c r="AL11" i="51" s="1"/>
  <c r="AL282" i="51"/>
  <c r="AL152" i="51"/>
  <c r="AE241" i="51"/>
  <c r="AC37" i="51"/>
  <c r="BN146" i="51"/>
  <c r="BN153" i="51"/>
  <c r="BN227" i="51"/>
  <c r="BN272" i="51"/>
  <c r="BO26" i="51"/>
  <c r="BO17" i="51"/>
  <c r="AT83" i="51"/>
  <c r="AT50" i="51"/>
  <c r="AT296" i="51"/>
  <c r="AT295" i="51" s="1"/>
  <c r="AT212" i="51"/>
  <c r="BO145" i="51"/>
  <c r="BO130" i="51"/>
  <c r="BO126" i="51"/>
  <c r="AT102" i="51"/>
  <c r="AT347" i="51"/>
  <c r="AS172" i="51"/>
  <c r="AR74" i="51"/>
  <c r="AR354" i="51"/>
  <c r="AR365" i="51"/>
  <c r="AQ282" i="51"/>
  <c r="AQ269" i="51"/>
  <c r="AQ241" i="51"/>
  <c r="AQ234" i="51"/>
  <c r="AQ172" i="51"/>
  <c r="AP282" i="51"/>
  <c r="AP234" i="51"/>
  <c r="AP152" i="51"/>
  <c r="AP354" i="51"/>
  <c r="AO234" i="51"/>
  <c r="AO97" i="51"/>
  <c r="AM313" i="51"/>
  <c r="AM263" i="51"/>
  <c r="AM139" i="51"/>
  <c r="AM324" i="51"/>
  <c r="AL269" i="51"/>
  <c r="AK82" i="51"/>
  <c r="AK178" i="51"/>
  <c r="AK139" i="51"/>
  <c r="AK340" i="51"/>
  <c r="AK374" i="51"/>
  <c r="AJ43" i="51"/>
  <c r="AJ38" i="51"/>
  <c r="X39" i="51" s="1"/>
  <c r="AJ218" i="51"/>
  <c r="AJ405" i="51"/>
  <c r="AI301" i="51"/>
  <c r="AH324" i="51"/>
  <c r="AC172" i="51"/>
  <c r="AJ248" i="51"/>
  <c r="AJ102" i="51"/>
  <c r="AA37" i="51"/>
  <c r="AJ212" i="51"/>
  <c r="X213" i="51" s="1"/>
  <c r="AJ160" i="51"/>
  <c r="AJ331" i="51"/>
  <c r="AJ325" i="51"/>
  <c r="AJ385" i="51"/>
  <c r="AH12" i="51"/>
  <c r="AH11" i="51" s="1"/>
  <c r="AH301" i="51"/>
  <c r="AH152" i="51"/>
  <c r="AH384" i="51"/>
  <c r="AG82" i="51"/>
  <c r="AG340" i="51"/>
  <c r="AF313" i="51"/>
  <c r="AF282" i="51"/>
  <c r="AF163" i="51"/>
  <c r="AF365" i="51"/>
  <c r="AE313" i="51"/>
  <c r="AE189" i="51"/>
  <c r="AE384" i="51"/>
  <c r="AC263" i="51"/>
  <c r="AC111" i="51"/>
  <c r="AB12" i="51"/>
  <c r="AB11" i="51" s="1"/>
  <c r="AB74" i="51"/>
  <c r="AB374" i="51"/>
  <c r="AA301" i="51"/>
  <c r="AA269" i="51"/>
  <c r="AA189" i="51"/>
  <c r="AA111" i="51"/>
  <c r="AA97" i="51"/>
  <c r="AJ146" i="51"/>
  <c r="X151" i="51" s="1"/>
  <c r="AJ336" i="51"/>
  <c r="AH74" i="51"/>
  <c r="AH241" i="51"/>
  <c r="AG163" i="51"/>
  <c r="AF241" i="51"/>
  <c r="AF111" i="51"/>
  <c r="AE97" i="51"/>
  <c r="AE324" i="51"/>
  <c r="AD74" i="51"/>
  <c r="AD234" i="51"/>
  <c r="AD97" i="51"/>
  <c r="AD324" i="51"/>
  <c r="AC152" i="51"/>
  <c r="AC324" i="51"/>
  <c r="AC374" i="51"/>
  <c r="AA234" i="51"/>
  <c r="AI37" i="51"/>
  <c r="AI234" i="51"/>
  <c r="AI163" i="51"/>
  <c r="AH111" i="51"/>
  <c r="AG74" i="51"/>
  <c r="AG241" i="51"/>
  <c r="AG139" i="51"/>
  <c r="AG324" i="51"/>
  <c r="AF152" i="51"/>
  <c r="AE12" i="51"/>
  <c r="AE11" i="51" s="1"/>
  <c r="AE301" i="51"/>
  <c r="AE354" i="51"/>
  <c r="AD269" i="51"/>
  <c r="AD354" i="51"/>
  <c r="AB241" i="51"/>
  <c r="AB178" i="51"/>
  <c r="AA384" i="51"/>
  <c r="BD13" i="51"/>
  <c r="BO14" i="51"/>
  <c r="BD43" i="51"/>
  <c r="BO44" i="51"/>
  <c r="BO194" i="51"/>
  <c r="BD336" i="51"/>
  <c r="BO338" i="51"/>
  <c r="BD206" i="51"/>
  <c r="BD190" i="51"/>
  <c r="BO191" i="51"/>
  <c r="BD83" i="51"/>
  <c r="BO85" i="51"/>
  <c r="BN193" i="51"/>
  <c r="BO196" i="51"/>
  <c r="BN411" i="51"/>
  <c r="BO322" i="51"/>
  <c r="BO321" i="51" s="1"/>
  <c r="BO320" i="51" s="1"/>
  <c r="AT321" i="51"/>
  <c r="AT320" i="51" s="1"/>
  <c r="BO290" i="51"/>
  <c r="BO289" i="51" s="1"/>
  <c r="AT289" i="51"/>
  <c r="BO186" i="51"/>
  <c r="AT185" i="51"/>
  <c r="AT112" i="51"/>
  <c r="BO114" i="51"/>
  <c r="BO334" i="51"/>
  <c r="BO409" i="51"/>
  <c r="BD255" i="51"/>
  <c r="BO228" i="51"/>
  <c r="BD227" i="51"/>
  <c r="BD193" i="51"/>
  <c r="BO195" i="51"/>
  <c r="BN237" i="51"/>
  <c r="BN234" i="51" s="1"/>
  <c r="BO238" i="51"/>
  <c r="BO237" i="51" s="1"/>
  <c r="AT140" i="51"/>
  <c r="BO141" i="51"/>
  <c r="BD55" i="51"/>
  <c r="BO56" i="51"/>
  <c r="BD87" i="51"/>
  <c r="BO88" i="51"/>
  <c r="BO136" i="51"/>
  <c r="BN132" i="51"/>
  <c r="BN405" i="51"/>
  <c r="AT121" i="51"/>
  <c r="BD122" i="51"/>
  <c r="BD371" i="51"/>
  <c r="BO377" i="51"/>
  <c r="BD375" i="51"/>
  <c r="BO349" i="51"/>
  <c r="BD28" i="51"/>
  <c r="BO29" i="51"/>
  <c r="BD50" i="51"/>
  <c r="BD59" i="51"/>
  <c r="BO60" i="51"/>
  <c r="BO319" i="51"/>
  <c r="BO318" i="51" s="1"/>
  <c r="BO154" i="51"/>
  <c r="BD283" i="51"/>
  <c r="BO284" i="51"/>
  <c r="BD276" i="51"/>
  <c r="BO232" i="51"/>
  <c r="BD230" i="51"/>
  <c r="BD185" i="51"/>
  <c r="BO187" i="51"/>
  <c r="BD98" i="51"/>
  <c r="BO103" i="51"/>
  <c r="BO205" i="51"/>
  <c r="BN202" i="51"/>
  <c r="BN347" i="51"/>
  <c r="BO306" i="51"/>
  <c r="BO305" i="51" s="1"/>
  <c r="AT305" i="51"/>
  <c r="AT175" i="51"/>
  <c r="AT172" i="51" s="1"/>
  <c r="BO177" i="51"/>
  <c r="BO149" i="51"/>
  <c r="BD179" i="51"/>
  <c r="BO183" i="51"/>
  <c r="BO412" i="51"/>
  <c r="BD411" i="51"/>
  <c r="BO353" i="51"/>
  <c r="BO21" i="51"/>
  <c r="BD38" i="51"/>
  <c r="BO39" i="51"/>
  <c r="BD80" i="51"/>
  <c r="BO81" i="51"/>
  <c r="BO80" i="51" s="1"/>
  <c r="BO303" i="51"/>
  <c r="BD296" i="51"/>
  <c r="BD295" i="51" s="1"/>
  <c r="BO297" i="51"/>
  <c r="BD140" i="51"/>
  <c r="BO201" i="51"/>
  <c r="BN198" i="51"/>
  <c r="BN314" i="51"/>
  <c r="BN313" i="51" s="1"/>
  <c r="BO316" i="51"/>
  <c r="BO72" i="51"/>
  <c r="AT65" i="51"/>
  <c r="BO67" i="51"/>
  <c r="BO182" i="51"/>
  <c r="AT179" i="51"/>
  <c r="BD70" i="51"/>
  <c r="BD78" i="51"/>
  <c r="BO268" i="51"/>
  <c r="BO267" i="51" s="1"/>
  <c r="BO260" i="51"/>
  <c r="BO214" i="51"/>
  <c r="BO171" i="51"/>
  <c r="BO170" i="51" s="1"/>
  <c r="BD132" i="51"/>
  <c r="BN38" i="51"/>
  <c r="BN55" i="51"/>
  <c r="BN179" i="51"/>
  <c r="BN242" i="51"/>
  <c r="BN248" i="51"/>
  <c r="BN296" i="51"/>
  <c r="BN295" i="51" s="1"/>
  <c r="AT13" i="51"/>
  <c r="BO150" i="51"/>
  <c r="BO142" i="51"/>
  <c r="AT325" i="51"/>
  <c r="AT405" i="51"/>
  <c r="AS12" i="51"/>
  <c r="AS11" i="51" s="1"/>
  <c r="AS37" i="51"/>
  <c r="AS282" i="51"/>
  <c r="AS111" i="51"/>
  <c r="AR301" i="51"/>
  <c r="AR241" i="51"/>
  <c r="AR163" i="51"/>
  <c r="AR97" i="51"/>
  <c r="AQ313" i="51"/>
  <c r="AN152" i="51"/>
  <c r="AN365" i="51"/>
  <c r="AM241" i="51"/>
  <c r="AM340" i="51"/>
  <c r="AL241" i="51"/>
  <c r="AL163" i="51"/>
  <c r="AL97" i="51"/>
  <c r="AK152" i="51"/>
  <c r="AK365" i="51"/>
  <c r="AT375" i="51"/>
  <c r="AT374" i="51" s="1"/>
  <c r="AO37" i="51"/>
  <c r="AO282" i="51"/>
  <c r="BD355" i="51"/>
  <c r="BD341" i="51"/>
  <c r="BD65" i="51"/>
  <c r="BO254" i="51"/>
  <c r="BD239" i="51"/>
  <c r="BD222" i="51"/>
  <c r="BN28" i="51"/>
  <c r="BN59" i="51"/>
  <c r="BN70" i="51"/>
  <c r="BN309" i="51"/>
  <c r="BN325" i="51"/>
  <c r="BN336" i="51"/>
  <c r="AT20" i="51"/>
  <c r="AT70" i="51"/>
  <c r="AT43" i="51"/>
  <c r="AT309" i="51"/>
  <c r="AT272" i="51"/>
  <c r="AT248" i="51"/>
  <c r="AT206" i="51"/>
  <c r="AT331" i="51"/>
  <c r="AT366" i="51"/>
  <c r="AS82" i="51"/>
  <c r="AS241" i="51"/>
  <c r="AS163" i="51"/>
  <c r="AR139" i="51"/>
  <c r="AR340" i="51"/>
  <c r="AQ189" i="51"/>
  <c r="AQ111" i="51"/>
  <c r="AP37" i="51"/>
  <c r="AP269" i="51"/>
  <c r="AP189" i="51"/>
  <c r="AO74" i="51"/>
  <c r="AO152" i="51"/>
  <c r="AN282" i="51"/>
  <c r="AN172" i="51"/>
  <c r="AN111" i="51"/>
  <c r="AN324" i="51"/>
  <c r="AM282" i="51"/>
  <c r="AM97" i="51"/>
  <c r="AL139" i="51"/>
  <c r="AL340" i="51"/>
  <c r="AK282" i="51"/>
  <c r="AK172" i="51"/>
  <c r="AK111" i="51"/>
  <c r="AK324" i="51"/>
  <c r="BD146" i="51"/>
  <c r="BN140" i="51"/>
  <c r="BN175" i="51"/>
  <c r="BO176" i="51"/>
  <c r="BN341" i="51"/>
  <c r="BN355" i="51"/>
  <c r="BN385" i="51"/>
  <c r="AT28" i="51"/>
  <c r="AT87" i="51"/>
  <c r="AT59" i="51"/>
  <c r="AT146" i="51"/>
  <c r="AT341" i="51"/>
  <c r="AT411" i="51"/>
  <c r="AO241" i="51"/>
  <c r="AD241" i="51"/>
  <c r="AJ234" i="51"/>
  <c r="AI282" i="51"/>
  <c r="AJ87" i="51"/>
  <c r="AJ83" i="51"/>
  <c r="AJ55" i="51"/>
  <c r="AJ283" i="51"/>
  <c r="AJ259" i="51"/>
  <c r="AJ193" i="51"/>
  <c r="AJ175" i="51"/>
  <c r="AJ140" i="51"/>
  <c r="AJ341" i="51"/>
  <c r="AI189" i="51"/>
  <c r="AI152" i="51"/>
  <c r="AH282" i="51"/>
  <c r="AG37" i="51"/>
  <c r="AG301" i="51"/>
  <c r="AG172" i="51"/>
  <c r="AG111" i="51"/>
  <c r="AG97" i="51"/>
  <c r="AF269" i="51"/>
  <c r="AF189" i="51"/>
  <c r="AF97" i="51"/>
  <c r="AF324" i="51"/>
  <c r="AE74" i="51"/>
  <c r="AE234" i="51"/>
  <c r="AD12" i="51"/>
  <c r="AD11" i="51" s="1"/>
  <c r="AD37" i="51"/>
  <c r="AD282" i="51"/>
  <c r="AD189" i="51"/>
  <c r="AD384" i="51"/>
  <c r="AC241" i="51"/>
  <c r="AB37" i="51"/>
  <c r="AB301" i="51"/>
  <c r="AA74" i="51"/>
  <c r="AA163" i="51"/>
  <c r="AJ20" i="51"/>
  <c r="AJ222" i="51"/>
  <c r="AJ121" i="51"/>
  <c r="AJ351" i="51"/>
  <c r="AJ375" i="51"/>
  <c r="AI74" i="51"/>
  <c r="AI241" i="51"/>
  <c r="AH37" i="51"/>
  <c r="AG282" i="51"/>
  <c r="AG152" i="51"/>
  <c r="AG365" i="51"/>
  <c r="AF301" i="51"/>
  <c r="AF178" i="51"/>
  <c r="AF354" i="51"/>
  <c r="AE269" i="51"/>
  <c r="AD82" i="51"/>
  <c r="AC269" i="51"/>
  <c r="AC189" i="51"/>
  <c r="AB282" i="51"/>
  <c r="AJ28" i="51"/>
  <c r="AJ227" i="51"/>
  <c r="X228" i="51" s="1"/>
  <c r="AI111" i="51"/>
  <c r="AH163" i="51"/>
  <c r="AF384" i="51"/>
  <c r="AE37" i="51"/>
  <c r="AC163" i="51"/>
  <c r="AB234" i="51"/>
  <c r="AB139" i="51"/>
  <c r="AB97" i="51"/>
  <c r="AA82" i="51"/>
  <c r="AA241" i="51"/>
  <c r="AA172" i="51"/>
  <c r="AA324" i="51"/>
  <c r="AB189" i="51"/>
  <c r="AA282" i="51"/>
  <c r="AA340" i="51"/>
  <c r="AA365" i="51"/>
  <c r="AJ50" i="51" l="1"/>
  <c r="AJ255" i="51"/>
  <c r="X256" i="51" s="1"/>
  <c r="AJ366" i="51"/>
  <c r="AJ365" i="51" s="1"/>
  <c r="AJ276" i="51"/>
  <c r="X278" i="51" s="1"/>
  <c r="AJ206" i="51"/>
  <c r="X207" i="51" s="1"/>
  <c r="BO99" i="51"/>
  <c r="BO98" i="51" s="1"/>
  <c r="BO153" i="51"/>
  <c r="BD374" i="51"/>
  <c r="AJ272" i="51"/>
  <c r="X275" i="51" s="1"/>
  <c r="BO350" i="51"/>
  <c r="BO347" i="51" s="1"/>
  <c r="AJ215" i="51"/>
  <c r="X216" i="51" s="1"/>
  <c r="BO16" i="51"/>
  <c r="BO13" i="51" s="1"/>
  <c r="BO420" i="51"/>
  <c r="BO411" i="51" s="1"/>
  <c r="BO165" i="51"/>
  <c r="BO164" i="51" s="1"/>
  <c r="BO163" i="51" s="1"/>
  <c r="BO264" i="51"/>
  <c r="BO263" i="51" s="1"/>
  <c r="BO304" i="51"/>
  <c r="BO302" i="51" s="1"/>
  <c r="BN302" i="51"/>
  <c r="BN301" i="51" s="1"/>
  <c r="X71" i="51"/>
  <c r="AT164" i="51"/>
  <c r="AT163" i="51" s="1"/>
  <c r="BO255" i="51"/>
  <c r="AJ178" i="51"/>
  <c r="BO94" i="51"/>
  <c r="BO87" i="51" s="1"/>
  <c r="BO288" i="51"/>
  <c r="BO286" i="51" s="1"/>
  <c r="AT160" i="51"/>
  <c r="AT152" i="51" s="1"/>
  <c r="BN102" i="51"/>
  <c r="BN97" i="51" s="1"/>
  <c r="BO206" i="51"/>
  <c r="BO361" i="51"/>
  <c r="X383" i="51"/>
  <c r="AJ242" i="51"/>
  <c r="BO283" i="51"/>
  <c r="BO309" i="51"/>
  <c r="BO135" i="51"/>
  <c r="BO132" i="51" s="1"/>
  <c r="BO325" i="51"/>
  <c r="AB82" i="51"/>
  <c r="AB36" i="51" s="1"/>
  <c r="BO75" i="51"/>
  <c r="BO74" i="51" s="1"/>
  <c r="BO22" i="51"/>
  <c r="BO20" i="51" s="1"/>
  <c r="BN354" i="51"/>
  <c r="BO38" i="51"/>
  <c r="X292" i="51"/>
  <c r="BO259" i="51"/>
  <c r="BO258" i="51" s="1"/>
  <c r="BO50" i="51"/>
  <c r="BO43" i="51"/>
  <c r="BO292" i="51"/>
  <c r="BO291" i="51" s="1"/>
  <c r="AT302" i="51"/>
  <c r="AT301" i="51" s="1"/>
  <c r="BO102" i="51"/>
  <c r="BO55" i="51"/>
  <c r="AJ202" i="51"/>
  <c r="X204" i="51" s="1"/>
  <c r="BO383" i="51"/>
  <c r="BO382" i="51" s="1"/>
  <c r="AJ163" i="51"/>
  <c r="AF364" i="51"/>
  <c r="BO59" i="51"/>
  <c r="BO28" i="51"/>
  <c r="BO112" i="51"/>
  <c r="BO248" i="51"/>
  <c r="BO175" i="51"/>
  <c r="BO172" i="51" s="1"/>
  <c r="BO296" i="51"/>
  <c r="BO295" i="51" s="1"/>
  <c r="BO190" i="51"/>
  <c r="AC364" i="51"/>
  <c r="BO222" i="51"/>
  <c r="BO341" i="51"/>
  <c r="BO146" i="51"/>
  <c r="BO230" i="51"/>
  <c r="BO272" i="51"/>
  <c r="BO385" i="51"/>
  <c r="BO336" i="51"/>
  <c r="BO366" i="51"/>
  <c r="BO65" i="51"/>
  <c r="BO83" i="51"/>
  <c r="BO375" i="51"/>
  <c r="BO185" i="51"/>
  <c r="BO193" i="51"/>
  <c r="BO405" i="51"/>
  <c r="BO70" i="51"/>
  <c r="BO198" i="51"/>
  <c r="BO252" i="51"/>
  <c r="BO351" i="51"/>
  <c r="BO212" i="51"/>
  <c r="BO371" i="51"/>
  <c r="BO331" i="51"/>
  <c r="BO276" i="51"/>
  <c r="BO140" i="51"/>
  <c r="BO234" i="51"/>
  <c r="BO202" i="51"/>
  <c r="BO160" i="51"/>
  <c r="BO179" i="51"/>
  <c r="BO314" i="51"/>
  <c r="BO313" i="51" s="1"/>
  <c r="BO355" i="51"/>
  <c r="BO242" i="51"/>
  <c r="BN152" i="51"/>
  <c r="AT365" i="51"/>
  <c r="BN365" i="51"/>
  <c r="AJ313" i="51"/>
  <c r="AM364" i="51"/>
  <c r="AJ111" i="51"/>
  <c r="BO227" i="51"/>
  <c r="AN36" i="51"/>
  <c r="AP36" i="51"/>
  <c r="X288" i="51"/>
  <c r="AT82" i="51"/>
  <c r="X300" i="51"/>
  <c r="BD301" i="51"/>
  <c r="BD152" i="51"/>
  <c r="X297" i="51"/>
  <c r="AF36" i="51"/>
  <c r="AI364" i="51"/>
  <c r="AN323" i="51"/>
  <c r="AJ324" i="51"/>
  <c r="BN82" i="51"/>
  <c r="AG323" i="51"/>
  <c r="AE364" i="51"/>
  <c r="AQ323" i="51"/>
  <c r="BN340" i="51"/>
  <c r="AT97" i="51"/>
  <c r="AJ74" i="51"/>
  <c r="AR323" i="51"/>
  <c r="BD365" i="51"/>
  <c r="BO215" i="51"/>
  <c r="AI323" i="51"/>
  <c r="BN139" i="51"/>
  <c r="BD324" i="51"/>
  <c r="AC323" i="51"/>
  <c r="AH364" i="51"/>
  <c r="AJ384" i="51"/>
  <c r="X304" i="51"/>
  <c r="X303" i="51"/>
  <c r="X154" i="51"/>
  <c r="X155" i="51"/>
  <c r="AD364" i="51"/>
  <c r="BN12" i="51"/>
  <c r="BN11" i="51" s="1"/>
  <c r="AK323" i="51"/>
  <c r="AL323" i="51"/>
  <c r="AT241" i="51"/>
  <c r="BD340" i="51"/>
  <c r="AT12" i="51"/>
  <c r="AT11" i="51" s="1"/>
  <c r="AC36" i="51"/>
  <c r="X72" i="51"/>
  <c r="AS364" i="51"/>
  <c r="AL36" i="51"/>
  <c r="AJ301" i="51"/>
  <c r="AT269" i="51"/>
  <c r="BN178" i="51"/>
  <c r="BD269" i="51"/>
  <c r="BN111" i="51"/>
  <c r="AB323" i="51"/>
  <c r="AO323" i="51"/>
  <c r="AS323" i="51"/>
  <c r="X363" i="51"/>
  <c r="X362" i="51"/>
  <c r="X101" i="51"/>
  <c r="X100" i="51"/>
  <c r="X99" i="51"/>
  <c r="BD354" i="51"/>
  <c r="AM323" i="51"/>
  <c r="AO364" i="51"/>
  <c r="X209" i="51"/>
  <c r="AM36" i="51"/>
  <c r="X183" i="51"/>
  <c r="X181" i="51"/>
  <c r="X184" i="51"/>
  <c r="X180" i="51"/>
  <c r="X182" i="51"/>
  <c r="X135" i="51"/>
  <c r="X134" i="51"/>
  <c r="X136" i="51"/>
  <c r="AT354" i="51"/>
  <c r="AH36" i="51"/>
  <c r="BN384" i="51"/>
  <c r="BN172" i="51"/>
  <c r="AH323" i="51"/>
  <c r="AR364" i="51"/>
  <c r="BN269" i="51"/>
  <c r="BN282" i="51"/>
  <c r="AL364" i="51"/>
  <c r="X299" i="51"/>
  <c r="X316" i="51"/>
  <c r="X298" i="51"/>
  <c r="X254" i="51"/>
  <c r="X253" i="51"/>
  <c r="X188" i="51"/>
  <c r="X186" i="51"/>
  <c r="X187" i="51"/>
  <c r="AA36" i="51"/>
  <c r="X317" i="51"/>
  <c r="AE96" i="51"/>
  <c r="X373" i="51"/>
  <c r="X372" i="51"/>
  <c r="AJ354" i="51"/>
  <c r="X359" i="51"/>
  <c r="X360" i="51"/>
  <c r="X358" i="51"/>
  <c r="X356" i="51"/>
  <c r="X357" i="51"/>
  <c r="AQ364" i="51"/>
  <c r="X64" i="51"/>
  <c r="X62" i="51"/>
  <c r="X63" i="51"/>
  <c r="X60" i="51"/>
  <c r="X61" i="51"/>
  <c r="X192" i="51"/>
  <c r="X191" i="51"/>
  <c r="AG364" i="51"/>
  <c r="AT384" i="51"/>
  <c r="AT364" i="51" s="1"/>
  <c r="AP323" i="51"/>
  <c r="AR36" i="51"/>
  <c r="AT282" i="51"/>
  <c r="AQ36" i="51"/>
  <c r="X165" i="51"/>
  <c r="X167" i="51"/>
  <c r="X166" i="51"/>
  <c r="X68" i="51"/>
  <c r="X66" i="51"/>
  <c r="X69" i="51"/>
  <c r="X67" i="51"/>
  <c r="X266" i="51"/>
  <c r="X265" i="51"/>
  <c r="AP96" i="51"/>
  <c r="AD323" i="51"/>
  <c r="AE323" i="51"/>
  <c r="AB364" i="51"/>
  <c r="AC96" i="51"/>
  <c r="X208" i="51"/>
  <c r="X211" i="51"/>
  <c r="X277" i="51"/>
  <c r="AH96" i="51"/>
  <c r="AS36" i="51"/>
  <c r="AI36" i="51"/>
  <c r="BD74" i="51"/>
  <c r="X312" i="51"/>
  <c r="X311" i="51"/>
  <c r="X310" i="51"/>
  <c r="AI96" i="51"/>
  <c r="AM96" i="51"/>
  <c r="AS96" i="51"/>
  <c r="AK96" i="51"/>
  <c r="BN241" i="51"/>
  <c r="X337" i="51"/>
  <c r="X338" i="51"/>
  <c r="X339" i="51"/>
  <c r="X329" i="51"/>
  <c r="X330" i="51"/>
  <c r="X328" i="51"/>
  <c r="X327" i="51"/>
  <c r="X326" i="51"/>
  <c r="X103" i="51"/>
  <c r="X106" i="51"/>
  <c r="X107" i="51"/>
  <c r="X108" i="51"/>
  <c r="X105" i="51"/>
  <c r="X104" i="51"/>
  <c r="AK36" i="51"/>
  <c r="X219" i="51"/>
  <c r="X221" i="51"/>
  <c r="AE36" i="51"/>
  <c r="AJ97" i="51"/>
  <c r="AD96" i="51"/>
  <c r="AG36" i="51"/>
  <c r="AT340" i="51"/>
  <c r="AT189" i="51"/>
  <c r="AT178" i="51"/>
  <c r="AT139" i="51"/>
  <c r="BD241" i="51"/>
  <c r="BN189" i="51"/>
  <c r="X349" i="51"/>
  <c r="X350" i="51"/>
  <c r="X348" i="51"/>
  <c r="X334" i="51"/>
  <c r="X335" i="51"/>
  <c r="X333" i="51"/>
  <c r="X332" i="51"/>
  <c r="X251" i="51"/>
  <c r="X250" i="51"/>
  <c r="X249" i="51"/>
  <c r="X409" i="51"/>
  <c r="X406" i="51"/>
  <c r="X407" i="51"/>
  <c r="X410" i="51"/>
  <c r="X408" i="51"/>
  <c r="X233" i="51"/>
  <c r="X232" i="51"/>
  <c r="X162" i="51"/>
  <c r="X161" i="51"/>
  <c r="X274" i="51"/>
  <c r="X201" i="51"/>
  <c r="X200" i="51"/>
  <c r="AO96" i="51"/>
  <c r="AJ152" i="51"/>
  <c r="AA364" i="51"/>
  <c r="AA96" i="51"/>
  <c r="AN96" i="51"/>
  <c r="AQ96" i="51"/>
  <c r="BD234" i="51"/>
  <c r="AK364" i="51"/>
  <c r="AN364" i="51"/>
  <c r="BD384" i="51"/>
  <c r="BD178" i="51"/>
  <c r="BD97" i="51"/>
  <c r="BD282" i="51"/>
  <c r="X396" i="51"/>
  <c r="X393" i="51"/>
  <c r="X397" i="51"/>
  <c r="X404" i="51"/>
  <c r="X390" i="51"/>
  <c r="X387" i="51"/>
  <c r="X401" i="51"/>
  <c r="X392" i="51"/>
  <c r="X394" i="51"/>
  <c r="X402" i="51"/>
  <c r="X388" i="51"/>
  <c r="X399" i="51"/>
  <c r="X400" i="51"/>
  <c r="X398" i="51"/>
  <c r="X391" i="51"/>
  <c r="X403" i="51"/>
  <c r="X395" i="51"/>
  <c r="X386" i="51"/>
  <c r="X389" i="51"/>
  <c r="X18" i="51"/>
  <c r="X16" i="51"/>
  <c r="X17" i="51"/>
  <c r="X19" i="51"/>
  <c r="X14" i="51"/>
  <c r="X15" i="51"/>
  <c r="AP364" i="51"/>
  <c r="X220" i="51"/>
  <c r="BO220" i="51"/>
  <c r="BO218" i="51" s="1"/>
  <c r="X214" i="51"/>
  <c r="AF96" i="51"/>
  <c r="AJ139" i="51"/>
  <c r="X150" i="51"/>
  <c r="X141" i="51"/>
  <c r="X147" i="51"/>
  <c r="X142" i="51"/>
  <c r="X148" i="51"/>
  <c r="X144" i="51"/>
  <c r="X149" i="51"/>
  <c r="X145" i="51"/>
  <c r="X143" i="51"/>
  <c r="X56" i="51"/>
  <c r="X57" i="51"/>
  <c r="X58" i="51"/>
  <c r="AB96" i="51"/>
  <c r="X29" i="51"/>
  <c r="X31" i="51"/>
  <c r="X30" i="51"/>
  <c r="X33" i="51"/>
  <c r="X35" i="51"/>
  <c r="X32" i="51"/>
  <c r="X34" i="51"/>
  <c r="AJ374" i="51"/>
  <c r="X380" i="51"/>
  <c r="X378" i="51"/>
  <c r="X381" i="51"/>
  <c r="X379" i="51"/>
  <c r="X376" i="51"/>
  <c r="X377" i="51"/>
  <c r="X225" i="51"/>
  <c r="X224" i="51"/>
  <c r="X226" i="51"/>
  <c r="X223" i="51"/>
  <c r="X23" i="51"/>
  <c r="X24" i="51"/>
  <c r="X25" i="51"/>
  <c r="X26" i="51"/>
  <c r="X27" i="51"/>
  <c r="X22" i="51"/>
  <c r="X21" i="51"/>
  <c r="AF323" i="51"/>
  <c r="AG96" i="51"/>
  <c r="AJ340" i="51"/>
  <c r="X343" i="51"/>
  <c r="X346" i="51"/>
  <c r="X342" i="51"/>
  <c r="X344" i="51"/>
  <c r="X345" i="51"/>
  <c r="AJ282" i="51"/>
  <c r="X285" i="51"/>
  <c r="X284" i="51"/>
  <c r="AO36" i="51"/>
  <c r="AT324" i="51"/>
  <c r="BN37" i="51"/>
  <c r="BD139" i="51"/>
  <c r="BD82" i="51"/>
  <c r="X415" i="51"/>
  <c r="X421" i="51"/>
  <c r="X418" i="51"/>
  <c r="X413" i="51"/>
  <c r="X416" i="51"/>
  <c r="X419" i="51"/>
  <c r="X417" i="51"/>
  <c r="X412" i="51"/>
  <c r="X420" i="51"/>
  <c r="X414" i="51"/>
  <c r="X129" i="51"/>
  <c r="X126" i="51"/>
  <c r="X130" i="51"/>
  <c r="AD36" i="51"/>
  <c r="AJ172" i="51"/>
  <c r="X177" i="51"/>
  <c r="X176" i="51"/>
  <c r="AJ258" i="51"/>
  <c r="X261" i="51"/>
  <c r="AJ82" i="51"/>
  <c r="X86" i="51"/>
  <c r="X84" i="51"/>
  <c r="X85" i="51"/>
  <c r="AJ12" i="51"/>
  <c r="AJ11" i="51" s="1"/>
  <c r="AT37" i="51"/>
  <c r="BN324" i="51"/>
  <c r="AL96" i="51"/>
  <c r="AT111" i="51"/>
  <c r="BD12" i="51"/>
  <c r="BD11" i="51" s="1"/>
  <c r="AA323" i="51"/>
  <c r="X53" i="51"/>
  <c r="X52" i="51"/>
  <c r="X54" i="51"/>
  <c r="X51" i="51"/>
  <c r="X352" i="51"/>
  <c r="X353" i="51"/>
  <c r="AJ37" i="51"/>
  <c r="X196" i="51"/>
  <c r="X195" i="51"/>
  <c r="X197" i="51"/>
  <c r="X194" i="51"/>
  <c r="X89" i="51"/>
  <c r="X93" i="51"/>
  <c r="X90" i="51"/>
  <c r="X94" i="51"/>
  <c r="X88" i="51"/>
  <c r="X92" i="51"/>
  <c r="X91" i="51"/>
  <c r="X95" i="51"/>
  <c r="AR96" i="51"/>
  <c r="BD37" i="51"/>
  <c r="BD121" i="51"/>
  <c r="BD111" i="51" s="1"/>
  <c r="BO122" i="51"/>
  <c r="BO121" i="51" s="1"/>
  <c r="BD189" i="51"/>
  <c r="X369" i="51" l="1"/>
  <c r="X210" i="51"/>
  <c r="AJ241" i="51"/>
  <c r="X370" i="51"/>
  <c r="X279" i="51"/>
  <c r="X368" i="51"/>
  <c r="X367" i="51"/>
  <c r="BO152" i="51"/>
  <c r="X273" i="51"/>
  <c r="AJ269" i="51"/>
  <c r="X217" i="51"/>
  <c r="BN422" i="51"/>
  <c r="BO301" i="51"/>
  <c r="X244" i="51"/>
  <c r="X205" i="51"/>
  <c r="X203" i="51"/>
  <c r="AJ189" i="51"/>
  <c r="BO111" i="51"/>
  <c r="BO82" i="51"/>
  <c r="BO354" i="51"/>
  <c r="BO374" i="51"/>
  <c r="BO12" i="51"/>
  <c r="BO11" i="51" s="1"/>
  <c r="BO97" i="51"/>
  <c r="BO282" i="51"/>
  <c r="BO139" i="51"/>
  <c r="BO324" i="51"/>
  <c r="BO340" i="51"/>
  <c r="BO384" i="51"/>
  <c r="BO37" i="51"/>
  <c r="BO269" i="51"/>
  <c r="BO189" i="51"/>
  <c r="BD364" i="51"/>
  <c r="BO241" i="51"/>
  <c r="BO365" i="51"/>
  <c r="BO178" i="51"/>
  <c r="BN364" i="51"/>
  <c r="BN323" i="51"/>
  <c r="AT36" i="51"/>
  <c r="AP422" i="51"/>
  <c r="AN422" i="51"/>
  <c r="AM422" i="51"/>
  <c r="AC422" i="51"/>
  <c r="AL422" i="51"/>
  <c r="BN36" i="51"/>
  <c r="AQ422" i="51"/>
  <c r="AI422" i="51"/>
  <c r="BD323" i="51"/>
  <c r="AK422" i="51"/>
  <c r="AE422" i="51"/>
  <c r="AS422" i="51"/>
  <c r="AR422" i="51"/>
  <c r="AH422" i="51"/>
  <c r="AA422" i="51"/>
  <c r="AT96" i="51"/>
  <c r="AJ323" i="51"/>
  <c r="AG422" i="51"/>
  <c r="BD36" i="51"/>
  <c r="AF422" i="51"/>
  <c r="BN96" i="51"/>
  <c r="AO422" i="51"/>
  <c r="AB422" i="51"/>
  <c r="AJ364" i="51"/>
  <c r="BD96" i="51"/>
  <c r="AJ36" i="51"/>
  <c r="AT323" i="51"/>
  <c r="AD422" i="51"/>
  <c r="BD422" i="51"/>
  <c r="AJ96" i="51" l="1"/>
  <c r="AJ422" i="51" s="1"/>
  <c r="BO36" i="51"/>
  <c r="BO364" i="51"/>
  <c r="BO323" i="51"/>
  <c r="BO96" i="51"/>
  <c r="AT422" i="51"/>
  <c r="AB423" i="51"/>
  <c r="BO422" i="51" l="1"/>
  <c r="BO423" i="51"/>
</calcChain>
</file>

<file path=xl/sharedStrings.xml><?xml version="1.0" encoding="utf-8"?>
<sst xmlns="http://schemas.openxmlformats.org/spreadsheetml/2006/main" count="2124" uniqueCount="945">
  <si>
    <t>DEPARTAMENTO DEL QUINDIO</t>
  </si>
  <si>
    <t xml:space="preserve">Código </t>
  </si>
  <si>
    <t xml:space="preserve">Version: </t>
  </si>
  <si>
    <t xml:space="preserve">Fecha: </t>
  </si>
  <si>
    <t>Página</t>
  </si>
  <si>
    <t>1 de 1</t>
  </si>
  <si>
    <t>VIGENCIA 2016</t>
  </si>
  <si>
    <t>VIGENCIA 2017</t>
  </si>
  <si>
    <t>VIGENCIA 2018</t>
  </si>
  <si>
    <t>VIGENCIA 2019</t>
  </si>
  <si>
    <t>TOTAL 2018</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</si>
  <si>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</si>
  <si>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</si>
  <si>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</si>
  <si>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</si>
  <si>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</si>
  <si>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</si>
  <si>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</si>
  <si>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</si>
  <si>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</si>
  <si>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</si>
  <si>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</si>
  <si>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</si>
  <si>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</si>
  <si>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</si>
  <si>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</si>
  <si>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</si>
  <si>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</si>
  <si>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</si>
  <si>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</si>
  <si>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</si>
  <si>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</si>
  <si>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</si>
  <si>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</si>
  <si>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</si>
  <si>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</si>
  <si>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</si>
  <si>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</si>
  <si>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</si>
  <si>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</si>
  <si>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</si>
  <si>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</si>
  <si>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</si>
  <si>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</si>
  <si>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MATRIZ PLURIANUAL</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</si>
  <si>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</si>
  <si>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</si>
  <si>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</si>
  <si>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</si>
  <si>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</si>
  <si>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</si>
  <si>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</si>
  <si>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</si>
  <si>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</si>
  <si>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</si>
  <si>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</si>
  <si>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</si>
  <si>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</si>
  <si>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</si>
  <si>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</si>
  <si>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</si>
  <si>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</si>
  <si>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</si>
  <si>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</si>
  <si>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</si>
  <si>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</si>
  <si>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</si>
  <si>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</si>
  <si>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</si>
  <si>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</si>
  <si>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</si>
  <si>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</si>
  <si>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</si>
  <si>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</si>
  <si>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</si>
  <si>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</si>
  <si>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</si>
  <si>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</si>
  <si>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</si>
  <si>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</si>
  <si>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</si>
  <si>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</si>
  <si>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</si>
  <si>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</si>
  <si>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</si>
  <si>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</si>
  <si>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</si>
  <si>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</si>
  <si>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</si>
  <si>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</si>
  <si>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</si>
  <si>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</si>
  <si>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</si>
  <si>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</si>
  <si>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</si>
  <si>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</si>
  <si>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</si>
  <si>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</si>
  <si>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</si>
  <si>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</si>
  <si>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</si>
  <si>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</si>
  <si>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</si>
  <si>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</si>
  <si>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</si>
  <si>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</si>
  <si>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</si>
  <si>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</si>
  <si>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</si>
  <si>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</si>
  <si>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</si>
  <si>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</si>
  <si>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</si>
  <si>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</si>
  <si>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</si>
  <si>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</si>
  <si>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</si>
  <si>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</si>
  <si>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</si>
  <si>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</si>
  <si>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</si>
  <si>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</si>
  <si>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</si>
  <si>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</si>
  <si>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</si>
  <si>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</si>
  <si>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</si>
  <si>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</si>
  <si>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</si>
  <si>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</si>
  <si>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</si>
  <si>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</si>
  <si>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</si>
  <si>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</si>
  <si>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</si>
  <si>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</si>
  <si>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</si>
  <si>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</si>
  <si>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</si>
  <si>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</si>
  <si>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</si>
  <si>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</si>
  <si>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</si>
  <si>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</si>
  <si>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</si>
  <si>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</si>
  <si>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</si>
  <si>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</si>
  <si>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</si>
  <si>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</si>
  <si>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</si>
  <si>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</si>
  <si>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</si>
  <si>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</si>
  <si>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</si>
  <si>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</si>
  <si>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</si>
  <si>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</si>
  <si>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</si>
  <si>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</si>
  <si>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</si>
  <si>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</si>
  <si>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</si>
  <si>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</si>
  <si>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</si>
  <si>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</si>
  <si>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</si>
  <si>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</si>
  <si>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</si>
  <si>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</si>
  <si>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</si>
  <si>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</si>
  <si>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</si>
  <si>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</si>
  <si>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</si>
  <si>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</si>
  <si>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</si>
  <si>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</si>
  <si>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</si>
  <si>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</si>
  <si>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</si>
  <si>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</si>
  <si>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</si>
  <si>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</si>
  <si>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</si>
  <si>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</si>
  <si>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</si>
  <si>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</si>
  <si>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</si>
  <si>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</si>
  <si>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</si>
  <si>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</si>
  <si>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</si>
  <si>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</si>
  <si>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</si>
  <si>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</si>
  <si>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</si>
  <si>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</si>
  <si>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</si>
  <si>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</si>
  <si>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</si>
  <si>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</si>
  <si>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</si>
  <si>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</si>
  <si>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</si>
  <si>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</si>
  <si>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</si>
  <si>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</si>
  <si>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</si>
  <si>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</si>
  <si>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</si>
  <si>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</si>
  <si>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</si>
  <si>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</si>
  <si>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</si>
  <si>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</si>
  <si>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</si>
  <si>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</si>
  <si>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</si>
  <si>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</si>
  <si>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</si>
  <si>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</si>
  <si>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</si>
  <si>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</si>
  <si>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</si>
  <si>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</si>
  <si>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</si>
  <si>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</si>
  <si>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</si>
  <si>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</si>
  <si>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</si>
  <si>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</si>
  <si>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</si>
  <si>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</si>
  <si>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</si>
  <si>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</si>
  <si>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</si>
  <si>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</si>
  <si>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</si>
  <si>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</si>
  <si>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</si>
  <si>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</si>
  <si>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</si>
  <si>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</si>
  <si>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</si>
  <si>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</si>
  <si>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</si>
  <si>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</si>
  <si>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</si>
  <si>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</si>
  <si>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</si>
  <si>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</si>
  <si>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</si>
  <si>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</si>
  <si>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</si>
  <si>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</si>
  <si>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</si>
  <si>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</si>
  <si>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</si>
  <si>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</si>
  <si>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</si>
  <si>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</si>
  <si>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</si>
  <si>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</si>
  <si>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</si>
  <si>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</si>
  <si>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</si>
  <si>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</si>
  <si>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</si>
  <si>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</si>
  <si>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</si>
  <si>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</si>
  <si>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</si>
  <si>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</si>
  <si>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</si>
  <si>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</si>
  <si>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</si>
  <si>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</si>
  <si>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</si>
  <si>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</si>
  <si>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</si>
  <si>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</si>
  <si>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</si>
  <si>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</si>
  <si>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</si>
  <si>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</si>
  <si>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</si>
  <si>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</si>
  <si>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</si>
  <si>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</si>
  <si>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</si>
  <si>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</si>
  <si>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</si>
  <si>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</si>
  <si>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</si>
  <si>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</si>
  <si>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</si>
  <si>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</si>
  <si>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</si>
  <si>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</si>
  <si>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</si>
  <si>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</si>
  <si>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</si>
  <si>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</si>
  <si>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</si>
  <si>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</si>
  <si>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</si>
  <si>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</si>
  <si>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</si>
  <si>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</si>
  <si>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</si>
  <si>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</si>
  <si>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</si>
  <si>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</si>
  <si>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</si>
  <si>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</si>
  <si>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</si>
  <si>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</si>
  <si>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</si>
  <si>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</si>
  <si>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</si>
  <si>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</si>
  <si>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</si>
  <si>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</si>
  <si>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</si>
  <si>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</si>
  <si>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</si>
  <si>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</si>
  <si>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</si>
  <si>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</si>
  <si>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</si>
  <si>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</si>
  <si>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</si>
  <si>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</si>
  <si>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</si>
  <si>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</si>
  <si>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</si>
  <si>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</si>
  <si>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</si>
  <si>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</si>
  <si>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</si>
  <si>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</si>
  <si>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</si>
  <si>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</si>
  <si>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</si>
  <si>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</si>
  <si>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</si>
  <si>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</si>
  <si>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</si>
  <si>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</si>
  <si>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</si>
  <si>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</si>
  <si>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</si>
  <si>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</si>
  <si>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</si>
  <si>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</si>
  <si>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</si>
  <si>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</si>
  <si>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</si>
  <si>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</si>
  <si>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</si>
  <si>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</si>
  <si>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</si>
  <si>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</si>
  <si>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</si>
  <si>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</si>
  <si>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</si>
  <si>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</si>
  <si>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</si>
  <si>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</si>
  <si>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</si>
  <si>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</si>
  <si>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</si>
  <si>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</si>
  <si>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</si>
  <si>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</si>
  <si>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</si>
  <si>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</si>
  <si>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</si>
  <si>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</si>
  <si>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</si>
  <si>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</si>
  <si>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</si>
  <si>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</si>
  <si>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</si>
  <si>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</si>
  <si>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</si>
  <si>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</si>
  <si>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</si>
  <si>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</si>
  <si>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</si>
  <si>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</si>
  <si>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</si>
  <si>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</si>
  <si>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</si>
  <si>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</si>
  <si>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</si>
  <si>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</si>
  <si>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</si>
  <si>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</si>
  <si>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</si>
  <si>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</si>
  <si>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</si>
  <si>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</si>
  <si>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</si>
  <si>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</si>
  <si>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</si>
  <si>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</si>
  <si>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</si>
  <si>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</si>
  <si>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</si>
  <si>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</si>
  <si>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</si>
  <si>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</si>
  <si>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</si>
  <si>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</si>
  <si>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</si>
  <si>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</si>
  <si>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</si>
  <si>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</si>
  <si>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</si>
  <si>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</si>
  <si>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</si>
  <si>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</si>
  <si>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</si>
  <si>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</si>
  <si>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</si>
  <si>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</si>
  <si>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</si>
  <si>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</si>
  <si>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</si>
  <si>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</si>
  <si>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</si>
  <si>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</si>
  <si>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</si>
  <si>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</si>
  <si>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</si>
  <si>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</si>
  <si>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</si>
  <si>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</si>
  <si>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</si>
  <si>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</si>
  <si>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</si>
  <si>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</si>
  <si>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</si>
  <si>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</si>
  <si>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</si>
  <si>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</si>
  <si>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</si>
  <si>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</si>
  <si>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</si>
  <si>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</si>
  <si>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</si>
  <si>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</si>
  <si>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</si>
  <si>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</si>
  <si>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</si>
  <si>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</si>
  <si>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</si>
  <si>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</si>
  <si>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</si>
  <si>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</si>
  <si>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</si>
  <si>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</si>
  <si>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</si>
  <si>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</si>
  <si>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</si>
  <si>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</si>
  <si>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</si>
  <si>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</si>
  <si>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</si>
  <si>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</si>
  <si>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</si>
  <si>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</si>
  <si>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</si>
  <si>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</si>
  <si>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</si>
  <si>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</si>
  <si>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</si>
  <si>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</si>
  <si>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</si>
  <si>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</si>
  <si>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</si>
  <si>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</si>
  <si>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</si>
  <si>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</si>
  <si>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</si>
  <si>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</si>
  <si>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</si>
  <si>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</si>
  <si>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</si>
  <si>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</si>
  <si>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</si>
  <si>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</si>
  <si>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</si>
  <si>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</si>
  <si>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</si>
  <si>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</si>
  <si>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</si>
  <si>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</si>
  <si>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</si>
  <si>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</si>
  <si>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</si>
  <si>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</si>
  <si>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</si>
  <si>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</si>
  <si>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</si>
  <si>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</si>
  <si>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</si>
  <si>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</si>
  <si>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</si>
  <si>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</si>
  <si>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</si>
  <si>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</si>
  <si>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</si>
  <si>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</si>
  <si>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</si>
  <si>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</si>
  <si>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</si>
  <si>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</si>
  <si>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</si>
  <si>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</si>
  <si>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</si>
  <si>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</si>
  <si>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</si>
  <si>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</si>
  <si>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</si>
  <si>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</si>
  <si>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</si>
  <si>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</si>
  <si>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</si>
  <si>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</si>
  <si>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</si>
  <si>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</si>
  <si>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</si>
  <si>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</si>
  <si>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</si>
  <si>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</si>
  <si>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</si>
  <si>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</si>
  <si>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</si>
  <si>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</si>
  <si>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</si>
  <si>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</si>
  <si>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</si>
  <si>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</si>
  <si>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</si>
  <si>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</si>
  <si>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</si>
  <si>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</si>
  <si>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</si>
  <si>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</si>
  <si>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</si>
  <si>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</si>
  <si>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</si>
  <si>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</si>
  <si>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</si>
  <si>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</si>
  <si>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</si>
  <si>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</si>
  <si>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</si>
  <si>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</si>
  <si>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</si>
  <si>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</si>
  <si>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</si>
  <si>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</si>
  <si>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</si>
  <si>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</si>
  <si>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</si>
  <si>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</si>
  <si>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</si>
  <si>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</si>
  <si>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</si>
  <si>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</si>
  <si>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</si>
  <si>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</si>
  <si>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</si>
  <si>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</si>
  <si>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</si>
  <si>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</si>
  <si>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</si>
  <si>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</si>
  <si>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</si>
  <si>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</si>
  <si>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</si>
  <si>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</si>
  <si>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</si>
  <si>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</si>
  <si>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</si>
  <si>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</si>
  <si>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</si>
  <si>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</si>
  <si>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</si>
  <si>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</si>
  <si>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</si>
  <si>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</si>
  <si>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</si>
  <si>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</si>
  <si>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</si>
  <si>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</si>
  <si>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</si>
  <si>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</si>
  <si>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</si>
  <si>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</si>
  <si>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</si>
  <si>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</si>
  <si>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</si>
  <si>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</si>
  <si>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</si>
  <si>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</si>
  <si>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</si>
  <si>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</si>
  <si>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</si>
  <si>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</si>
  <si>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</si>
  <si>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</si>
  <si>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</si>
  <si>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</si>
  <si>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</si>
  <si>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</si>
  <si>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</si>
  <si>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</si>
  <si>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</si>
  <si>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</si>
  <si>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</si>
  <si>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</si>
  <si>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</si>
  <si>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</si>
  <si>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</si>
  <si>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</si>
  <si>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</si>
  <si>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</si>
  <si>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</si>
  <si>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</si>
  <si>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</si>
  <si>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</si>
  <si>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</si>
  <si>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</si>
  <si>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</si>
  <si>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</si>
  <si>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</si>
  <si>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</si>
  <si>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</si>
  <si>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</si>
  <si>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</si>
  <si>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</si>
  <si>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</si>
  <si>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</si>
  <si>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</si>
  <si>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</si>
  <si>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</si>
  <si>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</si>
  <si>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</si>
  <si>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</si>
  <si>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</si>
  <si>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</si>
  <si>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</si>
  <si>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</si>
  <si>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</si>
  <si>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</si>
  <si>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</si>
  <si>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</si>
  <si>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</si>
  <si>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</si>
  <si>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</si>
  <si>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</si>
  <si>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</si>
  <si>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</si>
  <si>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</si>
  <si>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</si>
  <si>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</si>
  <si>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</si>
  <si>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</si>
  <si>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</si>
  <si>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</si>
  <si>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</si>
  <si>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</si>
  <si>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</si>
  <si>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</si>
  <si>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</si>
  <si>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</si>
  <si>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</si>
  <si>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</si>
  <si>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</si>
  <si>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</si>
  <si>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</si>
  <si>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</si>
  <si>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</si>
  <si>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</si>
  <si>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</si>
  <si>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</si>
  <si>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</si>
  <si>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</si>
  <si>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</si>
  <si>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</si>
  <si>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</si>
  <si>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</si>
  <si>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</si>
  <si>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</si>
  <si>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</si>
  <si>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</si>
  <si>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</si>
  <si>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</si>
  <si>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</si>
  <si>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</si>
  <si>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</si>
  <si>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</si>
  <si>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</si>
  <si>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</si>
  <si>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</si>
  <si>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</si>
  <si>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</si>
  <si>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</si>
  <si>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</si>
  <si>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</si>
  <si>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</si>
  <si>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</si>
  <si>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</si>
  <si>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</si>
  <si>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</si>
  <si>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</si>
  <si>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</si>
  <si>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</si>
  <si>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</si>
  <si>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</si>
  <si>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</si>
  <si>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</si>
  <si>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</si>
  <si>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</si>
  <si>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</si>
  <si>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</si>
  <si>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</si>
  <si>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</si>
  <si>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</si>
  <si>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</si>
  <si>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</si>
  <si>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</si>
  <si>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</si>
  <si>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</si>
  <si>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</si>
  <si>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</si>
  <si>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</si>
  <si>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</si>
  <si>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</si>
  <si>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</si>
  <si>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</si>
  <si>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</si>
  <si>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</si>
  <si>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</si>
  <si>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</si>
  <si>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</si>
  <si>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</si>
  <si>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</si>
  <si>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</si>
  <si>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</si>
  <si>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</si>
  <si>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</si>
  <si>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</si>
  <si>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</si>
  <si>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</si>
  <si>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</si>
  <si>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</si>
  <si>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</si>
  <si>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</si>
  <si>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</si>
  <si>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</si>
  <si>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</si>
  <si>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</si>
  <si>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</si>
  <si>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</si>
  <si>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</si>
  <si>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</si>
  <si>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</si>
  <si>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</si>
  <si>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</si>
  <si>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</si>
  <si>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</si>
  <si>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</si>
  <si>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</si>
  <si>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</si>
  <si>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</si>
  <si>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</si>
  <si>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</si>
  <si>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</si>
  <si>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</si>
  <si>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</si>
  <si>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</si>
  <si>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</si>
  <si>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</si>
  <si>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</si>
  <si>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</si>
  <si>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</si>
  <si>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</si>
  <si>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</si>
  <si>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</si>
  <si>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</si>
  <si>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</si>
  <si>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</si>
  <si>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</si>
  <si>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</si>
  <si>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</si>
  <si>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</si>
  <si>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</si>
  <si>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</si>
  <si>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</si>
  <si>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</si>
  <si>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</si>
  <si>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</si>
  <si>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</si>
  <si>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</si>
  <si>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</si>
  <si>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</si>
  <si>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</si>
  <si>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</si>
  <si>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</si>
  <si>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</si>
  <si>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</si>
  <si>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</si>
  <si>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</si>
  <si>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</si>
  <si>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</si>
  <si>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</si>
  <si>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</si>
  <si>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</si>
  <si>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</si>
  <si>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</si>
  <si>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</si>
  <si>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</si>
  <si>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</si>
  <si>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</si>
  <si>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</si>
  <si>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</si>
  <si>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</si>
  <si>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</si>
  <si>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</si>
  <si>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</si>
  <si>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</si>
  <si>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</si>
  <si>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</si>
  <si>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</si>
  <si>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</si>
  <si>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</si>
  <si>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</si>
  <si>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</si>
  <si>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</si>
  <si>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</si>
  <si>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</si>
  <si>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</si>
  <si>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</si>
  <si>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</si>
  <si>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</si>
  <si>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</si>
  <si>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</si>
  <si>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</si>
  <si>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</si>
  <si>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</si>
  <si>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</si>
  <si>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</si>
  <si>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</si>
  <si>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</si>
  <si>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</si>
  <si>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</si>
  <si>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</si>
  <si>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</si>
  <si>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</si>
  <si>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</si>
  <si>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</si>
  <si>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</si>
  <si>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</si>
  <si>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</si>
  <si>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</si>
  <si>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</si>
  <si>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</si>
  <si>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</si>
  <si>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</si>
  <si>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</si>
  <si>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</si>
  <si>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</si>
  <si>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</si>
  <si>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</si>
  <si>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</si>
  <si>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</si>
  <si>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</si>
  <si>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</si>
  <si>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</si>
  <si>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</si>
  <si>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</si>
  <si>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</si>
  <si>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</si>
  <si>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</si>
  <si>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</si>
  <si>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</si>
  <si>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</si>
  <si>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</si>
  <si>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</si>
  <si>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</si>
  <si>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</si>
  <si>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</si>
  <si>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</si>
  <si>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</si>
  <si>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</si>
  <si>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</si>
  <si>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</si>
  <si>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</si>
  <si>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</si>
  <si>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</si>
  <si>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</si>
  <si>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</si>
  <si>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</si>
  <si>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</si>
  <si>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</si>
  <si>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</si>
  <si>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</si>
  <si>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</si>
  <si>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</si>
  <si>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</si>
  <si>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</si>
  <si>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</si>
  <si>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</si>
  <si>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</si>
  <si>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</si>
  <si>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</si>
  <si>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</si>
  <si>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</si>
  <si>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</si>
  <si>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</si>
  <si>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</si>
  <si>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 2016-2019</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</si>
  <si>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</si>
  <si>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</si>
  <si>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</si>
  <si>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</si>
  <si>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</si>
  <si>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</si>
  <si>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</si>
  <si>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</si>
  <si>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</si>
  <si>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</si>
  <si>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</si>
  <si>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</si>
  <si>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</si>
  <si>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p</t>
  </si>
  <si>
    <t>PLAN DE DESARROLLO "EN DEFENSA DEL BIEN COMUN" 2016-2019
PLAN INDICATIVO AJUSTADO A SEPTIEMBRE DE 2017</t>
  </si>
  <si>
    <t>F-PLA-04</t>
  </si>
  <si>
    <t>Agosto 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</si>
</sst>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_-* #,##0.00\ &quot;€&quot;_-;\-* #,##0.00\ &quot;€&quot;_-;_-* &quot;-&quot;??\ &quot;€&quot;_-;_-@_-"/>
    <numFmt numFmtId="174" formatCode="_ [$€-2]\ * #,##0.00_ ;_ [$€-2]\ * \-#,##0.00_ ;_ [$€-2]\ * &quot;-&quot;??_ "/>
    <numFmt numFmtId="175" formatCode="00"/>
    <numFmt numFmtId="176" formatCode="_-* #,##0.00\ _€_-;\-* #,##0.00\ _€_-;_-* &quot;-&quot;??\ _€_-;_-@_-"/>
    <numFmt numFmtId="177" formatCode="#."/>
    <numFmt numFmtId="178" formatCode="_-[$€-2]* #,##0.00_-;\-[$€-2]* #,##0.00_-;_-[$€-2]* &quot;-&quot;??_-"/>
    <numFmt numFmtId="179" formatCode="_(* #.##0.00_);_(* \(#.##0.00\);_(* &quot;-&quot;??_);_(@_)"/>
    <numFmt numFmtId="180" formatCode="_-* #,##0.00\ _P_t_a_-;\-* #,##0.00\ _P_t_a_-;_-* &quot;-&quot;??\ _P_t_a_-;_-@_-"/>
    <numFmt numFmtId="181" formatCode="_(* #.##000_);_(* \(#.##000\);_(* &quot;-&quot;??_);_(@_)"/>
    <numFmt numFmtId="182" formatCode="_-* #,##0.00_-;\-* #,##0.00_-;_-* &quot;-&quot;_-;_-@_-"/>
    <numFmt numFmtId="183" formatCode="_-* #,##0.000_-;\-* #,##0.000_-;_-* &quot;-&quot;_-;_-@_-"/>
  </numFmts>
  <fonts count="45"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11"/>
      <color indexed="8"/>
      <name val="Calibri"/>
      <family val="2"/>
    </font>
    <font>
      <sz val="10"/>
      <color indexed="8"/>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sz val="11"/>
      <color rgb="FFFF0000"/>
      <name val="Arial"/>
      <family val="2"/>
    </font>
    <font>
      <sz val="14"/>
      <name val="Arial"/>
      <family val="2"/>
    </font>
    <font>
      <sz val="11"/>
      <color rgb="FF000000"/>
      <name val="Arial"/>
      <family val="2"/>
    </font>
    <font>
      <b/>
      <sz val="11"/>
      <color rgb="FF000000"/>
      <name val="Arial"/>
      <family val="2"/>
    </font>
  </fonts>
  <fills count="4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59">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indexed="64"/>
      </bottom>
      <diagonal/>
    </border>
  </borders>
  <cellStyleXfs count="628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173" fontId="5" fillId="0" borderId="0" applyFont="0" applyFill="0" applyBorder="0" applyAlignment="0" applyProtection="0"/>
    <xf numFmtId="0" fontId="6" fillId="0" borderId="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4" fontId="3" fillId="0" borderId="0"/>
    <xf numFmtId="167"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4" fontId="3" fillId="0" borderId="0"/>
    <xf numFmtId="44" fontId="5" fillId="0" borderId="0" applyFont="0" applyFill="0" applyBorder="0" applyAlignment="0" applyProtection="0"/>
    <xf numFmtId="169" fontId="7" fillId="0" borderId="0"/>
    <xf numFmtId="43" fontId="5" fillId="0" borderId="0" applyFont="0" applyFill="0" applyBorder="0" applyAlignment="0" applyProtection="0"/>
    <xf numFmtId="9" fontId="5" fillId="0" borderId="0" applyFont="0" applyFill="0" applyBorder="0" applyAlignment="0" applyProtection="0"/>
    <xf numFmtId="177" fontId="8" fillId="0" borderId="0">
      <protection locked="0"/>
    </xf>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10" fillId="18"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4" fillId="39" borderId="16" applyNumberFormat="0" applyAlignment="0" applyProtection="0"/>
    <xf numFmtId="0" fontId="14" fillId="39" borderId="16" applyNumberFormat="0" applyAlignment="0" applyProtection="0"/>
    <xf numFmtId="0" fontId="15" fillId="0" borderId="17" applyNumberFormat="0" applyFill="0" applyAlignment="0" applyProtection="0"/>
    <xf numFmtId="0" fontId="16" fillId="0" borderId="18" applyNumberFormat="0" applyFill="0" applyAlignment="0" applyProtection="0"/>
    <xf numFmtId="0" fontId="14" fillId="39" borderId="1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40"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35" borderId="0" applyNumberFormat="0" applyBorder="0" applyAlignment="0" applyProtection="0"/>
    <xf numFmtId="0" fontId="9" fillId="27" borderId="0" applyNumberFormat="0" applyBorder="0" applyAlignment="0" applyProtection="0"/>
    <xf numFmtId="0" fontId="9" fillId="3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3" borderId="0" applyNumberFormat="0" applyBorder="0" applyAlignment="0" applyProtection="0"/>
    <xf numFmtId="0" fontId="19" fillId="28" borderId="15" applyNumberFormat="0" applyAlignment="0" applyProtection="0"/>
    <xf numFmtId="0" fontId="19" fillId="22"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20" fillId="0" borderId="0" applyFont="0" applyFill="0" applyBorder="0" applyAlignment="0" applyProtection="0"/>
    <xf numFmtId="178" fontId="4" fillId="0" borderId="0" applyFont="0" applyFill="0" applyBorder="0" applyAlignment="0" applyProtection="0"/>
    <xf numFmtId="174" fontId="20" fillId="0" borderId="0" applyFont="0" applyFill="0" applyBorder="0" applyAlignment="0" applyProtection="0"/>
    <xf numFmtId="0" fontId="21" fillId="0" borderId="0" applyNumberFormat="0" applyFill="0" applyBorder="0" applyAlignment="0" applyProtection="0"/>
    <xf numFmtId="0" fontId="11" fillId="19" borderId="0" applyNumberFormat="0" applyBorder="0" applyAlignment="0" applyProtection="0"/>
    <xf numFmtId="0" fontId="22" fillId="0" borderId="19" applyNumberFormat="0" applyFill="0" applyAlignment="0" applyProtection="0"/>
    <xf numFmtId="0" fontId="23"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9" fillId="22" borderId="15" applyNumberFormat="0" applyAlignment="0" applyProtection="0"/>
    <xf numFmtId="0" fontId="16" fillId="0" borderId="18" applyNumberFormat="0" applyFill="0" applyAlignment="0" applyProtection="0"/>
    <xf numFmtId="176" fontId="5"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8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69" fontId="4" fillId="0" borderId="0" applyFont="0" applyFill="0" applyBorder="0" applyAlignment="0" applyProtection="0"/>
    <xf numFmtId="0" fontId="24" fillId="28" borderId="0" applyNumberFormat="0" applyBorder="0" applyAlignment="0" applyProtection="0"/>
    <xf numFmtId="0" fontId="25" fillId="28" borderId="0" applyNumberFormat="0" applyBorder="0" applyAlignment="0" applyProtection="0"/>
    <xf numFmtId="0" fontId="4" fillId="0" borderId="0"/>
    <xf numFmtId="0" fontId="5" fillId="0" borderId="0"/>
    <xf numFmtId="0" fontId="4" fillId="0" borderId="0"/>
    <xf numFmtId="0" fontId="4" fillId="0" borderId="0"/>
    <xf numFmtId="0" fontId="4" fillId="0" borderId="0"/>
    <xf numFmtId="0" fontId="3" fillId="0" borderId="0"/>
    <xf numFmtId="0" fontId="4" fillId="0" borderId="0"/>
    <xf numFmtId="0" fontId="5"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38" borderId="23" applyNumberFormat="0" applyAlignment="0" applyProtection="0"/>
    <xf numFmtId="0" fontId="26" fillId="37" borderId="2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0" borderId="25" applyNumberFormat="0" applyFill="0" applyAlignment="0" applyProtection="0"/>
    <xf numFmtId="0" fontId="23" fillId="0" borderId="20" applyNumberFormat="0" applyFill="0" applyAlignment="0" applyProtection="0"/>
    <xf numFmtId="0" fontId="17" fillId="0" borderId="26" applyNumberFormat="0" applyFill="0" applyAlignment="0" applyProtection="0"/>
    <xf numFmtId="0" fontId="18" fillId="0" borderId="21"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27" applyNumberFormat="0" applyFill="0" applyAlignment="0" applyProtection="0"/>
    <xf numFmtId="0" fontId="31" fillId="0" borderId="28" applyNumberFormat="0" applyFill="0" applyAlignment="0" applyProtection="0"/>
    <xf numFmtId="0" fontId="15"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3" fillId="0" borderId="0"/>
    <xf numFmtId="174" fontId="4" fillId="0" borderId="0"/>
    <xf numFmtId="174" fontId="5" fillId="0" borderId="0"/>
    <xf numFmtId="174" fontId="4" fillId="0" borderId="0"/>
    <xf numFmtId="174" fontId="4" fillId="0" borderId="0"/>
    <xf numFmtId="174" fontId="4" fillId="0" borderId="0"/>
    <xf numFmtId="174" fontId="4" fillId="0" borderId="0"/>
    <xf numFmtId="174" fontId="4" fillId="0" borderId="0"/>
    <xf numFmtId="174" fontId="3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74"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44" fontId="5" fillId="0" borderId="0" applyFont="0" applyFill="0" applyBorder="0" applyAlignment="0" applyProtection="0"/>
    <xf numFmtId="43" fontId="5" fillId="0" borderId="0" applyFont="0" applyFill="0" applyBorder="0" applyAlignment="0" applyProtection="0"/>
    <xf numFmtId="0" fontId="31" fillId="0" borderId="33" applyNumberFormat="0" applyFill="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2" borderId="29" applyNumberFormat="0" applyAlignment="0" applyProtection="0"/>
    <xf numFmtId="44" fontId="5" fillId="0" borderId="0" applyFont="0" applyFill="0" applyBorder="0" applyAlignment="0" applyProtection="0"/>
    <xf numFmtId="0" fontId="5" fillId="0" borderId="0"/>
    <xf numFmtId="170" fontId="4"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7" borderId="31" applyNumberFormat="0" applyAlignment="0" applyProtection="0"/>
    <xf numFmtId="0" fontId="31" fillId="0" borderId="32" applyNumberFormat="0" applyFill="0" applyAlignment="0" applyProtection="0"/>
    <xf numFmtId="0" fontId="31" fillId="0" borderId="33" applyNumberFormat="0" applyFill="0" applyAlignment="0" applyProtection="0"/>
    <xf numFmtId="166" fontId="3"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13" fillId="38" borderId="29" applyNumberFormat="0" applyAlignment="0" applyProtection="0"/>
    <xf numFmtId="43" fontId="3" fillId="0" borderId="0" applyFont="0" applyFill="0" applyBorder="0" applyAlignment="0" applyProtection="0"/>
    <xf numFmtId="0" fontId="13" fillId="38" borderId="29" applyNumberFormat="0" applyAlignment="0" applyProtection="0"/>
    <xf numFmtId="0" fontId="31" fillId="0" borderId="33" applyNumberFormat="0" applyFill="0" applyAlignment="0" applyProtection="0"/>
    <xf numFmtId="0" fontId="31" fillId="0" borderId="33" applyNumberFormat="0" applyFill="0" applyAlignment="0" applyProtection="0"/>
    <xf numFmtId="0" fontId="19" fillId="22"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43" fontId="3" fillId="0" borderId="0" applyFont="0" applyFill="0" applyBorder="0" applyAlignment="0" applyProtection="0"/>
    <xf numFmtId="0" fontId="19" fillId="28"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19" fillId="28" borderId="29" applyNumberFormat="0" applyAlignment="0" applyProtection="0"/>
    <xf numFmtId="0" fontId="31" fillId="0" borderId="33" applyNumberFormat="0" applyFill="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13" fillId="38"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7" borderId="31" applyNumberFormat="0" applyAlignment="0" applyProtection="0"/>
    <xf numFmtId="0" fontId="13" fillId="38" borderId="29"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26" fillId="37" borderId="31"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12" fillId="37"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9" fillId="28" borderId="29" applyNumberFormat="0" applyAlignment="0" applyProtection="0"/>
    <xf numFmtId="0" fontId="26" fillId="37"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0" fontId="19" fillId="22" borderId="29"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0" fontId="13" fillId="3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0" fontId="13" fillId="38" borderId="29"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4" fillId="25" borderId="30" applyNumberFormat="0" applyFont="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19" fillId="28"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19" fillId="28"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43" fontId="3" fillId="0" borderId="0" applyFont="0" applyFill="0" applyBorder="0" applyAlignment="0" applyProtection="0"/>
    <xf numFmtId="0" fontId="26" fillId="37" borderId="31" applyNumberFormat="0" applyAlignment="0" applyProtection="0"/>
    <xf numFmtId="0" fontId="31" fillId="0" borderId="32"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13" fillId="38"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31" fillId="0" borderId="32" applyNumberFormat="0" applyFill="0" applyAlignment="0" applyProtection="0"/>
    <xf numFmtId="43"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12" fillId="37" borderId="29" applyNumberFormat="0" applyAlignment="0" applyProtection="0"/>
    <xf numFmtId="43" fontId="3" fillId="0" borderId="0" applyFont="0" applyFill="0" applyBorder="0" applyAlignment="0" applyProtection="0"/>
    <xf numFmtId="0" fontId="26" fillId="38" borderId="31" applyNumberFormat="0" applyAlignment="0" applyProtection="0"/>
    <xf numFmtId="0" fontId="19" fillId="28" borderId="29" applyNumberFormat="0" applyAlignment="0" applyProtection="0"/>
    <xf numFmtId="0" fontId="4" fillId="25" borderId="30" applyNumberFormat="0" applyFont="0" applyAlignment="0" applyProtection="0"/>
    <xf numFmtId="0" fontId="26" fillId="37"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19" fillId="28"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2" fillId="37"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12" fillId="37" borderId="29" applyNumberFormat="0" applyAlignment="0" applyProtection="0"/>
    <xf numFmtId="0" fontId="4" fillId="25" borderId="30" applyNumberFormat="0" applyFon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166" fontId="3" fillId="0" borderId="0" applyFont="0" applyFill="0" applyBorder="0" applyAlignment="0" applyProtection="0"/>
    <xf numFmtId="0" fontId="5"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3" fillId="38" borderId="29" applyNumberFormat="0" applyAlignment="0" applyProtection="0"/>
    <xf numFmtId="0" fontId="26" fillId="37"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19" fillId="2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4"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43" fontId="3" fillId="0" borderId="0" applyFont="0" applyFill="0" applyBorder="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8" borderId="31" applyNumberFormat="0" applyAlignment="0" applyProtection="0"/>
    <xf numFmtId="0" fontId="19" fillId="22"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3" applyNumberFormat="0" applyFill="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26" fillId="38" borderId="31" applyNumberFormat="0" applyAlignment="0" applyProtection="0"/>
    <xf numFmtId="43" fontId="3" fillId="0" borderId="0" applyFont="0" applyFill="0" applyBorder="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43" fontId="3" fillId="0" borderId="0" applyFont="0" applyFill="0" applyBorder="0" applyAlignment="0" applyProtection="0"/>
    <xf numFmtId="0" fontId="19" fillId="22" borderId="29" applyNumberFormat="0" applyAlignment="0" applyProtection="0"/>
    <xf numFmtId="0" fontId="5" fillId="25" borderId="30" applyNumberFormat="0" applyFont="0" applyAlignment="0" applyProtection="0"/>
    <xf numFmtId="166" fontId="3" fillId="0" borderId="0" applyFont="0" applyFill="0" applyBorder="0" applyAlignment="0" applyProtection="0"/>
    <xf numFmtId="0" fontId="13" fillId="38" borderId="29" applyNumberFormat="0" applyAlignment="0" applyProtection="0"/>
    <xf numFmtId="0" fontId="13" fillId="38"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8" borderId="31" applyNumberFormat="0" applyAlignment="0" applyProtection="0"/>
    <xf numFmtId="0" fontId="5"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19" fillId="28"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8"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0" fontId="19" fillId="2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31" fillId="0" borderId="33" applyNumberFormat="0" applyFill="0" applyAlignment="0" applyProtection="0"/>
    <xf numFmtId="0" fontId="19" fillId="28"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5"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19" fillId="28" borderId="29" applyNumberFormat="0" applyAlignment="0" applyProtection="0"/>
    <xf numFmtId="0" fontId="26" fillId="38" borderId="31" applyNumberFormat="0" applyAlignment="0" applyProtection="0"/>
    <xf numFmtId="0" fontId="26" fillId="37" borderId="31"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26" fillId="37" borderId="31"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0" fontId="31" fillId="0" borderId="33"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6" fillId="0" borderId="0"/>
    <xf numFmtId="43" fontId="3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34"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44" fontId="5" fillId="0" borderId="0" applyFont="0" applyFill="0" applyBorder="0" applyAlignment="0" applyProtection="0"/>
    <xf numFmtId="0" fontId="26" fillId="38" borderId="23" applyNumberFormat="0" applyAlignment="0" applyProtection="0"/>
    <xf numFmtId="43" fontId="3" fillId="0" borderId="0" applyFont="0" applyFill="0" applyBorder="0" applyAlignment="0" applyProtection="0"/>
    <xf numFmtId="0" fontId="5" fillId="25" borderId="22" applyNumberFormat="0" applyFont="0" applyAlignment="0" applyProtection="0"/>
    <xf numFmtId="0" fontId="19" fillId="22" borderId="15" applyNumberFormat="0" applyAlignment="0" applyProtection="0"/>
    <xf numFmtId="170" fontId="4" fillId="0" borderId="0" applyFont="0" applyFill="0" applyBorder="0" applyAlignment="0" applyProtection="0"/>
    <xf numFmtId="44" fontId="5" fillId="0" borderId="0" applyFont="0" applyFill="0" applyBorder="0" applyAlignment="0" applyProtection="0"/>
    <xf numFmtId="170" fontId="4" fillId="0" borderId="0" applyFont="0" applyFill="0" applyBorder="0" applyAlignment="0" applyProtection="0"/>
    <xf numFmtId="0" fontId="5" fillId="25" borderId="22" applyNumberFormat="0" applyFont="0" applyAlignment="0" applyProtection="0"/>
    <xf numFmtId="0" fontId="31" fillId="0" borderId="28" applyNumberFormat="0" applyFill="0" applyAlignment="0" applyProtection="0"/>
    <xf numFmtId="44" fontId="5" fillId="0" borderId="0" applyFont="0" applyFill="0" applyBorder="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44" fontId="5"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9" fillId="28"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9" fillId="22"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19" fillId="22"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166" fontId="3" fillId="0" borderId="0" applyFont="0" applyFill="0" applyBorder="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3" fillId="3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4"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165" fontId="3" fillId="0" borderId="0" applyFont="0" applyFill="0" applyBorder="0" applyAlignment="0" applyProtection="0"/>
  </cellStyleXfs>
  <cellXfs count="707">
    <xf numFmtId="0" fontId="0" fillId="0" borderId="0" xfId="0"/>
    <xf numFmtId="0" fontId="35" fillId="2" borderId="0" xfId="0" applyFont="1" applyFill="1" applyBorder="1"/>
    <xf numFmtId="0" fontId="36" fillId="2" borderId="0" xfId="0" applyFont="1" applyFill="1" applyBorder="1" applyAlignment="1"/>
    <xf numFmtId="0" fontId="35" fillId="2" borderId="0" xfId="0" applyFont="1" applyFill="1" applyBorder="1" applyAlignment="1">
      <alignment horizontal="justify" vertical="center"/>
    </xf>
    <xf numFmtId="0" fontId="38" fillId="2" borderId="2" xfId="0" applyFont="1" applyFill="1" applyBorder="1" applyAlignment="1">
      <alignment vertical="center"/>
    </xf>
    <xf numFmtId="0" fontId="38" fillId="0" borderId="2" xfId="0" applyFont="1" applyFill="1" applyBorder="1" applyAlignment="1">
      <alignment vertical="center"/>
    </xf>
    <xf numFmtId="0" fontId="36" fillId="0" borderId="0" xfId="0" applyFont="1" applyFill="1" applyBorder="1" applyAlignment="1">
      <alignment vertical="distributed"/>
    </xf>
    <xf numFmtId="0" fontId="36" fillId="2" borderId="0" xfId="0" applyFont="1" applyFill="1" applyBorder="1" applyAlignment="1">
      <alignment horizontal="center" vertical="center"/>
    </xf>
    <xf numFmtId="0" fontId="36" fillId="5" borderId="2" xfId="0" applyFont="1" applyFill="1" applyBorder="1" applyAlignment="1">
      <alignment vertical="center" wrapText="1"/>
    </xf>
    <xf numFmtId="0" fontId="36" fillId="4" borderId="2" xfId="0" applyFont="1" applyFill="1" applyBorder="1" applyAlignment="1">
      <alignment vertical="center" wrapText="1"/>
    </xf>
    <xf numFmtId="0" fontId="36" fillId="6" borderId="2" xfId="0" applyFont="1" applyFill="1" applyBorder="1" applyAlignment="1">
      <alignment vertical="center" wrapText="1"/>
    </xf>
    <xf numFmtId="3" fontId="38" fillId="3" borderId="2" xfId="53" applyNumberFormat="1" applyFont="1" applyFill="1" applyBorder="1" applyAlignment="1">
      <alignment horizontal="center" vertical="center" wrapText="1"/>
    </xf>
    <xf numFmtId="4" fontId="38" fillId="3" borderId="2" xfId="53" applyNumberFormat="1" applyFont="1" applyFill="1" applyBorder="1" applyAlignment="1">
      <alignment horizontal="center" vertical="center" wrapText="1"/>
    </xf>
    <xf numFmtId="43" fontId="38" fillId="3" borderId="2" xfId="53" applyFont="1" applyFill="1" applyBorder="1" applyAlignment="1">
      <alignment horizontal="center" vertical="center" wrapText="1"/>
    </xf>
    <xf numFmtId="4" fontId="38" fillId="3" borderId="8" xfId="53" applyNumberFormat="1" applyFont="1" applyFill="1" applyBorder="1" applyAlignment="1">
      <alignment horizontal="center" vertical="center" wrapText="1"/>
    </xf>
    <xf numFmtId="3" fontId="38" fillId="10" borderId="2" xfId="53" applyNumberFormat="1" applyFont="1" applyFill="1" applyBorder="1" applyAlignment="1">
      <alignment horizontal="center" vertical="center"/>
    </xf>
    <xf numFmtId="0" fontId="36" fillId="5" borderId="1" xfId="0" applyFont="1" applyFill="1" applyBorder="1" applyAlignment="1">
      <alignment vertical="center" wrapText="1"/>
    </xf>
    <xf numFmtId="0" fontId="36" fillId="4" borderId="4" xfId="0" applyFont="1" applyFill="1" applyBorder="1" applyAlignment="1">
      <alignment vertical="center" wrapText="1"/>
    </xf>
    <xf numFmtId="0" fontId="36" fillId="6" borderId="11" xfId="0" applyFont="1" applyFill="1" applyBorder="1" applyAlignment="1">
      <alignment vertical="center" wrapText="1"/>
    </xf>
    <xf numFmtId="0" fontId="38" fillId="3" borderId="11" xfId="0" applyFont="1" applyFill="1" applyBorder="1" applyAlignment="1">
      <alignment horizontal="center" vertical="center" wrapText="1"/>
    </xf>
    <xf numFmtId="0" fontId="38" fillId="3" borderId="11" xfId="0" applyNumberFormat="1" applyFont="1" applyFill="1" applyBorder="1" applyAlignment="1">
      <alignment horizontal="center" vertical="center" wrapText="1"/>
    </xf>
    <xf numFmtId="0" fontId="38" fillId="3" borderId="11" xfId="0" applyFont="1" applyFill="1" applyBorder="1" applyAlignment="1">
      <alignment horizontal="center" vertical="center"/>
    </xf>
    <xf numFmtId="0" fontId="39" fillId="3" borderId="11" xfId="0" applyNumberFormat="1" applyFont="1" applyFill="1" applyBorder="1" applyAlignment="1">
      <alignment horizontal="center" vertical="center" wrapText="1"/>
    </xf>
    <xf numFmtId="10" fontId="38" fillId="3" borderId="1" xfId="0" applyNumberFormat="1" applyFont="1" applyFill="1" applyBorder="1" applyAlignment="1">
      <alignment horizontal="center" vertical="center" wrapText="1"/>
    </xf>
    <xf numFmtId="4" fontId="38" fillId="3" borderId="11" xfId="53" applyNumberFormat="1" applyFont="1" applyFill="1" applyBorder="1" applyAlignment="1">
      <alignment horizontal="center" vertical="center" wrapText="1"/>
    </xf>
    <xf numFmtId="3" fontId="38" fillId="10" borderId="11" xfId="53" applyNumberFormat="1" applyFont="1" applyFill="1" applyBorder="1" applyAlignment="1">
      <alignment horizontal="center" vertical="center"/>
    </xf>
    <xf numFmtId="3" fontId="38" fillId="10" borderId="11" xfId="0" applyNumberFormat="1" applyFont="1" applyFill="1" applyBorder="1" applyAlignment="1">
      <alignment horizontal="center" vertical="center" wrapText="1"/>
    </xf>
    <xf numFmtId="3" fontId="38" fillId="7" borderId="11" xfId="53" applyNumberFormat="1" applyFont="1" applyFill="1" applyBorder="1" applyAlignment="1">
      <alignment horizontal="center" vertical="center"/>
    </xf>
    <xf numFmtId="3" fontId="38" fillId="7" borderId="11" xfId="0" applyNumberFormat="1" applyFont="1" applyFill="1" applyBorder="1" applyAlignment="1">
      <alignment horizontal="center" vertical="center" wrapText="1"/>
    </xf>
    <xf numFmtId="3" fontId="38" fillId="11" borderId="11" xfId="53" applyNumberFormat="1" applyFont="1" applyFill="1" applyBorder="1" applyAlignment="1">
      <alignment horizontal="center" vertical="center"/>
    </xf>
    <xf numFmtId="3" fontId="38" fillId="11" borderId="11"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6" fillId="5" borderId="4" xfId="0" applyFont="1" applyFill="1" applyBorder="1" applyAlignment="1">
      <alignment vertical="center"/>
    </xf>
    <xf numFmtId="0" fontId="36" fillId="5" borderId="11" xfId="0" applyFont="1" applyFill="1" applyBorder="1" applyAlignment="1">
      <alignment horizontal="center" vertical="center"/>
    </xf>
    <xf numFmtId="0" fontId="36" fillId="5" borderId="11" xfId="0" applyFont="1" applyFill="1" applyBorder="1" applyAlignment="1">
      <alignment vertical="center"/>
    </xf>
    <xf numFmtId="0" fontId="36" fillId="5" borderId="11" xfId="0" applyFont="1" applyFill="1" applyBorder="1" applyAlignment="1">
      <alignment horizontal="center" vertical="center" wrapText="1"/>
    </xf>
    <xf numFmtId="0" fontId="37" fillId="5" borderId="11" xfId="0" applyFont="1" applyFill="1" applyBorder="1" applyAlignment="1">
      <alignment horizontal="center" vertical="center"/>
    </xf>
    <xf numFmtId="0" fontId="37" fillId="5" borderId="11" xfId="0" applyFont="1" applyFill="1" applyBorder="1" applyAlignment="1">
      <alignment vertical="center"/>
    </xf>
    <xf numFmtId="10" fontId="36" fillId="5" borderId="1" xfId="0" applyNumberFormat="1" applyFont="1" applyFill="1" applyBorder="1" applyAlignment="1">
      <alignment horizontal="center" vertical="center"/>
    </xf>
    <xf numFmtId="43" fontId="36" fillId="5" borderId="2" xfId="53" applyFont="1" applyFill="1" applyBorder="1" applyAlignment="1">
      <alignment vertical="center"/>
    </xf>
    <xf numFmtId="43" fontId="36" fillId="5" borderId="11" xfId="53" applyFont="1" applyFill="1" applyBorder="1" applyAlignment="1">
      <alignment vertical="center"/>
    </xf>
    <xf numFmtId="43" fontId="36" fillId="5" borderId="9" xfId="53" applyFont="1" applyFill="1" applyBorder="1" applyAlignment="1">
      <alignment horizontal="right" vertical="center"/>
    </xf>
    <xf numFmtId="0" fontId="36" fillId="4" borderId="2" xfId="0" applyFont="1" applyFill="1" applyBorder="1" applyAlignment="1">
      <alignment horizontal="left" vertical="center" wrapText="1"/>
    </xf>
    <xf numFmtId="0" fontId="36" fillId="4" borderId="8" xfId="0" applyFont="1" applyFill="1" applyBorder="1" applyAlignment="1">
      <alignment vertical="center"/>
    </xf>
    <xf numFmtId="0" fontId="36" fillId="4" borderId="8"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36" fillId="4" borderId="9" xfId="0" applyFont="1" applyFill="1" applyBorder="1" applyAlignment="1">
      <alignment horizontal="center" vertical="center"/>
    </xf>
    <xf numFmtId="0" fontId="36" fillId="4" borderId="9" xfId="0" applyFont="1" applyFill="1" applyBorder="1" applyAlignment="1">
      <alignment vertical="center"/>
    </xf>
    <xf numFmtId="0" fontId="36" fillId="4" borderId="9" xfId="0" applyFont="1" applyFill="1" applyBorder="1" applyAlignment="1">
      <alignment horizontal="center" vertical="center" wrapText="1"/>
    </xf>
    <xf numFmtId="0" fontId="37" fillId="4" borderId="9" xfId="0" applyFont="1" applyFill="1" applyBorder="1" applyAlignment="1">
      <alignment horizontal="center" vertical="center"/>
    </xf>
    <xf numFmtId="0" fontId="37" fillId="4" borderId="9" xfId="0" applyFont="1" applyFill="1" applyBorder="1" applyAlignment="1">
      <alignment vertical="center"/>
    </xf>
    <xf numFmtId="10" fontId="36" fillId="4" borderId="2" xfId="0" applyNumberFormat="1" applyFont="1" applyFill="1" applyBorder="1" applyAlignment="1">
      <alignment horizontal="center" vertical="center"/>
    </xf>
    <xf numFmtId="43" fontId="36" fillId="4" borderId="2" xfId="53" applyFont="1" applyFill="1" applyBorder="1" applyAlignment="1">
      <alignment vertical="center"/>
    </xf>
    <xf numFmtId="43" fontId="36" fillId="4" borderId="9" xfId="53" applyFont="1" applyFill="1" applyBorder="1" applyAlignment="1">
      <alignment vertical="center"/>
    </xf>
    <xf numFmtId="43" fontId="36" fillId="4" borderId="9" xfId="53" applyFont="1" applyFill="1" applyBorder="1" applyAlignment="1">
      <alignment horizontal="right" vertical="center"/>
    </xf>
    <xf numFmtId="0" fontId="36" fillId="2" borderId="3" xfId="0" applyFont="1" applyFill="1" applyBorder="1" applyAlignment="1">
      <alignment vertical="center" wrapText="1"/>
    </xf>
    <xf numFmtId="0" fontId="36" fillId="6" borderId="2" xfId="0" applyFont="1" applyFill="1" applyBorder="1" applyAlignment="1">
      <alignment horizontal="center" vertical="center" wrapText="1"/>
    </xf>
    <xf numFmtId="0" fontId="36" fillId="6" borderId="8" xfId="0" applyFont="1" applyFill="1" applyBorder="1" applyAlignment="1">
      <alignment vertical="center"/>
    </xf>
    <xf numFmtId="0" fontId="36" fillId="6" borderId="2" xfId="0" applyFont="1" applyFill="1" applyBorder="1" applyAlignment="1">
      <alignment horizontal="left" vertical="center" wrapText="1"/>
    </xf>
    <xf numFmtId="0" fontId="36" fillId="6" borderId="9" xfId="0" applyFont="1" applyFill="1" applyBorder="1" applyAlignment="1">
      <alignment horizontal="center" vertical="center" wrapText="1"/>
    </xf>
    <xf numFmtId="0" fontId="36" fillId="6" borderId="9" xfId="0" applyFont="1" applyFill="1" applyBorder="1" applyAlignment="1">
      <alignment vertical="center"/>
    </xf>
    <xf numFmtId="0" fontId="36" fillId="6" borderId="9"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9" xfId="0" applyFont="1" applyFill="1" applyBorder="1" applyAlignment="1">
      <alignment vertical="center"/>
    </xf>
    <xf numFmtId="10" fontId="36" fillId="6" borderId="2" xfId="0" applyNumberFormat="1" applyFont="1" applyFill="1" applyBorder="1" applyAlignment="1">
      <alignment horizontal="center" vertical="center"/>
    </xf>
    <xf numFmtId="43" fontId="36" fillId="6" borderId="2" xfId="53" applyFont="1" applyFill="1" applyBorder="1" applyAlignment="1">
      <alignment vertical="center"/>
    </xf>
    <xf numFmtId="43" fontId="36" fillId="6" borderId="9" xfId="53" applyFont="1" applyFill="1" applyBorder="1" applyAlignment="1">
      <alignment vertical="center"/>
    </xf>
    <xf numFmtId="43" fontId="36" fillId="6" borderId="9" xfId="53" applyFont="1" applyFill="1" applyBorder="1" applyAlignment="1">
      <alignment horizontal="right" vertical="center"/>
    </xf>
    <xf numFmtId="0" fontId="35" fillId="2" borderId="2" xfId="0" applyFont="1" applyFill="1" applyBorder="1" applyAlignment="1">
      <alignment vertical="center"/>
    </xf>
    <xf numFmtId="0" fontId="35" fillId="2" borderId="2" xfId="0" applyFont="1" applyFill="1" applyBorder="1" applyAlignment="1">
      <alignment horizontal="justify" vertical="center" wrapText="1"/>
    </xf>
    <xf numFmtId="0" fontId="35" fillId="0" borderId="2" xfId="0" applyFont="1" applyBorder="1" applyAlignment="1">
      <alignment horizontal="center" vertical="center"/>
    </xf>
    <xf numFmtId="0" fontId="35" fillId="0" borderId="7" xfId="0" applyFont="1" applyFill="1" applyBorder="1" applyAlignment="1">
      <alignment horizontal="center" vertical="center" wrapText="1"/>
    </xf>
    <xf numFmtId="0" fontId="35" fillId="0" borderId="2" xfId="0" applyFont="1" applyFill="1" applyBorder="1" applyAlignment="1">
      <alignment horizontal="justify" vertical="center" wrapText="1"/>
    </xf>
    <xf numFmtId="0" fontId="35" fillId="0" borderId="8"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10" fontId="35" fillId="0" borderId="2" xfId="54"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43" fontId="35" fillId="0" borderId="8" xfId="53" applyFont="1" applyFill="1" applyBorder="1" applyAlignment="1">
      <alignment vertical="center" wrapText="1"/>
    </xf>
    <xf numFmtId="43" fontId="35" fillId="0" borderId="2" xfId="53" applyFont="1" applyBorder="1" applyAlignment="1">
      <alignment vertical="center"/>
    </xf>
    <xf numFmtId="43" fontId="35" fillId="2" borderId="8" xfId="53" applyFont="1" applyFill="1" applyBorder="1" applyAlignment="1">
      <alignment horizontal="right" vertical="center" wrapText="1"/>
    </xf>
    <xf numFmtId="43" fontId="35" fillId="0" borderId="8" xfId="53" applyFont="1" applyFill="1" applyBorder="1" applyAlignment="1">
      <alignment horizontal="right" vertical="center" wrapText="1"/>
    </xf>
    <xf numFmtId="0" fontId="35" fillId="2" borderId="0" xfId="0" applyFont="1" applyFill="1" applyBorder="1" applyAlignment="1">
      <alignment vertical="center"/>
    </xf>
    <xf numFmtId="0" fontId="35" fillId="0" borderId="2" xfId="0" applyFont="1" applyBorder="1" applyAlignment="1">
      <alignment horizontal="center" vertical="center" wrapText="1"/>
    </xf>
    <xf numFmtId="0" fontId="35" fillId="2" borderId="8" xfId="0"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43" fontId="35" fillId="2" borderId="8" xfId="53" applyFont="1" applyFill="1" applyBorder="1" applyAlignment="1">
      <alignment horizontal="right" vertical="center"/>
    </xf>
    <xf numFmtId="0" fontId="35" fillId="2" borderId="3" xfId="0" applyFont="1" applyFill="1" applyBorder="1" applyAlignment="1">
      <alignment horizontal="center" vertical="center"/>
    </xf>
    <xf numFmtId="0" fontId="35" fillId="0" borderId="1" xfId="0" applyFont="1" applyBorder="1" applyAlignment="1">
      <alignment horizontal="center" vertical="center"/>
    </xf>
    <xf numFmtId="0" fontId="35" fillId="2" borderId="2" xfId="0" applyFont="1" applyFill="1" applyBorder="1" applyAlignment="1">
      <alignment horizontal="center" vertical="center"/>
    </xf>
    <xf numFmtId="0" fontId="36" fillId="6" borderId="8" xfId="0" applyFont="1" applyFill="1" applyBorder="1" applyAlignment="1">
      <alignment horizontal="left" vertical="center"/>
    </xf>
    <xf numFmtId="0" fontId="36" fillId="6" borderId="9" xfId="0" applyFont="1" applyFill="1" applyBorder="1" applyAlignment="1">
      <alignment horizontal="left" vertical="center" wrapText="1"/>
    </xf>
    <xf numFmtId="0" fontId="36" fillId="6" borderId="9" xfId="0" applyFont="1" applyFill="1" applyBorder="1" applyAlignment="1">
      <alignment vertical="center" wrapText="1"/>
    </xf>
    <xf numFmtId="0" fontId="37" fillId="6" borderId="9" xfId="0" applyFont="1" applyFill="1" applyBorder="1" applyAlignment="1">
      <alignment horizontal="center" vertical="center" wrapText="1"/>
    </xf>
    <xf numFmtId="0" fontId="37" fillId="6" borderId="9" xfId="0" applyFont="1" applyFill="1" applyBorder="1" applyAlignment="1">
      <alignment vertical="center" wrapText="1"/>
    </xf>
    <xf numFmtId="10" fontId="36" fillId="6" borderId="9" xfId="0" applyNumberFormat="1" applyFont="1" applyFill="1" applyBorder="1" applyAlignment="1">
      <alignment horizontal="center" vertical="center" wrapText="1"/>
    </xf>
    <xf numFmtId="43" fontId="36" fillId="6" borderId="2" xfId="53" applyFont="1" applyFill="1" applyBorder="1" applyAlignment="1">
      <alignment vertical="center" wrapText="1"/>
    </xf>
    <xf numFmtId="43" fontId="36" fillId="6" borderId="9" xfId="53" applyFont="1" applyFill="1" applyBorder="1" applyAlignment="1">
      <alignment vertical="center" wrapText="1"/>
    </xf>
    <xf numFmtId="43" fontId="36" fillId="6" borderId="9" xfId="53" applyFont="1" applyFill="1" applyBorder="1" applyAlignment="1">
      <alignment horizontal="right" vertical="center" wrapText="1"/>
    </xf>
    <xf numFmtId="0" fontId="36" fillId="6" borderId="9" xfId="0" applyFont="1" applyFill="1" applyBorder="1" applyAlignment="1">
      <alignment horizontal="justify" vertical="center" wrapText="1"/>
    </xf>
    <xf numFmtId="43" fontId="35" fillId="0" borderId="8" xfId="53" applyFont="1" applyBorder="1" applyAlignment="1">
      <alignment vertical="center"/>
    </xf>
    <xf numFmtId="43" fontId="35" fillId="0" borderId="8" xfId="53" applyFont="1" applyBorder="1" applyAlignment="1">
      <alignment horizontal="right" vertical="center"/>
    </xf>
    <xf numFmtId="0" fontId="35" fillId="2" borderId="3" xfId="0" applyFont="1" applyFill="1" applyBorder="1" applyAlignment="1">
      <alignment vertical="center" wrapText="1"/>
    </xf>
    <xf numFmtId="0" fontId="35" fillId="0" borderId="3" xfId="0" applyFont="1" applyBorder="1" applyAlignment="1"/>
    <xf numFmtId="43" fontId="35" fillId="2" borderId="8" xfId="53" applyFont="1" applyFill="1" applyBorder="1" applyAlignment="1">
      <alignment vertical="center"/>
    </xf>
    <xf numFmtId="0" fontId="35" fillId="2" borderId="1" xfId="0" applyFont="1" applyFill="1" applyBorder="1" applyAlignment="1">
      <alignment vertical="center" wrapText="1"/>
    </xf>
    <xf numFmtId="0" fontId="35" fillId="0" borderId="8" xfId="0" applyNumberFormat="1" applyFont="1" applyFill="1" applyBorder="1" applyAlignment="1">
      <alignment horizontal="center" vertical="center" wrapText="1"/>
    </xf>
    <xf numFmtId="43" fontId="35" fillId="0" borderId="2" xfId="53" applyFont="1" applyBorder="1" applyAlignment="1">
      <alignment horizontal="right" vertical="center"/>
    </xf>
    <xf numFmtId="0" fontId="35" fillId="2" borderId="8" xfId="0" applyFont="1" applyFill="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172" fontId="35" fillId="2" borderId="2" xfId="54" applyNumberFormat="1" applyFont="1" applyFill="1" applyBorder="1" applyAlignment="1">
      <alignment horizontal="justify" vertical="center" wrapText="1"/>
    </xf>
    <xf numFmtId="0" fontId="35" fillId="2" borderId="8" xfId="53" applyNumberFormat="1" applyFont="1" applyFill="1" applyBorder="1" applyAlignment="1">
      <alignment horizontal="center" vertical="center" wrapText="1"/>
    </xf>
    <xf numFmtId="0" fontId="35" fillId="0" borderId="2" xfId="53" applyNumberFormat="1" applyFont="1" applyFill="1" applyBorder="1" applyAlignment="1">
      <alignment horizontal="center" vertical="center" wrapText="1"/>
    </xf>
    <xf numFmtId="43" fontId="35" fillId="2" borderId="8" xfId="53" applyFont="1" applyFill="1" applyBorder="1" applyAlignment="1">
      <alignment vertical="center" wrapText="1"/>
    </xf>
    <xf numFmtId="0" fontId="35" fillId="2" borderId="3" xfId="0" applyFont="1" applyFill="1" applyBorder="1" applyAlignment="1">
      <alignment horizontal="justify" vertical="center" wrapText="1"/>
    </xf>
    <xf numFmtId="0" fontId="36" fillId="6" borderId="8" xfId="0" applyFont="1" applyFill="1" applyBorder="1" applyAlignment="1">
      <alignment horizontal="center" vertical="center" wrapText="1"/>
    </xf>
    <xf numFmtId="10" fontId="35" fillId="0" borderId="8" xfId="54" applyNumberFormat="1" applyFont="1" applyFill="1" applyBorder="1" applyAlignment="1">
      <alignment horizontal="center" vertical="center" wrapText="1"/>
    </xf>
    <xf numFmtId="9" fontId="35" fillId="2" borderId="2" xfId="54" applyFont="1" applyFill="1" applyBorder="1" applyAlignment="1">
      <alignment horizontal="center" vertical="center" wrapText="1"/>
    </xf>
    <xf numFmtId="0" fontId="36" fillId="2" borderId="1" xfId="0" applyFont="1" applyFill="1" applyBorder="1" applyAlignment="1">
      <alignment vertical="center" wrapText="1"/>
    </xf>
    <xf numFmtId="0" fontId="40" fillId="2" borderId="2" xfId="0" applyFont="1" applyFill="1" applyBorder="1" applyAlignment="1">
      <alignment horizontal="center" vertical="center" wrapText="1"/>
    </xf>
    <xf numFmtId="0" fontId="36" fillId="5" borderId="2" xfId="0" applyFont="1" applyFill="1" applyBorder="1" applyAlignment="1">
      <alignment horizontal="left" vertical="center" wrapText="1"/>
    </xf>
    <xf numFmtId="0" fontId="36" fillId="5" borderId="8" xfId="0" applyFont="1" applyFill="1" applyBorder="1" applyAlignment="1">
      <alignment vertical="center"/>
    </xf>
    <xf numFmtId="0" fontId="36" fillId="5" borderId="9" xfId="0" applyFont="1" applyFill="1" applyBorder="1" applyAlignment="1">
      <alignment horizontal="center" vertical="center"/>
    </xf>
    <xf numFmtId="0" fontId="36" fillId="5" borderId="9" xfId="0" applyFont="1" applyFill="1" applyBorder="1" applyAlignment="1">
      <alignment vertical="center"/>
    </xf>
    <xf numFmtId="0" fontId="36" fillId="5" borderId="9" xfId="0" applyFont="1" applyFill="1" applyBorder="1" applyAlignment="1">
      <alignment horizontal="center" vertical="center" wrapText="1"/>
    </xf>
    <xf numFmtId="0" fontId="37" fillId="5" borderId="9" xfId="0" applyFont="1" applyFill="1" applyBorder="1" applyAlignment="1">
      <alignment horizontal="center" vertical="center"/>
    </xf>
    <xf numFmtId="0" fontId="37" fillId="5" borderId="9" xfId="0" applyFont="1" applyFill="1" applyBorder="1" applyAlignment="1">
      <alignment vertical="center"/>
    </xf>
    <xf numFmtId="10" fontId="36" fillId="5" borderId="9" xfId="0" applyNumberFormat="1" applyFont="1" applyFill="1" applyBorder="1" applyAlignment="1">
      <alignment horizontal="center" vertical="center"/>
    </xf>
    <xf numFmtId="43" fontId="36" fillId="5" borderId="9" xfId="53" applyFont="1" applyFill="1" applyBorder="1" applyAlignment="1">
      <alignment vertical="center"/>
    </xf>
    <xf numFmtId="0" fontId="36" fillId="4" borderId="8" xfId="0" applyFont="1" applyFill="1" applyBorder="1" applyAlignment="1">
      <alignment horizontal="left" vertical="center"/>
    </xf>
    <xf numFmtId="10" fontId="36" fillId="4" borderId="9" xfId="0" applyNumberFormat="1" applyFont="1" applyFill="1" applyBorder="1" applyAlignment="1">
      <alignment horizontal="center" vertical="center"/>
    </xf>
    <xf numFmtId="0" fontId="35" fillId="2" borderId="3" xfId="0" applyFont="1" applyFill="1" applyBorder="1" applyAlignment="1">
      <alignment vertical="center"/>
    </xf>
    <xf numFmtId="10" fontId="36" fillId="6" borderId="9"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10" fontId="35" fillId="0" borderId="2" xfId="0" applyNumberFormat="1" applyFont="1" applyFill="1" applyBorder="1" applyAlignment="1">
      <alignment horizontal="center" vertical="center" wrapText="1"/>
    </xf>
    <xf numFmtId="0" fontId="35" fillId="2" borderId="10" xfId="0" applyFont="1" applyFill="1" applyBorder="1" applyAlignment="1">
      <alignment vertical="center"/>
    </xf>
    <xf numFmtId="0" fontId="35" fillId="2" borderId="10" xfId="0" applyFont="1" applyFill="1" applyBorder="1" applyAlignment="1">
      <alignment vertical="justify" wrapText="1"/>
    </xf>
    <xf numFmtId="0" fontId="35" fillId="2" borderId="10"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6" borderId="4" xfId="0" applyFont="1" applyFill="1" applyBorder="1" applyAlignment="1">
      <alignment vertical="center"/>
    </xf>
    <xf numFmtId="0" fontId="36" fillId="6" borderId="11" xfId="0" applyFont="1" applyFill="1" applyBorder="1" applyAlignment="1">
      <alignment vertical="center"/>
    </xf>
    <xf numFmtId="0" fontId="36" fillId="6" borderId="7" xfId="0" applyFont="1" applyFill="1" applyBorder="1" applyAlignment="1">
      <alignment vertical="center"/>
    </xf>
    <xf numFmtId="43" fontId="36" fillId="6" borderId="8" xfId="53" applyFont="1" applyFill="1" applyBorder="1" applyAlignment="1">
      <alignment vertical="center"/>
    </xf>
    <xf numFmtId="43" fontId="36" fillId="6" borderId="2" xfId="53" applyFont="1" applyFill="1" applyBorder="1" applyAlignment="1">
      <alignment horizontal="right" vertical="center"/>
    </xf>
    <xf numFmtId="10" fontId="35" fillId="0"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xf>
    <xf numFmtId="0" fontId="35" fillId="0" borderId="3" xfId="0" applyFont="1" applyBorder="1" applyAlignment="1">
      <alignment horizontal="center" vertical="center" wrapText="1"/>
    </xf>
    <xf numFmtId="0" fontId="35" fillId="0" borderId="2" xfId="0" applyFont="1" applyFill="1" applyBorder="1" applyAlignment="1">
      <alignment vertical="center"/>
    </xf>
    <xf numFmtId="0" fontId="35" fillId="0" borderId="3" xfId="0" applyFont="1" applyFill="1" applyBorder="1" applyAlignment="1">
      <alignment vertical="center"/>
    </xf>
    <xf numFmtId="0" fontId="35" fillId="0" borderId="10" xfId="0" applyFont="1" applyFill="1" applyBorder="1" applyAlignment="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justify" vertical="center"/>
    </xf>
    <xf numFmtId="0" fontId="35" fillId="0" borderId="10" xfId="0" applyFont="1" applyFill="1" applyBorder="1"/>
    <xf numFmtId="43" fontId="35" fillId="0" borderId="8" xfId="53" applyFont="1" applyFill="1" applyBorder="1" applyAlignment="1">
      <alignment horizontal="right" vertical="center"/>
    </xf>
    <xf numFmtId="0" fontId="35" fillId="0" borderId="0" xfId="0" applyFont="1" applyFill="1" applyBorder="1"/>
    <xf numFmtId="0" fontId="35" fillId="0" borderId="0" xfId="0" applyFont="1" applyFill="1" applyBorder="1" applyAlignment="1">
      <alignment vertical="center"/>
    </xf>
    <xf numFmtId="0" fontId="35" fillId="0" borderId="1" xfId="0" applyFont="1" applyBorder="1" applyAlignment="1">
      <alignment horizontal="center" vertical="center" wrapText="1"/>
    </xf>
    <xf numFmtId="9" fontId="35" fillId="0" borderId="10" xfId="0" applyNumberFormat="1" applyFont="1" applyBorder="1" applyAlignment="1">
      <alignment horizontal="center" vertical="center"/>
    </xf>
    <xf numFmtId="0" fontId="35" fillId="0" borderId="1" xfId="0" applyFont="1" applyFill="1" applyBorder="1" applyAlignment="1">
      <alignment vertical="center" wrapText="1"/>
    </xf>
    <xf numFmtId="0" fontId="35" fillId="0" borderId="4" xfId="0" applyFont="1" applyFill="1" applyBorder="1" applyAlignment="1">
      <alignment horizontal="center" vertical="center" wrapText="1"/>
    </xf>
    <xf numFmtId="0" fontId="36" fillId="6" borderId="8" xfId="0" applyFont="1" applyFill="1" applyBorder="1" applyAlignment="1">
      <alignment horizontal="left" vertical="center" wrapText="1"/>
    </xf>
    <xf numFmtId="0" fontId="35" fillId="2" borderId="4"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43" fontId="35" fillId="0" borderId="4" xfId="53" applyFont="1" applyFill="1" applyBorder="1" applyAlignment="1">
      <alignment vertical="center" wrapText="1"/>
    </xf>
    <xf numFmtId="43" fontId="35" fillId="2" borderId="4" xfId="53" applyFont="1" applyFill="1" applyBorder="1" applyAlignment="1">
      <alignment vertical="center"/>
    </xf>
    <xf numFmtId="0" fontId="35" fillId="0" borderId="1" xfId="0" applyFont="1" applyBorder="1" applyAlignment="1">
      <alignment horizontal="center" wrapText="1"/>
    </xf>
    <xf numFmtId="3" fontId="35" fillId="2" borderId="2" xfId="0" applyNumberFormat="1" applyFont="1" applyFill="1" applyBorder="1" applyAlignment="1">
      <alignment horizontal="center" vertical="center" wrapText="1"/>
    </xf>
    <xf numFmtId="9" fontId="35" fillId="0" borderId="3" xfId="0" applyNumberFormat="1" applyFont="1" applyBorder="1" applyAlignment="1">
      <alignment horizontal="center" vertical="center"/>
    </xf>
    <xf numFmtId="0" fontId="37" fillId="6" borderId="11" xfId="0" applyFont="1" applyFill="1" applyBorder="1" applyAlignment="1">
      <alignment vertical="center" wrapText="1"/>
    </xf>
    <xf numFmtId="0" fontId="36" fillId="6" borderId="11" xfId="0" applyFont="1" applyFill="1" applyBorder="1" applyAlignment="1">
      <alignment horizontal="center" vertical="center" wrapText="1"/>
    </xf>
    <xf numFmtId="0" fontId="35" fillId="0" borderId="2" xfId="0" applyFont="1" applyBorder="1" applyAlignment="1">
      <alignment horizontal="center" wrapText="1"/>
    </xf>
    <xf numFmtId="10" fontId="35" fillId="0" borderId="4" xfId="54" applyNumberFormat="1" applyFont="1" applyFill="1" applyBorder="1" applyAlignment="1">
      <alignment horizontal="center" vertical="center" wrapText="1"/>
    </xf>
    <xf numFmtId="0" fontId="35" fillId="2" borderId="1" xfId="0" applyFont="1" applyFill="1" applyBorder="1" applyAlignment="1">
      <alignment horizontal="justify" wrapText="1"/>
    </xf>
    <xf numFmtId="10" fontId="35" fillId="0" borderId="3" xfId="0" applyNumberFormat="1" applyFont="1" applyBorder="1" applyAlignment="1">
      <alignment horizontal="center" vertical="center"/>
    </xf>
    <xf numFmtId="0" fontId="35" fillId="0" borderId="1" xfId="0" applyFont="1" applyBorder="1" applyAlignment="1">
      <alignment vertical="center"/>
    </xf>
    <xf numFmtId="9" fontId="35" fillId="0" borderId="1" xfId="0" applyNumberFormat="1" applyFont="1" applyBorder="1" applyAlignment="1">
      <alignment vertical="center"/>
    </xf>
    <xf numFmtId="0" fontId="35" fillId="6" borderId="2" xfId="0" applyFont="1" applyFill="1" applyBorder="1" applyAlignment="1">
      <alignment vertical="center"/>
    </xf>
    <xf numFmtId="0" fontId="35" fillId="6" borderId="0" xfId="0" applyFont="1" applyFill="1" applyBorder="1" applyAlignment="1">
      <alignment horizontal="center" vertical="center" wrapText="1"/>
    </xf>
    <xf numFmtId="0" fontId="36" fillId="6" borderId="8" xfId="0" applyFont="1" applyFill="1" applyBorder="1" applyAlignment="1">
      <alignment vertical="center" wrapText="1"/>
    </xf>
    <xf numFmtId="43" fontId="35" fillId="0" borderId="8" xfId="53" applyFont="1" applyFill="1" applyBorder="1" applyAlignment="1">
      <alignment vertical="center"/>
    </xf>
    <xf numFmtId="0" fontId="36" fillId="6" borderId="8" xfId="0" applyFont="1" applyFill="1" applyBorder="1" applyAlignment="1">
      <alignment horizontal="justify" vertical="center" wrapText="1"/>
    </xf>
    <xf numFmtId="0" fontId="37" fillId="6" borderId="9" xfId="0" applyNumberFormat="1" applyFont="1" applyFill="1" applyBorder="1" applyAlignment="1">
      <alignment horizontal="center" vertical="center" wrapText="1"/>
    </xf>
    <xf numFmtId="0" fontId="36" fillId="6" borderId="9" xfId="0" applyNumberFormat="1" applyFont="1" applyFill="1" applyBorder="1" applyAlignment="1">
      <alignment horizontal="center" vertical="center" wrapText="1"/>
    </xf>
    <xf numFmtId="0" fontId="35" fillId="2" borderId="2" xfId="0" applyFont="1" applyFill="1" applyBorder="1" applyAlignment="1">
      <alignment horizontal="justify" wrapText="1"/>
    </xf>
    <xf numFmtId="0" fontId="35" fillId="2" borderId="2" xfId="0" applyFont="1" applyFill="1" applyBorder="1" applyAlignment="1">
      <alignment horizontal="center" wrapText="1"/>
    </xf>
    <xf numFmtId="10" fontId="35" fillId="2" borderId="8" xfId="54" applyNumberFormat="1" applyFont="1" applyFill="1" applyBorder="1" applyAlignment="1">
      <alignment horizontal="center" vertical="center" wrapText="1"/>
    </xf>
    <xf numFmtId="0" fontId="35" fillId="2" borderId="1" xfId="0" applyFont="1" applyFill="1" applyBorder="1" applyAlignment="1">
      <alignment vertical="center"/>
    </xf>
    <xf numFmtId="43" fontId="35" fillId="0" borderId="0" xfId="53" applyFont="1" applyFill="1" applyBorder="1" applyAlignment="1">
      <alignment vertical="center"/>
    </xf>
    <xf numFmtId="0" fontId="35" fillId="0" borderId="7" xfId="0" applyFont="1" applyFill="1" applyBorder="1" applyAlignment="1">
      <alignment horizontal="center" vertical="center"/>
    </xf>
    <xf numFmtId="0" fontId="35" fillId="0" borderId="2" xfId="0" applyFont="1" applyFill="1" applyBorder="1" applyAlignment="1">
      <alignment horizontal="justify" vertical="center"/>
    </xf>
    <xf numFmtId="0" fontId="35" fillId="0" borderId="2" xfId="0" applyFont="1" applyFill="1" applyBorder="1" applyAlignment="1">
      <alignment horizontal="center" vertical="center"/>
    </xf>
    <xf numFmtId="43" fontId="35" fillId="9" borderId="2" xfId="53" applyFont="1" applyFill="1" applyBorder="1" applyAlignment="1">
      <alignment vertical="center"/>
    </xf>
    <xf numFmtId="9" fontId="35" fillId="0" borderId="1" xfId="0" applyNumberFormat="1" applyFont="1" applyBorder="1" applyAlignment="1">
      <alignment horizontal="center" vertical="center"/>
    </xf>
    <xf numFmtId="0" fontId="41" fillId="2" borderId="8" xfId="0" applyFont="1" applyFill="1" applyBorder="1" applyAlignment="1">
      <alignment horizontal="center" vertical="center" wrapText="1"/>
    </xf>
    <xf numFmtId="9" fontId="35" fillId="0" borderId="2" xfId="0" applyNumberFormat="1" applyFont="1" applyBorder="1" applyAlignment="1">
      <alignment horizontal="center" vertical="center"/>
    </xf>
    <xf numFmtId="43" fontId="35" fillId="9" borderId="8" xfId="53" applyFont="1" applyFill="1" applyBorder="1" applyAlignment="1">
      <alignment vertical="center"/>
    </xf>
    <xf numFmtId="0" fontId="35" fillId="0" borderId="5" xfId="0" applyFont="1" applyBorder="1" applyAlignment="1">
      <alignment horizontal="center" vertical="center" wrapText="1"/>
    </xf>
    <xf numFmtId="9" fontId="35" fillId="2" borderId="1" xfId="0" applyNumberFormat="1" applyFont="1" applyFill="1" applyBorder="1" applyAlignment="1">
      <alignment horizontal="center" vertical="center"/>
    </xf>
    <xf numFmtId="0" fontId="35" fillId="2" borderId="7" xfId="0" applyFont="1" applyFill="1" applyBorder="1" applyAlignment="1">
      <alignment horizontal="center" vertical="center"/>
    </xf>
    <xf numFmtId="9" fontId="35" fillId="0" borderId="2"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0" fontId="41" fillId="2" borderId="2" xfId="0" applyFont="1" applyFill="1" applyBorder="1" applyAlignment="1">
      <alignment horizontal="justify" vertical="center" wrapText="1"/>
    </xf>
    <xf numFmtId="0" fontId="35" fillId="0" borderId="1" xfId="0" applyFont="1" applyFill="1" applyBorder="1" applyAlignment="1">
      <alignment vertical="center"/>
    </xf>
    <xf numFmtId="0" fontId="36" fillId="5" borderId="9" xfId="0" applyFont="1" applyFill="1" applyBorder="1" applyAlignment="1">
      <alignment vertical="center" wrapText="1"/>
    </xf>
    <xf numFmtId="0" fontId="37" fillId="5" borderId="9" xfId="0" applyFont="1" applyFill="1" applyBorder="1" applyAlignment="1">
      <alignment horizontal="center" vertical="center" wrapText="1"/>
    </xf>
    <xf numFmtId="0" fontId="37" fillId="5" borderId="9" xfId="0" applyFont="1" applyFill="1" applyBorder="1" applyAlignment="1">
      <alignment vertical="center" wrapText="1"/>
    </xf>
    <xf numFmtId="10" fontId="36" fillId="5" borderId="9" xfId="0" applyNumberFormat="1" applyFont="1" applyFill="1" applyBorder="1" applyAlignment="1">
      <alignment horizontal="center" vertical="center" wrapText="1"/>
    </xf>
    <xf numFmtId="43" fontId="36" fillId="5" borderId="2" xfId="53" applyFont="1" applyFill="1" applyBorder="1" applyAlignment="1">
      <alignment vertical="center" wrapText="1"/>
    </xf>
    <xf numFmtId="43" fontId="36" fillId="5" borderId="8" xfId="53" applyFont="1" applyFill="1" applyBorder="1" applyAlignment="1">
      <alignment vertical="center" wrapText="1"/>
    </xf>
    <xf numFmtId="43" fontId="36" fillId="5" borderId="2" xfId="53" applyFont="1" applyFill="1" applyBorder="1" applyAlignment="1">
      <alignment horizontal="right" vertical="center" wrapText="1"/>
    </xf>
    <xf numFmtId="3" fontId="35" fillId="2" borderId="2" xfId="0" applyNumberFormat="1" applyFont="1" applyFill="1" applyBorder="1" applyAlignment="1">
      <alignment horizontal="justify" vertical="center" wrapText="1"/>
    </xf>
    <xf numFmtId="3" fontId="35" fillId="0" borderId="8" xfId="0" applyNumberFormat="1" applyFont="1" applyFill="1" applyBorder="1" applyAlignment="1">
      <alignment horizontal="center" vertical="center" wrapText="1"/>
    </xf>
    <xf numFmtId="10" fontId="35" fillId="0" borderId="8" xfId="54" applyNumberFormat="1" applyFont="1" applyFill="1" applyBorder="1" applyAlignment="1">
      <alignment horizontal="center" vertical="center"/>
    </xf>
    <xf numFmtId="43" fontId="35" fillId="2" borderId="8" xfId="53" applyFont="1" applyFill="1" applyBorder="1" applyAlignment="1">
      <alignment horizontal="center" vertical="center"/>
    </xf>
    <xf numFmtId="0" fontId="35" fillId="0" borderId="7" xfId="0" applyFont="1" applyBorder="1" applyAlignment="1">
      <alignment horizontal="center" vertical="center"/>
    </xf>
    <xf numFmtId="0" fontId="35" fillId="0" borderId="2" xfId="0" applyFont="1" applyFill="1" applyBorder="1" applyAlignment="1">
      <alignment vertical="center" wrapText="1"/>
    </xf>
    <xf numFmtId="3" fontId="35" fillId="0" borderId="8" xfId="0" applyNumberFormat="1" applyFont="1" applyFill="1" applyBorder="1" applyAlignment="1">
      <alignment horizontal="center" vertical="center"/>
    </xf>
    <xf numFmtId="3" fontId="35" fillId="0" borderId="2" xfId="0" applyNumberFormat="1" applyFont="1" applyFill="1" applyBorder="1" applyAlignment="1">
      <alignment horizontal="center" vertical="center"/>
    </xf>
    <xf numFmtId="10" fontId="35" fillId="0" borderId="2" xfId="0" applyNumberFormat="1" applyFont="1" applyBorder="1" applyAlignment="1">
      <alignment horizontal="center" vertical="center"/>
    </xf>
    <xf numFmtId="3" fontId="35" fillId="0" borderId="2" xfId="0" applyNumberFormat="1" applyFont="1" applyFill="1" applyBorder="1" applyAlignment="1">
      <alignment horizontal="center" vertical="center" wrapText="1"/>
    </xf>
    <xf numFmtId="3" fontId="35" fillId="2" borderId="8" xfId="0" applyNumberFormat="1" applyFont="1" applyFill="1" applyBorder="1" applyAlignment="1">
      <alignment horizontal="center" vertical="center"/>
    </xf>
    <xf numFmtId="3" fontId="35" fillId="2" borderId="2" xfId="0" applyNumberFormat="1" applyFont="1" applyFill="1" applyBorder="1" applyAlignment="1">
      <alignment horizontal="center" vertical="center"/>
    </xf>
    <xf numFmtId="0" fontId="36" fillId="6" borderId="2" xfId="0" applyFont="1" applyFill="1" applyBorder="1" applyAlignment="1">
      <alignment horizontal="center" vertical="center"/>
    </xf>
    <xf numFmtId="3" fontId="35" fillId="2"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wrapText="1"/>
    </xf>
    <xf numFmtId="0" fontId="35" fillId="6" borderId="9" xfId="0" applyFont="1" applyFill="1" applyBorder="1" applyAlignment="1">
      <alignment vertical="center"/>
    </xf>
    <xf numFmtId="0" fontId="35" fillId="2" borderId="1" xfId="0" applyNumberFormat="1" applyFont="1" applyFill="1" applyBorder="1" applyAlignment="1">
      <alignment horizontal="justify" vertical="center" wrapText="1"/>
    </xf>
    <xf numFmtId="0" fontId="35" fillId="0" borderId="11" xfId="0" applyFont="1" applyBorder="1" applyAlignment="1">
      <alignment horizontal="center" vertical="center"/>
    </xf>
    <xf numFmtId="9" fontId="35" fillId="2" borderId="1" xfId="0" applyNumberFormat="1" applyFont="1" applyFill="1" applyBorder="1" applyAlignment="1">
      <alignment horizontal="center" vertical="center" wrapText="1"/>
    </xf>
    <xf numFmtId="0" fontId="35" fillId="0" borderId="3" xfId="0" applyFont="1" applyBorder="1" applyAlignment="1">
      <alignment horizontal="center" wrapText="1"/>
    </xf>
    <xf numFmtId="3" fontId="35" fillId="2" borderId="2" xfId="0" applyNumberFormat="1" applyFont="1" applyFill="1" applyBorder="1" applyAlignment="1">
      <alignment horizontal="justify" vertical="center"/>
    </xf>
    <xf numFmtId="10" fontId="35" fillId="0" borderId="8" xfId="0" applyNumberFormat="1" applyFont="1" applyFill="1" applyBorder="1" applyAlignment="1">
      <alignment horizontal="center" vertical="center"/>
    </xf>
    <xf numFmtId="0" fontId="35" fillId="2" borderId="3" xfId="0" applyFont="1" applyFill="1" applyBorder="1" applyAlignment="1">
      <alignment horizontal="center" vertical="top" wrapText="1"/>
    </xf>
    <xf numFmtId="0" fontId="35" fillId="2" borderId="2" xfId="0" applyNumberFormat="1" applyFont="1" applyFill="1" applyBorder="1" applyAlignment="1">
      <alignment horizontal="justify" vertical="center" wrapText="1"/>
    </xf>
    <xf numFmtId="0" fontId="35" fillId="0" borderId="9" xfId="0" applyFont="1" applyBorder="1" applyAlignment="1">
      <alignment horizontal="center" vertical="center"/>
    </xf>
    <xf numFmtId="9" fontId="35" fillId="2" borderId="2"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2" borderId="10" xfId="0" applyFont="1" applyFill="1" applyBorder="1" applyAlignment="1">
      <alignment horizontal="justify" vertical="center" wrapText="1"/>
    </xf>
    <xf numFmtId="10" fontId="35" fillId="0" borderId="8" xfId="53" applyNumberFormat="1" applyFont="1" applyFill="1" applyBorder="1" applyAlignment="1">
      <alignment horizontal="center" vertical="center"/>
    </xf>
    <xf numFmtId="0" fontId="35" fillId="0" borderId="8" xfId="0" applyFont="1" applyFill="1" applyBorder="1" applyAlignment="1">
      <alignment horizontal="center" vertical="center"/>
    </xf>
    <xf numFmtId="0" fontId="35" fillId="2" borderId="0" xfId="0" applyFont="1" applyFill="1" applyBorder="1" applyAlignment="1">
      <alignment horizontal="justify" vertical="center" wrapText="1"/>
    </xf>
    <xf numFmtId="0" fontId="35" fillId="2"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43" fontId="35" fillId="2" borderId="2" xfId="53" applyFont="1" applyFill="1" applyBorder="1" applyAlignment="1">
      <alignment horizontal="right" vertical="center" wrapTex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9" fontId="35" fillId="2" borderId="2" xfId="0" applyNumberFormat="1" applyFont="1" applyFill="1" applyBorder="1" applyAlignment="1">
      <alignment horizontal="justify" vertical="center" wrapText="1"/>
    </xf>
    <xf numFmtId="9" fontId="35" fillId="2" borderId="8" xfId="0" applyNumberFormat="1" applyFont="1" applyFill="1" applyBorder="1" applyAlignment="1">
      <alignment horizontal="center" vertical="center"/>
    </xf>
    <xf numFmtId="9" fontId="35" fillId="0" borderId="2" xfId="0" applyNumberFormat="1" applyFont="1" applyFill="1" applyBorder="1" applyAlignment="1">
      <alignment horizontal="center" vertical="center"/>
    </xf>
    <xf numFmtId="9" fontId="35" fillId="2" borderId="2" xfId="0" applyNumberFormat="1" applyFont="1" applyFill="1" applyBorder="1" applyAlignment="1">
      <alignment horizontal="center" vertical="center"/>
    </xf>
    <xf numFmtId="0" fontId="35" fillId="2" borderId="3" xfId="0" applyFont="1" applyFill="1" applyBorder="1" applyAlignment="1">
      <alignment horizontal="center" vertical="justify"/>
    </xf>
    <xf numFmtId="10" fontId="35" fillId="2" borderId="8" xfId="54" applyNumberFormat="1" applyFont="1" applyFill="1" applyBorder="1" applyAlignment="1">
      <alignment horizontal="center" vertical="center"/>
    </xf>
    <xf numFmtId="0" fontId="35" fillId="2" borderId="4" xfId="0" applyFont="1" applyFill="1" applyBorder="1" applyAlignment="1">
      <alignment vertical="center"/>
    </xf>
    <xf numFmtId="0" fontId="36" fillId="4" borderId="4" xfId="0" applyFont="1" applyFill="1" applyBorder="1" applyAlignment="1">
      <alignment horizontal="left" vertical="center"/>
    </xf>
    <xf numFmtId="0" fontId="36" fillId="4" borderId="4"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5" fillId="2" borderId="2" xfId="0" applyFont="1" applyFill="1" applyBorder="1" applyAlignment="1">
      <alignment horizontal="justify" vertical="center"/>
    </xf>
    <xf numFmtId="0" fontId="35" fillId="0" borderId="6" xfId="0" applyFont="1" applyFill="1" applyBorder="1" applyAlignment="1">
      <alignment horizontal="center" vertical="center"/>
    </xf>
    <xf numFmtId="0" fontId="35" fillId="2" borderId="6" xfId="0" applyFont="1" applyFill="1" applyBorder="1" applyAlignment="1">
      <alignment horizontal="center" vertical="center"/>
    </xf>
    <xf numFmtId="0" fontId="36" fillId="6" borderId="0" xfId="0" applyFont="1" applyFill="1" applyBorder="1" applyAlignment="1">
      <alignment horizontal="left" vertical="center" wrapText="1"/>
    </xf>
    <xf numFmtId="0" fontId="35" fillId="0" borderId="9" xfId="0" applyFont="1" applyBorder="1" applyAlignment="1">
      <alignment horizontal="justify" vertical="center" wrapText="1"/>
    </xf>
    <xf numFmtId="0" fontId="36" fillId="4" borderId="8" xfId="0" applyFont="1" applyFill="1" applyBorder="1" applyAlignment="1">
      <alignment horizontal="center" vertical="center"/>
    </xf>
    <xf numFmtId="0" fontId="35" fillId="2" borderId="2" xfId="0" applyFont="1" applyFill="1" applyBorder="1" applyAlignment="1">
      <alignment vertical="center" wrapText="1"/>
    </xf>
    <xf numFmtId="1" fontId="35" fillId="2" borderId="8" xfId="0" applyNumberFormat="1" applyFont="1" applyFill="1" applyBorder="1" applyAlignment="1">
      <alignment horizontal="center" vertical="center"/>
    </xf>
    <xf numFmtId="1" fontId="35" fillId="0"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wrapText="1"/>
    </xf>
    <xf numFmtId="0" fontId="35" fillId="2" borderId="11" xfId="0" applyFont="1" applyFill="1" applyBorder="1" applyAlignment="1">
      <alignment horizontal="justify" vertical="center" wrapText="1"/>
    </xf>
    <xf numFmtId="9" fontId="35" fillId="0" borderId="5" xfId="0" applyNumberFormat="1" applyFont="1" applyBorder="1" applyAlignment="1">
      <alignment horizontal="center" vertical="center"/>
    </xf>
    <xf numFmtId="0" fontId="35" fillId="0" borderId="8" xfId="0" applyNumberFormat="1" applyFont="1" applyFill="1" applyBorder="1" applyAlignment="1">
      <alignment horizontal="center" vertical="center"/>
    </xf>
    <xf numFmtId="0" fontId="35" fillId="0" borderId="2" xfId="0" applyNumberFormat="1" applyFont="1" applyFill="1" applyBorder="1" applyAlignment="1">
      <alignment horizontal="center" vertical="center"/>
    </xf>
    <xf numFmtId="37" fontId="35" fillId="2" borderId="8" xfId="53" applyNumberFormat="1" applyFont="1" applyFill="1" applyBorder="1" applyAlignment="1">
      <alignment horizontal="center" vertical="center"/>
    </xf>
    <xf numFmtId="37" fontId="35" fillId="0" borderId="2" xfId="53" applyNumberFormat="1" applyFont="1" applyFill="1" applyBorder="1" applyAlignment="1">
      <alignment horizontal="left" vertical="center" indent="2"/>
    </xf>
    <xf numFmtId="37" fontId="35" fillId="2" borderId="2" xfId="53" applyNumberFormat="1" applyFont="1" applyFill="1" applyBorder="1" applyAlignment="1">
      <alignment horizontal="left" vertical="center" indent="2"/>
    </xf>
    <xf numFmtId="37" fontId="35" fillId="2" borderId="2" xfId="53" applyNumberFormat="1" applyFont="1" applyFill="1" applyBorder="1" applyAlignment="1">
      <alignment horizontal="center" vertical="center"/>
    </xf>
    <xf numFmtId="9" fontId="35" fillId="0" borderId="3" xfId="0" applyNumberFormat="1" applyFont="1" applyBorder="1" applyAlignment="1">
      <alignment horizontal="center" vertical="center" wrapText="1"/>
    </xf>
    <xf numFmtId="37" fontId="35" fillId="0" borderId="2" xfId="53" applyNumberFormat="1" applyFont="1" applyFill="1" applyBorder="1" applyAlignment="1">
      <alignment horizontal="center" vertical="center"/>
    </xf>
    <xf numFmtId="37" fontId="35" fillId="0" borderId="8" xfId="53" applyNumberFormat="1" applyFont="1" applyFill="1" applyBorder="1" applyAlignment="1">
      <alignment horizontal="center" vertical="center"/>
    </xf>
    <xf numFmtId="9" fontId="35" fillId="0" borderId="2" xfId="0" applyNumberFormat="1" applyFont="1" applyFill="1" applyBorder="1" applyAlignment="1">
      <alignment horizontal="center" vertical="center" wrapText="1"/>
    </xf>
    <xf numFmtId="1" fontId="35" fillId="2" borderId="2" xfId="54" applyNumberFormat="1" applyFont="1" applyFill="1" applyBorder="1" applyAlignment="1">
      <alignment horizontal="center" vertical="center" wrapText="1"/>
    </xf>
    <xf numFmtId="10" fontId="35" fillId="0" borderId="4" xfId="54" applyNumberFormat="1" applyFont="1" applyFill="1" applyBorder="1" applyAlignment="1">
      <alignment horizontal="center" vertical="center"/>
    </xf>
    <xf numFmtId="43" fontId="35" fillId="0" borderId="4" xfId="53" applyFont="1" applyFill="1" applyBorder="1" applyAlignment="1">
      <alignment vertical="center"/>
    </xf>
    <xf numFmtId="0" fontId="35" fillId="2" borderId="2" xfId="0" applyFont="1" applyFill="1" applyBorder="1" applyAlignment="1">
      <alignment horizontal="justify" vertical="top" wrapText="1"/>
    </xf>
    <xf numFmtId="37" fontId="35" fillId="2" borderId="4" xfId="53" applyNumberFormat="1" applyFont="1" applyFill="1" applyBorder="1" applyAlignment="1">
      <alignment horizontal="center" vertical="center"/>
    </xf>
    <xf numFmtId="37" fontId="35" fillId="0" borderId="12" xfId="53" applyNumberFormat="1" applyFont="1" applyFill="1" applyBorder="1" applyAlignment="1">
      <alignment horizontal="center" vertical="center"/>
    </xf>
    <xf numFmtId="37" fontId="35" fillId="2" borderId="12" xfId="53" applyNumberFormat="1" applyFont="1" applyFill="1" applyBorder="1" applyAlignment="1">
      <alignment horizontal="center" vertical="center"/>
    </xf>
    <xf numFmtId="171" fontId="35" fillId="0" borderId="1" xfId="53" applyNumberFormat="1" applyFont="1" applyFill="1" applyBorder="1" applyAlignment="1">
      <alignment vertical="center" wrapText="1"/>
    </xf>
    <xf numFmtId="37" fontId="35" fillId="2" borderId="10" xfId="53" applyNumberFormat="1" applyFont="1" applyFill="1" applyBorder="1" applyAlignment="1">
      <alignment horizontal="center" vertical="center"/>
    </xf>
    <xf numFmtId="171" fontId="35" fillId="2" borderId="2" xfId="53"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wrapText="1"/>
    </xf>
    <xf numFmtId="171" fontId="35" fillId="2" borderId="2" xfId="53" applyNumberFormat="1" applyFont="1" applyFill="1" applyBorder="1" applyAlignment="1">
      <alignment horizontal="right" vertical="center"/>
    </xf>
    <xf numFmtId="0" fontId="35" fillId="0" borderId="4" xfId="0" applyFont="1" applyFill="1" applyBorder="1" applyAlignment="1">
      <alignment horizontal="center" vertical="center"/>
    </xf>
    <xf numFmtId="10" fontId="35" fillId="2" borderId="4" xfId="54" applyNumberFormat="1" applyFont="1" applyFill="1" applyBorder="1" applyAlignment="1">
      <alignment horizontal="center" vertical="center"/>
    </xf>
    <xf numFmtId="43" fontId="35" fillId="0" borderId="13" xfId="53" applyFont="1" applyFill="1" applyBorder="1" applyAlignment="1">
      <alignment horizontal="right"/>
    </xf>
    <xf numFmtId="0" fontId="35" fillId="0" borderId="2" xfId="0" applyFont="1" applyBorder="1" applyAlignment="1">
      <alignment horizontal="justify" vertical="center" wrapText="1"/>
    </xf>
    <xf numFmtId="43" fontId="35" fillId="2" borderId="4" xfId="53" applyFont="1" applyFill="1" applyBorder="1" applyAlignment="1">
      <alignment horizontal="right" vertical="center" wrapText="1"/>
    </xf>
    <xf numFmtId="0" fontId="35" fillId="0" borderId="1" xfId="0" applyFont="1" applyBorder="1" applyAlignment="1">
      <alignment horizontal="justify" vertical="center"/>
    </xf>
    <xf numFmtId="10" fontId="35" fillId="2" borderId="2" xfId="54"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9" fontId="35" fillId="0" borderId="8" xfId="0" applyNumberFormat="1" applyFont="1" applyFill="1" applyBorder="1" applyAlignment="1">
      <alignment horizontal="center" vertical="center" wrapText="1"/>
    </xf>
    <xf numFmtId="10" fontId="35" fillId="2" borderId="10" xfId="54" applyNumberFormat="1" applyFont="1" applyFill="1" applyBorder="1" applyAlignment="1">
      <alignment horizontal="center" vertical="center"/>
    </xf>
    <xf numFmtId="43" fontId="35" fillId="2" borderId="10" xfId="53" applyFont="1" applyFill="1" applyBorder="1" applyAlignment="1">
      <alignment vertical="center"/>
    </xf>
    <xf numFmtId="9" fontId="35" fillId="2" borderId="8" xfId="0" applyNumberFormat="1" applyFont="1" applyFill="1" applyBorder="1" applyAlignment="1">
      <alignment horizontal="center" vertical="center" wrapText="1"/>
    </xf>
    <xf numFmtId="1" fontId="36" fillId="4" borderId="2" xfId="0" applyNumberFormat="1" applyFont="1" applyFill="1" applyBorder="1" applyAlignment="1">
      <alignment horizontal="left" vertical="center" wrapText="1"/>
    </xf>
    <xf numFmtId="2" fontId="36" fillId="4" borderId="8" xfId="0" applyNumberFormat="1" applyFont="1" applyFill="1" applyBorder="1" applyAlignment="1">
      <alignment horizontal="left" vertical="center" wrapText="1"/>
    </xf>
    <xf numFmtId="10" fontId="35" fillId="2" borderId="8" xfId="53" applyNumberFormat="1" applyFont="1" applyFill="1" applyBorder="1" applyAlignment="1">
      <alignment horizontal="center" vertical="center"/>
    </xf>
    <xf numFmtId="0" fontId="35" fillId="0" borderId="3" xfId="0" applyFont="1" applyBorder="1" applyAlignment="1">
      <alignment horizontal="justify" vertical="center" wrapText="1"/>
    </xf>
    <xf numFmtId="43" fontId="35" fillId="0" borderId="0" xfId="53" applyFont="1" applyBorder="1" applyAlignment="1">
      <alignment horizontal="right" vertical="center"/>
    </xf>
    <xf numFmtId="0" fontId="35" fillId="0" borderId="1" xfId="0" applyFont="1" applyBorder="1" applyAlignment="1">
      <alignment horizontal="justify" vertical="center" wrapText="1"/>
    </xf>
    <xf numFmtId="1" fontId="35" fillId="2" borderId="2" xfId="54" applyNumberFormat="1" applyFont="1" applyFill="1" applyBorder="1" applyAlignment="1">
      <alignment horizontal="justify" vertical="center" wrapText="1"/>
    </xf>
    <xf numFmtId="9" fontId="35" fillId="2" borderId="2" xfId="54" applyFont="1" applyFill="1" applyBorder="1" applyAlignment="1">
      <alignment horizontal="justify" vertical="center" wrapText="1"/>
    </xf>
    <xf numFmtId="9" fontId="35" fillId="2" borderId="2" xfId="59492"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xf>
    <xf numFmtId="10" fontId="35" fillId="2" borderId="2" xfId="0" applyNumberFormat="1" applyFont="1" applyFill="1" applyBorder="1" applyAlignment="1">
      <alignment horizontal="center" vertical="center"/>
    </xf>
    <xf numFmtId="0" fontId="35" fillId="0" borderId="2" xfId="0" applyFont="1" applyBorder="1" applyAlignment="1">
      <alignment horizontal="justify" wrapText="1"/>
    </xf>
    <xf numFmtId="10" fontId="35" fillId="0" borderId="7" xfId="0" applyNumberFormat="1" applyFont="1" applyBorder="1" applyAlignment="1">
      <alignment horizontal="center" vertical="center"/>
    </xf>
    <xf numFmtId="9" fontId="35" fillId="0" borderId="7" xfId="0" applyNumberFormat="1" applyFont="1" applyBorder="1" applyAlignment="1">
      <alignment horizontal="center" vertical="center"/>
    </xf>
    <xf numFmtId="43" fontId="35" fillId="0" borderId="14" xfId="53" applyFont="1" applyFill="1" applyBorder="1" applyAlignment="1">
      <alignment vertical="center"/>
    </xf>
    <xf numFmtId="43" fontId="36" fillId="2" borderId="9" xfId="53" applyFont="1" applyFill="1" applyBorder="1" applyAlignment="1">
      <alignment horizontal="right" vertical="center"/>
    </xf>
    <xf numFmtId="9" fontId="35" fillId="2" borderId="3" xfId="0" applyNumberFormat="1" applyFont="1" applyFill="1" applyBorder="1" applyAlignment="1">
      <alignment horizontal="center" vertical="center"/>
    </xf>
    <xf numFmtId="43" fontId="35" fillId="2" borderId="14" xfId="53" applyFont="1" applyFill="1" applyBorder="1" applyAlignment="1">
      <alignment vertical="center"/>
    </xf>
    <xf numFmtId="0" fontId="35" fillId="2" borderId="8" xfId="0" applyFont="1" applyFill="1" applyBorder="1" applyAlignment="1">
      <alignment vertical="center" wrapText="1"/>
    </xf>
    <xf numFmtId="0" fontId="35" fillId="2" borderId="4" xfId="0" applyFont="1" applyFill="1" applyBorder="1" applyAlignment="1">
      <alignment vertical="center" wrapText="1"/>
    </xf>
    <xf numFmtId="0" fontId="35" fillId="2" borderId="4" xfId="0" applyFont="1" applyFill="1" applyBorder="1" applyAlignment="1">
      <alignment horizontal="center" vertical="center"/>
    </xf>
    <xf numFmtId="0" fontId="35" fillId="2" borderId="2" xfId="0" applyNumberFormat="1" applyFont="1" applyFill="1" applyBorder="1" applyAlignment="1">
      <alignment horizontal="center" vertical="center"/>
    </xf>
    <xf numFmtId="0" fontId="37" fillId="6" borderId="2" xfId="0" applyFont="1" applyFill="1" applyBorder="1" applyAlignment="1">
      <alignment vertical="center"/>
    </xf>
    <xf numFmtId="0" fontId="36" fillId="6" borderId="2" xfId="0" applyFont="1" applyFill="1" applyBorder="1" applyAlignment="1">
      <alignment vertical="center"/>
    </xf>
    <xf numFmtId="1" fontId="35" fillId="0" borderId="3" xfId="0" applyNumberFormat="1" applyFont="1" applyFill="1" applyBorder="1" applyAlignment="1">
      <alignment horizontal="center" vertical="center"/>
    </xf>
    <xf numFmtId="1" fontId="35" fillId="2" borderId="3" xfId="0" applyNumberFormat="1" applyFont="1" applyFill="1" applyBorder="1" applyAlignment="1">
      <alignment horizontal="center" vertical="center"/>
    </xf>
    <xf numFmtId="10" fontId="35" fillId="0" borderId="2" xfId="54" applyNumberFormat="1" applyFont="1" applyFill="1" applyBorder="1" applyAlignment="1">
      <alignment horizontal="center" vertical="center"/>
    </xf>
    <xf numFmtId="0" fontId="35" fillId="2" borderId="8" xfId="0" applyNumberFormat="1" applyFont="1" applyFill="1" applyBorder="1" applyAlignment="1">
      <alignment horizontal="center" vertical="center"/>
    </xf>
    <xf numFmtId="43" fontId="35" fillId="2" borderId="7" xfId="53" applyFont="1" applyFill="1" applyBorder="1" applyAlignment="1">
      <alignment vertical="center"/>
    </xf>
    <xf numFmtId="0" fontId="35" fillId="2" borderId="3" xfId="0" applyFont="1" applyFill="1" applyBorder="1" applyAlignment="1">
      <alignment horizontal="justify" vertical="center"/>
    </xf>
    <xf numFmtId="10" fontId="35" fillId="2" borderId="3" xfId="54"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xf>
    <xf numFmtId="0" fontId="37" fillId="6" borderId="0"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Border="1" applyAlignment="1">
      <alignment horizontal="center" vertical="center"/>
    </xf>
    <xf numFmtId="10" fontId="35" fillId="2" borderId="3" xfId="0" applyNumberFormat="1" applyFont="1" applyFill="1" applyBorder="1" applyAlignment="1">
      <alignment horizontal="center" vertical="center"/>
    </xf>
    <xf numFmtId="10" fontId="35" fillId="2" borderId="1" xfId="0" applyNumberFormat="1" applyFont="1" applyFill="1" applyBorder="1" applyAlignment="1">
      <alignment horizontal="center" vertical="center"/>
    </xf>
    <xf numFmtId="0" fontId="37" fillId="6" borderId="11" xfId="0" applyFont="1" applyFill="1" applyBorder="1" applyAlignment="1">
      <alignment vertical="center"/>
    </xf>
    <xf numFmtId="0" fontId="36" fillId="6" borderId="11" xfId="0" applyFont="1" applyFill="1" applyBorder="1" applyAlignment="1">
      <alignment horizontal="center" vertical="center"/>
    </xf>
    <xf numFmtId="0" fontId="35" fillId="0" borderId="3" xfId="0" applyFont="1" applyFill="1" applyBorder="1" applyAlignment="1">
      <alignment horizontal="center" vertical="center"/>
    </xf>
    <xf numFmtId="9" fontId="35" fillId="2" borderId="2" xfId="0" applyNumberFormat="1" applyFont="1" applyFill="1" applyBorder="1" applyAlignment="1">
      <alignment horizontal="justify" vertical="center"/>
    </xf>
    <xf numFmtId="0" fontId="37" fillId="6" borderId="11" xfId="0" applyFont="1" applyFill="1" applyBorder="1" applyAlignment="1">
      <alignment horizontal="center" vertical="center"/>
    </xf>
    <xf numFmtId="9" fontId="35" fillId="0" borderId="1" xfId="0" applyNumberFormat="1" applyFont="1" applyFill="1" applyBorder="1" applyAlignment="1">
      <alignment horizontal="center" vertical="center"/>
    </xf>
    <xf numFmtId="2" fontId="35" fillId="0" borderId="10"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1" fontId="37" fillId="6" borderId="11" xfId="0" applyNumberFormat="1" applyFont="1" applyFill="1" applyBorder="1" applyAlignment="1">
      <alignment vertical="center"/>
    </xf>
    <xf numFmtId="10" fontId="36" fillId="6" borderId="11" xfId="0" applyNumberFormat="1" applyFont="1" applyFill="1" applyBorder="1" applyAlignment="1">
      <alignment horizontal="center" vertical="center"/>
    </xf>
    <xf numFmtId="0" fontId="36" fillId="4" borderId="11" xfId="0" applyFont="1" applyFill="1" applyBorder="1" applyAlignment="1">
      <alignment horizontal="center" vertical="center" wrapText="1"/>
    </xf>
    <xf numFmtId="0" fontId="36" fillId="4" borderId="11"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1" xfId="0" applyFont="1" applyFill="1" applyBorder="1" applyAlignment="1">
      <alignment vertical="center"/>
    </xf>
    <xf numFmtId="1" fontId="37" fillId="4" borderId="11" xfId="0" applyNumberFormat="1" applyFont="1" applyFill="1" applyBorder="1" applyAlignment="1">
      <alignment vertical="center"/>
    </xf>
    <xf numFmtId="1" fontId="37" fillId="6" borderId="9" xfId="0" applyNumberFormat="1" applyFont="1" applyFill="1" applyBorder="1" applyAlignment="1">
      <alignment vertical="center"/>
    </xf>
    <xf numFmtId="43" fontId="35" fillId="0" borderId="8" xfId="53" applyFont="1" applyBorder="1" applyAlignment="1">
      <alignment vertical="center" wrapText="1"/>
    </xf>
    <xf numFmtId="43" fontId="36" fillId="0" borderId="8" xfId="53" applyFont="1" applyBorder="1" applyAlignment="1">
      <alignment vertical="center"/>
    </xf>
    <xf numFmtId="43" fontId="35" fillId="0" borderId="1" xfId="53" applyFont="1" applyBorder="1" applyAlignment="1">
      <alignment vertical="center"/>
    </xf>
    <xf numFmtId="0" fontId="35" fillId="0" borderId="0" xfId="0" applyNumberFormat="1" applyFont="1" applyFill="1" applyBorder="1" applyAlignment="1">
      <alignment horizontal="center" vertical="center"/>
    </xf>
    <xf numFmtId="0" fontId="35" fillId="2" borderId="8" xfId="0" applyFont="1" applyFill="1" applyBorder="1" applyAlignment="1">
      <alignment vertical="center"/>
    </xf>
    <xf numFmtId="0" fontId="36" fillId="2" borderId="0" xfId="0" applyFont="1" applyFill="1" applyBorder="1"/>
    <xf numFmtId="0" fontId="36" fillId="8" borderId="2" xfId="0" applyFont="1" applyFill="1" applyBorder="1"/>
    <xf numFmtId="0" fontId="36" fillId="8" borderId="2" xfId="0" applyFont="1" applyFill="1" applyBorder="1" applyAlignment="1">
      <alignment horizontal="center" vertical="center"/>
    </xf>
    <xf numFmtId="0" fontId="36" fillId="8" borderId="2" xfId="0" applyFont="1" applyFill="1" applyBorder="1" applyAlignment="1">
      <alignment horizontal="center" vertical="center" wrapText="1"/>
    </xf>
    <xf numFmtId="0" fontId="36" fillId="8" borderId="2" xfId="0" applyFont="1" applyFill="1" applyBorder="1" applyAlignment="1">
      <alignment horizontal="justify" vertical="center"/>
    </xf>
    <xf numFmtId="0" fontId="36" fillId="8" borderId="2" xfId="0" applyFont="1" applyFill="1" applyBorder="1" applyAlignment="1">
      <alignment horizontal="justify"/>
    </xf>
    <xf numFmtId="0" fontId="36" fillId="8" borderId="2" xfId="0" applyFont="1" applyFill="1" applyBorder="1" applyAlignment="1">
      <alignment horizontal="center" wrapText="1"/>
    </xf>
    <xf numFmtId="0" fontId="36" fillId="8" borderId="2" xfId="0" applyFont="1" applyFill="1" applyBorder="1" applyAlignment="1">
      <alignment horizontal="center"/>
    </xf>
    <xf numFmtId="0" fontId="37" fillId="8" borderId="2" xfId="0" applyNumberFormat="1" applyFont="1" applyFill="1" applyBorder="1" applyAlignment="1">
      <alignment horizontal="center" vertical="center"/>
    </xf>
    <xf numFmtId="0" fontId="36" fillId="8" borderId="2" xfId="0" applyNumberFormat="1" applyFont="1" applyFill="1" applyBorder="1" applyAlignment="1">
      <alignment horizontal="center" vertical="center"/>
    </xf>
    <xf numFmtId="10" fontId="36" fillId="8" borderId="2" xfId="0" applyNumberFormat="1" applyFont="1" applyFill="1" applyBorder="1" applyAlignment="1">
      <alignment horizontal="center" vertical="center"/>
    </xf>
    <xf numFmtId="43" fontId="36" fillId="8" borderId="2" xfId="53" applyFont="1" applyFill="1" applyBorder="1" applyAlignment="1">
      <alignment vertical="center"/>
    </xf>
    <xf numFmtId="43" fontId="36" fillId="8" borderId="2" xfId="53" applyFont="1" applyFill="1" applyBorder="1" applyAlignment="1">
      <alignment horizontal="right" vertical="center"/>
    </xf>
    <xf numFmtId="0" fontId="35" fillId="2" borderId="0" xfId="0" applyFont="1" applyFill="1" applyBorder="1" applyAlignment="1">
      <alignment horizontal="center" vertical="center"/>
    </xf>
    <xf numFmtId="0" fontId="35" fillId="2" borderId="0" xfId="0" applyFont="1" applyFill="1" applyBorder="1" applyAlignment="1">
      <alignment horizontal="center" vertical="center" wrapText="1"/>
    </xf>
    <xf numFmtId="0" fontId="41" fillId="2" borderId="0" xfId="0" applyNumberFormat="1" applyFont="1" applyFill="1" applyBorder="1" applyAlignment="1">
      <alignment horizontal="center" vertical="center"/>
    </xf>
    <xf numFmtId="0" fontId="35" fillId="2" borderId="0" xfId="0" applyNumberFormat="1" applyFont="1" applyFill="1" applyBorder="1" applyAlignment="1">
      <alignment horizontal="center" vertical="center"/>
    </xf>
    <xf numFmtId="10" fontId="35" fillId="0" borderId="0" xfId="0" applyNumberFormat="1" applyFont="1" applyFill="1" applyBorder="1" applyAlignment="1">
      <alignment horizontal="center" vertical="center"/>
    </xf>
    <xf numFmtId="3" fontId="35"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3" fontId="35" fillId="0" borderId="0" xfId="53" applyFont="1" applyFill="1" applyBorder="1" applyAlignment="1">
      <alignment horizontal="right" vertical="center"/>
    </xf>
    <xf numFmtId="4" fontId="35" fillId="0" borderId="0" xfId="53" applyNumberFormat="1" applyFont="1" applyFill="1" applyBorder="1" applyAlignment="1">
      <alignment horizontal="right" vertical="center"/>
    </xf>
    <xf numFmtId="171" fontId="35" fillId="2" borderId="0" xfId="53" applyNumberFormat="1" applyFont="1" applyFill="1" applyBorder="1" applyAlignment="1">
      <alignment horizontal="right" vertical="center"/>
    </xf>
    <xf numFmtId="3" fontId="35" fillId="2" borderId="0" xfId="53" applyNumberFormat="1" applyFont="1" applyFill="1" applyBorder="1" applyAlignment="1">
      <alignment horizontal="right" vertical="center"/>
    </xf>
    <xf numFmtId="171" fontId="35" fillId="2" borderId="0" xfId="53" applyNumberFormat="1" applyFont="1" applyFill="1" applyBorder="1" applyAlignment="1">
      <alignment horizontal="center" vertical="center"/>
    </xf>
    <xf numFmtId="171" fontId="35" fillId="0" borderId="0" xfId="53" applyNumberFormat="1" applyFont="1" applyFill="1" applyBorder="1" applyAlignment="1">
      <alignment horizontal="right" vertical="center"/>
    </xf>
    <xf numFmtId="171" fontId="42" fillId="0" borderId="0" xfId="53" applyNumberFormat="1" applyFont="1" applyFill="1" applyBorder="1" applyAlignment="1">
      <alignment horizontal="right" vertical="center"/>
    </xf>
    <xf numFmtId="0" fontId="35" fillId="2" borderId="0" xfId="0" applyFont="1" applyFill="1" applyBorder="1" applyAlignment="1">
      <alignment horizontal="justify"/>
    </xf>
    <xf numFmtId="0" fontId="35" fillId="2" borderId="0" xfId="0" applyFont="1" applyFill="1" applyBorder="1" applyAlignment="1">
      <alignment horizontal="center" wrapText="1"/>
    </xf>
    <xf numFmtId="0" fontId="35" fillId="2" borderId="0" xfId="0" applyFont="1" applyFill="1" applyBorder="1" applyAlignment="1">
      <alignment horizontal="center"/>
    </xf>
    <xf numFmtId="0" fontId="35" fillId="16" borderId="2" xfId="53" applyNumberFormat="1" applyFont="1" applyFill="1" applyBorder="1" applyAlignment="1">
      <alignment horizontal="center" vertical="center" wrapText="1"/>
    </xf>
    <xf numFmtId="43" fontId="36" fillId="6" borderId="9" xfId="0" applyNumberFormat="1" applyFont="1" applyFill="1" applyBorder="1" applyAlignment="1">
      <alignment vertical="center" wrapText="1"/>
    </xf>
    <xf numFmtId="170" fontId="36" fillId="4" borderId="9" xfId="0" applyNumberFormat="1" applyFont="1" applyFill="1" applyBorder="1" applyAlignment="1">
      <alignment vertical="center"/>
    </xf>
    <xf numFmtId="170" fontId="44" fillId="4" borderId="9" xfId="0" applyNumberFormat="1" applyFont="1" applyFill="1" applyBorder="1" applyAlignment="1">
      <alignment vertical="center"/>
    </xf>
    <xf numFmtId="43" fontId="44" fillId="6" borderId="9" xfId="0" applyNumberFormat="1" applyFont="1" applyFill="1" applyBorder="1" applyAlignment="1">
      <alignment vertical="center" wrapText="1"/>
    </xf>
    <xf numFmtId="0" fontId="43" fillId="2" borderId="2" xfId="0" applyFont="1" applyFill="1" applyBorder="1" applyAlignment="1">
      <alignment vertical="center"/>
    </xf>
    <xf numFmtId="0" fontId="43" fillId="2" borderId="3" xfId="0" applyFont="1" applyFill="1" applyBorder="1" applyAlignment="1">
      <alignment vertical="center"/>
    </xf>
    <xf numFmtId="0" fontId="44" fillId="4" borderId="2" xfId="0" applyFont="1" applyFill="1" applyBorder="1" applyAlignment="1">
      <alignment horizontal="left" vertical="center" wrapText="1"/>
    </xf>
    <xf numFmtId="0" fontId="44" fillId="4" borderId="8" xfId="0" applyFont="1" applyFill="1" applyBorder="1" applyAlignment="1">
      <alignment horizontal="left" vertical="center"/>
    </xf>
    <xf numFmtId="0" fontId="44" fillId="4" borderId="9" xfId="0" applyFont="1" applyFill="1" applyBorder="1" applyAlignment="1">
      <alignment vertical="center"/>
    </xf>
    <xf numFmtId="0" fontId="44" fillId="4" borderId="9" xfId="0" applyFont="1" applyFill="1" applyBorder="1" applyAlignment="1">
      <alignment horizontal="center" vertical="center"/>
    </xf>
    <xf numFmtId="0" fontId="44" fillId="4" borderId="9" xfId="0" applyFont="1" applyFill="1" applyBorder="1" applyAlignment="1">
      <alignment horizontal="center" vertical="center" wrapText="1"/>
    </xf>
    <xf numFmtId="0" fontId="43" fillId="2" borderId="0" xfId="0" applyFont="1" applyFill="1" applyBorder="1"/>
    <xf numFmtId="0" fontId="44" fillId="6" borderId="2" xfId="0" applyFont="1" applyFill="1" applyBorder="1" applyAlignment="1">
      <alignment horizontal="center" vertical="center" wrapText="1"/>
    </xf>
    <xf numFmtId="0" fontId="44" fillId="6" borderId="8" xfId="0" applyFont="1" applyFill="1" applyBorder="1" applyAlignment="1">
      <alignment vertical="center"/>
    </xf>
    <xf numFmtId="0" fontId="44" fillId="6" borderId="9" xfId="0" applyFont="1" applyFill="1" applyBorder="1" applyAlignment="1">
      <alignment vertical="center" wrapText="1"/>
    </xf>
    <xf numFmtId="0" fontId="44" fillId="6" borderId="8" xfId="0" applyFont="1" applyFill="1" applyBorder="1" applyAlignment="1">
      <alignment vertical="center" wrapText="1"/>
    </xf>
    <xf numFmtId="0" fontId="44" fillId="6" borderId="9" xfId="0" applyFont="1" applyFill="1" applyBorder="1" applyAlignment="1">
      <alignment horizontal="center" vertical="center" wrapText="1"/>
    </xf>
    <xf numFmtId="43" fontId="44" fillId="4" borderId="9" xfId="0" applyNumberFormat="1" applyFont="1" applyFill="1" applyBorder="1" applyAlignment="1">
      <alignment vertical="center"/>
    </xf>
    <xf numFmtId="43" fontId="44" fillId="6" borderId="9" xfId="0" applyNumberFormat="1" applyFont="1" applyFill="1" applyBorder="1" applyAlignment="1">
      <alignment vertical="center"/>
    </xf>
    <xf numFmtId="181" fontId="44" fillId="6" borderId="9" xfId="0" applyNumberFormat="1" applyFont="1" applyFill="1" applyBorder="1" applyAlignment="1">
      <alignment vertical="center"/>
    </xf>
    <xf numFmtId="3" fontId="35" fillId="16" borderId="8" xfId="0" applyNumberFormat="1" applyFont="1" applyFill="1" applyBorder="1" applyAlignment="1">
      <alignment horizontal="center" vertical="center"/>
    </xf>
    <xf numFmtId="3" fontId="35" fillId="16" borderId="2" xfId="0" applyNumberFormat="1" applyFont="1" applyFill="1" applyBorder="1" applyAlignment="1">
      <alignment horizontal="center" vertical="center"/>
    </xf>
    <xf numFmtId="0" fontId="35" fillId="16" borderId="8" xfId="0" applyFont="1" applyFill="1" applyBorder="1" applyAlignment="1">
      <alignment horizontal="center" vertical="center" wrapText="1"/>
    </xf>
    <xf numFmtId="0" fontId="35" fillId="16" borderId="2" xfId="0" applyNumberFormat="1" applyFont="1" applyFill="1" applyBorder="1" applyAlignment="1">
      <alignment horizontal="center" vertical="center" wrapText="1"/>
    </xf>
    <xf numFmtId="3" fontId="35" fillId="16" borderId="2" xfId="0" applyNumberFormat="1" applyFont="1" applyFill="1" applyBorder="1" applyAlignment="1">
      <alignment horizontal="center" vertical="center" wrapText="1"/>
    </xf>
    <xf numFmtId="3" fontId="41" fillId="16" borderId="8" xfId="0" applyNumberFormat="1" applyFont="1" applyFill="1" applyBorder="1" applyAlignment="1">
      <alignment horizontal="center" vertical="center"/>
    </xf>
    <xf numFmtId="0" fontId="41" fillId="16" borderId="8"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0" borderId="1" xfId="0" applyFont="1" applyFill="1" applyBorder="1" applyAlignment="1">
      <alignment horizontal="center" vertical="center"/>
    </xf>
    <xf numFmtId="10" fontId="35" fillId="2" borderId="1" xfId="54" applyNumberFormat="1" applyFont="1" applyFill="1" applyBorder="1" applyAlignment="1">
      <alignment horizontal="center" vertical="center" wrapText="1"/>
    </xf>
    <xf numFmtId="0" fontId="35" fillId="0" borderId="3" xfId="0" applyFont="1" applyFill="1" applyBorder="1" applyAlignment="1">
      <alignment horizontal="justify" vertical="center" wrapText="1"/>
    </xf>
    <xf numFmtId="0" fontId="35" fillId="2" borderId="10" xfId="0" applyFont="1" applyFill="1" applyBorder="1" applyAlignment="1">
      <alignment horizontal="center" vertical="center"/>
    </xf>
    <xf numFmtId="0" fontId="35" fillId="16" borderId="8" xfId="0" applyNumberFormat="1" applyFont="1" applyFill="1" applyBorder="1" applyAlignment="1">
      <alignment horizontal="center" vertical="center" wrapText="1"/>
    </xf>
    <xf numFmtId="0" fontId="35" fillId="16" borderId="2" xfId="0" applyFont="1" applyFill="1" applyBorder="1" applyAlignment="1">
      <alignment horizontal="center" vertical="center"/>
    </xf>
    <xf numFmtId="3" fontId="43" fillId="16" borderId="2" xfId="0" applyNumberFormat="1" applyFont="1" applyFill="1" applyBorder="1" applyAlignment="1">
      <alignment horizontal="center" vertical="center"/>
    </xf>
    <xf numFmtId="0" fontId="35" fillId="16" borderId="2" xfId="0" applyFont="1" applyFill="1" applyBorder="1" applyAlignment="1">
      <alignment horizontal="center" vertical="center" wrapText="1"/>
    </xf>
    <xf numFmtId="2" fontId="35" fillId="0" borderId="1" xfId="0" applyNumberFormat="1" applyFont="1" applyFill="1" applyBorder="1" applyAlignment="1">
      <alignment horizontal="center" vertical="center"/>
    </xf>
    <xf numFmtId="167" fontId="35" fillId="2" borderId="0" xfId="0" applyNumberFormat="1" applyFont="1" applyFill="1" applyBorder="1" applyAlignment="1">
      <alignment vertical="center"/>
    </xf>
    <xf numFmtId="182" fontId="44" fillId="6" borderId="9" xfId="62889" applyNumberFormat="1" applyFont="1" applyFill="1" applyBorder="1" applyAlignment="1">
      <alignment vertical="center"/>
    </xf>
    <xf numFmtId="175" fontId="38" fillId="2" borderId="2" xfId="0" applyNumberFormat="1" applyFont="1" applyFill="1" applyBorder="1" applyAlignment="1">
      <alignment horizontal="left" vertical="center"/>
    </xf>
    <xf numFmtId="0" fontId="35" fillId="2" borderId="38" xfId="0" applyFont="1" applyFill="1" applyBorder="1" applyAlignment="1">
      <alignment horizontal="justify" vertical="center" wrapText="1"/>
    </xf>
    <xf numFmtId="0" fontId="35" fillId="0" borderId="38" xfId="0" applyFont="1" applyFill="1" applyBorder="1" applyAlignment="1">
      <alignment horizontal="justify" vertical="center" wrapText="1"/>
    </xf>
    <xf numFmtId="3" fontId="35" fillId="2" borderId="38" xfId="0" applyNumberFormat="1"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5" fillId="2" borderId="38" xfId="0" applyFont="1" applyFill="1" applyBorder="1" applyAlignment="1">
      <alignment horizontal="justify" vertical="center"/>
    </xf>
    <xf numFmtId="0" fontId="35" fillId="2" borderId="1" xfId="0" applyFont="1" applyFill="1" applyBorder="1" applyAlignment="1">
      <alignment horizontal="justify" vertical="center"/>
    </xf>
    <xf numFmtId="10" fontId="35" fillId="2" borderId="1" xfId="54" applyNumberFormat="1" applyFont="1" applyFill="1" applyBorder="1" applyAlignment="1">
      <alignment horizontal="center" vertical="center"/>
    </xf>
    <xf numFmtId="43" fontId="35" fillId="2" borderId="1" xfId="53" applyFont="1" applyFill="1" applyBorder="1" applyAlignment="1">
      <alignment vertical="center"/>
    </xf>
    <xf numFmtId="43" fontId="35" fillId="0" borderId="2" xfId="53" applyFont="1" applyFill="1" applyBorder="1" applyAlignment="1">
      <alignment vertical="center" wrapText="1"/>
    </xf>
    <xf numFmtId="43" fontId="35" fillId="0" borderId="2" xfId="53" applyFont="1" applyFill="1" applyBorder="1" applyAlignment="1">
      <alignment vertical="center"/>
    </xf>
    <xf numFmtId="43" fontId="35" fillId="2" borderId="2" xfId="53" applyFont="1" applyFill="1" applyBorder="1" applyAlignment="1">
      <alignment vertical="center"/>
    </xf>
    <xf numFmtId="37" fontId="35" fillId="2" borderId="1" xfId="53" applyNumberFormat="1" applyFont="1" applyFill="1" applyBorder="1" applyAlignment="1">
      <alignment horizontal="center" vertical="center"/>
    </xf>
    <xf numFmtId="0" fontId="35" fillId="2" borderId="1" xfId="0" applyFont="1" applyFill="1" applyBorder="1" applyAlignment="1">
      <alignment horizontal="center" vertical="center"/>
    </xf>
    <xf numFmtId="43" fontId="35" fillId="2" borderId="2" xfId="53" applyFont="1" applyFill="1" applyBorder="1" applyAlignment="1">
      <alignment vertical="center" wrapText="1"/>
    </xf>
    <xf numFmtId="0" fontId="35" fillId="2" borderId="1" xfId="0" applyNumberFormat="1" applyFont="1" applyFill="1" applyBorder="1" applyAlignment="1">
      <alignment horizontal="center" vertical="center"/>
    </xf>
    <xf numFmtId="43" fontId="35" fillId="2" borderId="1" xfId="53" applyFont="1" applyFill="1" applyBorder="1" applyAlignment="1">
      <alignment horizontal="right" vertical="center"/>
    </xf>
    <xf numFmtId="43" fontId="35" fillId="2" borderId="2" xfId="53" applyFont="1" applyFill="1" applyBorder="1" applyAlignment="1">
      <alignment horizontal="right" vertical="center"/>
    </xf>
    <xf numFmtId="37" fontId="35" fillId="0" borderId="1" xfId="53" applyNumberFormat="1" applyFont="1" applyFill="1" applyBorder="1" applyAlignment="1">
      <alignment horizontal="center" vertical="center"/>
    </xf>
    <xf numFmtId="43" fontId="35" fillId="2" borderId="4" xfId="53" applyFont="1" applyFill="1" applyBorder="1" applyAlignment="1">
      <alignment horizontal="right" vertical="center"/>
    </xf>
    <xf numFmtId="0" fontId="42" fillId="0" borderId="0" xfId="0" applyFont="1" applyFill="1" applyBorder="1" applyAlignment="1">
      <alignment horizontal="right" vertical="center"/>
    </xf>
    <xf numFmtId="3" fontId="35" fillId="2" borderId="38" xfId="0" applyNumberFormat="1" applyFont="1" applyFill="1" applyBorder="1" applyAlignment="1">
      <alignment vertical="center" wrapText="1"/>
    </xf>
    <xf numFmtId="3" fontId="35" fillId="0" borderId="38" xfId="0" applyNumberFormat="1" applyFont="1" applyFill="1" applyBorder="1" applyAlignment="1">
      <alignment vertical="center" wrapText="1"/>
    </xf>
    <xf numFmtId="0" fontId="35" fillId="2" borderId="38" xfId="0" applyFont="1" applyFill="1" applyBorder="1" applyAlignment="1">
      <alignment vertical="center" wrapText="1"/>
    </xf>
    <xf numFmtId="0" fontId="35" fillId="0" borderId="38" xfId="0" applyFont="1" applyFill="1" applyBorder="1" applyAlignment="1">
      <alignment vertical="center" wrapText="1"/>
    </xf>
    <xf numFmtId="43" fontId="35" fillId="0" borderId="1" xfId="53" applyFont="1" applyFill="1" applyBorder="1" applyAlignment="1">
      <alignment horizontal="right" vertical="center"/>
    </xf>
    <xf numFmtId="43" fontId="35" fillId="2" borderId="2" xfId="53" applyFont="1" applyFill="1" applyBorder="1" applyAlignment="1">
      <alignment horizontal="center" vertical="center"/>
    </xf>
    <xf numFmtId="43" fontId="35" fillId="2" borderId="2" xfId="53" applyFont="1" applyFill="1" applyBorder="1" applyAlignment="1">
      <alignment horizontal="center" vertical="center" wrapText="1"/>
    </xf>
    <xf numFmtId="43" fontId="35" fillId="0" borderId="2" xfId="53" applyFont="1" applyFill="1" applyBorder="1" applyAlignment="1">
      <alignment horizontal="center" vertical="center" wrapText="1"/>
    </xf>
    <xf numFmtId="43" fontId="35" fillId="2" borderId="8" xfId="53" applyFont="1" applyFill="1" applyBorder="1" applyAlignment="1">
      <alignment horizontal="center" vertical="center" wrapText="1"/>
    </xf>
    <xf numFmtId="43" fontId="35" fillId="2" borderId="10" xfId="53" applyFont="1" applyFill="1" applyBorder="1" applyAlignment="1">
      <alignment horizontal="right" vertical="center"/>
    </xf>
    <xf numFmtId="43" fontId="35" fillId="2" borderId="3" xfId="53" applyFont="1" applyFill="1" applyBorder="1" applyAlignment="1">
      <alignment horizontal="right" vertical="center"/>
    </xf>
    <xf numFmtId="0" fontId="36" fillId="5" borderId="8" xfId="0" applyFont="1" applyFill="1" applyBorder="1" applyAlignment="1">
      <alignment horizontal="left" vertical="center"/>
    </xf>
    <xf numFmtId="0" fontId="36" fillId="5" borderId="9" xfId="0" applyFont="1" applyFill="1" applyBorder="1" applyAlignment="1">
      <alignment horizontal="left" vertical="center"/>
    </xf>
    <xf numFmtId="0" fontId="36" fillId="2" borderId="0" xfId="0" applyFont="1" applyFill="1" applyBorder="1" applyAlignment="1">
      <alignment vertical="center" wrapText="1"/>
    </xf>
    <xf numFmtId="0" fontId="35" fillId="9" borderId="2" xfId="0" applyFont="1" applyFill="1" applyBorder="1" applyAlignment="1">
      <alignment horizontal="justify" vertical="center" wrapText="1"/>
    </xf>
    <xf numFmtId="0" fontId="35" fillId="9" borderId="2" xfId="0" applyFont="1" applyFill="1" applyBorder="1" applyAlignment="1">
      <alignment horizontal="center" vertical="center" wrapText="1"/>
    </xf>
    <xf numFmtId="0" fontId="35" fillId="2" borderId="38" xfId="0" applyNumberFormat="1" applyFont="1" applyFill="1" applyBorder="1" applyAlignment="1">
      <alignment horizontal="center" vertical="center" wrapText="1"/>
    </xf>
    <xf numFmtId="3" fontId="35" fillId="2" borderId="38" xfId="0" applyNumberFormat="1" applyFont="1" applyFill="1" applyBorder="1" applyAlignment="1">
      <alignment horizontal="center" vertical="center"/>
    </xf>
    <xf numFmtId="0" fontId="35" fillId="0" borderId="38" xfId="0" applyFont="1" applyFill="1" applyBorder="1" applyAlignment="1">
      <alignment horizontal="center" vertical="center"/>
    </xf>
    <xf numFmtId="0" fontId="35" fillId="2" borderId="38" xfId="0" applyFont="1" applyFill="1" applyBorder="1" applyAlignment="1">
      <alignment horizontal="center" vertical="center"/>
    </xf>
    <xf numFmtId="37" fontId="35" fillId="2" borderId="38" xfId="53" applyNumberFormat="1" applyFont="1" applyFill="1" applyBorder="1" applyAlignment="1">
      <alignment horizontal="center" vertical="center"/>
    </xf>
    <xf numFmtId="0" fontId="35" fillId="2" borderId="38" xfId="0" applyFont="1" applyFill="1" applyBorder="1" applyAlignment="1">
      <alignment horizontal="center" vertical="center" wrapText="1"/>
    </xf>
    <xf numFmtId="0" fontId="36" fillId="6" borderId="41" xfId="0" applyFont="1" applyFill="1" applyBorder="1" applyAlignment="1">
      <alignment vertical="center"/>
    </xf>
    <xf numFmtId="1" fontId="35" fillId="0" borderId="38" xfId="0" applyNumberFormat="1" applyFont="1" applyFill="1" applyBorder="1" applyAlignment="1">
      <alignment horizontal="center" vertical="center"/>
    </xf>
    <xf numFmtId="0" fontId="35" fillId="2" borderId="40" xfId="0" applyNumberFormat="1" applyFont="1" applyFill="1" applyBorder="1" applyAlignment="1">
      <alignment horizontal="center" vertical="center" wrapText="1"/>
    </xf>
    <xf numFmtId="0" fontId="37" fillId="6" borderId="41" xfId="0" applyFont="1" applyFill="1" applyBorder="1" applyAlignment="1">
      <alignment vertical="center" wrapText="1"/>
    </xf>
    <xf numFmtId="0" fontId="37" fillId="6" borderId="41" xfId="0" applyFont="1" applyFill="1" applyBorder="1" applyAlignment="1">
      <alignment vertical="center"/>
    </xf>
    <xf numFmtId="3" fontId="35" fillId="0" borderId="38" xfId="0" applyNumberFormat="1" applyFont="1" applyFill="1" applyBorder="1" applyAlignment="1">
      <alignment horizontal="center" vertical="center"/>
    </xf>
    <xf numFmtId="0" fontId="36" fillId="6" borderId="41"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40" xfId="0" applyFont="1" applyFill="1" applyBorder="1" applyAlignment="1">
      <alignment horizontal="center" vertical="center"/>
    </xf>
    <xf numFmtId="37" fontId="35" fillId="2" borderId="40" xfId="53" applyNumberFormat="1" applyFont="1" applyFill="1" applyBorder="1" applyAlignment="1">
      <alignment horizontal="center" vertical="center"/>
    </xf>
    <xf numFmtId="1" fontId="35" fillId="2" borderId="38" xfId="0" applyNumberFormat="1" applyFont="1" applyFill="1" applyBorder="1" applyAlignment="1">
      <alignment horizontal="center" vertical="center"/>
    </xf>
    <xf numFmtId="1" fontId="35" fillId="2" borderId="4" xfId="0" applyNumberFormat="1" applyFont="1" applyFill="1" applyBorder="1" applyAlignment="1">
      <alignment horizontal="center" vertical="center"/>
    </xf>
    <xf numFmtId="1" fontId="37" fillId="6" borderId="41" xfId="0" applyNumberFormat="1" applyFont="1" applyFill="1" applyBorder="1" applyAlignment="1">
      <alignment vertical="center"/>
    </xf>
    <xf numFmtId="2" fontId="35" fillId="0" borderId="8" xfId="0" applyNumberFormat="1" applyFont="1" applyFill="1" applyBorder="1" applyAlignment="1">
      <alignment horizontal="center" vertical="center"/>
    </xf>
    <xf numFmtId="165" fontId="36" fillId="3" borderId="2" xfId="62889" applyFont="1" applyFill="1" applyBorder="1" applyAlignment="1">
      <alignment horizontal="center" vertical="center" wrapText="1"/>
    </xf>
    <xf numFmtId="165" fontId="36" fillId="3" borderId="11" xfId="62889" applyFont="1" applyFill="1" applyBorder="1" applyAlignment="1">
      <alignment horizontal="center" vertical="center" wrapText="1"/>
    </xf>
    <xf numFmtId="165" fontId="36" fillId="5" borderId="11" xfId="62889" applyFont="1" applyFill="1" applyBorder="1" applyAlignment="1">
      <alignment vertical="center"/>
    </xf>
    <xf numFmtId="165" fontId="36" fillId="4" borderId="9" xfId="62889" applyFont="1" applyFill="1" applyBorder="1" applyAlignment="1">
      <alignment vertical="center"/>
    </xf>
    <xf numFmtId="165" fontId="36" fillId="6" borderId="9" xfId="62889" applyFont="1" applyFill="1" applyBorder="1" applyAlignment="1">
      <alignment vertical="center"/>
    </xf>
    <xf numFmtId="165" fontId="40" fillId="0" borderId="38" xfId="62889" applyFont="1" applyFill="1" applyBorder="1" applyAlignment="1">
      <alignment horizontal="center" vertical="center"/>
    </xf>
    <xf numFmtId="165" fontId="36" fillId="0" borderId="2" xfId="62889" applyFont="1" applyFill="1" applyBorder="1" applyAlignment="1" applyProtection="1">
      <alignment horizontal="center" vertical="center" wrapText="1"/>
      <protection locked="0"/>
    </xf>
    <xf numFmtId="165" fontId="36" fillId="0" borderId="38" xfId="62889" applyFont="1" applyFill="1" applyBorder="1" applyAlignment="1" applyProtection="1">
      <alignment horizontal="center" vertical="center" wrapText="1"/>
      <protection locked="0"/>
    </xf>
    <xf numFmtId="165" fontId="36" fillId="6" borderId="9" xfId="62889" applyFont="1" applyFill="1" applyBorder="1" applyAlignment="1">
      <alignment vertical="center" wrapText="1"/>
    </xf>
    <xf numFmtId="0" fontId="40" fillId="0" borderId="38" xfId="62889" applyNumberFormat="1" applyFont="1" applyFill="1" applyBorder="1" applyAlignment="1">
      <alignment horizontal="center" vertical="center"/>
    </xf>
    <xf numFmtId="165" fontId="36" fillId="16" borderId="2" xfId="62889" applyFont="1" applyFill="1" applyBorder="1" applyAlignment="1">
      <alignment horizontal="center" vertical="center" wrapText="1"/>
    </xf>
    <xf numFmtId="165" fontId="36" fillId="5" borderId="9" xfId="62889" applyFont="1" applyFill="1" applyBorder="1" applyAlignment="1">
      <alignment vertical="center"/>
    </xf>
    <xf numFmtId="165" fontId="36" fillId="6" borderId="11" xfId="62889" applyFont="1" applyFill="1" applyBorder="1" applyAlignment="1">
      <alignment vertical="center" wrapText="1"/>
    </xf>
    <xf numFmtId="165" fontId="36" fillId="6" borderId="9" xfId="62889" applyFont="1" applyFill="1" applyBorder="1" applyAlignment="1">
      <alignment horizontal="center" vertical="center" wrapText="1"/>
    </xf>
    <xf numFmtId="165" fontId="36" fillId="5" borderId="9" xfId="62889" applyFont="1" applyFill="1" applyBorder="1" applyAlignment="1">
      <alignment vertical="center" wrapText="1"/>
    </xf>
    <xf numFmtId="165" fontId="36" fillId="6" borderId="41" xfId="62889" applyFont="1" applyFill="1" applyBorder="1" applyAlignment="1">
      <alignment vertical="center"/>
    </xf>
    <xf numFmtId="165" fontId="36" fillId="6" borderId="41" xfId="62889" applyFont="1" applyFill="1" applyBorder="1" applyAlignment="1">
      <alignment vertical="center" wrapText="1"/>
    </xf>
    <xf numFmtId="165" fontId="40" fillId="0" borderId="2" xfId="62889" applyFont="1" applyFill="1" applyBorder="1" applyAlignment="1">
      <alignment horizontal="center" vertical="center"/>
    </xf>
    <xf numFmtId="165" fontId="40" fillId="0" borderId="3" xfId="62889" applyFont="1" applyFill="1" applyBorder="1" applyAlignment="1">
      <alignment horizontal="center" vertical="center"/>
    </xf>
    <xf numFmtId="165" fontId="36" fillId="6" borderId="9" xfId="62889" applyFont="1" applyFill="1" applyBorder="1" applyAlignment="1">
      <alignment horizontal="center" vertical="center"/>
    </xf>
    <xf numFmtId="183" fontId="40" fillId="0" borderId="38" xfId="62889" applyNumberFormat="1" applyFont="1" applyFill="1" applyBorder="1" applyAlignment="1">
      <alignment horizontal="center" vertical="center"/>
    </xf>
    <xf numFmtId="165" fontId="36" fillId="6" borderId="2" xfId="62889" applyFont="1" applyFill="1" applyBorder="1" applyAlignment="1">
      <alignment vertical="center"/>
    </xf>
    <xf numFmtId="165" fontId="36" fillId="6" borderId="0" xfId="62889" applyFont="1" applyFill="1" applyBorder="1" applyAlignment="1">
      <alignment vertical="center"/>
    </xf>
    <xf numFmtId="165" fontId="36" fillId="6" borderId="11" xfId="62889" applyFont="1" applyFill="1" applyBorder="1" applyAlignment="1">
      <alignment vertical="center"/>
    </xf>
    <xf numFmtId="165" fontId="36" fillId="6" borderId="41" xfId="62889" applyFont="1" applyFill="1" applyBorder="1" applyAlignment="1">
      <alignment horizontal="center" vertical="center"/>
    </xf>
    <xf numFmtId="165" fontId="36" fillId="16" borderId="2" xfId="62889" applyFont="1" applyFill="1" applyBorder="1" applyAlignment="1">
      <alignment horizontal="center" vertical="center"/>
    </xf>
    <xf numFmtId="165" fontId="36" fillId="2" borderId="2" xfId="62889" applyFont="1" applyFill="1" applyBorder="1" applyAlignment="1">
      <alignment horizontal="center" vertical="center"/>
    </xf>
    <xf numFmtId="165" fontId="36" fillId="8" borderId="2" xfId="62889" applyFont="1" applyFill="1" applyBorder="1" applyAlignment="1">
      <alignment horizontal="center" vertical="center"/>
    </xf>
    <xf numFmtId="165" fontId="36" fillId="2" borderId="0" xfId="62889" applyFont="1" applyFill="1" applyBorder="1" applyAlignment="1">
      <alignment horizontal="center" vertical="center"/>
    </xf>
    <xf numFmtId="3" fontId="38" fillId="3" borderId="8" xfId="53" applyNumberFormat="1" applyFont="1" applyFill="1" applyBorder="1" applyAlignment="1">
      <alignment horizontal="center" vertical="center"/>
    </xf>
    <xf numFmtId="3" fontId="38" fillId="10" borderId="8" xfId="53" applyNumberFormat="1" applyFont="1" applyFill="1" applyBorder="1" applyAlignment="1">
      <alignment horizontal="center" vertical="center"/>
    </xf>
    <xf numFmtId="3" fontId="38" fillId="10" borderId="8" xfId="0" applyNumberFormat="1" applyFont="1" applyFill="1" applyBorder="1" applyAlignment="1">
      <alignment horizontal="center" vertical="center" wrapText="1"/>
    </xf>
    <xf numFmtId="3" fontId="38" fillId="3" borderId="8"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35" fillId="2" borderId="1" xfId="0" applyFont="1" applyFill="1" applyBorder="1" applyAlignment="1">
      <alignment horizontal="justify" vertical="center" wrapText="1"/>
    </xf>
    <xf numFmtId="0" fontId="38" fillId="3" borderId="2" xfId="0" applyNumberFormat="1"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4" xfId="0" applyFont="1" applyFill="1" applyBorder="1"/>
    <xf numFmtId="0" fontId="35" fillId="2" borderId="35" xfId="0" applyFont="1" applyFill="1" applyBorder="1"/>
    <xf numFmtId="0" fontId="36" fillId="2" borderId="35" xfId="0" applyFont="1" applyFill="1" applyBorder="1" applyAlignment="1"/>
    <xf numFmtId="3" fontId="38" fillId="10" borderId="40" xfId="0" applyNumberFormat="1" applyFont="1" applyFill="1" applyBorder="1" applyAlignment="1">
      <alignment horizontal="center" vertical="center" wrapText="1"/>
    </xf>
    <xf numFmtId="0" fontId="36" fillId="3" borderId="47" xfId="0" applyFont="1" applyFill="1" applyBorder="1" applyAlignment="1">
      <alignment horizontal="center" vertical="center" wrapText="1"/>
    </xf>
    <xf numFmtId="3" fontId="38" fillId="7" borderId="48" xfId="0" applyNumberFormat="1" applyFont="1" applyFill="1" applyBorder="1" applyAlignment="1">
      <alignment horizontal="center" vertical="center" wrapText="1"/>
    </xf>
    <xf numFmtId="43" fontId="36" fillId="5" borderId="13" xfId="53" applyFont="1" applyFill="1" applyBorder="1" applyAlignment="1">
      <alignment vertical="center"/>
    </xf>
    <xf numFmtId="0" fontId="36" fillId="2" borderId="38" xfId="0" applyFont="1" applyFill="1" applyBorder="1" applyAlignment="1">
      <alignment vertical="center" wrapText="1"/>
    </xf>
    <xf numFmtId="43" fontId="36" fillId="4" borderId="13" xfId="53" applyFont="1" applyFill="1" applyBorder="1" applyAlignment="1">
      <alignment vertical="center"/>
    </xf>
    <xf numFmtId="43" fontId="36" fillId="6" borderId="13" xfId="53" applyFont="1" applyFill="1" applyBorder="1" applyAlignment="1">
      <alignment vertical="center"/>
    </xf>
    <xf numFmtId="0" fontId="35" fillId="2" borderId="49" xfId="0" applyFont="1" applyFill="1" applyBorder="1" applyAlignment="1">
      <alignment vertical="center"/>
    </xf>
    <xf numFmtId="43" fontId="36" fillId="2" borderId="13" xfId="53" applyFont="1" applyFill="1" applyBorder="1" applyAlignment="1">
      <alignment horizontal="center" vertical="center"/>
    </xf>
    <xf numFmtId="0" fontId="35" fillId="2" borderId="49" xfId="0" applyFont="1" applyFill="1" applyBorder="1"/>
    <xf numFmtId="0" fontId="35" fillId="0" borderId="38" xfId="0" applyFont="1" applyBorder="1" applyAlignment="1">
      <alignment horizontal="center" vertical="center"/>
    </xf>
    <xf numFmtId="0" fontId="35" fillId="0" borderId="38" xfId="0" applyFont="1" applyFill="1" applyBorder="1" applyAlignment="1">
      <alignment horizontal="center" vertical="center" wrapText="1"/>
    </xf>
    <xf numFmtId="0" fontId="35" fillId="0" borderId="38" xfId="0" applyFont="1" applyFill="1" applyBorder="1" applyAlignment="1">
      <alignment horizontal="left" vertical="center" wrapText="1" indent="1"/>
    </xf>
    <xf numFmtId="0" fontId="35" fillId="0" borderId="38" xfId="0" applyNumberFormat="1" applyFont="1" applyFill="1" applyBorder="1" applyAlignment="1">
      <alignment horizontal="center" vertical="center" wrapText="1"/>
    </xf>
    <xf numFmtId="0" fontId="35" fillId="2" borderId="39" xfId="0" applyFont="1" applyFill="1" applyBorder="1" applyAlignment="1">
      <alignment horizontal="center" vertical="center" wrapText="1"/>
    </xf>
    <xf numFmtId="43" fontId="35" fillId="0" borderId="38" xfId="53" applyFont="1" applyFill="1" applyBorder="1" applyAlignment="1">
      <alignment vertical="center" wrapText="1"/>
    </xf>
    <xf numFmtId="43" fontId="35" fillId="0" borderId="38" xfId="53" applyFont="1" applyFill="1" applyBorder="1" applyAlignment="1">
      <alignment horizontal="center" vertical="center" wrapText="1"/>
    </xf>
    <xf numFmtId="43" fontId="35" fillId="2" borderId="38" xfId="53" applyFont="1" applyFill="1" applyBorder="1" applyAlignment="1">
      <alignment horizontal="right" vertical="center"/>
    </xf>
    <xf numFmtId="43" fontId="35" fillId="2" borderId="38" xfId="53" applyFont="1" applyFill="1" applyBorder="1" applyAlignment="1">
      <alignment horizontal="center" vertical="center"/>
    </xf>
    <xf numFmtId="43" fontId="35" fillId="2" borderId="38" xfId="53" applyFont="1" applyFill="1" applyBorder="1" applyAlignment="1">
      <alignment horizontal="center" vertical="center" wrapText="1"/>
    </xf>
    <xf numFmtId="43" fontId="35" fillId="2" borderId="38" xfId="53" applyFont="1" applyFill="1" applyBorder="1" applyAlignment="1">
      <alignment horizontal="right" vertical="center" wrapText="1"/>
    </xf>
    <xf numFmtId="43" fontId="36" fillId="2" borderId="50" xfId="53" applyFont="1" applyFill="1" applyBorder="1" applyAlignment="1">
      <alignment horizontal="center" vertical="center"/>
    </xf>
    <xf numFmtId="43" fontId="36" fillId="6" borderId="13" xfId="53" applyFont="1" applyFill="1" applyBorder="1" applyAlignment="1">
      <alignment vertical="center" wrapText="1"/>
    </xf>
    <xf numFmtId="0" fontId="35" fillId="0" borderId="38" xfId="0" applyFont="1" applyBorder="1" applyAlignment="1"/>
    <xf numFmtId="0" fontId="35" fillId="2" borderId="38" xfId="0" applyFont="1" applyFill="1" applyBorder="1" applyAlignment="1">
      <alignment vertical="center"/>
    </xf>
    <xf numFmtId="9" fontId="35" fillId="0" borderId="38" xfId="0" applyNumberFormat="1" applyFont="1" applyBorder="1" applyAlignment="1">
      <alignment horizontal="center" vertical="center"/>
    </xf>
    <xf numFmtId="0" fontId="35" fillId="2" borderId="40" xfId="0" applyFont="1" applyFill="1" applyBorder="1" applyAlignment="1">
      <alignment horizontal="center" vertical="center" wrapText="1"/>
    </xf>
    <xf numFmtId="0" fontId="35" fillId="0" borderId="49" xfId="0" applyFont="1" applyFill="1" applyBorder="1" applyAlignment="1">
      <alignment vertical="center"/>
    </xf>
    <xf numFmtId="0" fontId="35" fillId="0" borderId="49" xfId="0" applyFont="1" applyFill="1" applyBorder="1"/>
    <xf numFmtId="10" fontId="35" fillId="0" borderId="40" xfId="54" applyNumberFormat="1" applyFont="1" applyFill="1" applyBorder="1" applyAlignment="1">
      <alignment horizontal="center" vertical="center" wrapText="1"/>
    </xf>
    <xf numFmtId="0" fontId="35" fillId="0" borderId="40" xfId="0" applyFont="1" applyFill="1" applyBorder="1" applyAlignment="1">
      <alignment horizontal="center" vertical="center" wrapText="1"/>
    </xf>
    <xf numFmtId="43" fontId="35" fillId="0" borderId="40" xfId="53" applyFont="1" applyFill="1" applyBorder="1" applyAlignment="1">
      <alignment vertical="center" wrapText="1"/>
    </xf>
    <xf numFmtId="43" fontId="36" fillId="6" borderId="51" xfId="53" applyFont="1" applyFill="1" applyBorder="1" applyAlignment="1">
      <alignment vertical="center" wrapText="1"/>
    </xf>
    <xf numFmtId="43" fontId="36" fillId="4" borderId="51" xfId="53" applyFont="1" applyFill="1" applyBorder="1" applyAlignment="1">
      <alignment vertical="center"/>
    </xf>
    <xf numFmtId="0" fontId="35" fillId="0" borderId="38" xfId="0" applyFont="1" applyFill="1" applyBorder="1" applyAlignment="1">
      <alignment vertical="center"/>
    </xf>
    <xf numFmtId="43" fontId="36" fillId="6" borderId="51" xfId="53" applyFont="1" applyFill="1" applyBorder="1" applyAlignment="1">
      <alignment vertical="center"/>
    </xf>
    <xf numFmtId="0" fontId="35" fillId="0" borderId="39" xfId="0" applyFont="1" applyFill="1" applyBorder="1" applyAlignment="1">
      <alignment horizontal="center" vertical="center" wrapText="1"/>
    </xf>
    <xf numFmtId="9" fontId="35" fillId="2" borderId="0" xfId="0" applyNumberFormat="1" applyFont="1" applyFill="1" applyBorder="1" applyAlignment="1">
      <alignment horizontal="center" vertical="center"/>
    </xf>
    <xf numFmtId="0" fontId="35" fillId="0" borderId="0" xfId="0" applyFont="1" applyBorder="1" applyAlignment="1">
      <alignment horizontal="center" vertical="center" wrapText="1"/>
    </xf>
    <xf numFmtId="43" fontId="36" fillId="5" borderId="13" xfId="53" applyFont="1" applyFill="1" applyBorder="1" applyAlignment="1">
      <alignment vertical="center" wrapText="1"/>
    </xf>
    <xf numFmtId="0" fontId="35" fillId="0" borderId="0" xfId="0" applyFont="1" applyBorder="1" applyAlignment="1">
      <alignment horizontal="center" wrapText="1"/>
    </xf>
    <xf numFmtId="0" fontId="35" fillId="0" borderId="0" xfId="0" applyFont="1" applyBorder="1" applyAlignment="1">
      <alignment horizontal="center" vertical="top"/>
    </xf>
    <xf numFmtId="3" fontId="35" fillId="0" borderId="38" xfId="0" applyNumberFormat="1" applyFont="1" applyFill="1" applyBorder="1" applyAlignment="1">
      <alignment horizontal="center" vertical="center" wrapText="1"/>
    </xf>
    <xf numFmtId="3" fontId="35" fillId="16" borderId="38" xfId="0" applyNumberFormat="1" applyFont="1" applyFill="1" applyBorder="1" applyAlignment="1">
      <alignment horizontal="center" vertical="center"/>
    </xf>
    <xf numFmtId="3" fontId="35" fillId="16" borderId="38" xfId="0" applyNumberFormat="1" applyFont="1" applyFill="1" applyBorder="1" applyAlignment="1">
      <alignment horizontal="center" vertical="center" wrapText="1"/>
    </xf>
    <xf numFmtId="10" fontId="35" fillId="0" borderId="38" xfId="54" applyNumberFormat="1" applyFont="1" applyFill="1" applyBorder="1" applyAlignment="1">
      <alignment horizontal="center" vertical="center"/>
    </xf>
    <xf numFmtId="43" fontId="35" fillId="0" borderId="38" xfId="53" applyFont="1" applyFill="1" applyBorder="1" applyAlignment="1">
      <alignment vertical="center"/>
    </xf>
    <xf numFmtId="43" fontId="35" fillId="2" borderId="38" xfId="53" applyFont="1" applyFill="1" applyBorder="1" applyAlignment="1">
      <alignment vertical="center" wrapText="1"/>
    </xf>
    <xf numFmtId="43" fontId="36" fillId="2" borderId="13" xfId="53" applyFont="1" applyFill="1" applyBorder="1" applyAlignment="1">
      <alignment vertical="center"/>
    </xf>
    <xf numFmtId="43" fontId="36" fillId="6" borderId="51" xfId="0" applyNumberFormat="1" applyFont="1" applyFill="1" applyBorder="1" applyAlignment="1">
      <alignment vertical="center" wrapText="1"/>
    </xf>
    <xf numFmtId="170" fontId="36" fillId="4" borderId="51" xfId="0" applyNumberFormat="1" applyFont="1" applyFill="1" applyBorder="1" applyAlignment="1">
      <alignment vertical="center"/>
    </xf>
    <xf numFmtId="0" fontId="36" fillId="6" borderId="40" xfId="0" applyFont="1" applyFill="1" applyBorder="1" applyAlignment="1">
      <alignment horizontal="left" vertical="center" wrapText="1"/>
    </xf>
    <xf numFmtId="43" fontId="35" fillId="0" borderId="40" xfId="53" applyFont="1" applyFill="1" applyBorder="1" applyAlignment="1">
      <alignment vertical="center"/>
    </xf>
    <xf numFmtId="43" fontId="35" fillId="2" borderId="40" xfId="53" applyFont="1" applyFill="1" applyBorder="1" applyAlignment="1">
      <alignment vertical="center" wrapText="1"/>
    </xf>
    <xf numFmtId="0" fontId="36" fillId="6" borderId="38"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37" fillId="6" borderId="41" xfId="0" applyFont="1" applyFill="1" applyBorder="1" applyAlignment="1">
      <alignment horizontal="center" vertical="center"/>
    </xf>
    <xf numFmtId="10" fontId="36" fillId="6" borderId="41" xfId="0" applyNumberFormat="1" applyFont="1" applyFill="1" applyBorder="1" applyAlignment="1">
      <alignment horizontal="center" vertical="center"/>
    </xf>
    <xf numFmtId="0" fontId="35" fillId="2" borderId="47" xfId="0" applyFont="1" applyFill="1" applyBorder="1" applyAlignment="1">
      <alignment vertical="center"/>
    </xf>
    <xf numFmtId="3" fontId="35" fillId="2" borderId="38" xfId="0" applyNumberFormat="1" applyFont="1" applyFill="1" applyBorder="1" applyAlignment="1">
      <alignment horizontal="center" vertical="center" wrapText="1"/>
    </xf>
    <xf numFmtId="43" fontId="35" fillId="0" borderId="38" xfId="53" applyFont="1" applyFill="1" applyBorder="1" applyAlignment="1">
      <alignment horizontal="right" vertical="center"/>
    </xf>
    <xf numFmtId="43" fontId="35" fillId="2" borderId="40" xfId="53" applyFont="1" applyFill="1" applyBorder="1" applyAlignment="1">
      <alignment horizontal="right" vertical="center" wrapText="1"/>
    </xf>
    <xf numFmtId="0" fontId="36" fillId="6" borderId="41" xfId="0" applyFont="1" applyFill="1" applyBorder="1" applyAlignment="1">
      <alignment horizontal="left" vertical="center" wrapText="1"/>
    </xf>
    <xf numFmtId="0" fontId="36" fillId="6" borderId="40" xfId="0" applyFont="1" applyFill="1" applyBorder="1" applyAlignment="1">
      <alignment vertical="center"/>
    </xf>
    <xf numFmtId="43" fontId="44" fillId="6" borderId="51" xfId="0" applyNumberFormat="1" applyFont="1" applyFill="1" applyBorder="1" applyAlignment="1">
      <alignment vertical="center"/>
    </xf>
    <xf numFmtId="43" fontId="35" fillId="0" borderId="38" xfId="53" applyFont="1" applyFill="1" applyBorder="1" applyAlignment="1">
      <alignment horizontal="right" vertical="center" wrapText="1"/>
    </xf>
    <xf numFmtId="182" fontId="44" fillId="6" borderId="51" xfId="62889" applyNumberFormat="1" applyFont="1" applyFill="1" applyBorder="1" applyAlignment="1">
      <alignment vertical="center"/>
    </xf>
    <xf numFmtId="0" fontId="35" fillId="0" borderId="40" xfId="0" applyFont="1" applyFill="1" applyBorder="1" applyAlignment="1">
      <alignment horizontal="center" vertical="center"/>
    </xf>
    <xf numFmtId="10" fontId="35" fillId="0" borderId="40" xfId="54" applyNumberFormat="1" applyFont="1" applyFill="1" applyBorder="1" applyAlignment="1">
      <alignment horizontal="center" vertical="center"/>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43" fillId="2" borderId="49" xfId="0" applyFont="1" applyFill="1" applyBorder="1"/>
    <xf numFmtId="170" fontId="44" fillId="4" borderId="51" xfId="0" applyNumberFormat="1" applyFont="1" applyFill="1" applyBorder="1" applyAlignment="1">
      <alignment vertical="center"/>
    </xf>
    <xf numFmtId="0" fontId="43" fillId="2" borderId="38" xfId="0" applyFont="1" applyFill="1" applyBorder="1" applyAlignment="1">
      <alignment vertical="center"/>
    </xf>
    <xf numFmtId="43" fontId="44" fillId="6" borderId="51" xfId="0" applyNumberFormat="1" applyFont="1" applyFill="1" applyBorder="1" applyAlignment="1">
      <alignment vertical="center" wrapText="1"/>
    </xf>
    <xf numFmtId="9" fontId="35" fillId="0" borderId="38" xfId="0" applyNumberFormat="1" applyFont="1" applyBorder="1" applyAlignment="1">
      <alignment horizontal="center" vertical="center" wrapText="1"/>
    </xf>
    <xf numFmtId="37" fontId="35" fillId="0" borderId="38" xfId="53" applyNumberFormat="1" applyFont="1" applyFill="1" applyBorder="1" applyAlignment="1">
      <alignment horizontal="center" vertical="center"/>
    </xf>
    <xf numFmtId="10" fontId="35" fillId="2" borderId="38" xfId="54" applyNumberFormat="1" applyFont="1" applyFill="1" applyBorder="1" applyAlignment="1">
      <alignment horizontal="center" vertical="center"/>
    </xf>
    <xf numFmtId="43" fontId="35" fillId="2" borderId="38" xfId="53" applyFont="1" applyFill="1" applyBorder="1" applyAlignment="1">
      <alignment vertical="center"/>
    </xf>
    <xf numFmtId="43" fontId="35" fillId="2" borderId="40" xfId="53" applyFont="1" applyFill="1" applyBorder="1" applyAlignment="1">
      <alignment vertical="center"/>
    </xf>
    <xf numFmtId="9" fontId="35" fillId="0" borderId="0" xfId="0" applyNumberFormat="1" applyFont="1" applyBorder="1" applyAlignment="1">
      <alignment horizontal="center" vertical="center"/>
    </xf>
    <xf numFmtId="0" fontId="37" fillId="6" borderId="41" xfId="0" applyFont="1" applyFill="1" applyBorder="1" applyAlignment="1">
      <alignment horizontal="center" vertical="center" wrapText="1"/>
    </xf>
    <xf numFmtId="0" fontId="36" fillId="6" borderId="41" xfId="0" applyFont="1" applyFill="1" applyBorder="1" applyAlignment="1">
      <alignment vertical="center" wrapText="1"/>
    </xf>
    <xf numFmtId="0" fontId="35" fillId="0" borderId="0" xfId="0" applyFont="1" applyBorder="1" applyAlignment="1">
      <alignment horizontal="center" vertical="center"/>
    </xf>
    <xf numFmtId="1" fontId="35" fillId="0" borderId="38" xfId="53" applyNumberFormat="1" applyFont="1" applyFill="1" applyBorder="1" applyAlignment="1">
      <alignment horizontal="center" vertical="center"/>
    </xf>
    <xf numFmtId="9" fontId="35" fillId="2" borderId="38" xfId="0" applyNumberFormat="1" applyFont="1" applyFill="1" applyBorder="1" applyAlignment="1">
      <alignment horizontal="center" vertical="center"/>
    </xf>
    <xf numFmtId="43" fontId="36" fillId="0" borderId="13" xfId="53" applyFont="1" applyFill="1" applyBorder="1" applyAlignment="1">
      <alignment horizontal="center" vertical="center"/>
    </xf>
    <xf numFmtId="43" fontId="36" fillId="2" borderId="48" xfId="53" applyFont="1" applyFill="1" applyBorder="1" applyAlignment="1">
      <alignment horizontal="center" vertical="center"/>
    </xf>
    <xf numFmtId="43" fontId="44" fillId="6" borderId="41" xfId="0" applyNumberFormat="1" applyFont="1" applyFill="1" applyBorder="1" applyAlignment="1">
      <alignment vertical="center"/>
    </xf>
    <xf numFmtId="43" fontId="44" fillId="6" borderId="52" xfId="0" applyNumberFormat="1" applyFont="1" applyFill="1" applyBorder="1" applyAlignment="1">
      <alignment vertical="center"/>
    </xf>
    <xf numFmtId="0" fontId="35" fillId="0" borderId="38" xfId="0" applyFont="1" applyFill="1" applyBorder="1" applyAlignment="1">
      <alignment horizontal="justify" vertical="justify" wrapText="1"/>
    </xf>
    <xf numFmtId="0" fontId="35" fillId="0" borderId="38" xfId="0" applyFont="1" applyBorder="1" applyAlignment="1">
      <alignment horizontal="justify" vertical="center" wrapText="1"/>
    </xf>
    <xf numFmtId="43" fontId="35" fillId="0" borderId="0" xfId="53" applyFont="1" applyBorder="1" applyAlignment="1">
      <alignment vertical="center"/>
    </xf>
    <xf numFmtId="43" fontId="44" fillId="4" borderId="51" xfId="0" applyNumberFormat="1" applyFont="1" applyFill="1" applyBorder="1" applyAlignment="1">
      <alignment vertical="center"/>
    </xf>
    <xf numFmtId="0" fontId="35" fillId="2" borderId="41" xfId="0" applyFont="1" applyFill="1" applyBorder="1" applyAlignment="1">
      <alignment vertical="center"/>
    </xf>
    <xf numFmtId="10" fontId="35" fillId="2" borderId="38" xfId="54" applyNumberFormat="1" applyFont="1" applyFill="1" applyBorder="1" applyAlignment="1">
      <alignment horizontal="center" vertical="center" wrapText="1"/>
    </xf>
    <xf numFmtId="43" fontId="36" fillId="0" borderId="50" xfId="53" applyFont="1" applyFill="1" applyBorder="1" applyAlignment="1">
      <alignment vertical="center"/>
    </xf>
    <xf numFmtId="43" fontId="35" fillId="2" borderId="40" xfId="53" applyFont="1" applyFill="1" applyBorder="1" applyAlignment="1">
      <alignment horizontal="right" vertical="center"/>
    </xf>
    <xf numFmtId="10" fontId="35" fillId="2" borderId="38" xfId="0" applyNumberFormat="1" applyFont="1" applyFill="1" applyBorder="1" applyAlignment="1">
      <alignment horizontal="center" vertical="center"/>
    </xf>
    <xf numFmtId="0" fontId="35" fillId="2" borderId="40" xfId="0" applyFont="1" applyFill="1" applyBorder="1" applyAlignment="1">
      <alignment horizontal="justify" vertical="center" wrapText="1"/>
    </xf>
    <xf numFmtId="0" fontId="36" fillId="2" borderId="53" xfId="0" applyFont="1" applyFill="1" applyBorder="1"/>
    <xf numFmtId="43" fontId="36" fillId="8" borderId="13" xfId="53" applyFont="1" applyFill="1" applyBorder="1" applyAlignment="1">
      <alignment vertical="center"/>
    </xf>
    <xf numFmtId="0" fontId="35" fillId="2" borderId="36" xfId="0" applyFont="1" applyFill="1" applyBorder="1"/>
    <xf numFmtId="0" fontId="35" fillId="2" borderId="37" xfId="0" applyFont="1" applyFill="1" applyBorder="1"/>
    <xf numFmtId="0" fontId="36" fillId="12" borderId="54" xfId="0" applyFont="1" applyFill="1" applyBorder="1" applyAlignment="1">
      <alignment vertical="center" wrapText="1"/>
    </xf>
    <xf numFmtId="0" fontId="36" fillId="12" borderId="54" xfId="0" applyFont="1" applyFill="1" applyBorder="1" applyAlignment="1">
      <alignment horizontal="center" vertical="center" wrapText="1"/>
    </xf>
    <xf numFmtId="0" fontId="35" fillId="12" borderId="54" xfId="0" applyFont="1" applyFill="1" applyBorder="1"/>
    <xf numFmtId="0" fontId="35" fillId="12" borderId="54" xfId="0" applyFont="1" applyFill="1" applyBorder="1" applyAlignment="1">
      <alignment horizontal="center" vertical="center" wrapText="1"/>
    </xf>
    <xf numFmtId="0" fontId="36" fillId="12" borderId="54" xfId="0" applyFont="1" applyFill="1" applyBorder="1" applyAlignment="1">
      <alignment horizontal="justify"/>
    </xf>
    <xf numFmtId="0" fontId="35" fillId="12" borderId="54" xfId="0" applyFont="1" applyFill="1" applyBorder="1" applyAlignment="1">
      <alignment horizontal="justify"/>
    </xf>
    <xf numFmtId="0" fontId="35" fillId="12" borderId="54" xfId="0" applyFont="1" applyFill="1" applyBorder="1" applyAlignment="1">
      <alignment horizontal="center" wrapText="1"/>
    </xf>
    <xf numFmtId="0" fontId="35" fillId="12" borderId="54" xfId="0" applyFont="1" applyFill="1" applyBorder="1" applyAlignment="1">
      <alignment horizontal="center"/>
    </xf>
    <xf numFmtId="0" fontId="41" fillId="12" borderId="54" xfId="0" applyNumberFormat="1" applyFont="1" applyFill="1" applyBorder="1" applyAlignment="1">
      <alignment horizontal="center" vertical="center"/>
    </xf>
    <xf numFmtId="0" fontId="35" fillId="12" borderId="54" xfId="0" applyNumberFormat="1" applyFont="1" applyFill="1" applyBorder="1" applyAlignment="1">
      <alignment horizontal="center" vertical="center"/>
    </xf>
    <xf numFmtId="165" fontId="36" fillId="12" borderId="54" xfId="62889" applyFont="1" applyFill="1" applyBorder="1" applyAlignment="1">
      <alignment horizontal="center" vertical="center"/>
    </xf>
    <xf numFmtId="10" fontId="35" fillId="12" borderId="54" xfId="0" applyNumberFormat="1" applyFont="1" applyFill="1" applyBorder="1" applyAlignment="1">
      <alignment horizontal="center" vertical="center"/>
    </xf>
    <xf numFmtId="43" fontId="35" fillId="12" borderId="54" xfId="53" applyFont="1" applyFill="1" applyBorder="1" applyAlignment="1">
      <alignment vertical="center"/>
    </xf>
    <xf numFmtId="43" fontId="36" fillId="12" borderId="55" xfId="53" applyFont="1" applyFill="1" applyBorder="1" applyAlignment="1">
      <alignment vertical="center" wrapText="1"/>
    </xf>
    <xf numFmtId="43" fontId="36" fillId="12" borderId="54" xfId="53" applyFont="1" applyFill="1" applyBorder="1" applyAlignment="1">
      <alignment horizontal="right" vertical="center" wrapText="1"/>
    </xf>
    <xf numFmtId="43" fontId="36" fillId="12" borderId="56" xfId="53" applyFont="1" applyFill="1" applyBorder="1" applyAlignment="1">
      <alignment vertical="center"/>
    </xf>
    <xf numFmtId="0" fontId="36" fillId="2" borderId="57"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8" fillId="0" borderId="7" xfId="0" applyFont="1" applyFill="1" applyBorder="1" applyAlignment="1">
      <alignment vertical="center"/>
    </xf>
    <xf numFmtId="0" fontId="40" fillId="0" borderId="2" xfId="62889" applyNumberFormat="1" applyFont="1" applyFill="1" applyBorder="1" applyAlignment="1">
      <alignment horizontal="center" vertical="center"/>
    </xf>
    <xf numFmtId="0" fontId="35" fillId="0" borderId="12" xfId="0" applyFont="1" applyFill="1" applyBorder="1" applyAlignment="1">
      <alignment horizontal="center" vertical="center"/>
    </xf>
    <xf numFmtId="0" fontId="36" fillId="2" borderId="0" xfId="0" applyFont="1" applyFill="1" applyBorder="1" applyAlignment="1">
      <alignment horizontal="center"/>
    </xf>
    <xf numFmtId="0" fontId="36" fillId="2" borderId="0" xfId="0" applyFont="1" applyFill="1" applyBorder="1" applyAlignment="1">
      <alignment horizontal="center" vertical="center" wrapText="1"/>
    </xf>
    <xf numFmtId="0" fontId="36" fillId="13" borderId="42" xfId="0" applyFont="1" applyFill="1" applyBorder="1" applyAlignment="1">
      <alignment horizontal="center"/>
    </xf>
    <xf numFmtId="0" fontId="36" fillId="13" borderId="43" xfId="0" applyFont="1" applyFill="1" applyBorder="1" applyAlignment="1">
      <alignment horizontal="center"/>
    </xf>
    <xf numFmtId="0" fontId="36" fillId="13" borderId="44" xfId="0" applyFont="1" applyFill="1" applyBorder="1" applyAlignment="1">
      <alignment horizontal="center"/>
    </xf>
    <xf numFmtId="3" fontId="38" fillId="11" borderId="2" xfId="0" applyNumberFormat="1" applyFont="1" applyFill="1" applyBorder="1" applyAlignment="1">
      <alignment horizontal="center" vertical="center" wrapText="1"/>
    </xf>
    <xf numFmtId="3" fontId="38" fillId="7" borderId="2" xfId="53" applyNumberFormat="1" applyFont="1" applyFill="1" applyBorder="1" applyAlignment="1">
      <alignment horizontal="center" vertical="center"/>
    </xf>
    <xf numFmtId="3" fontId="38" fillId="7" borderId="2" xfId="0" applyNumberFormat="1" applyFont="1" applyFill="1" applyBorder="1" applyAlignment="1">
      <alignment horizontal="center" vertical="center" wrapText="1"/>
    </xf>
    <xf numFmtId="0" fontId="36" fillId="14" borderId="12" xfId="0" applyFont="1" applyFill="1" applyBorder="1" applyAlignment="1">
      <alignment horizontal="center" vertical="center"/>
    </xf>
    <xf numFmtId="0" fontId="36" fillId="15" borderId="12" xfId="0" applyFont="1" applyFill="1" applyBorder="1" applyAlignment="1">
      <alignment horizontal="center"/>
    </xf>
    <xf numFmtId="3" fontId="38" fillId="11" borderId="2" xfId="53" applyNumberFormat="1" applyFont="1" applyFill="1" applyBorder="1" applyAlignment="1">
      <alignment horizontal="center" vertical="center"/>
    </xf>
    <xf numFmtId="0" fontId="36" fillId="13" borderId="42" xfId="0" applyFont="1" applyFill="1" applyBorder="1" applyAlignment="1">
      <alignment horizontal="center" vertical="center"/>
    </xf>
    <xf numFmtId="0" fontId="36" fillId="13" borderId="43" xfId="0" applyFont="1" applyFill="1" applyBorder="1" applyAlignment="1">
      <alignment horizontal="center" vertical="center"/>
    </xf>
    <xf numFmtId="0" fontId="38" fillId="3" borderId="2" xfId="0"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8" fillId="3" borderId="7" xfId="0" applyNumberFormat="1" applyFont="1" applyFill="1" applyBorder="1" applyAlignment="1">
      <alignment horizontal="center" vertical="center" wrapText="1"/>
    </xf>
    <xf numFmtId="3" fontId="38" fillId="6" borderId="42" xfId="53" applyNumberFormat="1" applyFont="1" applyFill="1" applyBorder="1" applyAlignment="1">
      <alignment horizontal="center" vertical="center"/>
    </xf>
    <xf numFmtId="3" fontId="38" fillId="6" borderId="43" xfId="53" applyNumberFormat="1" applyFont="1" applyFill="1" applyBorder="1" applyAlignment="1">
      <alignment horizontal="center" vertical="center"/>
    </xf>
    <xf numFmtId="9" fontId="35" fillId="0" borderId="38"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3" fontId="38" fillId="7" borderId="45" xfId="0" applyNumberFormat="1" applyFont="1" applyFill="1" applyBorder="1" applyAlignment="1">
      <alignment horizontal="center" vertical="center" wrapText="1"/>
    </xf>
    <xf numFmtId="3" fontId="38" fillId="7" borderId="13" xfId="0" applyNumberFormat="1"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35" fillId="2" borderId="1" xfId="0" applyFont="1" applyFill="1" applyBorder="1" applyAlignment="1">
      <alignment horizontal="center" vertical="center" wrapText="1"/>
    </xf>
    <xf numFmtId="10" fontId="38" fillId="3" borderId="2" xfId="0" applyNumberFormat="1" applyFont="1" applyFill="1" applyBorder="1" applyAlignment="1">
      <alignment horizontal="center" vertical="center" wrapText="1"/>
    </xf>
    <xf numFmtId="0" fontId="3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xf>
    <xf numFmtId="0" fontId="35" fillId="2" borderId="38" xfId="0" applyFont="1" applyFill="1" applyBorder="1" applyAlignment="1">
      <alignment horizontal="justify" vertical="center" wrapText="1"/>
    </xf>
    <xf numFmtId="0" fontId="35" fillId="2" borderId="1" xfId="0" applyFont="1" applyFill="1" applyBorder="1" applyAlignment="1">
      <alignment horizontal="justify" vertical="center" wrapText="1"/>
    </xf>
    <xf numFmtId="0" fontId="36" fillId="3" borderId="46" xfId="0" applyFont="1" applyFill="1" applyBorder="1" applyAlignment="1">
      <alignment horizontal="center" vertical="center" wrapText="1"/>
    </xf>
    <xf numFmtId="0" fontId="36" fillId="3" borderId="47"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8" fillId="3" borderId="38"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7" xfId="0" applyFont="1" applyFill="1" applyBorder="1" applyAlignment="1">
      <alignment horizontal="center" vertical="center"/>
    </xf>
    <xf numFmtId="0" fontId="38" fillId="3" borderId="9" xfId="0" applyNumberFormat="1" applyFont="1" applyFill="1" applyBorder="1" applyAlignment="1">
      <alignment horizontal="center" vertical="center" wrapText="1"/>
    </xf>
  </cellXfs>
  <cellStyles count="62890">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0"/>
  <tableStyles count="0" defaultTableStyle="TableStyleMedium2" defaultPivotStyle="PivotStyleLight16"/>
  <colors>
    <mruColors>
      <color rgb="FFCCFF66"/>
      <color rgb="FFFF0000"/>
      <color rgb="FFCC99FF"/>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140606</xdr:colOff>
      <xdr:row>1</xdr:row>
      <xdr:rowOff>0</xdr:rowOff>
    </xdr:from>
    <xdr:to>
      <xdr:col>4</xdr:col>
      <xdr:colOff>253999</xdr:colOff>
      <xdr:row>6</xdr:row>
      <xdr:rowOff>226785</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481" y="317500"/>
          <a:ext cx="1288144" cy="1397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37"/>
  <sheetViews>
    <sheetView showGridLines="0" tabSelected="1" topLeftCell="N1" zoomScale="70" zoomScaleNormal="70" workbookViewId="0">
      <selection activeCell="W359" sqref="W359"/>
    </sheetView>
  </sheetViews>
  <sheetFormatPr baseColWidth="10" defaultColWidth="11.42578125" defaultRowHeight="24.75" customHeight="1" x14ac:dyDescent="0.2"/>
  <cols>
    <col min="1" max="1" width="11.28515625" style="1" customWidth="1"/>
    <col min="2" max="2" width="9.28515625" style="1" customWidth="1"/>
    <col min="3" max="3" width="15.42578125" style="1" customWidth="1"/>
    <col min="4" max="4" width="17.7109375" style="1" customWidth="1"/>
    <col min="5" max="5" width="18.42578125" style="381" customWidth="1"/>
    <col min="6" max="6" width="34.140625" style="1" customWidth="1"/>
    <col min="7" max="7" width="15.28515625" style="1" customWidth="1"/>
    <col min="8" max="8" width="14.28515625" style="1" customWidth="1"/>
    <col min="9" max="9" width="7.5703125" style="382" customWidth="1"/>
    <col min="10" max="10" width="39.7109375" style="395" customWidth="1"/>
    <col min="11" max="11" width="27.85546875" style="395" customWidth="1"/>
    <col min="12" max="12" width="19.28515625" style="396" customWidth="1"/>
    <col min="13" max="13" width="11.85546875" style="397" customWidth="1"/>
    <col min="14" max="14" width="14.28515625" style="383" customWidth="1"/>
    <col min="15" max="16" width="14.28515625" style="384" customWidth="1"/>
    <col min="17" max="17" width="8.85546875" style="383" customWidth="1"/>
    <col min="18" max="18" width="10.5703125" style="384" customWidth="1"/>
    <col min="19" max="19" width="11.85546875" style="523" customWidth="1"/>
    <col min="20" max="20" width="9.42578125" style="384" customWidth="1"/>
    <col min="21" max="21" width="8.85546875" style="384" customWidth="1"/>
    <col min="22" max="22" width="8.5703125" style="384" customWidth="1"/>
    <col min="23" max="23" width="8.85546875" style="384" customWidth="1"/>
    <col min="24" max="24" width="20.7109375" style="385" customWidth="1"/>
    <col min="25" max="25" width="12.140625" style="366" customWidth="1"/>
    <col min="26" max="26" width="17" style="366" customWidth="1"/>
    <col min="27" max="27" width="26.140625" style="386" customWidth="1"/>
    <col min="28" max="28" width="28.28515625" style="387" customWidth="1"/>
    <col min="29" max="29" width="26.28515625" style="388" customWidth="1"/>
    <col min="30" max="30" width="25.140625" style="386" customWidth="1"/>
    <col min="31" max="31" width="24.140625" style="386" customWidth="1"/>
    <col min="32" max="32" width="23.140625" style="386" customWidth="1"/>
    <col min="33" max="33" width="29" style="386" customWidth="1"/>
    <col min="34" max="34" width="28" style="386" customWidth="1"/>
    <col min="35" max="35" width="28.140625" style="386" customWidth="1"/>
    <col min="36" max="36" width="26.28515625" style="389" customWidth="1"/>
    <col min="37" max="42" width="27.5703125" style="390" customWidth="1"/>
    <col min="43" max="43" width="31.140625" style="390" customWidth="1"/>
    <col min="44" max="56" width="27.5703125" style="390" customWidth="1"/>
    <col min="57" max="66" width="27.5703125" style="391" customWidth="1"/>
    <col min="67" max="67" width="31.140625" style="1" customWidth="1"/>
    <col min="68" max="68" width="38.7109375" style="1" customWidth="1"/>
    <col min="69" max="16384" width="11.42578125" style="1"/>
  </cols>
  <sheetData>
    <row r="1" spans="1:67" ht="18" customHeight="1" x14ac:dyDescent="0.25">
      <c r="C1" s="667" t="s">
        <v>0</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2"/>
    </row>
    <row r="2" spans="1:67" ht="18" customHeight="1" x14ac:dyDescent="0.2">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7"/>
      <c r="BL2" s="667"/>
      <c r="BM2" s="667"/>
      <c r="BN2" s="4" t="s">
        <v>1</v>
      </c>
      <c r="BO2" s="4" t="s">
        <v>943</v>
      </c>
    </row>
    <row r="3" spans="1:67" ht="18" customHeight="1" x14ac:dyDescent="0.2">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4" t="s">
        <v>2</v>
      </c>
      <c r="BO3" s="438">
        <v>5</v>
      </c>
    </row>
    <row r="4" spans="1:67" ht="18" customHeight="1" x14ac:dyDescent="0.2">
      <c r="C4" s="668" t="s">
        <v>942</v>
      </c>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668"/>
      <c r="BC4" s="668"/>
      <c r="BD4" s="668"/>
      <c r="BE4" s="668"/>
      <c r="BF4" s="668"/>
      <c r="BG4" s="668"/>
      <c r="BH4" s="668"/>
      <c r="BI4" s="668"/>
      <c r="BJ4" s="668"/>
      <c r="BK4" s="668"/>
      <c r="BL4" s="668"/>
      <c r="BM4" s="668"/>
      <c r="BN4" s="5" t="s">
        <v>3</v>
      </c>
      <c r="BO4" s="664" t="s">
        <v>944</v>
      </c>
    </row>
    <row r="5" spans="1:67" ht="18" customHeight="1" x14ac:dyDescent="0.2">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4" t="s">
        <v>4</v>
      </c>
      <c r="BO5" s="4" t="s">
        <v>5</v>
      </c>
    </row>
    <row r="6" spans="1:67" ht="18" customHeight="1" thickBot="1" x14ac:dyDescent="0.25">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472"/>
      <c r="BO6" s="6"/>
    </row>
    <row r="7" spans="1:67" ht="24.75" customHeight="1" x14ac:dyDescent="0.25">
      <c r="A7" s="535"/>
      <c r="B7" s="536"/>
      <c r="C7" s="537"/>
      <c r="D7" s="537"/>
      <c r="E7" s="537"/>
      <c r="F7" s="669" t="s">
        <v>928</v>
      </c>
      <c r="G7" s="670"/>
      <c r="H7" s="670"/>
      <c r="I7" s="670"/>
      <c r="J7" s="670"/>
      <c r="K7" s="670"/>
      <c r="L7" s="670"/>
      <c r="M7" s="670"/>
      <c r="N7" s="670"/>
      <c r="O7" s="670"/>
      <c r="P7" s="670"/>
      <c r="Q7" s="670"/>
      <c r="R7" s="670"/>
      <c r="S7" s="670"/>
      <c r="T7" s="670"/>
      <c r="U7" s="670"/>
      <c r="V7" s="670"/>
      <c r="W7" s="670"/>
      <c r="X7" s="670"/>
      <c r="Y7" s="670"/>
      <c r="Z7" s="671"/>
      <c r="AA7" s="678" t="s">
        <v>6</v>
      </c>
      <c r="AB7" s="679"/>
      <c r="AC7" s="679"/>
      <c r="AD7" s="679"/>
      <c r="AE7" s="679"/>
      <c r="AF7" s="679"/>
      <c r="AG7" s="679"/>
      <c r="AH7" s="679"/>
      <c r="AI7" s="679"/>
      <c r="AJ7" s="679"/>
      <c r="AK7" s="683" t="s">
        <v>7</v>
      </c>
      <c r="AL7" s="684"/>
      <c r="AM7" s="684"/>
      <c r="AN7" s="684"/>
      <c r="AO7" s="684"/>
      <c r="AP7" s="684"/>
      <c r="AQ7" s="684"/>
      <c r="AR7" s="684"/>
      <c r="AS7" s="684"/>
      <c r="AT7" s="684"/>
      <c r="AU7" s="675" t="s">
        <v>8</v>
      </c>
      <c r="AV7" s="675"/>
      <c r="AW7" s="675"/>
      <c r="AX7" s="675"/>
      <c r="AY7" s="675"/>
      <c r="AZ7" s="675"/>
      <c r="BA7" s="675"/>
      <c r="BB7" s="675"/>
      <c r="BC7" s="675"/>
      <c r="BD7" s="675"/>
      <c r="BE7" s="676" t="s">
        <v>9</v>
      </c>
      <c r="BF7" s="676"/>
      <c r="BG7" s="676"/>
      <c r="BH7" s="676"/>
      <c r="BI7" s="676"/>
      <c r="BJ7" s="676"/>
      <c r="BK7" s="676"/>
      <c r="BL7" s="676"/>
      <c r="BM7" s="676"/>
      <c r="BN7" s="676"/>
      <c r="BO7" s="687" t="s">
        <v>927</v>
      </c>
    </row>
    <row r="8" spans="1:67" s="7" customFormat="1" ht="24.75" customHeight="1" x14ac:dyDescent="0.25">
      <c r="A8" s="698" t="s">
        <v>11</v>
      </c>
      <c r="B8" s="700" t="s">
        <v>12</v>
      </c>
      <c r="C8" s="703" t="s">
        <v>13</v>
      </c>
      <c r="D8" s="704"/>
      <c r="E8" s="705"/>
      <c r="F8" s="701" t="s">
        <v>14</v>
      </c>
      <c r="G8" s="694" t="s">
        <v>15</v>
      </c>
      <c r="H8" s="694" t="s">
        <v>16</v>
      </c>
      <c r="I8" s="695" t="s">
        <v>17</v>
      </c>
      <c r="J8" s="695"/>
      <c r="K8" s="680" t="s">
        <v>18</v>
      </c>
      <c r="L8" s="680" t="s">
        <v>19</v>
      </c>
      <c r="M8" s="680" t="s">
        <v>20</v>
      </c>
      <c r="N8" s="694" t="s">
        <v>21</v>
      </c>
      <c r="O8" s="694" t="s">
        <v>22</v>
      </c>
      <c r="P8" s="694" t="s">
        <v>23</v>
      </c>
      <c r="Q8" s="531">
        <v>2016</v>
      </c>
      <c r="R8" s="681">
        <v>2017</v>
      </c>
      <c r="S8" s="706"/>
      <c r="T8" s="681">
        <v>2018</v>
      </c>
      <c r="U8" s="682"/>
      <c r="V8" s="681">
        <v>2019</v>
      </c>
      <c r="W8" s="682"/>
      <c r="X8" s="693" t="s">
        <v>24</v>
      </c>
      <c r="Y8" s="694" t="s">
        <v>25</v>
      </c>
      <c r="Z8" s="694" t="s">
        <v>26</v>
      </c>
      <c r="AA8" s="524" t="s">
        <v>27</v>
      </c>
      <c r="AB8" s="524" t="s">
        <v>28</v>
      </c>
      <c r="AC8" s="524" t="s">
        <v>29</v>
      </c>
      <c r="AD8" s="524" t="s">
        <v>30</v>
      </c>
      <c r="AE8" s="524" t="s">
        <v>31</v>
      </c>
      <c r="AF8" s="527" t="s">
        <v>32</v>
      </c>
      <c r="AG8" s="524" t="s">
        <v>33</v>
      </c>
      <c r="AH8" s="524" t="s">
        <v>34</v>
      </c>
      <c r="AI8" s="524" t="s">
        <v>35</v>
      </c>
      <c r="AJ8" s="524" t="s">
        <v>36</v>
      </c>
      <c r="AK8" s="525" t="s">
        <v>27</v>
      </c>
      <c r="AL8" s="525" t="s">
        <v>28</v>
      </c>
      <c r="AM8" s="525" t="s">
        <v>29</v>
      </c>
      <c r="AN8" s="525" t="s">
        <v>30</v>
      </c>
      <c r="AO8" s="526" t="s">
        <v>31</v>
      </c>
      <c r="AP8" s="538" t="s">
        <v>32</v>
      </c>
      <c r="AQ8" s="538" t="s">
        <v>33</v>
      </c>
      <c r="AR8" s="538" t="s">
        <v>34</v>
      </c>
      <c r="AS8" s="538" t="s">
        <v>35</v>
      </c>
      <c r="AT8" s="538" t="s">
        <v>37</v>
      </c>
      <c r="AU8" s="673" t="s">
        <v>27</v>
      </c>
      <c r="AV8" s="673" t="s">
        <v>28</v>
      </c>
      <c r="AW8" s="673" t="s">
        <v>29</v>
      </c>
      <c r="AX8" s="673" t="s">
        <v>38</v>
      </c>
      <c r="AY8" s="674" t="s">
        <v>31</v>
      </c>
      <c r="AZ8" s="674" t="s">
        <v>32</v>
      </c>
      <c r="BA8" s="674" t="s">
        <v>33</v>
      </c>
      <c r="BB8" s="674" t="s">
        <v>34</v>
      </c>
      <c r="BC8" s="674" t="s">
        <v>35</v>
      </c>
      <c r="BD8" s="674" t="s">
        <v>10</v>
      </c>
      <c r="BE8" s="677" t="s">
        <v>27</v>
      </c>
      <c r="BF8" s="677" t="s">
        <v>28</v>
      </c>
      <c r="BG8" s="677" t="s">
        <v>29</v>
      </c>
      <c r="BH8" s="677" t="s">
        <v>38</v>
      </c>
      <c r="BI8" s="672" t="s">
        <v>31</v>
      </c>
      <c r="BJ8" s="672" t="s">
        <v>32</v>
      </c>
      <c r="BK8" s="672" t="s">
        <v>33</v>
      </c>
      <c r="BL8" s="672" t="s">
        <v>34</v>
      </c>
      <c r="BM8" s="672" t="s">
        <v>35</v>
      </c>
      <c r="BN8" s="672" t="s">
        <v>39</v>
      </c>
      <c r="BO8" s="688"/>
    </row>
    <row r="9" spans="1:67" s="7" customFormat="1" ht="24.75" customHeight="1" x14ac:dyDescent="0.25">
      <c r="A9" s="699"/>
      <c r="B9" s="700"/>
      <c r="C9" s="8" t="s">
        <v>40</v>
      </c>
      <c r="D9" s="9" t="s">
        <v>41</v>
      </c>
      <c r="E9" s="10" t="s">
        <v>42</v>
      </c>
      <c r="F9" s="702"/>
      <c r="G9" s="694"/>
      <c r="H9" s="694"/>
      <c r="I9" s="695"/>
      <c r="J9" s="695"/>
      <c r="K9" s="680"/>
      <c r="L9" s="680"/>
      <c r="M9" s="680"/>
      <c r="N9" s="694"/>
      <c r="O9" s="694"/>
      <c r="P9" s="694"/>
      <c r="Q9" s="530" t="s">
        <v>43</v>
      </c>
      <c r="R9" s="530" t="s">
        <v>43</v>
      </c>
      <c r="S9" s="495" t="s">
        <v>940</v>
      </c>
      <c r="T9" s="530" t="s">
        <v>941</v>
      </c>
      <c r="U9" s="530" t="s">
        <v>940</v>
      </c>
      <c r="V9" s="530" t="s">
        <v>941</v>
      </c>
      <c r="W9" s="530" t="s">
        <v>940</v>
      </c>
      <c r="X9" s="693"/>
      <c r="Y9" s="694"/>
      <c r="Z9" s="694"/>
      <c r="AA9" s="11" t="s">
        <v>44</v>
      </c>
      <c r="AB9" s="12" t="s">
        <v>44</v>
      </c>
      <c r="AC9" s="13" t="s">
        <v>44</v>
      </c>
      <c r="AD9" s="11" t="s">
        <v>44</v>
      </c>
      <c r="AE9" s="11" t="s">
        <v>44</v>
      </c>
      <c r="AF9" s="11" t="s">
        <v>44</v>
      </c>
      <c r="AG9" s="11" t="s">
        <v>44</v>
      </c>
      <c r="AH9" s="11" t="s">
        <v>44</v>
      </c>
      <c r="AI9" s="11" t="s">
        <v>44</v>
      </c>
      <c r="AJ9" s="14" t="s">
        <v>44</v>
      </c>
      <c r="AK9" s="15" t="s">
        <v>44</v>
      </c>
      <c r="AL9" s="15" t="s">
        <v>44</v>
      </c>
      <c r="AM9" s="15" t="s">
        <v>44</v>
      </c>
      <c r="AN9" s="15" t="s">
        <v>44</v>
      </c>
      <c r="AO9" s="15" t="s">
        <v>44</v>
      </c>
      <c r="AP9" s="15" t="s">
        <v>44</v>
      </c>
      <c r="AQ9" s="15" t="s">
        <v>44</v>
      </c>
      <c r="AR9" s="15" t="s">
        <v>44</v>
      </c>
      <c r="AS9" s="15" t="s">
        <v>44</v>
      </c>
      <c r="AT9" s="15" t="s">
        <v>44</v>
      </c>
      <c r="AU9" s="673"/>
      <c r="AV9" s="673"/>
      <c r="AW9" s="673"/>
      <c r="AX9" s="673"/>
      <c r="AY9" s="674"/>
      <c r="AZ9" s="674"/>
      <c r="BA9" s="674"/>
      <c r="BB9" s="674"/>
      <c r="BC9" s="674"/>
      <c r="BD9" s="674"/>
      <c r="BE9" s="677"/>
      <c r="BF9" s="677"/>
      <c r="BG9" s="677"/>
      <c r="BH9" s="677"/>
      <c r="BI9" s="672"/>
      <c r="BJ9" s="672"/>
      <c r="BK9" s="672"/>
      <c r="BL9" s="672"/>
      <c r="BM9" s="672"/>
      <c r="BN9" s="672"/>
      <c r="BO9" s="688"/>
    </row>
    <row r="10" spans="1:67" s="7" customFormat="1" ht="24.75" customHeight="1" x14ac:dyDescent="0.25">
      <c r="A10" s="539"/>
      <c r="B10" s="533"/>
      <c r="C10" s="16"/>
      <c r="D10" s="17"/>
      <c r="E10" s="18"/>
      <c r="F10" s="19"/>
      <c r="G10" s="20"/>
      <c r="H10" s="20"/>
      <c r="I10" s="21"/>
      <c r="J10" s="21"/>
      <c r="K10" s="19"/>
      <c r="L10" s="19"/>
      <c r="M10" s="19"/>
      <c r="N10" s="22"/>
      <c r="O10" s="20"/>
      <c r="P10" s="20"/>
      <c r="Q10" s="22"/>
      <c r="R10" s="20"/>
      <c r="S10" s="496"/>
      <c r="T10" s="20"/>
      <c r="U10" s="20"/>
      <c r="V10" s="20"/>
      <c r="W10" s="20"/>
      <c r="X10" s="23"/>
      <c r="Y10" s="20"/>
      <c r="Z10" s="20"/>
      <c r="AA10" s="11"/>
      <c r="AB10" s="12"/>
      <c r="AC10" s="13"/>
      <c r="AD10" s="11"/>
      <c r="AE10" s="11"/>
      <c r="AF10" s="11"/>
      <c r="AG10" s="11"/>
      <c r="AH10" s="11"/>
      <c r="AI10" s="11"/>
      <c r="AJ10" s="24"/>
      <c r="AK10" s="25"/>
      <c r="AL10" s="25"/>
      <c r="AM10" s="25"/>
      <c r="AN10" s="25"/>
      <c r="AO10" s="26"/>
      <c r="AP10" s="26"/>
      <c r="AQ10" s="26"/>
      <c r="AR10" s="26"/>
      <c r="AS10" s="26"/>
      <c r="AT10" s="26"/>
      <c r="AU10" s="27"/>
      <c r="AV10" s="27"/>
      <c r="AW10" s="27"/>
      <c r="AX10" s="27"/>
      <c r="AY10" s="28"/>
      <c r="AZ10" s="28"/>
      <c r="BA10" s="28"/>
      <c r="BB10" s="28"/>
      <c r="BC10" s="28"/>
      <c r="BD10" s="28"/>
      <c r="BE10" s="29"/>
      <c r="BF10" s="29"/>
      <c r="BG10" s="29"/>
      <c r="BH10" s="29"/>
      <c r="BI10" s="30"/>
      <c r="BJ10" s="30"/>
      <c r="BK10" s="30"/>
      <c r="BL10" s="30"/>
      <c r="BM10" s="30"/>
      <c r="BN10" s="30"/>
      <c r="BO10" s="540"/>
    </row>
    <row r="11" spans="1:67" s="7" customFormat="1" ht="24.75" customHeight="1" x14ac:dyDescent="0.25">
      <c r="A11" s="658"/>
      <c r="B11" s="659"/>
      <c r="C11" s="32">
        <v>1</v>
      </c>
      <c r="D11" s="33" t="s">
        <v>45</v>
      </c>
      <c r="E11" s="34"/>
      <c r="F11" s="35"/>
      <c r="G11" s="35"/>
      <c r="H11" s="35"/>
      <c r="I11" s="34"/>
      <c r="J11" s="35"/>
      <c r="K11" s="35"/>
      <c r="L11" s="36"/>
      <c r="M11" s="34"/>
      <c r="N11" s="37"/>
      <c r="O11" s="35"/>
      <c r="P11" s="35"/>
      <c r="Q11" s="38"/>
      <c r="R11" s="35"/>
      <c r="S11" s="497"/>
      <c r="T11" s="35"/>
      <c r="U11" s="35"/>
      <c r="V11" s="34"/>
      <c r="W11" s="34"/>
      <c r="X11" s="39"/>
      <c r="Y11" s="34"/>
      <c r="Z11" s="34"/>
      <c r="AA11" s="40">
        <f t="shared" ref="AA11:AI11" si="0">AA12</f>
        <v>0</v>
      </c>
      <c r="AB11" s="40">
        <f t="shared" si="0"/>
        <v>0</v>
      </c>
      <c r="AC11" s="40">
        <f t="shared" si="0"/>
        <v>849366350</v>
      </c>
      <c r="AD11" s="40">
        <f t="shared" si="0"/>
        <v>0</v>
      </c>
      <c r="AE11" s="40">
        <f t="shared" si="0"/>
        <v>0</v>
      </c>
      <c r="AF11" s="40">
        <f t="shared" si="0"/>
        <v>2248717121</v>
      </c>
      <c r="AG11" s="40">
        <f t="shared" si="0"/>
        <v>0</v>
      </c>
      <c r="AH11" s="40">
        <f t="shared" si="0"/>
        <v>0</v>
      </c>
      <c r="AI11" s="40">
        <f t="shared" si="0"/>
        <v>1379572379</v>
      </c>
      <c r="AJ11" s="41">
        <f>AJ12</f>
        <v>4477655850</v>
      </c>
      <c r="AK11" s="40">
        <f t="shared" ref="AK11:AT11" si="1">AK12</f>
        <v>0</v>
      </c>
      <c r="AL11" s="40">
        <f t="shared" si="1"/>
        <v>0</v>
      </c>
      <c r="AM11" s="40">
        <f t="shared" si="1"/>
        <v>698591884.66919994</v>
      </c>
      <c r="AN11" s="40">
        <f t="shared" si="1"/>
        <v>0</v>
      </c>
      <c r="AO11" s="40">
        <f t="shared" si="1"/>
        <v>0</v>
      </c>
      <c r="AP11" s="40">
        <f t="shared" si="1"/>
        <v>2207217417.7399998</v>
      </c>
      <c r="AQ11" s="40">
        <f t="shared" si="1"/>
        <v>0</v>
      </c>
      <c r="AR11" s="40">
        <f t="shared" si="1"/>
        <v>0</v>
      </c>
      <c r="AS11" s="40">
        <f t="shared" si="1"/>
        <v>1000000000</v>
      </c>
      <c r="AT11" s="40">
        <f t="shared" si="1"/>
        <v>3905809302.4091997</v>
      </c>
      <c r="AU11" s="42"/>
      <c r="AV11" s="42"/>
      <c r="AW11" s="42"/>
      <c r="AX11" s="42"/>
      <c r="AY11" s="42"/>
      <c r="AZ11" s="42"/>
      <c r="BA11" s="42"/>
      <c r="BB11" s="42"/>
      <c r="BC11" s="42"/>
      <c r="BD11" s="40">
        <f t="shared" ref="BD11" si="2">BD12</f>
        <v>10823833477.481499</v>
      </c>
      <c r="BE11" s="42"/>
      <c r="BF11" s="42"/>
      <c r="BG11" s="42"/>
      <c r="BH11" s="42"/>
      <c r="BI11" s="42"/>
      <c r="BJ11" s="42"/>
      <c r="BK11" s="42"/>
      <c r="BL11" s="42"/>
      <c r="BM11" s="42"/>
      <c r="BN11" s="40">
        <f t="shared" ref="BN11:BO11" si="3">BN12</f>
        <v>4990465088.4799995</v>
      </c>
      <c r="BO11" s="541">
        <f t="shared" si="3"/>
        <v>24197763718.370697</v>
      </c>
    </row>
    <row r="12" spans="1:67" s="7" customFormat="1" ht="24.75" customHeight="1" x14ac:dyDescent="0.25">
      <c r="A12" s="660"/>
      <c r="B12" s="661"/>
      <c r="C12" s="542"/>
      <c r="D12" s="43">
        <v>1</v>
      </c>
      <c r="E12" s="44" t="s">
        <v>46</v>
      </c>
      <c r="F12" s="45"/>
      <c r="G12" s="46"/>
      <c r="H12" s="46"/>
      <c r="I12" s="47"/>
      <c r="J12" s="48"/>
      <c r="K12" s="48"/>
      <c r="L12" s="49"/>
      <c r="M12" s="47"/>
      <c r="N12" s="50"/>
      <c r="O12" s="48"/>
      <c r="P12" s="48"/>
      <c r="Q12" s="51"/>
      <c r="R12" s="48"/>
      <c r="S12" s="498"/>
      <c r="T12" s="48"/>
      <c r="U12" s="48"/>
      <c r="V12" s="47"/>
      <c r="W12" s="47"/>
      <c r="X12" s="52"/>
      <c r="Y12" s="47"/>
      <c r="Z12" s="47"/>
      <c r="AA12" s="53">
        <f t="shared" ref="AA12:AH12" si="4">AA13+AA20+AA28</f>
        <v>0</v>
      </c>
      <c r="AB12" s="53">
        <f t="shared" si="4"/>
        <v>0</v>
      </c>
      <c r="AC12" s="53">
        <f t="shared" si="4"/>
        <v>849366350</v>
      </c>
      <c r="AD12" s="53">
        <f t="shared" si="4"/>
        <v>0</v>
      </c>
      <c r="AE12" s="53">
        <f t="shared" si="4"/>
        <v>0</v>
      </c>
      <c r="AF12" s="53">
        <f t="shared" si="4"/>
        <v>2248717121</v>
      </c>
      <c r="AG12" s="53">
        <f t="shared" si="4"/>
        <v>0</v>
      </c>
      <c r="AH12" s="53">
        <f t="shared" si="4"/>
        <v>0</v>
      </c>
      <c r="AI12" s="53">
        <f t="shared" ref="AI12:AJ12" si="5">AI13+AI20+AI28</f>
        <v>1379572379</v>
      </c>
      <c r="AJ12" s="54">
        <f t="shared" si="5"/>
        <v>4477655850</v>
      </c>
      <c r="AK12" s="53">
        <f t="shared" ref="AK12:AT12" si="6">AK13+AK20+AK28</f>
        <v>0</v>
      </c>
      <c r="AL12" s="53">
        <f t="shared" si="6"/>
        <v>0</v>
      </c>
      <c r="AM12" s="53">
        <f t="shared" si="6"/>
        <v>698591884.66919994</v>
      </c>
      <c r="AN12" s="53">
        <f t="shared" si="6"/>
        <v>0</v>
      </c>
      <c r="AO12" s="53">
        <f t="shared" si="6"/>
        <v>0</v>
      </c>
      <c r="AP12" s="53">
        <f t="shared" si="6"/>
        <v>2207217417.7399998</v>
      </c>
      <c r="AQ12" s="53">
        <f t="shared" si="6"/>
        <v>0</v>
      </c>
      <c r="AR12" s="53">
        <f t="shared" si="6"/>
        <v>0</v>
      </c>
      <c r="AS12" s="53">
        <f t="shared" si="6"/>
        <v>1000000000</v>
      </c>
      <c r="AT12" s="53">
        <f t="shared" si="6"/>
        <v>3905809302.4091997</v>
      </c>
      <c r="AU12" s="55"/>
      <c r="AV12" s="55"/>
      <c r="AW12" s="55"/>
      <c r="AX12" s="55"/>
      <c r="AY12" s="55"/>
      <c r="AZ12" s="55"/>
      <c r="BA12" s="55"/>
      <c r="BB12" s="55"/>
      <c r="BC12" s="55"/>
      <c r="BD12" s="53">
        <f t="shared" ref="BD12" si="7">BD13+BD20+BD28</f>
        <v>10823833477.481499</v>
      </c>
      <c r="BE12" s="55"/>
      <c r="BF12" s="55"/>
      <c r="BG12" s="55"/>
      <c r="BH12" s="55"/>
      <c r="BI12" s="55"/>
      <c r="BJ12" s="55"/>
      <c r="BK12" s="55"/>
      <c r="BL12" s="55"/>
      <c r="BM12" s="55"/>
      <c r="BN12" s="53">
        <f t="shared" ref="BN12" si="8">BN13+BN20+BN28</f>
        <v>4990465088.4799995</v>
      </c>
      <c r="BO12" s="543">
        <f t="shared" ref="BO12" si="9">BO13+BO20+BO28</f>
        <v>24197763718.370697</v>
      </c>
    </row>
    <row r="13" spans="1:67" s="7" customFormat="1" ht="24.75" customHeight="1" x14ac:dyDescent="0.25">
      <c r="A13" s="662"/>
      <c r="B13" s="663"/>
      <c r="C13" s="56"/>
      <c r="D13" s="542"/>
      <c r="E13" s="57">
        <v>1</v>
      </c>
      <c r="F13" s="58" t="s">
        <v>47</v>
      </c>
      <c r="G13" s="59"/>
      <c r="H13" s="58"/>
      <c r="I13" s="60"/>
      <c r="J13" s="61"/>
      <c r="K13" s="61"/>
      <c r="L13" s="60"/>
      <c r="M13" s="62"/>
      <c r="N13" s="63"/>
      <c r="O13" s="61"/>
      <c r="P13" s="61"/>
      <c r="Q13" s="64"/>
      <c r="R13" s="61"/>
      <c r="S13" s="499"/>
      <c r="T13" s="61"/>
      <c r="U13" s="61"/>
      <c r="V13" s="62"/>
      <c r="W13" s="62"/>
      <c r="X13" s="65"/>
      <c r="Y13" s="62"/>
      <c r="Z13" s="62"/>
      <c r="AA13" s="66">
        <f t="shared" ref="AA13:AH13" si="10">SUM(AA14:AA19)</f>
        <v>0</v>
      </c>
      <c r="AB13" s="66">
        <f t="shared" si="10"/>
        <v>0</v>
      </c>
      <c r="AC13" s="66">
        <f t="shared" si="10"/>
        <v>80000000</v>
      </c>
      <c r="AD13" s="66">
        <f t="shared" si="10"/>
        <v>0</v>
      </c>
      <c r="AE13" s="66">
        <f t="shared" si="10"/>
        <v>0</v>
      </c>
      <c r="AF13" s="66">
        <f t="shared" si="10"/>
        <v>0</v>
      </c>
      <c r="AG13" s="66">
        <f t="shared" si="10"/>
        <v>0</v>
      </c>
      <c r="AH13" s="66">
        <f t="shared" si="10"/>
        <v>0</v>
      </c>
      <c r="AI13" s="66">
        <f t="shared" ref="AI13:AJ13" si="11">SUM(AI14:AI19)</f>
        <v>1379572379</v>
      </c>
      <c r="AJ13" s="67">
        <f t="shared" si="11"/>
        <v>1459572379</v>
      </c>
      <c r="AK13" s="66">
        <f t="shared" ref="AK13:AT13" si="12">SUM(AK14:AK19)</f>
        <v>0</v>
      </c>
      <c r="AL13" s="66">
        <f t="shared" si="12"/>
        <v>0</v>
      </c>
      <c r="AM13" s="66">
        <f t="shared" si="12"/>
        <v>60000000</v>
      </c>
      <c r="AN13" s="66">
        <f t="shared" si="12"/>
        <v>0</v>
      </c>
      <c r="AO13" s="66">
        <f t="shared" si="12"/>
        <v>0</v>
      </c>
      <c r="AP13" s="66">
        <f t="shared" si="12"/>
        <v>0</v>
      </c>
      <c r="AQ13" s="66">
        <f t="shared" si="12"/>
        <v>0</v>
      </c>
      <c r="AR13" s="66">
        <f t="shared" si="12"/>
        <v>0</v>
      </c>
      <c r="AS13" s="66">
        <f t="shared" si="12"/>
        <v>1000000000</v>
      </c>
      <c r="AT13" s="66">
        <f t="shared" si="12"/>
        <v>1060000000</v>
      </c>
      <c r="AU13" s="68"/>
      <c r="AV13" s="68"/>
      <c r="AW13" s="68"/>
      <c r="AX13" s="68"/>
      <c r="AY13" s="68"/>
      <c r="AZ13" s="68"/>
      <c r="BA13" s="68"/>
      <c r="BB13" s="68"/>
      <c r="BC13" s="68"/>
      <c r="BD13" s="66">
        <f t="shared" ref="BD13" si="13">SUM(BD14:BD19)</f>
        <v>7934449896</v>
      </c>
      <c r="BE13" s="68"/>
      <c r="BF13" s="68"/>
      <c r="BG13" s="68"/>
      <c r="BH13" s="68"/>
      <c r="BI13" s="68"/>
      <c r="BJ13" s="68"/>
      <c r="BK13" s="68"/>
      <c r="BL13" s="68"/>
      <c r="BM13" s="68"/>
      <c r="BN13" s="66">
        <f t="shared" ref="BN13" si="14">SUM(BN14:BN19)</f>
        <v>2015000000</v>
      </c>
      <c r="BO13" s="544">
        <f t="shared" ref="BO13" si="15">SUM(BO14:BO19)</f>
        <v>12469022275</v>
      </c>
    </row>
    <row r="14" spans="1:67" s="86" customFormat="1" ht="74.25" customHeight="1" x14ac:dyDescent="0.25">
      <c r="A14" s="545">
        <v>1</v>
      </c>
      <c r="B14" s="69">
        <v>1</v>
      </c>
      <c r="C14" s="56"/>
      <c r="D14" s="56"/>
      <c r="E14" s="478">
        <v>1</v>
      </c>
      <c r="F14" s="70" t="s">
        <v>48</v>
      </c>
      <c r="G14" s="480" t="s">
        <v>49</v>
      </c>
      <c r="H14" s="71" t="s">
        <v>50</v>
      </c>
      <c r="I14" s="72">
        <v>1</v>
      </c>
      <c r="J14" s="73" t="s">
        <v>51</v>
      </c>
      <c r="K14" s="70" t="s">
        <v>52</v>
      </c>
      <c r="L14" s="74" t="s">
        <v>53</v>
      </c>
      <c r="M14" s="74">
        <v>10</v>
      </c>
      <c r="N14" s="75" t="s">
        <v>54</v>
      </c>
      <c r="O14" s="76">
        <v>0</v>
      </c>
      <c r="P14" s="76">
        <v>1</v>
      </c>
      <c r="Q14" s="77">
        <v>1</v>
      </c>
      <c r="R14" s="78">
        <v>1</v>
      </c>
      <c r="S14" s="500"/>
      <c r="T14" s="78">
        <v>1</v>
      </c>
      <c r="U14" s="75"/>
      <c r="V14" s="75">
        <v>1</v>
      </c>
      <c r="W14" s="75"/>
      <c r="X14" s="79">
        <f>AJ14/$AJ$13</f>
        <v>2.055396527889488E-2</v>
      </c>
      <c r="Y14" s="80">
        <v>15</v>
      </c>
      <c r="Z14" s="81" t="s">
        <v>55</v>
      </c>
      <c r="AA14" s="82"/>
      <c r="AB14" s="82"/>
      <c r="AC14" s="82">
        <v>30000000</v>
      </c>
      <c r="AD14" s="82"/>
      <c r="AE14" s="82"/>
      <c r="AF14" s="82"/>
      <c r="AG14" s="82"/>
      <c r="AH14" s="82"/>
      <c r="AI14" s="82"/>
      <c r="AJ14" s="82">
        <f t="shared" ref="AJ14:AJ19" si="16">+AA14+AB14+AC14+AD14+AE14+AF14+AG14+AH14+AI14</f>
        <v>30000000</v>
      </c>
      <c r="AK14" s="84"/>
      <c r="AL14" s="84"/>
      <c r="AM14" s="84">
        <v>22500000</v>
      </c>
      <c r="AN14" s="84"/>
      <c r="AO14" s="84"/>
      <c r="AP14" s="84"/>
      <c r="AQ14" s="84"/>
      <c r="AR14" s="84"/>
      <c r="AS14" s="84"/>
      <c r="AT14" s="84">
        <f t="shared" ref="AT14:AT19" si="17">AK14+AL14+AM14+AN14+AO14+AP14+AQ14+AR14+AS14</f>
        <v>22500000</v>
      </c>
      <c r="AU14" s="84"/>
      <c r="AV14" s="84"/>
      <c r="AW14" s="84">
        <v>11250000</v>
      </c>
      <c r="AX14" s="84"/>
      <c r="AY14" s="84"/>
      <c r="AZ14" s="84"/>
      <c r="BA14" s="84"/>
      <c r="BB14" s="84"/>
      <c r="BC14" s="84"/>
      <c r="BD14" s="84">
        <f t="shared" ref="BD14:BD19" si="18">SUM(AU14:BC14)</f>
        <v>11250000</v>
      </c>
      <c r="BE14" s="84"/>
      <c r="BF14" s="84"/>
      <c r="BG14" s="84">
        <v>7525000</v>
      </c>
      <c r="BH14" s="84"/>
      <c r="BI14" s="84"/>
      <c r="BJ14" s="84"/>
      <c r="BK14" s="84"/>
      <c r="BL14" s="84"/>
      <c r="BM14" s="84"/>
      <c r="BN14" s="84">
        <f t="shared" ref="BN14:BN19" si="19">SUM(BE14:BM14)</f>
        <v>7525000</v>
      </c>
      <c r="BO14" s="546">
        <f>AJ14+AT14+BD14+BN14</f>
        <v>71275000</v>
      </c>
    </row>
    <row r="15" spans="1:67" ht="132" customHeight="1" x14ac:dyDescent="0.2">
      <c r="A15" s="547">
        <v>2</v>
      </c>
      <c r="B15" s="69">
        <v>1</v>
      </c>
      <c r="C15" s="56"/>
      <c r="D15" s="56"/>
      <c r="E15" s="478"/>
      <c r="F15" s="696" t="s">
        <v>56</v>
      </c>
      <c r="G15" s="87" t="s">
        <v>57</v>
      </c>
      <c r="H15" s="87" t="s">
        <v>58</v>
      </c>
      <c r="I15" s="72">
        <v>2</v>
      </c>
      <c r="J15" s="73" t="s">
        <v>59</v>
      </c>
      <c r="K15" s="70" t="s">
        <v>60</v>
      </c>
      <c r="L15" s="74" t="s">
        <v>53</v>
      </c>
      <c r="M15" s="74">
        <v>10</v>
      </c>
      <c r="N15" s="88" t="s">
        <v>54</v>
      </c>
      <c r="O15" s="76">
        <v>3</v>
      </c>
      <c r="P15" s="76">
        <v>4</v>
      </c>
      <c r="Q15" s="89">
        <v>4</v>
      </c>
      <c r="R15" s="76">
        <v>4</v>
      </c>
      <c r="S15" s="500"/>
      <c r="T15" s="76">
        <v>4</v>
      </c>
      <c r="U15" s="88"/>
      <c r="V15" s="88">
        <v>4</v>
      </c>
      <c r="W15" s="88"/>
      <c r="X15" s="79">
        <f>AJ15/$AJ$13</f>
        <v>6.8513217596316272E-3</v>
      </c>
      <c r="Y15" s="80">
        <v>15</v>
      </c>
      <c r="Z15" s="81" t="s">
        <v>55</v>
      </c>
      <c r="AA15" s="82"/>
      <c r="AB15" s="82"/>
      <c r="AC15" s="82">
        <v>10000000</v>
      </c>
      <c r="AD15" s="82"/>
      <c r="AE15" s="82"/>
      <c r="AF15" s="82"/>
      <c r="AG15" s="82"/>
      <c r="AH15" s="82"/>
      <c r="AI15" s="82"/>
      <c r="AJ15" s="82">
        <f t="shared" si="16"/>
        <v>10000000</v>
      </c>
      <c r="AK15" s="90"/>
      <c r="AL15" s="90"/>
      <c r="AM15" s="84">
        <v>7500000</v>
      </c>
      <c r="AN15" s="84"/>
      <c r="AO15" s="90"/>
      <c r="AP15" s="90"/>
      <c r="AQ15" s="90"/>
      <c r="AR15" s="90"/>
      <c r="AS15" s="90"/>
      <c r="AT15" s="84">
        <f t="shared" si="17"/>
        <v>7500000</v>
      </c>
      <c r="AU15" s="84"/>
      <c r="AV15" s="84"/>
      <c r="AW15" s="84">
        <v>3750000</v>
      </c>
      <c r="AX15" s="84"/>
      <c r="AY15" s="84"/>
      <c r="AZ15" s="84"/>
      <c r="BA15" s="84"/>
      <c r="BB15" s="84"/>
      <c r="BC15" s="84"/>
      <c r="BD15" s="84">
        <f t="shared" si="18"/>
        <v>3750000</v>
      </c>
      <c r="BE15" s="84"/>
      <c r="BF15" s="84"/>
      <c r="BG15" s="84">
        <v>1875000</v>
      </c>
      <c r="BH15" s="84"/>
      <c r="BI15" s="84"/>
      <c r="BJ15" s="84"/>
      <c r="BK15" s="84"/>
      <c r="BL15" s="84"/>
      <c r="BM15" s="84"/>
      <c r="BN15" s="84">
        <f t="shared" si="19"/>
        <v>1875000</v>
      </c>
      <c r="BO15" s="546">
        <f>AJ15+AT15+BD15+BN15</f>
        <v>23125000</v>
      </c>
    </row>
    <row r="16" spans="1:67" ht="154.5" customHeight="1" x14ac:dyDescent="0.2">
      <c r="A16" s="545">
        <v>3</v>
      </c>
      <c r="B16" s="69">
        <v>1</v>
      </c>
      <c r="C16" s="56"/>
      <c r="D16" s="56"/>
      <c r="E16" s="451">
        <v>4</v>
      </c>
      <c r="F16" s="697"/>
      <c r="G16" s="71"/>
      <c r="H16" s="71"/>
      <c r="I16" s="72">
        <v>3</v>
      </c>
      <c r="J16" s="73" t="s">
        <v>62</v>
      </c>
      <c r="K16" s="70" t="s">
        <v>63</v>
      </c>
      <c r="L16" s="74" t="s">
        <v>53</v>
      </c>
      <c r="M16" s="74">
        <v>10</v>
      </c>
      <c r="N16" s="75" t="s">
        <v>54</v>
      </c>
      <c r="O16" s="76">
        <v>1</v>
      </c>
      <c r="P16" s="76">
        <v>1</v>
      </c>
      <c r="Q16" s="77">
        <v>1</v>
      </c>
      <c r="R16" s="78">
        <v>1</v>
      </c>
      <c r="S16" s="500"/>
      <c r="T16" s="78">
        <v>1</v>
      </c>
      <c r="U16" s="75"/>
      <c r="V16" s="75">
        <v>1</v>
      </c>
      <c r="W16" s="75"/>
      <c r="X16" s="79">
        <f>AJ16/$AJ$13</f>
        <v>0.9554664085623944</v>
      </c>
      <c r="Y16" s="80">
        <v>15</v>
      </c>
      <c r="Z16" s="81" t="s">
        <v>55</v>
      </c>
      <c r="AA16" s="82"/>
      <c r="AB16" s="82"/>
      <c r="AC16" s="82">
        <v>15000000</v>
      </c>
      <c r="AD16" s="82"/>
      <c r="AE16" s="82"/>
      <c r="AF16" s="82"/>
      <c r="AG16" s="82"/>
      <c r="AH16" s="82"/>
      <c r="AI16" s="82">
        <f>1394572379-15000000</f>
        <v>1379572379</v>
      </c>
      <c r="AJ16" s="82">
        <f t="shared" si="16"/>
        <v>1394572379</v>
      </c>
      <c r="AK16" s="90"/>
      <c r="AL16" s="90"/>
      <c r="AM16" s="84">
        <v>11250000</v>
      </c>
      <c r="AN16" s="84"/>
      <c r="AO16" s="90"/>
      <c r="AP16" s="90"/>
      <c r="AQ16" s="90"/>
      <c r="AR16" s="90"/>
      <c r="AS16" s="90"/>
      <c r="AT16" s="84">
        <f t="shared" si="17"/>
        <v>11250000</v>
      </c>
      <c r="AU16" s="84"/>
      <c r="AV16" s="84"/>
      <c r="AW16" s="84">
        <v>5625000</v>
      </c>
      <c r="AX16" s="84"/>
      <c r="AY16" s="84"/>
      <c r="AZ16" s="84"/>
      <c r="BA16" s="84"/>
      <c r="BB16" s="84"/>
      <c r="BC16" s="84"/>
      <c r="BD16" s="84">
        <f t="shared" si="18"/>
        <v>5625000</v>
      </c>
      <c r="BE16" s="84"/>
      <c r="BF16" s="84"/>
      <c r="BG16" s="84">
        <v>2800000</v>
      </c>
      <c r="BH16" s="84"/>
      <c r="BI16" s="84"/>
      <c r="BJ16" s="84"/>
      <c r="BK16" s="84"/>
      <c r="BL16" s="84"/>
      <c r="BM16" s="84"/>
      <c r="BN16" s="84">
        <f t="shared" si="19"/>
        <v>2800000</v>
      </c>
      <c r="BO16" s="546">
        <f>AJ16+AT16+BD16+BN16</f>
        <v>1414247379</v>
      </c>
    </row>
    <row r="17" spans="1:67" ht="74.25" customHeight="1" x14ac:dyDescent="0.2">
      <c r="A17" s="547">
        <v>4</v>
      </c>
      <c r="B17" s="69">
        <v>1</v>
      </c>
      <c r="C17" s="56"/>
      <c r="D17" s="56"/>
      <c r="E17" s="91">
        <v>1</v>
      </c>
      <c r="F17" s="439" t="s">
        <v>48</v>
      </c>
      <c r="G17" s="480" t="s">
        <v>49</v>
      </c>
      <c r="H17" s="548" t="s">
        <v>50</v>
      </c>
      <c r="I17" s="72">
        <v>4</v>
      </c>
      <c r="J17" s="73" t="s">
        <v>64</v>
      </c>
      <c r="K17" s="70" t="s">
        <v>65</v>
      </c>
      <c r="L17" s="74" t="s">
        <v>53</v>
      </c>
      <c r="M17" s="74">
        <v>10</v>
      </c>
      <c r="N17" s="74" t="s">
        <v>54</v>
      </c>
      <c r="O17" s="89">
        <v>0</v>
      </c>
      <c r="P17" s="89">
        <v>1</v>
      </c>
      <c r="Q17" s="77">
        <v>0</v>
      </c>
      <c r="R17" s="77">
        <v>1</v>
      </c>
      <c r="S17" s="500"/>
      <c r="T17" s="77">
        <v>1</v>
      </c>
      <c r="U17" s="74"/>
      <c r="V17" s="74">
        <v>1</v>
      </c>
      <c r="W17" s="74"/>
      <c r="X17" s="79">
        <f>AJ17/$AJ$13</f>
        <v>0</v>
      </c>
      <c r="Y17" s="80">
        <v>7</v>
      </c>
      <c r="Z17" s="81" t="s">
        <v>66</v>
      </c>
      <c r="AA17" s="82"/>
      <c r="AB17" s="82"/>
      <c r="AC17" s="82"/>
      <c r="AD17" s="82"/>
      <c r="AE17" s="82"/>
      <c r="AF17" s="82"/>
      <c r="AG17" s="82"/>
      <c r="AH17" s="82"/>
      <c r="AI17" s="82"/>
      <c r="AJ17" s="82">
        <f t="shared" si="16"/>
        <v>0</v>
      </c>
      <c r="AK17" s="90"/>
      <c r="AL17" s="90"/>
      <c r="AM17" s="84">
        <v>0</v>
      </c>
      <c r="AN17" s="84"/>
      <c r="AO17" s="90"/>
      <c r="AP17" s="90"/>
      <c r="AQ17" s="90"/>
      <c r="AR17" s="90"/>
      <c r="AS17" s="90">
        <v>1000000000</v>
      </c>
      <c r="AT17" s="84">
        <f t="shared" si="17"/>
        <v>1000000000</v>
      </c>
      <c r="AU17" s="84"/>
      <c r="AV17" s="84"/>
      <c r="AW17" s="84" t="s">
        <v>61</v>
      </c>
      <c r="AX17" s="84"/>
      <c r="AY17" s="84"/>
      <c r="AZ17" s="84"/>
      <c r="BA17" s="84"/>
      <c r="BB17" s="84"/>
      <c r="BC17" s="84">
        <v>7904449896</v>
      </c>
      <c r="BD17" s="84">
        <f t="shared" si="18"/>
        <v>7904449896</v>
      </c>
      <c r="BE17" s="84"/>
      <c r="BF17" s="84"/>
      <c r="BG17" s="84" t="s">
        <v>61</v>
      </c>
      <c r="BH17" s="84"/>
      <c r="BI17" s="84"/>
      <c r="BJ17" s="84"/>
      <c r="BK17" s="84"/>
      <c r="BL17" s="84"/>
      <c r="BM17" s="84">
        <v>2000000000</v>
      </c>
      <c r="BN17" s="84">
        <f t="shared" si="19"/>
        <v>2000000000</v>
      </c>
      <c r="BO17" s="546">
        <f>AJ17+AT17+BD17+BN17</f>
        <v>10904449896</v>
      </c>
    </row>
    <row r="18" spans="1:67" ht="126" customHeight="1" x14ac:dyDescent="0.2">
      <c r="A18" s="545">
        <v>5</v>
      </c>
      <c r="B18" s="69">
        <v>1</v>
      </c>
      <c r="C18" s="56"/>
      <c r="D18" s="56"/>
      <c r="E18" s="451"/>
      <c r="F18" s="529"/>
      <c r="G18" s="534"/>
      <c r="H18" s="92"/>
      <c r="I18" s="72">
        <v>5</v>
      </c>
      <c r="J18" s="73" t="s">
        <v>67</v>
      </c>
      <c r="K18" s="70" t="s">
        <v>68</v>
      </c>
      <c r="L18" s="74" t="s">
        <v>53</v>
      </c>
      <c r="M18" s="74">
        <v>10</v>
      </c>
      <c r="N18" s="75" t="s">
        <v>69</v>
      </c>
      <c r="O18" s="76">
        <v>3</v>
      </c>
      <c r="P18" s="76">
        <v>5</v>
      </c>
      <c r="Q18" s="77">
        <v>1</v>
      </c>
      <c r="R18" s="78">
        <v>2</v>
      </c>
      <c r="S18" s="501"/>
      <c r="T18" s="78">
        <v>2</v>
      </c>
      <c r="U18" s="75"/>
      <c r="V18" s="75">
        <v>0</v>
      </c>
      <c r="W18" s="75"/>
      <c r="X18" s="79">
        <f>AJ18/$AJ$13</f>
        <v>6.8513217596316272E-3</v>
      </c>
      <c r="Y18" s="80">
        <v>12</v>
      </c>
      <c r="Z18" s="81" t="s">
        <v>70</v>
      </c>
      <c r="AA18" s="82"/>
      <c r="AB18" s="82"/>
      <c r="AC18" s="82">
        <v>10000000</v>
      </c>
      <c r="AD18" s="82"/>
      <c r="AE18" s="82"/>
      <c r="AF18" s="82"/>
      <c r="AG18" s="82"/>
      <c r="AH18" s="82"/>
      <c r="AI18" s="82"/>
      <c r="AJ18" s="82">
        <f t="shared" si="16"/>
        <v>10000000</v>
      </c>
      <c r="AK18" s="90"/>
      <c r="AL18" s="90"/>
      <c r="AM18" s="84">
        <v>7500000</v>
      </c>
      <c r="AN18" s="84"/>
      <c r="AO18" s="90"/>
      <c r="AP18" s="90"/>
      <c r="AQ18" s="90"/>
      <c r="AR18" s="90"/>
      <c r="AS18" s="90"/>
      <c r="AT18" s="84">
        <f t="shared" si="17"/>
        <v>7500000</v>
      </c>
      <c r="AU18" s="84"/>
      <c r="AV18" s="84"/>
      <c r="AW18" s="84">
        <v>3750000</v>
      </c>
      <c r="AX18" s="84"/>
      <c r="AY18" s="84"/>
      <c r="AZ18" s="84"/>
      <c r="BA18" s="84"/>
      <c r="BB18" s="84"/>
      <c r="BC18" s="84"/>
      <c r="BD18" s="84">
        <f t="shared" si="18"/>
        <v>3750000</v>
      </c>
      <c r="BE18" s="84"/>
      <c r="BF18" s="84"/>
      <c r="BG18" s="84">
        <v>0</v>
      </c>
      <c r="BH18" s="84"/>
      <c r="BI18" s="84"/>
      <c r="BJ18" s="84"/>
      <c r="BK18" s="84"/>
      <c r="BL18" s="84"/>
      <c r="BM18" s="84"/>
      <c r="BN18" s="84">
        <f t="shared" si="19"/>
        <v>0</v>
      </c>
      <c r="BO18" s="546">
        <f>AJ18+AT18+BD18+BN18</f>
        <v>21250000</v>
      </c>
    </row>
    <row r="19" spans="1:67" ht="166.5" customHeight="1" x14ac:dyDescent="0.2">
      <c r="A19" s="547">
        <v>6</v>
      </c>
      <c r="B19" s="69">
        <v>1</v>
      </c>
      <c r="C19" s="56"/>
      <c r="D19" s="56"/>
      <c r="E19" s="91">
        <v>2</v>
      </c>
      <c r="F19" s="70" t="s">
        <v>71</v>
      </c>
      <c r="G19" s="93" t="s">
        <v>72</v>
      </c>
      <c r="H19" s="93" t="s">
        <v>72</v>
      </c>
      <c r="I19" s="549">
        <v>6</v>
      </c>
      <c r="J19" s="550" t="s">
        <v>73</v>
      </c>
      <c r="K19" s="70" t="s">
        <v>74</v>
      </c>
      <c r="L19" s="549" t="s">
        <v>53</v>
      </c>
      <c r="M19" s="549">
        <v>10</v>
      </c>
      <c r="N19" s="475" t="s">
        <v>54</v>
      </c>
      <c r="O19" s="475">
        <v>3</v>
      </c>
      <c r="P19" s="475">
        <v>12</v>
      </c>
      <c r="Q19" s="551">
        <v>12</v>
      </c>
      <c r="R19" s="475">
        <v>12</v>
      </c>
      <c r="S19" s="502"/>
      <c r="T19" s="475">
        <v>12</v>
      </c>
      <c r="U19" s="483"/>
      <c r="V19" s="483">
        <v>12</v>
      </c>
      <c r="W19" s="483"/>
      <c r="X19" s="79">
        <f>AJ19/AJ13</f>
        <v>1.027698263944744E-2</v>
      </c>
      <c r="Y19" s="552">
        <v>15</v>
      </c>
      <c r="Z19" s="480" t="s">
        <v>55</v>
      </c>
      <c r="AA19" s="553"/>
      <c r="AB19" s="553"/>
      <c r="AC19" s="553">
        <v>15000000</v>
      </c>
      <c r="AD19" s="553"/>
      <c r="AE19" s="553"/>
      <c r="AF19" s="553"/>
      <c r="AG19" s="553"/>
      <c r="AH19" s="553"/>
      <c r="AI19" s="553"/>
      <c r="AJ19" s="554">
        <f t="shared" si="16"/>
        <v>15000000</v>
      </c>
      <c r="AK19" s="555"/>
      <c r="AL19" s="555"/>
      <c r="AM19" s="555">
        <v>11250000</v>
      </c>
      <c r="AN19" s="556"/>
      <c r="AO19" s="555"/>
      <c r="AP19" s="555"/>
      <c r="AQ19" s="555"/>
      <c r="AR19" s="555"/>
      <c r="AS19" s="555"/>
      <c r="AT19" s="557">
        <f t="shared" si="17"/>
        <v>11250000</v>
      </c>
      <c r="AU19" s="556"/>
      <c r="AV19" s="556"/>
      <c r="AW19" s="556">
        <v>5625000</v>
      </c>
      <c r="AX19" s="556"/>
      <c r="AY19" s="556"/>
      <c r="AZ19" s="556"/>
      <c r="BA19" s="556"/>
      <c r="BB19" s="556"/>
      <c r="BC19" s="556"/>
      <c r="BD19" s="558">
        <f t="shared" si="18"/>
        <v>5625000</v>
      </c>
      <c r="BE19" s="557"/>
      <c r="BF19" s="557"/>
      <c r="BG19" s="557">
        <v>2800000</v>
      </c>
      <c r="BH19" s="557"/>
      <c r="BI19" s="557"/>
      <c r="BJ19" s="557"/>
      <c r="BK19" s="557"/>
      <c r="BL19" s="557"/>
      <c r="BM19" s="557"/>
      <c r="BN19" s="558">
        <f t="shared" si="19"/>
        <v>2800000</v>
      </c>
      <c r="BO19" s="559">
        <f>BN19+BD19+AT19+AJ19</f>
        <v>34675000</v>
      </c>
    </row>
    <row r="20" spans="1:67" ht="24.75" customHeight="1" x14ac:dyDescent="0.2">
      <c r="A20" s="547"/>
      <c r="B20" s="69"/>
      <c r="C20" s="56"/>
      <c r="D20" s="56"/>
      <c r="E20" s="57">
        <v>2</v>
      </c>
      <c r="F20" s="94" t="s">
        <v>75</v>
      </c>
      <c r="G20" s="95"/>
      <c r="H20" s="96"/>
      <c r="I20" s="60"/>
      <c r="J20" s="96"/>
      <c r="K20" s="96"/>
      <c r="L20" s="60"/>
      <c r="M20" s="60"/>
      <c r="N20" s="97"/>
      <c r="O20" s="96"/>
      <c r="P20" s="96"/>
      <c r="Q20" s="98"/>
      <c r="R20" s="96"/>
      <c r="S20" s="503"/>
      <c r="T20" s="96"/>
      <c r="U20" s="96"/>
      <c r="V20" s="60"/>
      <c r="W20" s="60"/>
      <c r="X20" s="99"/>
      <c r="Y20" s="60"/>
      <c r="Z20" s="60"/>
      <c r="AA20" s="100">
        <f t="shared" ref="AA20:AI20" si="20">SUM(AA21:AA27)</f>
        <v>0</v>
      </c>
      <c r="AB20" s="100">
        <f t="shared" si="20"/>
        <v>0</v>
      </c>
      <c r="AC20" s="100">
        <f t="shared" si="20"/>
        <v>60000000</v>
      </c>
      <c r="AD20" s="100">
        <f t="shared" si="20"/>
        <v>0</v>
      </c>
      <c r="AE20" s="100">
        <f t="shared" si="20"/>
        <v>0</v>
      </c>
      <c r="AF20" s="100">
        <f t="shared" si="20"/>
        <v>2248717121</v>
      </c>
      <c r="AG20" s="100">
        <f t="shared" si="20"/>
        <v>0</v>
      </c>
      <c r="AH20" s="100">
        <f t="shared" si="20"/>
        <v>0</v>
      </c>
      <c r="AI20" s="100">
        <f t="shared" si="20"/>
        <v>0</v>
      </c>
      <c r="AJ20" s="101">
        <f>SUM(AJ21:AJ27)</f>
        <v>2308717121</v>
      </c>
      <c r="AK20" s="100">
        <f t="shared" ref="AK20:BD20" si="21">SUM(AK21:AK27)</f>
        <v>0</v>
      </c>
      <c r="AL20" s="100">
        <f t="shared" si="21"/>
        <v>0</v>
      </c>
      <c r="AM20" s="100">
        <f t="shared" si="21"/>
        <v>59000000</v>
      </c>
      <c r="AN20" s="100">
        <f t="shared" si="21"/>
        <v>0</v>
      </c>
      <c r="AO20" s="100">
        <f t="shared" si="21"/>
        <v>0</v>
      </c>
      <c r="AP20" s="100">
        <f t="shared" si="21"/>
        <v>2207217417.7399998</v>
      </c>
      <c r="AQ20" s="100">
        <f t="shared" si="21"/>
        <v>0</v>
      </c>
      <c r="AR20" s="100">
        <f t="shared" si="21"/>
        <v>0</v>
      </c>
      <c r="AS20" s="100">
        <f t="shared" si="21"/>
        <v>0</v>
      </c>
      <c r="AT20" s="100">
        <f t="shared" si="21"/>
        <v>2266217417.7399998</v>
      </c>
      <c r="AU20" s="100"/>
      <c r="AV20" s="100"/>
      <c r="AW20" s="100"/>
      <c r="AX20" s="100"/>
      <c r="AY20" s="100"/>
      <c r="AZ20" s="100"/>
      <c r="BA20" s="100"/>
      <c r="BB20" s="100"/>
      <c r="BC20" s="100"/>
      <c r="BD20" s="100">
        <f t="shared" si="21"/>
        <v>2292403940.2722001</v>
      </c>
      <c r="BE20" s="102"/>
      <c r="BF20" s="102"/>
      <c r="BG20" s="102"/>
      <c r="BH20" s="102"/>
      <c r="BI20" s="102"/>
      <c r="BJ20" s="102"/>
      <c r="BK20" s="102"/>
      <c r="BL20" s="102"/>
      <c r="BM20" s="102"/>
      <c r="BN20" s="100">
        <f t="shared" ref="BN20:BO20" si="22">SUM(BN21:BN27)</f>
        <v>2360576058.48</v>
      </c>
      <c r="BO20" s="560">
        <f t="shared" si="22"/>
        <v>9227914537.4921989</v>
      </c>
    </row>
    <row r="21" spans="1:67" ht="62.25" customHeight="1" x14ac:dyDescent="0.2">
      <c r="A21" s="545">
        <v>9</v>
      </c>
      <c r="B21" s="69">
        <v>1</v>
      </c>
      <c r="C21" s="56"/>
      <c r="D21" s="56"/>
      <c r="E21" s="478"/>
      <c r="F21" s="461"/>
      <c r="G21" s="561"/>
      <c r="H21" s="561"/>
      <c r="I21" s="72">
        <v>7</v>
      </c>
      <c r="J21" s="73" t="s">
        <v>76</v>
      </c>
      <c r="K21" s="70" t="s">
        <v>77</v>
      </c>
      <c r="L21" s="74" t="s">
        <v>53</v>
      </c>
      <c r="M21" s="74">
        <v>10</v>
      </c>
      <c r="N21" s="88" t="s">
        <v>54</v>
      </c>
      <c r="O21" s="76">
        <v>0</v>
      </c>
      <c r="P21" s="76">
        <v>1</v>
      </c>
      <c r="Q21" s="89">
        <v>1</v>
      </c>
      <c r="R21" s="76">
        <v>1</v>
      </c>
      <c r="S21" s="500"/>
      <c r="T21" s="76">
        <v>1</v>
      </c>
      <c r="U21" s="76"/>
      <c r="V21" s="76">
        <v>1</v>
      </c>
      <c r="W21" s="76"/>
      <c r="X21" s="79">
        <f t="shared" ref="X21:X27" si="23">AJ21/$AJ$20</f>
        <v>5.4142622698556235E-3</v>
      </c>
      <c r="Y21" s="80">
        <v>6</v>
      </c>
      <c r="Z21" s="81" t="s">
        <v>78</v>
      </c>
      <c r="AA21" s="82"/>
      <c r="AB21" s="82"/>
      <c r="AC21" s="104">
        <v>12500000</v>
      </c>
      <c r="AD21" s="104"/>
      <c r="AE21" s="104"/>
      <c r="AF21" s="82"/>
      <c r="AG21" s="82"/>
      <c r="AH21" s="82"/>
      <c r="AI21" s="82"/>
      <c r="AJ21" s="82">
        <f t="shared" ref="AJ21:AJ27" si="24">+AA21+AB21+AC21+AD21+AE21+AF21+AG21+AH21+AI21</f>
        <v>12500000</v>
      </c>
      <c r="AK21" s="105"/>
      <c r="AL21" s="105"/>
      <c r="AM21" s="105">
        <v>12200000</v>
      </c>
      <c r="AN21" s="105"/>
      <c r="AO21" s="105"/>
      <c r="AP21" s="105"/>
      <c r="AQ21" s="105"/>
      <c r="AR21" s="105"/>
      <c r="AS21" s="105"/>
      <c r="AT21" s="84">
        <f t="shared" ref="AT21:AT27" si="25">AK21+AL21+AM21+AN21+AO21+AP21+AQ21+AR21+AS21</f>
        <v>12200000</v>
      </c>
      <c r="AU21" s="105"/>
      <c r="AV21" s="105"/>
      <c r="AW21" s="105">
        <v>12400000</v>
      </c>
      <c r="AX21" s="105"/>
      <c r="AY21" s="105"/>
      <c r="AZ21" s="105"/>
      <c r="BA21" s="105"/>
      <c r="BB21" s="105"/>
      <c r="BC21" s="105"/>
      <c r="BD21" s="105">
        <f t="shared" ref="BD21:BD27" si="26">SUM(AU21:BC21)</f>
        <v>12400000</v>
      </c>
      <c r="BE21" s="90"/>
      <c r="BF21" s="90"/>
      <c r="BG21" s="90">
        <v>12700000</v>
      </c>
      <c r="BH21" s="90"/>
      <c r="BI21" s="90"/>
      <c r="BJ21" s="90"/>
      <c r="BK21" s="90"/>
      <c r="BL21" s="90"/>
      <c r="BM21" s="90"/>
      <c r="BN21" s="90">
        <f t="shared" ref="BN21:BN27" si="27">SUM(BE21:BM21)</f>
        <v>12700000</v>
      </c>
      <c r="BO21" s="546">
        <f t="shared" ref="BO21:BO27" si="28">AJ21+AT21+BD21+BN21</f>
        <v>49800000</v>
      </c>
    </row>
    <row r="22" spans="1:67" ht="90.75" customHeight="1" x14ac:dyDescent="0.2">
      <c r="A22" s="547">
        <v>10</v>
      </c>
      <c r="B22" s="69">
        <v>1</v>
      </c>
      <c r="C22" s="56"/>
      <c r="D22" s="56"/>
      <c r="E22" s="91"/>
      <c r="F22" s="106"/>
      <c r="G22" s="107"/>
      <c r="H22" s="107"/>
      <c r="I22" s="72">
        <v>8</v>
      </c>
      <c r="J22" s="73" t="s">
        <v>79</v>
      </c>
      <c r="K22" s="70" t="s">
        <v>80</v>
      </c>
      <c r="L22" s="74" t="s">
        <v>53</v>
      </c>
      <c r="M22" s="74">
        <v>10</v>
      </c>
      <c r="N22" s="88" t="s">
        <v>69</v>
      </c>
      <c r="O22" s="76">
        <v>1</v>
      </c>
      <c r="P22" s="76">
        <v>6</v>
      </c>
      <c r="Q22" s="89">
        <v>2</v>
      </c>
      <c r="R22" s="76">
        <v>2</v>
      </c>
      <c r="S22" s="500"/>
      <c r="T22" s="76">
        <v>1</v>
      </c>
      <c r="U22" s="76"/>
      <c r="V22" s="76">
        <v>1</v>
      </c>
      <c r="W22" s="76"/>
      <c r="X22" s="79">
        <f t="shared" si="23"/>
        <v>2.0574196625451371E-2</v>
      </c>
      <c r="Y22" s="80">
        <v>15</v>
      </c>
      <c r="Z22" s="81" t="s">
        <v>55</v>
      </c>
      <c r="AA22" s="82"/>
      <c r="AB22" s="82"/>
      <c r="AC22" s="108">
        <v>47500000</v>
      </c>
      <c r="AD22" s="108"/>
      <c r="AE22" s="108"/>
      <c r="AF22" s="82"/>
      <c r="AG22" s="82"/>
      <c r="AH22" s="82"/>
      <c r="AI22" s="82"/>
      <c r="AJ22" s="82">
        <f t="shared" si="24"/>
        <v>47500000</v>
      </c>
      <c r="AK22" s="90"/>
      <c r="AL22" s="90"/>
      <c r="AM22" s="105">
        <v>46600000</v>
      </c>
      <c r="AN22" s="105"/>
      <c r="AO22" s="90"/>
      <c r="AP22" s="90"/>
      <c r="AQ22" s="90"/>
      <c r="AR22" s="90"/>
      <c r="AS22" s="90"/>
      <c r="AT22" s="84">
        <f t="shared" si="25"/>
        <v>46600000</v>
      </c>
      <c r="AU22" s="105"/>
      <c r="AV22" s="105"/>
      <c r="AW22" s="105">
        <v>7600000</v>
      </c>
      <c r="AX22" s="105"/>
      <c r="AY22" s="105"/>
      <c r="AZ22" s="105">
        <f>47100000-7600000</f>
        <v>39500000</v>
      </c>
      <c r="BA22" s="105"/>
      <c r="BB22" s="105"/>
      <c r="BC22" s="105"/>
      <c r="BD22" s="105">
        <f t="shared" si="26"/>
        <v>47100000</v>
      </c>
      <c r="BE22" s="90"/>
      <c r="BF22" s="90"/>
      <c r="BG22" s="90">
        <v>6300000</v>
      </c>
      <c r="BH22" s="90"/>
      <c r="BI22" s="90"/>
      <c r="BJ22" s="90">
        <f>48500000-6300000</f>
        <v>42200000</v>
      </c>
      <c r="BK22" s="90"/>
      <c r="BL22" s="90"/>
      <c r="BM22" s="90"/>
      <c r="BN22" s="90">
        <f t="shared" si="27"/>
        <v>48500000</v>
      </c>
      <c r="BO22" s="546">
        <f t="shared" si="28"/>
        <v>189700000</v>
      </c>
    </row>
    <row r="23" spans="1:67" ht="108.75" customHeight="1" x14ac:dyDescent="0.2">
      <c r="A23" s="545">
        <v>11</v>
      </c>
      <c r="B23" s="69">
        <v>1</v>
      </c>
      <c r="C23" s="56"/>
      <c r="D23" s="56"/>
      <c r="E23" s="91"/>
      <c r="F23" s="109"/>
      <c r="G23" s="107"/>
      <c r="H23" s="107"/>
      <c r="I23" s="72">
        <v>9</v>
      </c>
      <c r="J23" s="73" t="s">
        <v>81</v>
      </c>
      <c r="K23" s="70" t="s">
        <v>82</v>
      </c>
      <c r="L23" s="74" t="s">
        <v>83</v>
      </c>
      <c r="M23" s="74">
        <v>3</v>
      </c>
      <c r="N23" s="110" t="s">
        <v>69</v>
      </c>
      <c r="O23" s="89">
        <v>35</v>
      </c>
      <c r="P23" s="89">
        <v>20</v>
      </c>
      <c r="Q23" s="89">
        <v>5</v>
      </c>
      <c r="R23" s="89">
        <v>5</v>
      </c>
      <c r="S23" s="504">
        <v>6</v>
      </c>
      <c r="T23" s="89">
        <v>5</v>
      </c>
      <c r="U23" s="89"/>
      <c r="V23" s="89">
        <v>5</v>
      </c>
      <c r="W23" s="89"/>
      <c r="X23" s="79">
        <f t="shared" si="23"/>
        <v>0.23636167528555355</v>
      </c>
      <c r="Y23" s="80">
        <v>6</v>
      </c>
      <c r="Z23" s="81" t="s">
        <v>78</v>
      </c>
      <c r="AA23" s="82"/>
      <c r="AB23" s="82"/>
      <c r="AC23" s="82"/>
      <c r="AD23" s="82"/>
      <c r="AE23" s="82"/>
      <c r="AF23" s="449">
        <v>545692246.48000002</v>
      </c>
      <c r="AG23" s="82"/>
      <c r="AH23" s="82"/>
      <c r="AI23" s="82"/>
      <c r="AJ23" s="82">
        <f t="shared" si="24"/>
        <v>545692246.48000002</v>
      </c>
      <c r="AK23" s="90"/>
      <c r="AL23" s="90"/>
      <c r="AM23" s="90">
        <v>200000</v>
      </c>
      <c r="AN23" s="90"/>
      <c r="AO23" s="90"/>
      <c r="AP23" s="105">
        <f>535600000-200000</f>
        <v>535400000</v>
      </c>
      <c r="AQ23" s="90"/>
      <c r="AR23" s="90"/>
      <c r="AS23" s="90"/>
      <c r="AT23" s="84">
        <f t="shared" si="25"/>
        <v>535600000</v>
      </c>
      <c r="AU23" s="105"/>
      <c r="AV23" s="105"/>
      <c r="AW23" s="105"/>
      <c r="AX23" s="105"/>
      <c r="AY23" s="105"/>
      <c r="AZ23" s="111">
        <v>540000000</v>
      </c>
      <c r="BA23" s="105"/>
      <c r="BB23" s="105"/>
      <c r="BC23" s="105"/>
      <c r="BD23" s="105">
        <f t="shared" si="26"/>
        <v>540000000</v>
      </c>
      <c r="BE23" s="90"/>
      <c r="BF23" s="90"/>
      <c r="BG23" s="90"/>
      <c r="BH23" s="90"/>
      <c r="BI23" s="90"/>
      <c r="BJ23" s="105">
        <v>649900000</v>
      </c>
      <c r="BK23" s="90"/>
      <c r="BL23" s="90"/>
      <c r="BM23" s="90"/>
      <c r="BN23" s="90">
        <f t="shared" si="27"/>
        <v>649900000</v>
      </c>
      <c r="BO23" s="546">
        <f t="shared" si="28"/>
        <v>2271192246.48</v>
      </c>
    </row>
    <row r="24" spans="1:67" ht="124.5" customHeight="1" x14ac:dyDescent="0.2">
      <c r="A24" s="547">
        <v>12</v>
      </c>
      <c r="B24" s="69">
        <v>1</v>
      </c>
      <c r="C24" s="56"/>
      <c r="D24" s="56"/>
      <c r="E24" s="112">
        <v>2</v>
      </c>
      <c r="F24" s="529" t="s">
        <v>84</v>
      </c>
      <c r="G24" s="113" t="s">
        <v>72</v>
      </c>
      <c r="H24" s="114" t="s">
        <v>72</v>
      </c>
      <c r="I24" s="77">
        <v>10</v>
      </c>
      <c r="J24" s="73" t="s">
        <v>85</v>
      </c>
      <c r="K24" s="115" t="s">
        <v>86</v>
      </c>
      <c r="L24" s="74" t="s">
        <v>83</v>
      </c>
      <c r="M24" s="74">
        <v>3</v>
      </c>
      <c r="N24" s="116" t="s">
        <v>69</v>
      </c>
      <c r="O24" s="117">
        <v>1</v>
      </c>
      <c r="P24" s="398">
        <v>20</v>
      </c>
      <c r="Q24" s="117">
        <v>5</v>
      </c>
      <c r="R24" s="117">
        <v>5</v>
      </c>
      <c r="S24" s="500"/>
      <c r="T24" s="117">
        <v>5</v>
      </c>
      <c r="U24" s="117"/>
      <c r="V24" s="117">
        <v>5</v>
      </c>
      <c r="W24" s="117"/>
      <c r="X24" s="79">
        <f t="shared" si="23"/>
        <v>2.1781149151013725E-2</v>
      </c>
      <c r="Y24" s="80">
        <v>6</v>
      </c>
      <c r="Z24" s="81" t="s">
        <v>78</v>
      </c>
      <c r="AA24" s="82"/>
      <c r="AB24" s="82"/>
      <c r="AC24" s="82"/>
      <c r="AD24" s="82"/>
      <c r="AE24" s="82"/>
      <c r="AF24" s="118">
        <v>50286511.960000001</v>
      </c>
      <c r="AG24" s="82"/>
      <c r="AH24" s="82"/>
      <c r="AI24" s="82"/>
      <c r="AJ24" s="82">
        <f t="shared" si="24"/>
        <v>50286511.960000001</v>
      </c>
      <c r="AK24" s="84"/>
      <c r="AL24" s="84"/>
      <c r="AM24" s="84"/>
      <c r="AN24" s="84"/>
      <c r="AO24" s="84"/>
      <c r="AP24" s="105">
        <f>49300000+417417.74</f>
        <v>49717417.740000002</v>
      </c>
      <c r="AQ24" s="84"/>
      <c r="AR24" s="84"/>
      <c r="AS24" s="84"/>
      <c r="AT24" s="84">
        <f t="shared" si="25"/>
        <v>49717417.740000002</v>
      </c>
      <c r="AU24" s="105"/>
      <c r="AV24" s="105"/>
      <c r="AW24" s="105"/>
      <c r="AX24" s="105"/>
      <c r="AY24" s="105"/>
      <c r="AZ24" s="111">
        <v>50000000</v>
      </c>
      <c r="BA24" s="105"/>
      <c r="BB24" s="105"/>
      <c r="BC24" s="105"/>
      <c r="BD24" s="105">
        <f t="shared" si="26"/>
        <v>50000000</v>
      </c>
      <c r="BE24" s="90"/>
      <c r="BF24" s="90"/>
      <c r="BG24" s="90"/>
      <c r="BH24" s="90"/>
      <c r="BI24" s="90"/>
      <c r="BJ24" s="105">
        <v>51400000</v>
      </c>
      <c r="BK24" s="90"/>
      <c r="BL24" s="90"/>
      <c r="BM24" s="90"/>
      <c r="BN24" s="90">
        <f t="shared" si="27"/>
        <v>51400000</v>
      </c>
      <c r="BO24" s="546">
        <f t="shared" si="28"/>
        <v>201403929.69999999</v>
      </c>
    </row>
    <row r="25" spans="1:67" ht="87" customHeight="1" x14ac:dyDescent="0.2">
      <c r="A25" s="545">
        <v>13</v>
      </c>
      <c r="B25" s="69">
        <v>1</v>
      </c>
      <c r="C25" s="56"/>
      <c r="D25" s="56"/>
      <c r="E25" s="93">
        <v>3</v>
      </c>
      <c r="F25" s="70" t="s">
        <v>87</v>
      </c>
      <c r="G25" s="114" t="s">
        <v>88</v>
      </c>
      <c r="H25" s="114" t="s">
        <v>89</v>
      </c>
      <c r="I25" s="72">
        <v>11</v>
      </c>
      <c r="J25" s="73" t="s">
        <v>90</v>
      </c>
      <c r="K25" s="70" t="s">
        <v>91</v>
      </c>
      <c r="L25" s="74" t="s">
        <v>83</v>
      </c>
      <c r="M25" s="74">
        <v>3</v>
      </c>
      <c r="N25" s="88" t="s">
        <v>54</v>
      </c>
      <c r="O25" s="76">
        <v>1</v>
      </c>
      <c r="P25" s="76">
        <v>1</v>
      </c>
      <c r="Q25" s="89">
        <v>1</v>
      </c>
      <c r="R25" s="76">
        <v>1</v>
      </c>
      <c r="S25" s="500"/>
      <c r="T25" s="76">
        <v>1</v>
      </c>
      <c r="U25" s="76"/>
      <c r="V25" s="76">
        <v>1</v>
      </c>
      <c r="W25" s="76"/>
      <c r="X25" s="79">
        <f t="shared" si="23"/>
        <v>0.14334499721934535</v>
      </c>
      <c r="Y25" s="80">
        <v>6</v>
      </c>
      <c r="Z25" s="81" t="s">
        <v>78</v>
      </c>
      <c r="AA25" s="82"/>
      <c r="AB25" s="82"/>
      <c r="AC25" s="82"/>
      <c r="AD25" s="82"/>
      <c r="AE25" s="82"/>
      <c r="AF25" s="118">
        <v>330943049.29000002</v>
      </c>
      <c r="AG25" s="82"/>
      <c r="AH25" s="82"/>
      <c r="AI25" s="82"/>
      <c r="AJ25" s="82">
        <f t="shared" si="24"/>
        <v>330943049.29000002</v>
      </c>
      <c r="AK25" s="84"/>
      <c r="AL25" s="84"/>
      <c r="AM25" s="84"/>
      <c r="AN25" s="84"/>
      <c r="AO25" s="84"/>
      <c r="AP25" s="105">
        <v>324800000</v>
      </c>
      <c r="AQ25" s="84"/>
      <c r="AR25" s="84"/>
      <c r="AS25" s="84"/>
      <c r="AT25" s="84">
        <f t="shared" si="25"/>
        <v>324800000</v>
      </c>
      <c r="AU25" s="105"/>
      <c r="AV25" s="105"/>
      <c r="AW25" s="105"/>
      <c r="AX25" s="105"/>
      <c r="AY25" s="105"/>
      <c r="AZ25" s="111">
        <v>328000000</v>
      </c>
      <c r="BA25" s="105"/>
      <c r="BB25" s="105"/>
      <c r="BC25" s="105"/>
      <c r="BD25" s="105">
        <f t="shared" si="26"/>
        <v>328000000</v>
      </c>
      <c r="BE25" s="90"/>
      <c r="BF25" s="90"/>
      <c r="BG25" s="90"/>
      <c r="BH25" s="90"/>
      <c r="BI25" s="90"/>
      <c r="BJ25" s="105">
        <v>430300000</v>
      </c>
      <c r="BK25" s="90"/>
      <c r="BL25" s="90"/>
      <c r="BM25" s="90"/>
      <c r="BN25" s="90">
        <f t="shared" si="27"/>
        <v>430300000</v>
      </c>
      <c r="BO25" s="546">
        <f t="shared" si="28"/>
        <v>1414043049.29</v>
      </c>
    </row>
    <row r="26" spans="1:67" ht="151.5" customHeight="1" x14ac:dyDescent="0.2">
      <c r="A26" s="547">
        <v>14</v>
      </c>
      <c r="B26" s="69">
        <v>1</v>
      </c>
      <c r="C26" s="56"/>
      <c r="D26" s="56"/>
      <c r="E26" s="91"/>
      <c r="F26" s="119"/>
      <c r="G26" s="114"/>
      <c r="H26" s="114"/>
      <c r="I26" s="72">
        <v>12</v>
      </c>
      <c r="J26" s="73" t="s">
        <v>92</v>
      </c>
      <c r="K26" s="70" t="s">
        <v>93</v>
      </c>
      <c r="L26" s="74" t="s">
        <v>83</v>
      </c>
      <c r="M26" s="74">
        <v>3</v>
      </c>
      <c r="N26" s="88" t="s">
        <v>54</v>
      </c>
      <c r="O26" s="76">
        <v>1</v>
      </c>
      <c r="P26" s="76">
        <v>3</v>
      </c>
      <c r="Q26" s="89">
        <v>3</v>
      </c>
      <c r="R26" s="76">
        <v>3</v>
      </c>
      <c r="S26" s="500"/>
      <c r="T26" s="76">
        <v>3</v>
      </c>
      <c r="U26" s="76"/>
      <c r="V26" s="76">
        <v>3</v>
      </c>
      <c r="W26" s="76"/>
      <c r="X26" s="79">
        <f t="shared" si="23"/>
        <v>0.45551836546977292</v>
      </c>
      <c r="Y26" s="80">
        <v>6</v>
      </c>
      <c r="Z26" s="81" t="s">
        <v>78</v>
      </c>
      <c r="AA26" s="82"/>
      <c r="AB26" s="82"/>
      <c r="AC26" s="82"/>
      <c r="AD26" s="82"/>
      <c r="AE26" s="82"/>
      <c r="AF26" s="108">
        <v>1051663049.29</v>
      </c>
      <c r="AG26" s="82"/>
      <c r="AH26" s="82"/>
      <c r="AI26" s="82"/>
      <c r="AJ26" s="82">
        <f t="shared" si="24"/>
        <v>1051663049.29</v>
      </c>
      <c r="AK26" s="90"/>
      <c r="AL26" s="90"/>
      <c r="AM26" s="90"/>
      <c r="AN26" s="90"/>
      <c r="AO26" s="90"/>
      <c r="AP26" s="105">
        <v>1032300000</v>
      </c>
      <c r="AQ26" s="90"/>
      <c r="AR26" s="90"/>
      <c r="AS26" s="90"/>
      <c r="AT26" s="84">
        <f t="shared" si="25"/>
        <v>1032300000</v>
      </c>
      <c r="AU26" s="105"/>
      <c r="AV26" s="105"/>
      <c r="AW26" s="105"/>
      <c r="AX26" s="105"/>
      <c r="AY26" s="105"/>
      <c r="AZ26" s="111">
        <v>1044000000</v>
      </c>
      <c r="BA26" s="105"/>
      <c r="BB26" s="105"/>
      <c r="BC26" s="105"/>
      <c r="BD26" s="105">
        <f t="shared" si="26"/>
        <v>1044000000</v>
      </c>
      <c r="BE26" s="90"/>
      <c r="BF26" s="90"/>
      <c r="BG26" s="90"/>
      <c r="BH26" s="90"/>
      <c r="BI26" s="90"/>
      <c r="BJ26" s="105">
        <v>1167776058.48</v>
      </c>
      <c r="BK26" s="90"/>
      <c r="BL26" s="90"/>
      <c r="BM26" s="90"/>
      <c r="BN26" s="90">
        <f t="shared" si="27"/>
        <v>1167776058.48</v>
      </c>
      <c r="BO26" s="546">
        <f t="shared" si="28"/>
        <v>4295739107.7700005</v>
      </c>
    </row>
    <row r="27" spans="1:67" ht="79.5" customHeight="1" x14ac:dyDescent="0.2">
      <c r="A27" s="545">
        <v>15</v>
      </c>
      <c r="B27" s="69">
        <v>1</v>
      </c>
      <c r="C27" s="56"/>
      <c r="D27" s="56"/>
      <c r="E27" s="451"/>
      <c r="F27" s="109"/>
      <c r="G27" s="534"/>
      <c r="H27" s="534"/>
      <c r="I27" s="72">
        <v>13</v>
      </c>
      <c r="J27" s="73" t="s">
        <v>94</v>
      </c>
      <c r="K27" s="70" t="s">
        <v>95</v>
      </c>
      <c r="L27" s="74" t="s">
        <v>83</v>
      </c>
      <c r="M27" s="74">
        <v>3</v>
      </c>
      <c r="N27" s="74" t="s">
        <v>54</v>
      </c>
      <c r="O27" s="89">
        <v>0</v>
      </c>
      <c r="P27" s="89">
        <v>2</v>
      </c>
      <c r="Q27" s="77">
        <v>2</v>
      </c>
      <c r="R27" s="77">
        <v>2</v>
      </c>
      <c r="S27" s="500"/>
      <c r="T27" s="77">
        <v>2</v>
      </c>
      <c r="U27" s="77"/>
      <c r="V27" s="77">
        <v>0</v>
      </c>
      <c r="W27" s="77"/>
      <c r="X27" s="79">
        <f t="shared" si="23"/>
        <v>0.11700535397900746</v>
      </c>
      <c r="Y27" s="80">
        <v>6</v>
      </c>
      <c r="Z27" s="81" t="s">
        <v>78</v>
      </c>
      <c r="AA27" s="82"/>
      <c r="AB27" s="82"/>
      <c r="AC27" s="82"/>
      <c r="AD27" s="82"/>
      <c r="AE27" s="82"/>
      <c r="AF27" s="108">
        <v>270132263.98000002</v>
      </c>
      <c r="AG27" s="82"/>
      <c r="AH27" s="82"/>
      <c r="AI27" s="82"/>
      <c r="AJ27" s="82">
        <f t="shared" si="24"/>
        <v>270132263.98000002</v>
      </c>
      <c r="AK27" s="90"/>
      <c r="AL27" s="90"/>
      <c r="AM27" s="90"/>
      <c r="AN27" s="90"/>
      <c r="AO27" s="90"/>
      <c r="AP27" s="105">
        <v>265000000</v>
      </c>
      <c r="AQ27" s="90"/>
      <c r="AR27" s="90"/>
      <c r="AS27" s="90"/>
      <c r="AT27" s="84">
        <f t="shared" si="25"/>
        <v>265000000</v>
      </c>
      <c r="AU27" s="105"/>
      <c r="AV27" s="105"/>
      <c r="AW27" s="105"/>
      <c r="AX27" s="105"/>
      <c r="AY27" s="105"/>
      <c r="AZ27" s="111">
        <v>270903940.27219999</v>
      </c>
      <c r="BA27" s="105"/>
      <c r="BB27" s="105"/>
      <c r="BC27" s="105"/>
      <c r="BD27" s="105">
        <f t="shared" si="26"/>
        <v>270903940.27219999</v>
      </c>
      <c r="BE27" s="90"/>
      <c r="BF27" s="90"/>
      <c r="BG27" s="90"/>
      <c r="BH27" s="90"/>
      <c r="BI27" s="90"/>
      <c r="BJ27" s="105">
        <v>0</v>
      </c>
      <c r="BK27" s="90"/>
      <c r="BL27" s="90"/>
      <c r="BM27" s="90"/>
      <c r="BN27" s="90">
        <f t="shared" si="27"/>
        <v>0</v>
      </c>
      <c r="BO27" s="546">
        <f t="shared" si="28"/>
        <v>806036204.25220001</v>
      </c>
    </row>
    <row r="28" spans="1:67" ht="24.75" customHeight="1" x14ac:dyDescent="0.2">
      <c r="A28" s="545"/>
      <c r="B28" s="69"/>
      <c r="C28" s="56"/>
      <c r="D28" s="56"/>
      <c r="E28" s="57">
        <v>3</v>
      </c>
      <c r="F28" s="58" t="s">
        <v>96</v>
      </c>
      <c r="G28" s="120"/>
      <c r="H28" s="96"/>
      <c r="I28" s="60"/>
      <c r="J28" s="96"/>
      <c r="K28" s="96"/>
      <c r="L28" s="60"/>
      <c r="M28" s="60"/>
      <c r="N28" s="97"/>
      <c r="O28" s="96"/>
      <c r="P28" s="96"/>
      <c r="Q28" s="98"/>
      <c r="R28" s="96"/>
      <c r="S28" s="503"/>
      <c r="T28" s="96"/>
      <c r="U28" s="96"/>
      <c r="V28" s="60"/>
      <c r="W28" s="60"/>
      <c r="X28" s="99"/>
      <c r="Y28" s="60"/>
      <c r="Z28" s="60"/>
      <c r="AA28" s="100">
        <f t="shared" ref="AA28:AI28" si="29">SUM(AA29:AA35)</f>
        <v>0</v>
      </c>
      <c r="AB28" s="100">
        <f t="shared" si="29"/>
        <v>0</v>
      </c>
      <c r="AC28" s="100">
        <f t="shared" si="29"/>
        <v>709366350</v>
      </c>
      <c r="AD28" s="100">
        <f t="shared" si="29"/>
        <v>0</v>
      </c>
      <c r="AE28" s="100">
        <f t="shared" si="29"/>
        <v>0</v>
      </c>
      <c r="AF28" s="100">
        <f t="shared" si="29"/>
        <v>0</v>
      </c>
      <c r="AG28" s="100">
        <f t="shared" si="29"/>
        <v>0</v>
      </c>
      <c r="AH28" s="100">
        <f t="shared" si="29"/>
        <v>0</v>
      </c>
      <c r="AI28" s="100">
        <f t="shared" si="29"/>
        <v>0</v>
      </c>
      <c r="AJ28" s="101">
        <f>SUM(AJ29:AJ35)</f>
        <v>709366350</v>
      </c>
      <c r="AK28" s="100">
        <f t="shared" ref="AK28:AT28" si="30">SUM(AK29:AK35)</f>
        <v>0</v>
      </c>
      <c r="AL28" s="100">
        <f t="shared" si="30"/>
        <v>0</v>
      </c>
      <c r="AM28" s="100">
        <f t="shared" si="30"/>
        <v>579591884.66919994</v>
      </c>
      <c r="AN28" s="100">
        <f t="shared" si="30"/>
        <v>0</v>
      </c>
      <c r="AO28" s="100">
        <f t="shared" si="30"/>
        <v>0</v>
      </c>
      <c r="AP28" s="100">
        <f t="shared" si="30"/>
        <v>0</v>
      </c>
      <c r="AQ28" s="100">
        <f t="shared" si="30"/>
        <v>0</v>
      </c>
      <c r="AR28" s="100">
        <f t="shared" si="30"/>
        <v>0</v>
      </c>
      <c r="AS28" s="100">
        <f t="shared" si="30"/>
        <v>0</v>
      </c>
      <c r="AT28" s="100">
        <f t="shared" si="30"/>
        <v>579591884.66919994</v>
      </c>
      <c r="AU28" s="102"/>
      <c r="AV28" s="102"/>
      <c r="AW28" s="102"/>
      <c r="AX28" s="102"/>
      <c r="AY28" s="102"/>
      <c r="AZ28" s="102"/>
      <c r="BA28" s="102"/>
      <c r="BB28" s="102"/>
      <c r="BC28" s="102"/>
      <c r="BD28" s="100">
        <f t="shared" ref="BD28" si="31">SUM(BD29:BD35)</f>
        <v>596979641.20930004</v>
      </c>
      <c r="BE28" s="102"/>
      <c r="BF28" s="102"/>
      <c r="BG28" s="102"/>
      <c r="BH28" s="102"/>
      <c r="BI28" s="102"/>
      <c r="BJ28" s="102"/>
      <c r="BK28" s="102"/>
      <c r="BL28" s="102"/>
      <c r="BM28" s="102"/>
      <c r="BN28" s="100">
        <f t="shared" ref="BN28:BO28" si="32">SUM(BN29:BN35)</f>
        <v>614889030</v>
      </c>
      <c r="BO28" s="560">
        <f t="shared" si="32"/>
        <v>2500826905.8785</v>
      </c>
    </row>
    <row r="29" spans="1:67" s="86" customFormat="1" ht="409.5" customHeight="1" x14ac:dyDescent="0.2">
      <c r="A29" s="547">
        <v>16</v>
      </c>
      <c r="B29" s="69">
        <v>1</v>
      </c>
      <c r="C29" s="56"/>
      <c r="D29" s="56"/>
      <c r="E29" s="478">
        <v>4</v>
      </c>
      <c r="F29" s="439" t="s">
        <v>97</v>
      </c>
      <c r="G29" s="548" t="s">
        <v>57</v>
      </c>
      <c r="H29" s="548" t="s">
        <v>58</v>
      </c>
      <c r="I29" s="72">
        <v>14</v>
      </c>
      <c r="J29" s="73" t="s">
        <v>98</v>
      </c>
      <c r="K29" s="70" t="s">
        <v>99</v>
      </c>
      <c r="L29" s="74" t="s">
        <v>53</v>
      </c>
      <c r="M29" s="74">
        <v>10</v>
      </c>
      <c r="N29" s="74" t="s">
        <v>54</v>
      </c>
      <c r="O29" s="89">
        <v>2</v>
      </c>
      <c r="P29" s="89">
        <v>6</v>
      </c>
      <c r="Q29" s="77">
        <v>6</v>
      </c>
      <c r="R29" s="77">
        <v>6</v>
      </c>
      <c r="S29" s="500"/>
      <c r="T29" s="77">
        <v>6</v>
      </c>
      <c r="U29" s="77"/>
      <c r="V29" s="77">
        <v>6</v>
      </c>
      <c r="W29" s="74"/>
      <c r="X29" s="121">
        <f t="shared" ref="X29:X35" si="33">AJ29/$AJ$28</f>
        <v>0.68157948287228454</v>
      </c>
      <c r="Y29" s="78">
        <v>15</v>
      </c>
      <c r="Z29" s="81" t="s">
        <v>55</v>
      </c>
      <c r="AA29" s="82"/>
      <c r="AB29" s="82"/>
      <c r="AC29" s="108">
        <v>483489550</v>
      </c>
      <c r="AD29" s="108"/>
      <c r="AE29" s="108"/>
      <c r="AF29" s="82"/>
      <c r="AG29" s="82"/>
      <c r="AH29" s="82"/>
      <c r="AI29" s="82"/>
      <c r="AJ29" s="82">
        <f t="shared" ref="AJ29:AJ35" si="34">+AA29+AB29+AC29+AD29+AE29+AF29+AG29+AH29+AI29</f>
        <v>483489550</v>
      </c>
      <c r="AK29" s="90"/>
      <c r="AL29" s="90"/>
      <c r="AM29" s="90">
        <v>380191884.6692</v>
      </c>
      <c r="AN29" s="90"/>
      <c r="AO29" s="90"/>
      <c r="AP29" s="90"/>
      <c r="AQ29" s="90"/>
      <c r="AR29" s="90"/>
      <c r="AS29" s="90"/>
      <c r="AT29" s="84">
        <f t="shared" ref="AT29:AT35" si="35">AK29+AL29+AM29+AN29+AO29+AP29+AQ29+AR29+AS29</f>
        <v>380191884.6692</v>
      </c>
      <c r="AU29" s="90"/>
      <c r="AV29" s="90"/>
      <c r="AW29" s="90">
        <v>398979641.20929998</v>
      </c>
      <c r="AX29" s="90"/>
      <c r="AY29" s="90"/>
      <c r="AZ29" s="90"/>
      <c r="BA29" s="90"/>
      <c r="BB29" s="90"/>
      <c r="BC29" s="90"/>
      <c r="BD29" s="90">
        <f t="shared" ref="BD29:BD35" si="36">SUM(AU29:BC29)</f>
        <v>398979641.20929998</v>
      </c>
      <c r="BE29" s="90"/>
      <c r="BF29" s="90"/>
      <c r="BG29" s="90" t="s">
        <v>61</v>
      </c>
      <c r="BH29" s="90"/>
      <c r="BI29" s="90"/>
      <c r="BJ29" s="90"/>
      <c r="BK29" s="90"/>
      <c r="BL29" s="90"/>
      <c r="BM29" s="90"/>
      <c r="BN29" s="90">
        <f t="shared" ref="BN29:BN35" si="37">SUM(BE29:BM29)</f>
        <v>0</v>
      </c>
      <c r="BO29" s="546">
        <f t="shared" ref="BO29:BO35" si="38">AJ29+AT29+BD29+BN29</f>
        <v>1262661075.8785</v>
      </c>
    </row>
    <row r="30" spans="1:67" ht="168.75" customHeight="1" x14ac:dyDescent="0.2">
      <c r="A30" s="545">
        <v>17</v>
      </c>
      <c r="B30" s="69">
        <v>1</v>
      </c>
      <c r="C30" s="56"/>
      <c r="D30" s="56"/>
      <c r="E30" s="91"/>
      <c r="F30" s="119"/>
      <c r="G30" s="114"/>
      <c r="H30" s="114"/>
      <c r="I30" s="77">
        <v>15</v>
      </c>
      <c r="J30" s="73" t="s">
        <v>100</v>
      </c>
      <c r="K30" s="70" t="s">
        <v>101</v>
      </c>
      <c r="L30" s="74" t="s">
        <v>53</v>
      </c>
      <c r="M30" s="74">
        <v>10</v>
      </c>
      <c r="N30" s="75" t="s">
        <v>54</v>
      </c>
      <c r="O30" s="76">
        <v>0</v>
      </c>
      <c r="P30" s="76">
        <v>2</v>
      </c>
      <c r="Q30" s="77">
        <v>2</v>
      </c>
      <c r="R30" s="78">
        <v>2</v>
      </c>
      <c r="S30" s="500"/>
      <c r="T30" s="78">
        <v>2</v>
      </c>
      <c r="U30" s="78"/>
      <c r="V30" s="78">
        <v>2</v>
      </c>
      <c r="W30" s="75"/>
      <c r="X30" s="121">
        <f t="shared" si="33"/>
        <v>0.29237360920771049</v>
      </c>
      <c r="Y30" s="78">
        <v>15</v>
      </c>
      <c r="Z30" s="81" t="s">
        <v>55</v>
      </c>
      <c r="AA30" s="82"/>
      <c r="AB30" s="82"/>
      <c r="AC30" s="108">
        <f>197400000+5000000+5000000</f>
        <v>207400000</v>
      </c>
      <c r="AD30" s="108"/>
      <c r="AE30" s="108"/>
      <c r="AF30" s="82"/>
      <c r="AG30" s="82"/>
      <c r="AH30" s="82"/>
      <c r="AI30" s="82"/>
      <c r="AJ30" s="82">
        <f t="shared" si="34"/>
        <v>207400000</v>
      </c>
      <c r="AK30" s="90"/>
      <c r="AL30" s="90"/>
      <c r="AM30" s="90">
        <v>169400000</v>
      </c>
      <c r="AN30" s="90"/>
      <c r="AO30" s="90"/>
      <c r="AP30" s="90"/>
      <c r="AQ30" s="90"/>
      <c r="AR30" s="90"/>
      <c r="AS30" s="90"/>
      <c r="AT30" s="84">
        <f t="shared" si="35"/>
        <v>169400000</v>
      </c>
      <c r="AU30" s="90"/>
      <c r="AV30" s="90"/>
      <c r="AW30" s="90">
        <v>170000000</v>
      </c>
      <c r="AX30" s="90"/>
      <c r="AY30" s="90"/>
      <c r="AZ30" s="90"/>
      <c r="BA30" s="90"/>
      <c r="BB30" s="90"/>
      <c r="BC30" s="90"/>
      <c r="BD30" s="90">
        <f t="shared" si="36"/>
        <v>170000000</v>
      </c>
      <c r="BE30" s="90"/>
      <c r="BF30" s="90"/>
      <c r="BG30" s="90">
        <v>175100000</v>
      </c>
      <c r="BH30" s="90"/>
      <c r="BI30" s="90"/>
      <c r="BJ30" s="90"/>
      <c r="BK30" s="90"/>
      <c r="BL30" s="90"/>
      <c r="BM30" s="90"/>
      <c r="BN30" s="90">
        <f t="shared" si="37"/>
        <v>175100000</v>
      </c>
      <c r="BO30" s="546">
        <f t="shared" si="38"/>
        <v>721900000</v>
      </c>
    </row>
    <row r="31" spans="1:67" ht="75" customHeight="1" x14ac:dyDescent="0.2">
      <c r="A31" s="547">
        <v>18</v>
      </c>
      <c r="B31" s="69">
        <v>1</v>
      </c>
      <c r="C31" s="56"/>
      <c r="D31" s="56"/>
      <c r="E31" s="91"/>
      <c r="F31" s="119"/>
      <c r="G31" s="114"/>
      <c r="H31" s="114"/>
      <c r="I31" s="77">
        <v>16</v>
      </c>
      <c r="J31" s="70" t="s">
        <v>102</v>
      </c>
      <c r="K31" s="70" t="s">
        <v>103</v>
      </c>
      <c r="L31" s="74" t="s">
        <v>53</v>
      </c>
      <c r="M31" s="74">
        <v>10</v>
      </c>
      <c r="N31" s="75" t="s">
        <v>69</v>
      </c>
      <c r="O31" s="76">
        <v>7</v>
      </c>
      <c r="P31" s="76">
        <v>12</v>
      </c>
      <c r="Q31" s="77">
        <v>0</v>
      </c>
      <c r="R31" s="78">
        <v>3</v>
      </c>
      <c r="S31" s="500"/>
      <c r="T31" s="78">
        <v>4</v>
      </c>
      <c r="U31" s="78"/>
      <c r="V31" s="78">
        <v>5</v>
      </c>
      <c r="W31" s="75"/>
      <c r="X31" s="121">
        <f t="shared" si="33"/>
        <v>0</v>
      </c>
      <c r="Y31" s="77">
        <v>15</v>
      </c>
      <c r="Z31" s="81" t="s">
        <v>55</v>
      </c>
      <c r="AA31" s="82"/>
      <c r="AB31" s="82"/>
      <c r="AC31" s="108"/>
      <c r="AD31" s="108"/>
      <c r="AE31" s="108"/>
      <c r="AF31" s="82"/>
      <c r="AG31" s="82"/>
      <c r="AH31" s="82"/>
      <c r="AI31" s="82"/>
      <c r="AJ31" s="82">
        <f t="shared" si="34"/>
        <v>0</v>
      </c>
      <c r="AK31" s="90"/>
      <c r="AL31" s="90"/>
      <c r="AM31" s="90">
        <v>6000000</v>
      </c>
      <c r="AN31" s="90"/>
      <c r="AO31" s="90"/>
      <c r="AP31" s="90"/>
      <c r="AQ31" s="90"/>
      <c r="AR31" s="90"/>
      <c r="AS31" s="90"/>
      <c r="AT31" s="84">
        <f t="shared" si="35"/>
        <v>6000000</v>
      </c>
      <c r="AU31" s="90"/>
      <c r="AV31" s="90"/>
      <c r="AW31" s="90">
        <v>7000000</v>
      </c>
      <c r="AX31" s="90"/>
      <c r="AY31" s="90"/>
      <c r="AZ31" s="90"/>
      <c r="BA31" s="90"/>
      <c r="BB31" s="90"/>
      <c r="BC31" s="90"/>
      <c r="BD31" s="90">
        <f t="shared" si="36"/>
        <v>7000000</v>
      </c>
      <c r="BE31" s="90"/>
      <c r="BF31" s="90"/>
      <c r="BG31" s="90">
        <v>7210000</v>
      </c>
      <c r="BH31" s="90"/>
      <c r="BI31" s="90"/>
      <c r="BJ31" s="90"/>
      <c r="BK31" s="90"/>
      <c r="BL31" s="90"/>
      <c r="BM31" s="90"/>
      <c r="BN31" s="90">
        <f t="shared" si="37"/>
        <v>7210000</v>
      </c>
      <c r="BO31" s="546">
        <f t="shared" si="38"/>
        <v>20210000</v>
      </c>
    </row>
    <row r="32" spans="1:67" ht="127.5" customHeight="1" x14ac:dyDescent="0.2">
      <c r="A32" s="545">
        <v>19</v>
      </c>
      <c r="B32" s="69">
        <v>1</v>
      </c>
      <c r="C32" s="56"/>
      <c r="D32" s="56"/>
      <c r="E32" s="91"/>
      <c r="F32" s="119"/>
      <c r="G32" s="114"/>
      <c r="H32" s="114"/>
      <c r="I32" s="77">
        <v>17</v>
      </c>
      <c r="J32" s="73" t="s">
        <v>104</v>
      </c>
      <c r="K32" s="70" t="s">
        <v>105</v>
      </c>
      <c r="L32" s="74" t="s">
        <v>53</v>
      </c>
      <c r="M32" s="74">
        <v>10</v>
      </c>
      <c r="N32" s="75" t="s">
        <v>69</v>
      </c>
      <c r="O32" s="76">
        <v>0</v>
      </c>
      <c r="P32" s="89">
        <v>270</v>
      </c>
      <c r="Q32" s="77">
        <v>0</v>
      </c>
      <c r="R32" s="434">
        <v>0</v>
      </c>
      <c r="S32" s="505"/>
      <c r="T32" s="78">
        <v>0</v>
      </c>
      <c r="U32" s="78"/>
      <c r="V32" s="77">
        <v>270</v>
      </c>
      <c r="W32" s="74"/>
      <c r="X32" s="121">
        <f t="shared" si="33"/>
        <v>0</v>
      </c>
      <c r="Y32" s="77">
        <v>15</v>
      </c>
      <c r="Z32" s="81" t="s">
        <v>55</v>
      </c>
      <c r="AA32" s="82"/>
      <c r="AB32" s="82"/>
      <c r="AC32" s="108"/>
      <c r="AD32" s="108"/>
      <c r="AE32" s="108"/>
      <c r="AF32" s="82"/>
      <c r="AG32" s="82"/>
      <c r="AH32" s="82"/>
      <c r="AI32" s="82"/>
      <c r="AJ32" s="82">
        <f t="shared" si="34"/>
        <v>0</v>
      </c>
      <c r="AK32" s="90"/>
      <c r="AL32" s="90"/>
      <c r="AM32" s="90">
        <v>0</v>
      </c>
      <c r="AN32" s="90"/>
      <c r="AO32" s="90"/>
      <c r="AP32" s="90"/>
      <c r="AQ32" s="90"/>
      <c r="AR32" s="90"/>
      <c r="AS32" s="90"/>
      <c r="AT32" s="84">
        <f t="shared" si="35"/>
        <v>0</v>
      </c>
      <c r="AU32" s="90"/>
      <c r="AV32" s="90"/>
      <c r="AW32" s="90">
        <v>0</v>
      </c>
      <c r="AX32" s="90"/>
      <c r="AY32" s="90"/>
      <c r="AZ32" s="90"/>
      <c r="BA32" s="90"/>
      <c r="BB32" s="90"/>
      <c r="BC32" s="90"/>
      <c r="BD32" s="90">
        <f t="shared" si="36"/>
        <v>0</v>
      </c>
      <c r="BE32" s="90"/>
      <c r="BF32" s="90"/>
      <c r="BG32" s="90">
        <v>410949030</v>
      </c>
      <c r="BH32" s="90"/>
      <c r="BI32" s="90"/>
      <c r="BJ32" s="90"/>
      <c r="BK32" s="90"/>
      <c r="BL32" s="90"/>
      <c r="BM32" s="90"/>
      <c r="BN32" s="90">
        <f t="shared" si="37"/>
        <v>410949030</v>
      </c>
      <c r="BO32" s="546">
        <f t="shared" si="38"/>
        <v>410949030</v>
      </c>
    </row>
    <row r="33" spans="1:68" ht="75" customHeight="1" x14ac:dyDescent="0.2">
      <c r="A33" s="547">
        <v>20</v>
      </c>
      <c r="B33" s="69">
        <v>1</v>
      </c>
      <c r="C33" s="56"/>
      <c r="D33" s="56"/>
      <c r="E33" s="91"/>
      <c r="F33" s="119"/>
      <c r="G33" s="114"/>
      <c r="H33" s="114"/>
      <c r="I33" s="77">
        <v>18</v>
      </c>
      <c r="J33" s="73" t="s">
        <v>106</v>
      </c>
      <c r="K33" s="70" t="s">
        <v>107</v>
      </c>
      <c r="L33" s="74" t="s">
        <v>53</v>
      </c>
      <c r="M33" s="74">
        <v>10</v>
      </c>
      <c r="N33" s="75" t="s">
        <v>69</v>
      </c>
      <c r="O33" s="76">
        <v>0</v>
      </c>
      <c r="P33" s="76">
        <v>20</v>
      </c>
      <c r="Q33" s="77">
        <v>0</v>
      </c>
      <c r="R33" s="78">
        <v>7</v>
      </c>
      <c r="S33" s="500"/>
      <c r="T33" s="78">
        <v>7</v>
      </c>
      <c r="U33" s="78"/>
      <c r="V33" s="78">
        <v>6</v>
      </c>
      <c r="W33" s="75"/>
      <c r="X33" s="121">
        <f t="shared" si="33"/>
        <v>0</v>
      </c>
      <c r="Y33" s="77">
        <v>15</v>
      </c>
      <c r="Z33" s="81" t="s">
        <v>55</v>
      </c>
      <c r="AA33" s="82"/>
      <c r="AB33" s="82"/>
      <c r="AC33" s="108"/>
      <c r="AD33" s="108"/>
      <c r="AE33" s="108"/>
      <c r="AF33" s="82"/>
      <c r="AG33" s="82"/>
      <c r="AH33" s="82"/>
      <c r="AI33" s="82"/>
      <c r="AJ33" s="82">
        <f t="shared" si="34"/>
        <v>0</v>
      </c>
      <c r="AK33" s="90"/>
      <c r="AL33" s="90"/>
      <c r="AM33" s="90">
        <v>10000000</v>
      </c>
      <c r="AN33" s="90"/>
      <c r="AO33" s="90"/>
      <c r="AP33" s="90"/>
      <c r="AQ33" s="90"/>
      <c r="AR33" s="90"/>
      <c r="AS33" s="90"/>
      <c r="AT33" s="84">
        <f t="shared" si="35"/>
        <v>10000000</v>
      </c>
      <c r="AU33" s="90"/>
      <c r="AV33" s="90"/>
      <c r="AW33" s="90">
        <v>7000000</v>
      </c>
      <c r="AX33" s="90"/>
      <c r="AY33" s="90"/>
      <c r="AZ33" s="90"/>
      <c r="BA33" s="90"/>
      <c r="BB33" s="90"/>
      <c r="BC33" s="90"/>
      <c r="BD33" s="90">
        <f t="shared" si="36"/>
        <v>7000000</v>
      </c>
      <c r="BE33" s="90"/>
      <c r="BF33" s="90"/>
      <c r="BG33" s="90">
        <v>7210000</v>
      </c>
      <c r="BH33" s="90"/>
      <c r="BI33" s="90"/>
      <c r="BJ33" s="90"/>
      <c r="BK33" s="90"/>
      <c r="BL33" s="90"/>
      <c r="BM33" s="90"/>
      <c r="BN33" s="90">
        <f t="shared" si="37"/>
        <v>7210000</v>
      </c>
      <c r="BO33" s="546">
        <f t="shared" si="38"/>
        <v>24210000</v>
      </c>
    </row>
    <row r="34" spans="1:68" ht="213" customHeight="1" x14ac:dyDescent="0.2">
      <c r="A34" s="545">
        <v>21</v>
      </c>
      <c r="B34" s="69">
        <v>1</v>
      </c>
      <c r="C34" s="56"/>
      <c r="D34" s="56"/>
      <c r="E34" s="91"/>
      <c r="F34" s="119"/>
      <c r="G34" s="114"/>
      <c r="H34" s="114"/>
      <c r="I34" s="77">
        <v>19</v>
      </c>
      <c r="J34" s="73" t="s">
        <v>108</v>
      </c>
      <c r="K34" s="70" t="s">
        <v>109</v>
      </c>
      <c r="L34" s="74" t="s">
        <v>53</v>
      </c>
      <c r="M34" s="74">
        <v>10</v>
      </c>
      <c r="N34" s="75" t="s">
        <v>69</v>
      </c>
      <c r="O34" s="76">
        <v>20</v>
      </c>
      <c r="P34" s="76">
        <v>31</v>
      </c>
      <c r="Q34" s="77">
        <v>5</v>
      </c>
      <c r="R34" s="78">
        <v>9</v>
      </c>
      <c r="S34" s="500"/>
      <c r="T34" s="78">
        <v>9</v>
      </c>
      <c r="U34" s="78"/>
      <c r="V34" s="78">
        <v>8</v>
      </c>
      <c r="W34" s="75"/>
      <c r="X34" s="121">
        <f t="shared" si="33"/>
        <v>1.2969321141325636E-2</v>
      </c>
      <c r="Y34" s="77">
        <v>4</v>
      </c>
      <c r="Z34" s="74" t="s">
        <v>110</v>
      </c>
      <c r="AA34" s="82"/>
      <c r="AB34" s="82"/>
      <c r="AC34" s="108">
        <f>9200000</f>
        <v>9200000</v>
      </c>
      <c r="AD34" s="108"/>
      <c r="AE34" s="108"/>
      <c r="AF34" s="82"/>
      <c r="AG34" s="82"/>
      <c r="AH34" s="82"/>
      <c r="AI34" s="82"/>
      <c r="AJ34" s="82">
        <f t="shared" si="34"/>
        <v>9200000</v>
      </c>
      <c r="AK34" s="90"/>
      <c r="AL34" s="90"/>
      <c r="AM34" s="90">
        <v>7000000</v>
      </c>
      <c r="AN34" s="90"/>
      <c r="AO34" s="90"/>
      <c r="AP34" s="90"/>
      <c r="AQ34" s="90"/>
      <c r="AR34" s="90"/>
      <c r="AS34" s="90"/>
      <c r="AT34" s="84">
        <f t="shared" si="35"/>
        <v>7000000</v>
      </c>
      <c r="AU34" s="90"/>
      <c r="AV34" s="90"/>
      <c r="AW34" s="90">
        <v>7000000</v>
      </c>
      <c r="AX34" s="90"/>
      <c r="AY34" s="90"/>
      <c r="AZ34" s="90"/>
      <c r="BA34" s="90"/>
      <c r="BB34" s="90"/>
      <c r="BC34" s="90"/>
      <c r="BD34" s="90">
        <f t="shared" si="36"/>
        <v>7000000</v>
      </c>
      <c r="BE34" s="90"/>
      <c r="BF34" s="90"/>
      <c r="BG34" s="90">
        <v>7210000</v>
      </c>
      <c r="BH34" s="90"/>
      <c r="BI34" s="90"/>
      <c r="BJ34" s="90"/>
      <c r="BK34" s="90"/>
      <c r="BL34" s="90"/>
      <c r="BM34" s="90"/>
      <c r="BN34" s="90">
        <f t="shared" si="37"/>
        <v>7210000</v>
      </c>
      <c r="BO34" s="546">
        <f t="shared" si="38"/>
        <v>30410000</v>
      </c>
    </row>
    <row r="35" spans="1:68" ht="75" customHeight="1" x14ac:dyDescent="0.2">
      <c r="A35" s="547">
        <v>22</v>
      </c>
      <c r="B35" s="69">
        <v>1</v>
      </c>
      <c r="C35" s="123"/>
      <c r="D35" s="123"/>
      <c r="E35" s="451"/>
      <c r="F35" s="529"/>
      <c r="G35" s="92"/>
      <c r="H35" s="92"/>
      <c r="I35" s="77">
        <v>20</v>
      </c>
      <c r="J35" s="73" t="s">
        <v>111</v>
      </c>
      <c r="K35" s="70" t="s">
        <v>112</v>
      </c>
      <c r="L35" s="74" t="s">
        <v>53</v>
      </c>
      <c r="M35" s="74">
        <v>10</v>
      </c>
      <c r="N35" s="75" t="s">
        <v>69</v>
      </c>
      <c r="O35" s="76" t="s">
        <v>49</v>
      </c>
      <c r="P35" s="76">
        <v>250</v>
      </c>
      <c r="Q35" s="77">
        <v>50</v>
      </c>
      <c r="R35" s="124">
        <v>70</v>
      </c>
      <c r="S35" s="500"/>
      <c r="T35" s="77">
        <v>70</v>
      </c>
      <c r="U35" s="77"/>
      <c r="V35" s="77">
        <v>60</v>
      </c>
      <c r="W35" s="74"/>
      <c r="X35" s="121">
        <f t="shared" si="33"/>
        <v>1.3077586778679311E-2</v>
      </c>
      <c r="Y35" s="77">
        <v>4</v>
      </c>
      <c r="Z35" s="74" t="s">
        <v>110</v>
      </c>
      <c r="AA35" s="82"/>
      <c r="AB35" s="82"/>
      <c r="AC35" s="108">
        <v>9276800</v>
      </c>
      <c r="AD35" s="108"/>
      <c r="AE35" s="108"/>
      <c r="AF35" s="82"/>
      <c r="AG35" s="82"/>
      <c r="AH35" s="82"/>
      <c r="AI35" s="82"/>
      <c r="AJ35" s="82">
        <f t="shared" si="34"/>
        <v>9276800</v>
      </c>
      <c r="AK35" s="90"/>
      <c r="AL35" s="90"/>
      <c r="AM35" s="90">
        <v>7000000</v>
      </c>
      <c r="AN35" s="90"/>
      <c r="AO35" s="90"/>
      <c r="AP35" s="90"/>
      <c r="AQ35" s="90"/>
      <c r="AR35" s="90"/>
      <c r="AS35" s="90"/>
      <c r="AT35" s="84">
        <f t="shared" si="35"/>
        <v>7000000</v>
      </c>
      <c r="AU35" s="90"/>
      <c r="AV35" s="90"/>
      <c r="AW35" s="90">
        <v>7000000</v>
      </c>
      <c r="AX35" s="90"/>
      <c r="AY35" s="90"/>
      <c r="AZ35" s="90"/>
      <c r="BA35" s="90"/>
      <c r="BB35" s="90"/>
      <c r="BC35" s="90"/>
      <c r="BD35" s="90">
        <f t="shared" si="36"/>
        <v>7000000</v>
      </c>
      <c r="BE35" s="90"/>
      <c r="BF35" s="90"/>
      <c r="BG35" s="90">
        <v>7210000</v>
      </c>
      <c r="BH35" s="90"/>
      <c r="BI35" s="90"/>
      <c r="BJ35" s="90"/>
      <c r="BK35" s="90"/>
      <c r="BL35" s="90"/>
      <c r="BM35" s="90"/>
      <c r="BN35" s="90">
        <f t="shared" si="37"/>
        <v>7210000</v>
      </c>
      <c r="BO35" s="546">
        <f t="shared" si="38"/>
        <v>30486800</v>
      </c>
      <c r="BP35" s="3"/>
    </row>
    <row r="36" spans="1:68" ht="24.75" customHeight="1" x14ac:dyDescent="0.2">
      <c r="A36" s="547"/>
      <c r="B36" s="69"/>
      <c r="C36" s="125">
        <v>2</v>
      </c>
      <c r="D36" s="126" t="s">
        <v>113</v>
      </c>
      <c r="E36" s="127"/>
      <c r="F36" s="128"/>
      <c r="G36" s="128"/>
      <c r="H36" s="128"/>
      <c r="I36" s="127"/>
      <c r="J36" s="128"/>
      <c r="K36" s="128"/>
      <c r="L36" s="129"/>
      <c r="M36" s="127"/>
      <c r="N36" s="130"/>
      <c r="O36" s="128"/>
      <c r="P36" s="128"/>
      <c r="Q36" s="131"/>
      <c r="R36" s="128"/>
      <c r="S36" s="506"/>
      <c r="T36" s="128"/>
      <c r="U36" s="128"/>
      <c r="V36" s="127"/>
      <c r="W36" s="127"/>
      <c r="X36" s="132"/>
      <c r="Y36" s="127"/>
      <c r="Z36" s="127"/>
      <c r="AA36" s="40">
        <f t="shared" ref="AA36:AI36" si="39">AA37+AA74+AA82</f>
        <v>0</v>
      </c>
      <c r="AB36" s="40">
        <f t="shared" si="39"/>
        <v>7917656341</v>
      </c>
      <c r="AC36" s="40">
        <f t="shared" si="39"/>
        <v>1496293889</v>
      </c>
      <c r="AD36" s="40">
        <f t="shared" si="39"/>
        <v>20519904</v>
      </c>
      <c r="AE36" s="40">
        <f t="shared" si="39"/>
        <v>0</v>
      </c>
      <c r="AF36" s="40">
        <f t="shared" si="39"/>
        <v>0</v>
      </c>
      <c r="AG36" s="40">
        <f t="shared" si="39"/>
        <v>0</v>
      </c>
      <c r="AH36" s="40">
        <f t="shared" si="39"/>
        <v>0</v>
      </c>
      <c r="AI36" s="40">
        <f t="shared" si="39"/>
        <v>15650000000</v>
      </c>
      <c r="AJ36" s="133">
        <f>AJ37+AJ74+AJ82</f>
        <v>25084470134</v>
      </c>
      <c r="AK36" s="40">
        <f t="shared" ref="AK36:AT36" si="40">AK37+AK74+AK82</f>
        <v>6000000000</v>
      </c>
      <c r="AL36" s="40">
        <f t="shared" si="40"/>
        <v>8345340727</v>
      </c>
      <c r="AM36" s="40">
        <f t="shared" si="40"/>
        <v>750000000</v>
      </c>
      <c r="AN36" s="40">
        <f t="shared" si="40"/>
        <v>0</v>
      </c>
      <c r="AO36" s="40">
        <f t="shared" si="40"/>
        <v>0</v>
      </c>
      <c r="AP36" s="40">
        <f t="shared" si="40"/>
        <v>0</v>
      </c>
      <c r="AQ36" s="40">
        <f t="shared" si="40"/>
        <v>0</v>
      </c>
      <c r="AR36" s="40">
        <f t="shared" si="40"/>
        <v>0</v>
      </c>
      <c r="AS36" s="40">
        <f t="shared" si="40"/>
        <v>16000000000</v>
      </c>
      <c r="AT36" s="40">
        <f t="shared" si="40"/>
        <v>31095340727</v>
      </c>
      <c r="AU36" s="42"/>
      <c r="AV36" s="42"/>
      <c r="AW36" s="42"/>
      <c r="AX36" s="42"/>
      <c r="AY36" s="42"/>
      <c r="AZ36" s="42"/>
      <c r="BA36" s="42"/>
      <c r="BB36" s="42"/>
      <c r="BC36" s="42"/>
      <c r="BD36" s="40">
        <f t="shared" ref="BD36" si="41">BD37+BD74+BD82</f>
        <v>32002536920</v>
      </c>
      <c r="BE36" s="42"/>
      <c r="BF36" s="42"/>
      <c r="BG36" s="42"/>
      <c r="BH36" s="42"/>
      <c r="BI36" s="42"/>
      <c r="BJ36" s="42"/>
      <c r="BK36" s="42"/>
      <c r="BL36" s="42"/>
      <c r="BM36" s="42"/>
      <c r="BN36" s="40">
        <f t="shared" ref="BN36" si="42">BN37+BN74+BN82</f>
        <v>33368847027</v>
      </c>
      <c r="BO36" s="541">
        <f t="shared" ref="BO36" si="43">BO37+BO74+BO82</f>
        <v>121551194808</v>
      </c>
    </row>
    <row r="37" spans="1:68" ht="24.75" customHeight="1" x14ac:dyDescent="0.2">
      <c r="A37" s="547"/>
      <c r="B37" s="69"/>
      <c r="C37" s="562"/>
      <c r="D37" s="43">
        <v>2</v>
      </c>
      <c r="E37" s="134" t="s">
        <v>114</v>
      </c>
      <c r="F37" s="45"/>
      <c r="G37" s="46"/>
      <c r="H37" s="46"/>
      <c r="I37" s="47"/>
      <c r="J37" s="48"/>
      <c r="K37" s="48"/>
      <c r="L37" s="49"/>
      <c r="M37" s="47"/>
      <c r="N37" s="50"/>
      <c r="O37" s="48"/>
      <c r="P37" s="48"/>
      <c r="Q37" s="51"/>
      <c r="R37" s="48"/>
      <c r="S37" s="498"/>
      <c r="T37" s="48"/>
      <c r="U37" s="48"/>
      <c r="V37" s="47"/>
      <c r="W37" s="47"/>
      <c r="X37" s="135"/>
      <c r="Y37" s="47"/>
      <c r="Z37" s="47"/>
      <c r="AA37" s="53">
        <f t="shared" ref="AA37:AI37" si="44">AA38+AA43+AA50+AA55+AA59+AA65+AA70</f>
        <v>0</v>
      </c>
      <c r="AB37" s="53">
        <f t="shared" si="44"/>
        <v>0</v>
      </c>
      <c r="AC37" s="53">
        <f t="shared" si="44"/>
        <v>730000000</v>
      </c>
      <c r="AD37" s="53">
        <f t="shared" si="44"/>
        <v>0</v>
      </c>
      <c r="AE37" s="53">
        <f t="shared" si="44"/>
        <v>0</v>
      </c>
      <c r="AF37" s="53">
        <f t="shared" si="44"/>
        <v>0</v>
      </c>
      <c r="AG37" s="53">
        <f t="shared" si="44"/>
        <v>0</v>
      </c>
      <c r="AH37" s="53">
        <f t="shared" si="44"/>
        <v>0</v>
      </c>
      <c r="AI37" s="53">
        <f t="shared" si="44"/>
        <v>10250000000</v>
      </c>
      <c r="AJ37" s="54">
        <f>AJ38+AJ43+AJ50+AJ55+AJ59+AJ65+AJ70</f>
        <v>10980000000</v>
      </c>
      <c r="AK37" s="53">
        <f t="shared" ref="AK37:AT37" si="45">AK38+AK43+AK50+AK55+AK59+AK65+AK70</f>
        <v>3000000000</v>
      </c>
      <c r="AL37" s="53">
        <f t="shared" si="45"/>
        <v>0</v>
      </c>
      <c r="AM37" s="53">
        <f t="shared" si="45"/>
        <v>510000000</v>
      </c>
      <c r="AN37" s="53">
        <f t="shared" si="45"/>
        <v>0</v>
      </c>
      <c r="AO37" s="53">
        <f t="shared" si="45"/>
        <v>0</v>
      </c>
      <c r="AP37" s="53">
        <f t="shared" si="45"/>
        <v>0</v>
      </c>
      <c r="AQ37" s="53">
        <f t="shared" si="45"/>
        <v>0</v>
      </c>
      <c r="AR37" s="53">
        <f t="shared" si="45"/>
        <v>0</v>
      </c>
      <c r="AS37" s="53">
        <f t="shared" si="45"/>
        <v>4000000000</v>
      </c>
      <c r="AT37" s="53">
        <f t="shared" si="45"/>
        <v>7510000000</v>
      </c>
      <c r="AU37" s="55"/>
      <c r="AV37" s="55"/>
      <c r="AW37" s="55"/>
      <c r="AX37" s="55"/>
      <c r="AY37" s="55"/>
      <c r="AZ37" s="55"/>
      <c r="BA37" s="55"/>
      <c r="BB37" s="55"/>
      <c r="BC37" s="55"/>
      <c r="BD37" s="53">
        <f t="shared" ref="BD37" si="46">BD38+BD43+BD50+BD55+BD59+BD65+BD70</f>
        <v>10150000000</v>
      </c>
      <c r="BE37" s="55"/>
      <c r="BF37" s="55"/>
      <c r="BG37" s="55"/>
      <c r="BH37" s="55"/>
      <c r="BI37" s="55"/>
      <c r="BJ37" s="55"/>
      <c r="BK37" s="55"/>
      <c r="BL37" s="55"/>
      <c r="BM37" s="55"/>
      <c r="BN37" s="53">
        <f t="shared" ref="BN37" si="47">BN38+BN43+BN50+BN55+BN59+BN65+BN70</f>
        <v>8075000000</v>
      </c>
      <c r="BO37" s="543">
        <f t="shared" ref="BO37" si="48">BO38+BO43+BO50+BO55+BO59+BO65+BO70</f>
        <v>36715000000</v>
      </c>
    </row>
    <row r="38" spans="1:68" ht="24.75" customHeight="1" x14ac:dyDescent="0.2">
      <c r="A38" s="547"/>
      <c r="B38" s="69"/>
      <c r="C38" s="136"/>
      <c r="D38" s="562"/>
      <c r="E38" s="57">
        <v>4</v>
      </c>
      <c r="F38" s="58" t="s">
        <v>115</v>
      </c>
      <c r="G38" s="58"/>
      <c r="H38" s="61"/>
      <c r="I38" s="60"/>
      <c r="J38" s="58"/>
      <c r="K38" s="61"/>
      <c r="L38" s="60"/>
      <c r="M38" s="62"/>
      <c r="N38" s="63"/>
      <c r="O38" s="61"/>
      <c r="P38" s="61"/>
      <c r="Q38" s="64"/>
      <c r="R38" s="61"/>
      <c r="S38" s="499"/>
      <c r="T38" s="61"/>
      <c r="U38" s="61"/>
      <c r="V38" s="62"/>
      <c r="W38" s="62"/>
      <c r="X38" s="137"/>
      <c r="Y38" s="62"/>
      <c r="Z38" s="62"/>
      <c r="AA38" s="66">
        <f t="shared" ref="AA38:AI38" si="49">SUM(AA39:AA42)</f>
        <v>0</v>
      </c>
      <c r="AB38" s="66">
        <f t="shared" si="49"/>
        <v>0</v>
      </c>
      <c r="AC38" s="66">
        <f t="shared" si="49"/>
        <v>200000000</v>
      </c>
      <c r="AD38" s="66">
        <f t="shared" si="49"/>
        <v>0</v>
      </c>
      <c r="AE38" s="66">
        <f t="shared" si="49"/>
        <v>0</v>
      </c>
      <c r="AF38" s="66">
        <f t="shared" si="49"/>
        <v>0</v>
      </c>
      <c r="AG38" s="66">
        <f t="shared" si="49"/>
        <v>0</v>
      </c>
      <c r="AH38" s="66">
        <f t="shared" si="49"/>
        <v>0</v>
      </c>
      <c r="AI38" s="66">
        <f t="shared" si="49"/>
        <v>1000000000</v>
      </c>
      <c r="AJ38" s="67">
        <f>SUM(AJ39:AJ42)</f>
        <v>1200000000</v>
      </c>
      <c r="AK38" s="66">
        <f t="shared" ref="AK38:AT38" si="50">SUM(AK39:AK42)</f>
        <v>0</v>
      </c>
      <c r="AL38" s="66">
        <f t="shared" si="50"/>
        <v>0</v>
      </c>
      <c r="AM38" s="66">
        <f t="shared" si="50"/>
        <v>0</v>
      </c>
      <c r="AN38" s="66">
        <f t="shared" si="50"/>
        <v>0</v>
      </c>
      <c r="AO38" s="66">
        <f t="shared" si="50"/>
        <v>0</v>
      </c>
      <c r="AP38" s="66">
        <f t="shared" si="50"/>
        <v>0</v>
      </c>
      <c r="AQ38" s="66">
        <f t="shared" si="50"/>
        <v>0</v>
      </c>
      <c r="AR38" s="66">
        <f t="shared" si="50"/>
        <v>0</v>
      </c>
      <c r="AS38" s="66">
        <f t="shared" si="50"/>
        <v>1000000000</v>
      </c>
      <c r="AT38" s="66">
        <f t="shared" si="50"/>
        <v>1000000000</v>
      </c>
      <c r="AU38" s="68"/>
      <c r="AV38" s="68"/>
      <c r="AW38" s="68"/>
      <c r="AX38" s="68"/>
      <c r="AY38" s="68"/>
      <c r="AZ38" s="68"/>
      <c r="BA38" s="68"/>
      <c r="BB38" s="68"/>
      <c r="BC38" s="68"/>
      <c r="BD38" s="66">
        <f t="shared" ref="BD38" si="51">SUM(BD39:BD42)</f>
        <v>1000000000</v>
      </c>
      <c r="BE38" s="68"/>
      <c r="BF38" s="68"/>
      <c r="BG38" s="68"/>
      <c r="BH38" s="68"/>
      <c r="BI38" s="68"/>
      <c r="BJ38" s="68"/>
      <c r="BK38" s="68"/>
      <c r="BL38" s="68"/>
      <c r="BM38" s="68"/>
      <c r="BN38" s="66">
        <f t="shared" ref="BN38" si="52">SUM(BN39:BN42)</f>
        <v>1000000000</v>
      </c>
      <c r="BO38" s="544">
        <f t="shared" ref="BO38" si="53">SUM(BO39:BO42)</f>
        <v>4200000000</v>
      </c>
    </row>
    <row r="39" spans="1:68" ht="72" customHeight="1" x14ac:dyDescent="0.2">
      <c r="A39" s="545">
        <v>23</v>
      </c>
      <c r="B39" s="69">
        <v>2</v>
      </c>
      <c r="C39" s="136"/>
      <c r="D39" s="136"/>
      <c r="E39" s="93">
        <v>5</v>
      </c>
      <c r="F39" s="70" t="s">
        <v>116</v>
      </c>
      <c r="G39" s="87" t="s">
        <v>117</v>
      </c>
      <c r="H39" s="87" t="s">
        <v>118</v>
      </c>
      <c r="I39" s="72">
        <v>21</v>
      </c>
      <c r="J39" s="73" t="s">
        <v>119</v>
      </c>
      <c r="K39" s="70" t="s">
        <v>120</v>
      </c>
      <c r="L39" s="74" t="s">
        <v>121</v>
      </c>
      <c r="M39" s="74">
        <v>13</v>
      </c>
      <c r="N39" s="75" t="s">
        <v>69</v>
      </c>
      <c r="O39" s="76">
        <v>20</v>
      </c>
      <c r="P39" s="76">
        <v>400</v>
      </c>
      <c r="Q39" s="77">
        <v>100</v>
      </c>
      <c r="R39" s="78">
        <v>100</v>
      </c>
      <c r="S39" s="500"/>
      <c r="T39" s="78">
        <v>100</v>
      </c>
      <c r="U39" s="78"/>
      <c r="V39" s="78">
        <v>100</v>
      </c>
      <c r="W39" s="78"/>
      <c r="X39" s="79">
        <f>AJ39/AJ38</f>
        <v>1</v>
      </c>
      <c r="Y39" s="72">
        <v>12</v>
      </c>
      <c r="Z39" s="138" t="s">
        <v>70</v>
      </c>
      <c r="AA39" s="82"/>
      <c r="AB39" s="82"/>
      <c r="AC39" s="82">
        <v>200000000</v>
      </c>
      <c r="AD39" s="82"/>
      <c r="AE39" s="82"/>
      <c r="AF39" s="82"/>
      <c r="AG39" s="82"/>
      <c r="AH39" s="82"/>
      <c r="AI39" s="82">
        <v>1000000000</v>
      </c>
      <c r="AJ39" s="82">
        <f>+AA39+AB39+AC39+AD39+AE39+AF39+AG39+AH39+AI39</f>
        <v>1200000000</v>
      </c>
      <c r="AK39" s="90"/>
      <c r="AL39" s="90"/>
      <c r="AM39" s="90"/>
      <c r="AN39" s="90"/>
      <c r="AO39" s="90"/>
      <c r="AP39" s="90"/>
      <c r="AQ39" s="90"/>
      <c r="AR39" s="90"/>
      <c r="AS39" s="90">
        <v>100000000</v>
      </c>
      <c r="AT39" s="84">
        <f>AK39+AL39+AM39+AN39+AO39+AP39+AQ39+AR39+AS39</f>
        <v>100000000</v>
      </c>
      <c r="AU39" s="90"/>
      <c r="AV39" s="90"/>
      <c r="AW39" s="90"/>
      <c r="AX39" s="90"/>
      <c r="AY39" s="90"/>
      <c r="AZ39" s="90"/>
      <c r="BA39" s="90"/>
      <c r="BB39" s="90"/>
      <c r="BC39" s="90">
        <v>100000000</v>
      </c>
      <c r="BD39" s="90">
        <f>SUM(AU39:BC39)</f>
        <v>100000000</v>
      </c>
      <c r="BE39" s="90"/>
      <c r="BF39" s="90"/>
      <c r="BG39" s="90"/>
      <c r="BH39" s="90"/>
      <c r="BI39" s="90"/>
      <c r="BJ39" s="90"/>
      <c r="BK39" s="90"/>
      <c r="BL39" s="90"/>
      <c r="BM39" s="90">
        <v>100000000</v>
      </c>
      <c r="BN39" s="90">
        <f>SUM(BE39:BM39)</f>
        <v>100000000</v>
      </c>
      <c r="BO39" s="546">
        <f>AJ39+AT39+BD39+BN39</f>
        <v>1500000000</v>
      </c>
    </row>
    <row r="40" spans="1:68" ht="72" customHeight="1" x14ac:dyDescent="0.2">
      <c r="A40" s="547">
        <v>24</v>
      </c>
      <c r="B40" s="69">
        <v>2</v>
      </c>
      <c r="C40" s="136"/>
      <c r="D40" s="136"/>
      <c r="E40" s="93">
        <v>6</v>
      </c>
      <c r="F40" s="70" t="s">
        <v>122</v>
      </c>
      <c r="G40" s="87" t="s">
        <v>123</v>
      </c>
      <c r="H40" s="87" t="s">
        <v>124</v>
      </c>
      <c r="I40" s="72">
        <v>22</v>
      </c>
      <c r="J40" s="73" t="s">
        <v>125</v>
      </c>
      <c r="K40" s="70" t="s">
        <v>126</v>
      </c>
      <c r="L40" s="74" t="s">
        <v>121</v>
      </c>
      <c r="M40" s="74">
        <v>13</v>
      </c>
      <c r="N40" s="75" t="s">
        <v>69</v>
      </c>
      <c r="O40" s="76">
        <v>0</v>
      </c>
      <c r="P40" s="76">
        <v>6</v>
      </c>
      <c r="Q40" s="78">
        <v>0</v>
      </c>
      <c r="R40" s="78">
        <v>1</v>
      </c>
      <c r="S40" s="500"/>
      <c r="T40" s="78">
        <v>2</v>
      </c>
      <c r="U40" s="78"/>
      <c r="V40" s="78">
        <v>3</v>
      </c>
      <c r="W40" s="78"/>
      <c r="X40" s="139"/>
      <c r="Y40" s="72">
        <v>12</v>
      </c>
      <c r="Z40" s="138" t="s">
        <v>70</v>
      </c>
      <c r="AA40" s="82"/>
      <c r="AB40" s="82"/>
      <c r="AC40" s="82"/>
      <c r="AD40" s="82"/>
      <c r="AE40" s="82"/>
      <c r="AF40" s="82"/>
      <c r="AG40" s="82"/>
      <c r="AH40" s="82"/>
      <c r="AI40" s="82"/>
      <c r="AJ40" s="82">
        <f>+AA40+AB40+AC40+AD40+AE40+AF40+AG40+AH40+AI40</f>
        <v>0</v>
      </c>
      <c r="AK40" s="90"/>
      <c r="AL40" s="90"/>
      <c r="AM40" s="90"/>
      <c r="AN40" s="90"/>
      <c r="AO40" s="90"/>
      <c r="AP40" s="90"/>
      <c r="AQ40" s="90"/>
      <c r="AR40" s="90"/>
      <c r="AS40" s="90">
        <v>200000000</v>
      </c>
      <c r="AT40" s="84">
        <f>AK40+AL40+AM40+AN40+AO40+AP40+AQ40+AR40+AS40</f>
        <v>200000000</v>
      </c>
      <c r="AU40" s="90"/>
      <c r="AV40" s="90"/>
      <c r="AW40" s="90"/>
      <c r="AX40" s="90"/>
      <c r="AY40" s="90"/>
      <c r="AZ40" s="90"/>
      <c r="BA40" s="90"/>
      <c r="BB40" s="90"/>
      <c r="BC40" s="90">
        <v>200000000</v>
      </c>
      <c r="BD40" s="90">
        <f>SUM(AU40:BC40)</f>
        <v>200000000</v>
      </c>
      <c r="BE40" s="90"/>
      <c r="BF40" s="90"/>
      <c r="BG40" s="90"/>
      <c r="BH40" s="90"/>
      <c r="BI40" s="90"/>
      <c r="BJ40" s="90"/>
      <c r="BK40" s="90"/>
      <c r="BL40" s="90"/>
      <c r="BM40" s="90">
        <v>200000000</v>
      </c>
      <c r="BN40" s="90">
        <f>SUM(BE40:BM40)</f>
        <v>200000000</v>
      </c>
      <c r="BO40" s="546">
        <f>AJ40+AT40+BD40+BN40</f>
        <v>600000000</v>
      </c>
    </row>
    <row r="41" spans="1:68" ht="72" customHeight="1" x14ac:dyDescent="0.2">
      <c r="A41" s="545">
        <v>25</v>
      </c>
      <c r="B41" s="69">
        <v>2</v>
      </c>
      <c r="C41" s="136"/>
      <c r="D41" s="136"/>
      <c r="E41" s="478">
        <v>7</v>
      </c>
      <c r="F41" s="439" t="s">
        <v>127</v>
      </c>
      <c r="G41" s="548" t="s">
        <v>128</v>
      </c>
      <c r="H41" s="563">
        <v>0.27</v>
      </c>
      <c r="I41" s="72">
        <v>23</v>
      </c>
      <c r="J41" s="73" t="s">
        <v>129</v>
      </c>
      <c r="K41" s="73" t="s">
        <v>130</v>
      </c>
      <c r="L41" s="74" t="s">
        <v>121</v>
      </c>
      <c r="M41" s="74">
        <v>13</v>
      </c>
      <c r="N41" s="74" t="s">
        <v>54</v>
      </c>
      <c r="O41" s="89">
        <v>0</v>
      </c>
      <c r="P41" s="89">
        <v>1</v>
      </c>
      <c r="Q41" s="77">
        <v>0</v>
      </c>
      <c r="R41" s="77">
        <v>1</v>
      </c>
      <c r="S41" s="500"/>
      <c r="T41" s="77">
        <v>1</v>
      </c>
      <c r="U41" s="77"/>
      <c r="V41" s="77">
        <v>1</v>
      </c>
      <c r="W41" s="77"/>
      <c r="X41" s="139"/>
      <c r="Y41" s="72">
        <v>8</v>
      </c>
      <c r="Z41" s="138" t="s">
        <v>131</v>
      </c>
      <c r="AA41" s="82"/>
      <c r="AB41" s="82"/>
      <c r="AC41" s="82"/>
      <c r="AD41" s="82"/>
      <c r="AE41" s="82"/>
      <c r="AF41" s="82"/>
      <c r="AG41" s="82"/>
      <c r="AH41" s="82"/>
      <c r="AI41" s="82"/>
      <c r="AJ41" s="82">
        <f>+AA41+AB41+AC41+AD41+AE41+AF41+AG41+AH41+AI41</f>
        <v>0</v>
      </c>
      <c r="AK41" s="90"/>
      <c r="AL41" s="90"/>
      <c r="AM41" s="90"/>
      <c r="AN41" s="90"/>
      <c r="AO41" s="90"/>
      <c r="AP41" s="90"/>
      <c r="AQ41" s="90"/>
      <c r="AR41" s="90"/>
      <c r="AS41" s="90">
        <v>100000000</v>
      </c>
      <c r="AT41" s="84">
        <f>AK41+AL41+AM41+AN41+AO41+AP41+AQ41+AR41+AS41</f>
        <v>100000000</v>
      </c>
      <c r="AU41" s="90"/>
      <c r="AV41" s="90"/>
      <c r="AW41" s="90"/>
      <c r="AX41" s="90"/>
      <c r="AY41" s="90"/>
      <c r="AZ41" s="90"/>
      <c r="BA41" s="90"/>
      <c r="BB41" s="90"/>
      <c r="BC41" s="90">
        <v>100000000</v>
      </c>
      <c r="BD41" s="90">
        <f>SUM(AU41:BC41)</f>
        <v>100000000</v>
      </c>
      <c r="BE41" s="90"/>
      <c r="BF41" s="90"/>
      <c r="BG41" s="90"/>
      <c r="BH41" s="90"/>
      <c r="BI41" s="90"/>
      <c r="BJ41" s="90"/>
      <c r="BK41" s="90"/>
      <c r="BL41" s="90"/>
      <c r="BM41" s="90">
        <v>100000000</v>
      </c>
      <c r="BN41" s="90">
        <f>SUM(BE41:BM41)</f>
        <v>100000000</v>
      </c>
      <c r="BO41" s="546">
        <f>AJ41+AT41+BD41+BN41</f>
        <v>300000000</v>
      </c>
    </row>
    <row r="42" spans="1:68" ht="72" customHeight="1" x14ac:dyDescent="0.2">
      <c r="A42" s="547">
        <v>26</v>
      </c>
      <c r="B42" s="69">
        <v>2</v>
      </c>
      <c r="C42" s="136"/>
      <c r="D42" s="140"/>
      <c r="E42" s="430"/>
      <c r="F42" s="141"/>
      <c r="G42" s="142"/>
      <c r="H42" s="426"/>
      <c r="I42" s="77">
        <v>24</v>
      </c>
      <c r="J42" s="73" t="s">
        <v>132</v>
      </c>
      <c r="K42" s="70" t="s">
        <v>133</v>
      </c>
      <c r="L42" s="74" t="s">
        <v>121</v>
      </c>
      <c r="M42" s="74">
        <v>13</v>
      </c>
      <c r="N42" s="74" t="s">
        <v>69</v>
      </c>
      <c r="O42" s="89">
        <v>0</v>
      </c>
      <c r="P42" s="89">
        <v>1</v>
      </c>
      <c r="Q42" s="77">
        <v>0</v>
      </c>
      <c r="R42" s="77">
        <v>1</v>
      </c>
      <c r="S42" s="500"/>
      <c r="T42" s="77">
        <v>0</v>
      </c>
      <c r="U42" s="77"/>
      <c r="V42" s="77">
        <v>0</v>
      </c>
      <c r="W42" s="77"/>
      <c r="X42" s="139"/>
      <c r="Y42" s="72">
        <v>8</v>
      </c>
      <c r="Z42" s="138" t="s">
        <v>131</v>
      </c>
      <c r="AA42" s="82"/>
      <c r="AB42" s="82"/>
      <c r="AC42" s="82"/>
      <c r="AD42" s="82"/>
      <c r="AE42" s="82"/>
      <c r="AF42" s="82"/>
      <c r="AG42" s="82"/>
      <c r="AH42" s="82"/>
      <c r="AI42" s="82"/>
      <c r="AJ42" s="82">
        <f>+AA42+AB42+AC42+AD42+AE42+AF42+AG42+AH42+AI42</f>
        <v>0</v>
      </c>
      <c r="AK42" s="90"/>
      <c r="AL42" s="90"/>
      <c r="AM42" s="90"/>
      <c r="AN42" s="90"/>
      <c r="AO42" s="90"/>
      <c r="AP42" s="90"/>
      <c r="AQ42" s="90"/>
      <c r="AR42" s="90"/>
      <c r="AS42" s="90">
        <v>600000000</v>
      </c>
      <c r="AT42" s="84">
        <f>AK42+AL42+AM42+AN42+AO42+AP42+AQ42+AR42+AS42</f>
        <v>600000000</v>
      </c>
      <c r="AU42" s="90"/>
      <c r="AV42" s="90"/>
      <c r="AW42" s="90"/>
      <c r="AX42" s="90"/>
      <c r="AY42" s="90"/>
      <c r="AZ42" s="90"/>
      <c r="BA42" s="90"/>
      <c r="BB42" s="90"/>
      <c r="BC42" s="90">
        <v>600000000</v>
      </c>
      <c r="BD42" s="90">
        <f>SUM(AU42:BC42)</f>
        <v>600000000</v>
      </c>
      <c r="BE42" s="90"/>
      <c r="BF42" s="90"/>
      <c r="BG42" s="90"/>
      <c r="BH42" s="90"/>
      <c r="BI42" s="90"/>
      <c r="BJ42" s="90"/>
      <c r="BK42" s="90"/>
      <c r="BL42" s="90"/>
      <c r="BM42" s="90">
        <v>600000000</v>
      </c>
      <c r="BN42" s="90">
        <f>SUM(BE42:BM42)</f>
        <v>600000000</v>
      </c>
      <c r="BO42" s="546">
        <f>AJ42+AT42+BD42+BN42</f>
        <v>1800000000</v>
      </c>
    </row>
    <row r="43" spans="1:68" ht="24.75" customHeight="1" x14ac:dyDescent="0.2">
      <c r="A43" s="547"/>
      <c r="B43" s="69"/>
      <c r="C43" s="136"/>
      <c r="D43" s="136"/>
      <c r="E43" s="143">
        <v>5</v>
      </c>
      <c r="F43" s="144" t="s">
        <v>134</v>
      </c>
      <c r="G43" s="144"/>
      <c r="H43" s="145"/>
      <c r="I43" s="62"/>
      <c r="J43" s="146"/>
      <c r="K43" s="61"/>
      <c r="L43" s="60"/>
      <c r="M43" s="62"/>
      <c r="N43" s="63"/>
      <c r="O43" s="61"/>
      <c r="P43" s="61"/>
      <c r="Q43" s="64"/>
      <c r="R43" s="61"/>
      <c r="S43" s="499"/>
      <c r="T43" s="61"/>
      <c r="U43" s="61"/>
      <c r="V43" s="62"/>
      <c r="W43" s="62"/>
      <c r="X43" s="137"/>
      <c r="Y43" s="62"/>
      <c r="Z43" s="62"/>
      <c r="AA43" s="66">
        <f t="shared" ref="AA43:AI43" si="54">SUM(AA44:AA49)</f>
        <v>0</v>
      </c>
      <c r="AB43" s="66">
        <f t="shared" si="54"/>
        <v>0</v>
      </c>
      <c r="AC43" s="66">
        <f t="shared" si="54"/>
        <v>0</v>
      </c>
      <c r="AD43" s="66">
        <f t="shared" si="54"/>
        <v>0</v>
      </c>
      <c r="AE43" s="66">
        <f t="shared" si="54"/>
        <v>0</v>
      </c>
      <c r="AF43" s="66">
        <f t="shared" si="54"/>
        <v>0</v>
      </c>
      <c r="AG43" s="66">
        <f t="shared" si="54"/>
        <v>0</v>
      </c>
      <c r="AH43" s="66">
        <f t="shared" si="54"/>
        <v>0</v>
      </c>
      <c r="AI43" s="66">
        <f t="shared" si="54"/>
        <v>6000000000</v>
      </c>
      <c r="AJ43" s="147">
        <f>SUM(AJ44:AJ49)</f>
        <v>6000000000</v>
      </c>
      <c r="AK43" s="66">
        <f t="shared" ref="AK43:AT43" si="55">SUM(AK44:AK49)</f>
        <v>3000000000</v>
      </c>
      <c r="AL43" s="66">
        <f t="shared" si="55"/>
        <v>0</v>
      </c>
      <c r="AM43" s="66">
        <f t="shared" si="55"/>
        <v>0</v>
      </c>
      <c r="AN43" s="66">
        <f t="shared" si="55"/>
        <v>0</v>
      </c>
      <c r="AO43" s="66">
        <f t="shared" si="55"/>
        <v>0</v>
      </c>
      <c r="AP43" s="66">
        <f t="shared" si="55"/>
        <v>0</v>
      </c>
      <c r="AQ43" s="66">
        <f t="shared" si="55"/>
        <v>0</v>
      </c>
      <c r="AR43" s="66">
        <f t="shared" si="55"/>
        <v>0</v>
      </c>
      <c r="AS43" s="66">
        <f t="shared" si="55"/>
        <v>3000000000</v>
      </c>
      <c r="AT43" s="66">
        <f t="shared" si="55"/>
        <v>6000000000</v>
      </c>
      <c r="AU43" s="148"/>
      <c r="AV43" s="148"/>
      <c r="AW43" s="148"/>
      <c r="AX43" s="148"/>
      <c r="AY43" s="148"/>
      <c r="AZ43" s="148"/>
      <c r="BA43" s="148"/>
      <c r="BB43" s="148"/>
      <c r="BC43" s="148"/>
      <c r="BD43" s="66">
        <f t="shared" ref="BD43" si="56">SUM(BD44:BD49)</f>
        <v>9000000000</v>
      </c>
      <c r="BE43" s="148"/>
      <c r="BF43" s="148"/>
      <c r="BG43" s="148"/>
      <c r="BH43" s="148"/>
      <c r="BI43" s="148"/>
      <c r="BJ43" s="148"/>
      <c r="BK43" s="148"/>
      <c r="BL43" s="148"/>
      <c r="BM43" s="148"/>
      <c r="BN43" s="66">
        <f t="shared" ref="BN43:BO43" si="57">SUM(BN44:BN49)</f>
        <v>7000000000</v>
      </c>
      <c r="BO43" s="544">
        <f t="shared" si="57"/>
        <v>28000000000</v>
      </c>
    </row>
    <row r="44" spans="1:68" ht="101.25" customHeight="1" x14ac:dyDescent="0.2">
      <c r="A44" s="545">
        <v>27</v>
      </c>
      <c r="B44" s="69">
        <v>2</v>
      </c>
      <c r="C44" s="136"/>
      <c r="D44" s="136"/>
      <c r="E44" s="478"/>
      <c r="G44" s="480"/>
      <c r="H44" s="564"/>
      <c r="I44" s="77">
        <v>25</v>
      </c>
      <c r="J44" s="73" t="s">
        <v>135</v>
      </c>
      <c r="K44" s="70" t="s">
        <v>136</v>
      </c>
      <c r="L44" s="74" t="s">
        <v>121</v>
      </c>
      <c r="M44" s="74">
        <v>13</v>
      </c>
      <c r="N44" s="75" t="s">
        <v>69</v>
      </c>
      <c r="O44" s="76" t="s">
        <v>49</v>
      </c>
      <c r="P44" s="76">
        <v>6</v>
      </c>
      <c r="Q44" s="78">
        <v>0</v>
      </c>
      <c r="R44" s="78">
        <v>2</v>
      </c>
      <c r="S44" s="500"/>
      <c r="T44" s="78">
        <v>2</v>
      </c>
      <c r="U44" s="78"/>
      <c r="V44" s="78">
        <v>2</v>
      </c>
      <c r="W44" s="75"/>
      <c r="X44" s="149"/>
      <c r="Y44" s="77">
        <v>2</v>
      </c>
      <c r="Z44" s="74" t="s">
        <v>137</v>
      </c>
      <c r="AA44" s="82"/>
      <c r="AB44" s="82"/>
      <c r="AC44" s="82"/>
      <c r="AD44" s="82"/>
      <c r="AE44" s="82"/>
      <c r="AF44" s="82"/>
      <c r="AG44" s="82"/>
      <c r="AH44" s="82"/>
      <c r="AI44" s="82"/>
      <c r="AJ44" s="82">
        <f t="shared" ref="AJ44:AJ49" si="58">+AA44+AB44+AC44+AD44+AE44+AF44+AG44+AH44+AI44</f>
        <v>0</v>
      </c>
      <c r="AK44" s="90">
        <v>1000000000</v>
      </c>
      <c r="AL44" s="90"/>
      <c r="AM44" s="90"/>
      <c r="AN44" s="90"/>
      <c r="AO44" s="90"/>
      <c r="AP44" s="90"/>
      <c r="AQ44" s="90"/>
      <c r="AR44" s="90"/>
      <c r="AS44" s="90"/>
      <c r="AT44" s="84">
        <f t="shared" ref="AT44:AT49" si="59">AK44+AL44+AM44+AN44+AO44+AP44+AQ44+AR44+AS44</f>
        <v>1000000000</v>
      </c>
      <c r="AU44" s="150"/>
      <c r="AV44" s="455"/>
      <c r="AW44" s="455"/>
      <c r="AX44" s="455"/>
      <c r="AY44" s="455"/>
      <c r="AZ44" s="455"/>
      <c r="BA44" s="455"/>
      <c r="BB44" s="455"/>
      <c r="BC44" s="455">
        <v>1000000000</v>
      </c>
      <c r="BD44" s="455">
        <f t="shared" ref="BD44:BD49" si="60">SUM(AU44:BC44)</f>
        <v>1000000000</v>
      </c>
      <c r="BE44" s="90"/>
      <c r="BF44" s="90"/>
      <c r="BG44" s="90"/>
      <c r="BH44" s="90"/>
      <c r="BI44" s="90"/>
      <c r="BJ44" s="90"/>
      <c r="BK44" s="90"/>
      <c r="BL44" s="90"/>
      <c r="BM44" s="90"/>
      <c r="BN44" s="90">
        <f t="shared" ref="BN44:BN49" si="61">SUM(BE44:BM44)</f>
        <v>0</v>
      </c>
      <c r="BO44" s="546">
        <f t="shared" ref="BO44:BO49" si="62">AJ44+AT44+BD44+BN44</f>
        <v>2000000000</v>
      </c>
    </row>
    <row r="45" spans="1:68" ht="93" customHeight="1" x14ac:dyDescent="0.2">
      <c r="A45" s="547">
        <v>28</v>
      </c>
      <c r="B45" s="69">
        <v>2</v>
      </c>
      <c r="C45" s="136"/>
      <c r="D45" s="136"/>
      <c r="E45" s="91">
        <v>5</v>
      </c>
      <c r="F45" s="119" t="s">
        <v>138</v>
      </c>
      <c r="G45" s="151" t="s">
        <v>117</v>
      </c>
      <c r="H45" s="151" t="s">
        <v>118</v>
      </c>
      <c r="I45" s="77">
        <v>26</v>
      </c>
      <c r="J45" s="73" t="s">
        <v>139</v>
      </c>
      <c r="K45" s="70" t="s">
        <v>140</v>
      </c>
      <c r="L45" s="74" t="s">
        <v>121</v>
      </c>
      <c r="M45" s="74">
        <v>13</v>
      </c>
      <c r="N45" s="75" t="s">
        <v>69</v>
      </c>
      <c r="O45" s="76" t="s">
        <v>49</v>
      </c>
      <c r="P45" s="76">
        <v>5</v>
      </c>
      <c r="Q45" s="78">
        <v>0</v>
      </c>
      <c r="R45" s="78">
        <v>1</v>
      </c>
      <c r="S45" s="500"/>
      <c r="T45" s="78">
        <v>2</v>
      </c>
      <c r="U45" s="78"/>
      <c r="V45" s="78">
        <v>2</v>
      </c>
      <c r="W45" s="75"/>
      <c r="X45" s="149"/>
      <c r="Y45" s="77">
        <v>2</v>
      </c>
      <c r="Z45" s="74" t="s">
        <v>137</v>
      </c>
      <c r="AA45" s="82"/>
      <c r="AB45" s="82"/>
      <c r="AC45" s="82"/>
      <c r="AD45" s="82"/>
      <c r="AE45" s="82"/>
      <c r="AF45" s="82"/>
      <c r="AG45" s="82"/>
      <c r="AH45" s="82"/>
      <c r="AI45" s="82"/>
      <c r="AJ45" s="82">
        <f t="shared" si="58"/>
        <v>0</v>
      </c>
      <c r="AK45" s="90">
        <v>1000000000</v>
      </c>
      <c r="AL45" s="90"/>
      <c r="AM45" s="90"/>
      <c r="AN45" s="90"/>
      <c r="AO45" s="90"/>
      <c r="AP45" s="90"/>
      <c r="AQ45" s="90"/>
      <c r="AR45" s="90"/>
      <c r="AS45" s="90"/>
      <c r="AT45" s="84">
        <f t="shared" si="59"/>
        <v>1000000000</v>
      </c>
      <c r="AU45" s="455"/>
      <c r="AV45" s="455"/>
      <c r="AW45" s="455"/>
      <c r="AX45" s="455"/>
      <c r="AY45" s="455"/>
      <c r="AZ45" s="455"/>
      <c r="BA45" s="455"/>
      <c r="BB45" s="455"/>
      <c r="BC45" s="455">
        <v>1000000000</v>
      </c>
      <c r="BD45" s="455">
        <f t="shared" si="60"/>
        <v>1000000000</v>
      </c>
      <c r="BE45" s="90"/>
      <c r="BF45" s="90"/>
      <c r="BG45" s="90"/>
      <c r="BH45" s="90"/>
      <c r="BI45" s="90"/>
      <c r="BJ45" s="90"/>
      <c r="BK45" s="90"/>
      <c r="BL45" s="90"/>
      <c r="BM45" s="90">
        <v>7000000000</v>
      </c>
      <c r="BN45" s="90">
        <f t="shared" si="61"/>
        <v>7000000000</v>
      </c>
      <c r="BO45" s="546">
        <f t="shared" si="62"/>
        <v>9000000000</v>
      </c>
    </row>
    <row r="46" spans="1:68" s="159" customFormat="1" ht="59.25" customHeight="1" x14ac:dyDescent="0.2">
      <c r="A46" s="565">
        <v>29</v>
      </c>
      <c r="B46" s="152">
        <v>2</v>
      </c>
      <c r="C46" s="153"/>
      <c r="D46" s="154"/>
      <c r="E46" s="155"/>
      <c r="F46" s="156"/>
      <c r="G46" s="157"/>
      <c r="H46" s="157"/>
      <c r="I46" s="77">
        <v>27</v>
      </c>
      <c r="J46" s="73" t="s">
        <v>141</v>
      </c>
      <c r="K46" s="73" t="s">
        <v>142</v>
      </c>
      <c r="L46" s="74" t="s">
        <v>121</v>
      </c>
      <c r="M46" s="74">
        <v>13</v>
      </c>
      <c r="N46" s="74" t="s">
        <v>69</v>
      </c>
      <c r="O46" s="89">
        <v>0</v>
      </c>
      <c r="P46" s="89">
        <v>6</v>
      </c>
      <c r="Q46" s="77">
        <v>0</v>
      </c>
      <c r="R46" s="77">
        <v>2</v>
      </c>
      <c r="S46" s="500"/>
      <c r="T46" s="77">
        <v>2</v>
      </c>
      <c r="U46" s="77"/>
      <c r="V46" s="77">
        <v>2</v>
      </c>
      <c r="W46" s="74"/>
      <c r="X46" s="149"/>
      <c r="Y46" s="77">
        <v>2</v>
      </c>
      <c r="Z46" s="74" t="s">
        <v>137</v>
      </c>
      <c r="AA46" s="82"/>
      <c r="AB46" s="82"/>
      <c r="AC46" s="82"/>
      <c r="AD46" s="82"/>
      <c r="AE46" s="82"/>
      <c r="AF46" s="82"/>
      <c r="AG46" s="82"/>
      <c r="AH46" s="82"/>
      <c r="AI46" s="82">
        <v>6000000000</v>
      </c>
      <c r="AJ46" s="82">
        <f t="shared" si="58"/>
        <v>6000000000</v>
      </c>
      <c r="AK46" s="158">
        <v>1000000000</v>
      </c>
      <c r="AL46" s="158"/>
      <c r="AM46" s="158"/>
      <c r="AN46" s="158"/>
      <c r="AO46" s="158"/>
      <c r="AP46" s="158"/>
      <c r="AQ46" s="158"/>
      <c r="AR46" s="158"/>
      <c r="AS46" s="158"/>
      <c r="AT46" s="85">
        <f t="shared" si="59"/>
        <v>1000000000</v>
      </c>
      <c r="AU46" s="150"/>
      <c r="AV46" s="150"/>
      <c r="AW46" s="150"/>
      <c r="AX46" s="150"/>
      <c r="AY46" s="150"/>
      <c r="AZ46" s="150"/>
      <c r="BA46" s="150"/>
      <c r="BB46" s="150"/>
      <c r="BC46" s="150">
        <v>4000000000</v>
      </c>
      <c r="BD46" s="150">
        <f t="shared" si="60"/>
        <v>4000000000</v>
      </c>
      <c r="BE46" s="158"/>
      <c r="BF46" s="158"/>
      <c r="BG46" s="158"/>
      <c r="BH46" s="158"/>
      <c r="BI46" s="158"/>
      <c r="BJ46" s="158"/>
      <c r="BK46" s="158"/>
      <c r="BL46" s="158"/>
      <c r="BM46" s="158"/>
      <c r="BN46" s="158">
        <f t="shared" si="61"/>
        <v>0</v>
      </c>
      <c r="BO46" s="546">
        <f t="shared" si="62"/>
        <v>11000000000</v>
      </c>
      <c r="BP46" s="160"/>
    </row>
    <row r="47" spans="1:68" ht="59.25" customHeight="1" x14ac:dyDescent="0.2">
      <c r="A47" s="547">
        <v>30</v>
      </c>
      <c r="B47" s="69">
        <v>2</v>
      </c>
      <c r="C47" s="136"/>
      <c r="D47" s="136"/>
      <c r="E47" s="451">
        <v>6</v>
      </c>
      <c r="F47" s="529" t="s">
        <v>143</v>
      </c>
      <c r="G47" s="161" t="s">
        <v>123</v>
      </c>
      <c r="H47" s="161" t="s">
        <v>124</v>
      </c>
      <c r="I47" s="77">
        <v>28</v>
      </c>
      <c r="J47" s="73" t="s">
        <v>144</v>
      </c>
      <c r="K47" s="70" t="s">
        <v>145</v>
      </c>
      <c r="L47" s="74" t="s">
        <v>121</v>
      </c>
      <c r="M47" s="74">
        <v>13</v>
      </c>
      <c r="N47" s="75" t="s">
        <v>69</v>
      </c>
      <c r="O47" s="76" t="s">
        <v>49</v>
      </c>
      <c r="P47" s="76">
        <v>6</v>
      </c>
      <c r="Q47" s="78">
        <v>0</v>
      </c>
      <c r="R47" s="78">
        <v>2</v>
      </c>
      <c r="S47" s="500"/>
      <c r="T47" s="78">
        <v>2</v>
      </c>
      <c r="U47" s="78"/>
      <c r="V47" s="78">
        <v>2</v>
      </c>
      <c r="W47" s="75"/>
      <c r="X47" s="149"/>
      <c r="Y47" s="77">
        <v>2</v>
      </c>
      <c r="Z47" s="74" t="s">
        <v>137</v>
      </c>
      <c r="AA47" s="82"/>
      <c r="AB47" s="82"/>
      <c r="AC47" s="82"/>
      <c r="AD47" s="82"/>
      <c r="AE47" s="82"/>
      <c r="AF47" s="82"/>
      <c r="AG47" s="82"/>
      <c r="AH47" s="82"/>
      <c r="AI47" s="82"/>
      <c r="AJ47" s="82">
        <f t="shared" si="58"/>
        <v>0</v>
      </c>
      <c r="AK47" s="90"/>
      <c r="AL47" s="90"/>
      <c r="AM47" s="90"/>
      <c r="AN47" s="90"/>
      <c r="AO47" s="90"/>
      <c r="AP47" s="90"/>
      <c r="AQ47" s="90"/>
      <c r="AR47" s="90"/>
      <c r="AS47" s="455">
        <v>1000000000</v>
      </c>
      <c r="AT47" s="84">
        <f t="shared" si="59"/>
        <v>1000000000</v>
      </c>
      <c r="AU47" s="455">
        <v>1000000000</v>
      </c>
      <c r="AV47" s="455"/>
      <c r="AW47" s="455"/>
      <c r="AX47" s="455"/>
      <c r="AY47" s="455"/>
      <c r="AZ47" s="455"/>
      <c r="BA47" s="455"/>
      <c r="BB47" s="455"/>
      <c r="BC47" s="455" t="s">
        <v>61</v>
      </c>
      <c r="BD47" s="455">
        <f t="shared" si="60"/>
        <v>1000000000</v>
      </c>
      <c r="BE47" s="90"/>
      <c r="BF47" s="90"/>
      <c r="BG47" s="90"/>
      <c r="BH47" s="90"/>
      <c r="BI47" s="90"/>
      <c r="BJ47" s="90"/>
      <c r="BK47" s="90"/>
      <c r="BL47" s="90"/>
      <c r="BM47" s="90"/>
      <c r="BN47" s="90">
        <f t="shared" si="61"/>
        <v>0</v>
      </c>
      <c r="BO47" s="546">
        <f t="shared" si="62"/>
        <v>2000000000</v>
      </c>
      <c r="BP47" s="160"/>
    </row>
    <row r="48" spans="1:68" ht="87.75" customHeight="1" x14ac:dyDescent="0.2">
      <c r="A48" s="545">
        <v>31</v>
      </c>
      <c r="B48" s="69">
        <v>2</v>
      </c>
      <c r="C48" s="136"/>
      <c r="D48" s="136"/>
      <c r="E48" s="91">
        <v>7</v>
      </c>
      <c r="F48" s="119" t="s">
        <v>146</v>
      </c>
      <c r="G48" s="114" t="s">
        <v>128</v>
      </c>
      <c r="H48" s="162">
        <v>0.27</v>
      </c>
      <c r="I48" s="77">
        <v>29</v>
      </c>
      <c r="J48" s="73" t="s">
        <v>147</v>
      </c>
      <c r="K48" s="70" t="s">
        <v>148</v>
      </c>
      <c r="L48" s="74" t="s">
        <v>121</v>
      </c>
      <c r="M48" s="74">
        <v>13</v>
      </c>
      <c r="N48" s="75" t="s">
        <v>54</v>
      </c>
      <c r="O48" s="76">
        <v>0</v>
      </c>
      <c r="P48" s="76">
        <v>1</v>
      </c>
      <c r="Q48" s="78">
        <v>0</v>
      </c>
      <c r="R48" s="78">
        <v>1</v>
      </c>
      <c r="S48" s="500"/>
      <c r="T48" s="78">
        <v>1</v>
      </c>
      <c r="U48" s="78"/>
      <c r="V48" s="78">
        <v>1</v>
      </c>
      <c r="W48" s="75"/>
      <c r="X48" s="149"/>
      <c r="Y48" s="77">
        <v>2</v>
      </c>
      <c r="Z48" s="74" t="s">
        <v>137</v>
      </c>
      <c r="AA48" s="82"/>
      <c r="AB48" s="82"/>
      <c r="AC48" s="82"/>
      <c r="AD48" s="82"/>
      <c r="AE48" s="82"/>
      <c r="AF48" s="82"/>
      <c r="AG48" s="82"/>
      <c r="AH48" s="82"/>
      <c r="AI48" s="82"/>
      <c r="AJ48" s="82">
        <f t="shared" si="58"/>
        <v>0</v>
      </c>
      <c r="AK48" s="90"/>
      <c r="AL48" s="90"/>
      <c r="AM48" s="90"/>
      <c r="AN48" s="90"/>
      <c r="AO48" s="90"/>
      <c r="AP48" s="90"/>
      <c r="AQ48" s="90"/>
      <c r="AR48" s="90"/>
      <c r="AS48" s="455">
        <v>1000000000</v>
      </c>
      <c r="AT48" s="84">
        <f t="shared" si="59"/>
        <v>1000000000</v>
      </c>
      <c r="AU48" s="455">
        <v>1000000000</v>
      </c>
      <c r="AV48" s="455"/>
      <c r="AW48" s="455"/>
      <c r="AX48" s="455"/>
      <c r="AY48" s="455"/>
      <c r="AZ48" s="455"/>
      <c r="BA48" s="455"/>
      <c r="BB48" s="455"/>
      <c r="BC48" s="455"/>
      <c r="BD48" s="455">
        <f t="shared" si="60"/>
        <v>1000000000</v>
      </c>
      <c r="BE48" s="90"/>
      <c r="BF48" s="90"/>
      <c r="BG48" s="90"/>
      <c r="BH48" s="90"/>
      <c r="BI48" s="90"/>
      <c r="BJ48" s="90"/>
      <c r="BK48" s="90"/>
      <c r="BL48" s="90"/>
      <c r="BM48" s="90"/>
      <c r="BN48" s="90">
        <f t="shared" si="61"/>
        <v>0</v>
      </c>
      <c r="BO48" s="546">
        <f t="shared" si="62"/>
        <v>2000000000</v>
      </c>
    </row>
    <row r="49" spans="1:67" s="159" customFormat="1" ht="74.25" customHeight="1" x14ac:dyDescent="0.2">
      <c r="A49" s="566">
        <v>32</v>
      </c>
      <c r="B49" s="152">
        <v>2</v>
      </c>
      <c r="C49" s="153"/>
      <c r="D49" s="153"/>
      <c r="E49" s="427"/>
      <c r="F49" s="163"/>
      <c r="G49" s="532"/>
      <c r="H49" s="164"/>
      <c r="I49" s="77">
        <v>30</v>
      </c>
      <c r="J49" s="73" t="s">
        <v>149</v>
      </c>
      <c r="K49" s="73" t="s">
        <v>150</v>
      </c>
      <c r="L49" s="74" t="s">
        <v>121</v>
      </c>
      <c r="M49" s="74">
        <v>13</v>
      </c>
      <c r="N49" s="74" t="s">
        <v>54</v>
      </c>
      <c r="O49" s="89">
        <v>1</v>
      </c>
      <c r="P49" s="89">
        <v>1</v>
      </c>
      <c r="Q49" s="77">
        <v>1</v>
      </c>
      <c r="R49" s="77">
        <v>1</v>
      </c>
      <c r="S49" s="500"/>
      <c r="T49" s="77">
        <v>1</v>
      </c>
      <c r="U49" s="77"/>
      <c r="V49" s="77">
        <v>1</v>
      </c>
      <c r="W49" s="74"/>
      <c r="X49" s="149"/>
      <c r="Y49" s="77">
        <v>13</v>
      </c>
      <c r="Z49" s="74" t="s">
        <v>151</v>
      </c>
      <c r="AA49" s="82"/>
      <c r="AB49" s="82"/>
      <c r="AC49" s="82"/>
      <c r="AD49" s="82"/>
      <c r="AE49" s="82"/>
      <c r="AF49" s="82"/>
      <c r="AG49" s="82"/>
      <c r="AH49" s="82"/>
      <c r="AI49" s="82"/>
      <c r="AJ49" s="82">
        <f t="shared" si="58"/>
        <v>0</v>
      </c>
      <c r="AK49" s="158"/>
      <c r="AL49" s="158"/>
      <c r="AM49" s="158"/>
      <c r="AN49" s="158"/>
      <c r="AO49" s="158"/>
      <c r="AP49" s="158"/>
      <c r="AQ49" s="158"/>
      <c r="AR49" s="158"/>
      <c r="AS49" s="150">
        <v>1000000000</v>
      </c>
      <c r="AT49" s="84">
        <f t="shared" si="59"/>
        <v>1000000000</v>
      </c>
      <c r="AU49" s="150">
        <v>1000000000</v>
      </c>
      <c r="AV49" s="150"/>
      <c r="AW49" s="150"/>
      <c r="AX49" s="150"/>
      <c r="AY49" s="150"/>
      <c r="AZ49" s="150"/>
      <c r="BA49" s="150"/>
      <c r="BB49" s="150"/>
      <c r="BC49" s="150"/>
      <c r="BD49" s="455">
        <f t="shared" si="60"/>
        <v>1000000000</v>
      </c>
      <c r="BE49" s="90"/>
      <c r="BF49" s="90"/>
      <c r="BG49" s="90"/>
      <c r="BH49" s="90"/>
      <c r="BI49" s="90"/>
      <c r="BJ49" s="90"/>
      <c r="BK49" s="90"/>
      <c r="BL49" s="90"/>
      <c r="BM49" s="90"/>
      <c r="BN49" s="90">
        <f t="shared" si="61"/>
        <v>0</v>
      </c>
      <c r="BO49" s="546">
        <f t="shared" si="62"/>
        <v>2000000000</v>
      </c>
    </row>
    <row r="50" spans="1:67" ht="24.75" customHeight="1" thickBot="1" x14ac:dyDescent="0.25">
      <c r="A50" s="547"/>
      <c r="B50" s="69"/>
      <c r="C50" s="136"/>
      <c r="D50" s="136"/>
      <c r="E50" s="57">
        <v>6</v>
      </c>
      <c r="F50" s="58" t="s">
        <v>152</v>
      </c>
      <c r="G50" s="165"/>
      <c r="H50" s="95"/>
      <c r="I50" s="60"/>
      <c r="J50" s="61"/>
      <c r="K50" s="61"/>
      <c r="L50" s="60"/>
      <c r="M50" s="62"/>
      <c r="N50" s="63"/>
      <c r="O50" s="61"/>
      <c r="P50" s="61"/>
      <c r="Q50" s="485"/>
      <c r="R50" s="481"/>
      <c r="S50" s="499"/>
      <c r="T50" s="61"/>
      <c r="U50" s="61"/>
      <c r="V50" s="62"/>
      <c r="W50" s="62"/>
      <c r="X50" s="137"/>
      <c r="Y50" s="62"/>
      <c r="Z50" s="62"/>
      <c r="AA50" s="66">
        <f t="shared" ref="AA50:AI50" si="63">SUM(AA51:AA54)</f>
        <v>0</v>
      </c>
      <c r="AB50" s="66">
        <f t="shared" si="63"/>
        <v>0</v>
      </c>
      <c r="AC50" s="66">
        <f t="shared" si="63"/>
        <v>230000000</v>
      </c>
      <c r="AD50" s="66">
        <f t="shared" si="63"/>
        <v>0</v>
      </c>
      <c r="AE50" s="66">
        <f t="shared" si="63"/>
        <v>0</v>
      </c>
      <c r="AF50" s="66">
        <f t="shared" si="63"/>
        <v>0</v>
      </c>
      <c r="AG50" s="66">
        <f t="shared" si="63"/>
        <v>0</v>
      </c>
      <c r="AH50" s="66">
        <f t="shared" si="63"/>
        <v>0</v>
      </c>
      <c r="AI50" s="66">
        <f t="shared" si="63"/>
        <v>0</v>
      </c>
      <c r="AJ50" s="67">
        <f>SUM(AJ51:AJ54)</f>
        <v>230000000</v>
      </c>
      <c r="AK50" s="66">
        <f t="shared" ref="AK50:AT50" si="64">SUM(AK51:AK54)</f>
        <v>0</v>
      </c>
      <c r="AL50" s="66">
        <f t="shared" si="64"/>
        <v>0</v>
      </c>
      <c r="AM50" s="66">
        <f t="shared" si="64"/>
        <v>200000000</v>
      </c>
      <c r="AN50" s="66">
        <f t="shared" si="64"/>
        <v>0</v>
      </c>
      <c r="AO50" s="66">
        <f t="shared" si="64"/>
        <v>0</v>
      </c>
      <c r="AP50" s="66">
        <f t="shared" si="64"/>
        <v>0</v>
      </c>
      <c r="AQ50" s="66">
        <f t="shared" si="64"/>
        <v>0</v>
      </c>
      <c r="AR50" s="66">
        <f t="shared" si="64"/>
        <v>0</v>
      </c>
      <c r="AS50" s="66">
        <f t="shared" si="64"/>
        <v>0</v>
      </c>
      <c r="AT50" s="66">
        <f t="shared" si="64"/>
        <v>200000000</v>
      </c>
      <c r="AU50" s="148"/>
      <c r="AV50" s="148"/>
      <c r="AW50" s="148"/>
      <c r="AX50" s="148"/>
      <c r="AY50" s="148"/>
      <c r="AZ50" s="148"/>
      <c r="BA50" s="148"/>
      <c r="BB50" s="148"/>
      <c r="BC50" s="148"/>
      <c r="BD50" s="66">
        <f t="shared" ref="BD50" si="65">SUM(BD51:BD54)</f>
        <v>50000000</v>
      </c>
      <c r="BE50" s="148"/>
      <c r="BF50" s="148"/>
      <c r="BG50" s="148"/>
      <c r="BH50" s="148"/>
      <c r="BI50" s="148"/>
      <c r="BJ50" s="148"/>
      <c r="BK50" s="148"/>
      <c r="BL50" s="148"/>
      <c r="BM50" s="148"/>
      <c r="BN50" s="66">
        <f t="shared" ref="BN50:BO50" si="66">SUM(BN51:BN54)</f>
        <v>20000000</v>
      </c>
      <c r="BO50" s="544">
        <f t="shared" si="66"/>
        <v>500000000</v>
      </c>
    </row>
    <row r="51" spans="1:67" ht="98.25" customHeight="1" x14ac:dyDescent="0.2">
      <c r="A51" s="545">
        <v>33</v>
      </c>
      <c r="B51" s="69">
        <v>2</v>
      </c>
      <c r="C51" s="136"/>
      <c r="D51" s="136"/>
      <c r="E51" s="478"/>
      <c r="F51" s="461"/>
      <c r="G51" s="480"/>
      <c r="H51" s="480"/>
      <c r="I51" s="72">
        <v>31</v>
      </c>
      <c r="J51" s="73" t="s">
        <v>153</v>
      </c>
      <c r="K51" s="70" t="s">
        <v>154</v>
      </c>
      <c r="L51" s="74" t="s">
        <v>121</v>
      </c>
      <c r="M51" s="74">
        <v>13</v>
      </c>
      <c r="N51" s="166" t="s">
        <v>54</v>
      </c>
      <c r="O51" s="76" t="s">
        <v>49</v>
      </c>
      <c r="P51" s="76">
        <v>4</v>
      </c>
      <c r="Q51" s="77">
        <v>4</v>
      </c>
      <c r="R51" s="78">
        <v>4</v>
      </c>
      <c r="S51" s="500"/>
      <c r="T51" s="167">
        <v>4</v>
      </c>
      <c r="U51" s="167"/>
      <c r="V51" s="167">
        <v>4</v>
      </c>
      <c r="W51" s="534"/>
      <c r="X51" s="79">
        <f>AJ51/$AJ$50</f>
        <v>0.47826086956521741</v>
      </c>
      <c r="Y51" s="80">
        <v>8</v>
      </c>
      <c r="Z51" s="168" t="s">
        <v>131</v>
      </c>
      <c r="AA51" s="169"/>
      <c r="AB51" s="169"/>
      <c r="AC51" s="108">
        <f>100000000+10000000</f>
        <v>110000000</v>
      </c>
      <c r="AD51" s="170"/>
      <c r="AE51" s="170"/>
      <c r="AF51" s="169"/>
      <c r="AG51" s="169"/>
      <c r="AH51" s="169"/>
      <c r="AI51" s="169"/>
      <c r="AJ51" s="82">
        <f>+AA51+AB51+AC51+AD51+AE51+AF51+AG51+AH51+AI51</f>
        <v>110000000</v>
      </c>
      <c r="AK51" s="90"/>
      <c r="AL51" s="90"/>
      <c r="AM51" s="455">
        <v>95900000</v>
      </c>
      <c r="AN51" s="90"/>
      <c r="AO51" s="90"/>
      <c r="AP51" s="90"/>
      <c r="AQ51" s="90"/>
      <c r="AR51" s="90"/>
      <c r="AS51" s="90"/>
      <c r="AT51" s="84">
        <f>AK51+AL51+AM51+AN51+AO51+AP51+AQ51+AR51+AS51</f>
        <v>95900000</v>
      </c>
      <c r="AU51" s="455"/>
      <c r="AV51" s="455"/>
      <c r="AW51" s="455">
        <v>23900000</v>
      </c>
      <c r="AX51" s="455"/>
      <c r="AY51" s="455"/>
      <c r="AZ51" s="455"/>
      <c r="BA51" s="455"/>
      <c r="BB51" s="455"/>
      <c r="BC51" s="455"/>
      <c r="BD51" s="455">
        <f>SUM(AU51:BC51)</f>
        <v>23900000</v>
      </c>
      <c r="BE51" s="90"/>
      <c r="BF51" s="90"/>
      <c r="BG51" s="90">
        <v>9700000</v>
      </c>
      <c r="BH51" s="90"/>
      <c r="BI51" s="90"/>
      <c r="BJ51" s="90"/>
      <c r="BK51" s="90"/>
      <c r="BL51" s="90"/>
      <c r="BM51" s="90"/>
      <c r="BN51" s="90">
        <f>SUM(BE51:BM51)</f>
        <v>9700000</v>
      </c>
      <c r="BO51" s="546">
        <f>AJ51+AT51+BD51+BN51</f>
        <v>239500000</v>
      </c>
    </row>
    <row r="52" spans="1:67" ht="278.25" customHeight="1" x14ac:dyDescent="0.2">
      <c r="A52" s="547">
        <v>34</v>
      </c>
      <c r="B52" s="69">
        <v>2</v>
      </c>
      <c r="C52" s="136"/>
      <c r="D52" s="136"/>
      <c r="E52" s="451">
        <v>5</v>
      </c>
      <c r="F52" s="529" t="s">
        <v>155</v>
      </c>
      <c r="G52" s="171" t="s">
        <v>117</v>
      </c>
      <c r="H52" s="171" t="s">
        <v>118</v>
      </c>
      <c r="I52" s="72">
        <v>32</v>
      </c>
      <c r="J52" s="73" t="s">
        <v>156</v>
      </c>
      <c r="K52" s="70" t="s">
        <v>157</v>
      </c>
      <c r="L52" s="74" t="s">
        <v>121</v>
      </c>
      <c r="M52" s="74">
        <v>13</v>
      </c>
      <c r="N52" s="166" t="s">
        <v>69</v>
      </c>
      <c r="O52" s="76" t="s">
        <v>49</v>
      </c>
      <c r="P52" s="76">
        <v>100</v>
      </c>
      <c r="Q52" s="77">
        <v>15</v>
      </c>
      <c r="R52" s="78">
        <v>30</v>
      </c>
      <c r="S52" s="500"/>
      <c r="T52" s="78">
        <v>30</v>
      </c>
      <c r="U52" s="78"/>
      <c r="V52" s="78">
        <v>25</v>
      </c>
      <c r="W52" s="78"/>
      <c r="X52" s="79">
        <f>AJ52/$AJ$50</f>
        <v>0.43478260869565216</v>
      </c>
      <c r="Y52" s="80">
        <v>8</v>
      </c>
      <c r="Z52" s="168" t="s">
        <v>131</v>
      </c>
      <c r="AA52" s="169"/>
      <c r="AB52" s="169"/>
      <c r="AC52" s="108">
        <v>100000000</v>
      </c>
      <c r="AD52" s="170"/>
      <c r="AE52" s="170"/>
      <c r="AF52" s="169"/>
      <c r="AG52" s="169"/>
      <c r="AH52" s="169"/>
      <c r="AI52" s="169"/>
      <c r="AJ52" s="82">
        <f>+AA52+AB52+AC52+AD52+AE52+AF52+AG52+AH52+AI52</f>
        <v>100000000</v>
      </c>
      <c r="AK52" s="90"/>
      <c r="AL52" s="90"/>
      <c r="AM52" s="455">
        <v>86900000</v>
      </c>
      <c r="AN52" s="90"/>
      <c r="AO52" s="90"/>
      <c r="AP52" s="90"/>
      <c r="AQ52" s="90"/>
      <c r="AR52" s="90"/>
      <c r="AS52" s="90"/>
      <c r="AT52" s="84">
        <f>AK52+AL52+AM52+AN52+AO52+AP52+AQ52+AR52+AS52</f>
        <v>86900000</v>
      </c>
      <c r="AU52" s="455"/>
      <c r="AV52" s="455"/>
      <c r="AW52" s="455">
        <v>21700000</v>
      </c>
      <c r="AX52" s="455"/>
      <c r="AY52" s="455"/>
      <c r="AZ52" s="455"/>
      <c r="BA52" s="455"/>
      <c r="BB52" s="455"/>
      <c r="BC52" s="455"/>
      <c r="BD52" s="455">
        <f>SUM(AU52:BC52)</f>
        <v>21700000</v>
      </c>
      <c r="BE52" s="90"/>
      <c r="BF52" s="90"/>
      <c r="BG52" s="90">
        <v>4800000</v>
      </c>
      <c r="BH52" s="90"/>
      <c r="BI52" s="90"/>
      <c r="BJ52" s="90"/>
      <c r="BK52" s="90"/>
      <c r="BL52" s="90"/>
      <c r="BM52" s="90"/>
      <c r="BN52" s="90">
        <f>SUM(BE52:BM52)</f>
        <v>4800000</v>
      </c>
      <c r="BO52" s="546">
        <f>AJ52+AT52+BD52+BN52</f>
        <v>213400000</v>
      </c>
    </row>
    <row r="53" spans="1:67" ht="107.25" customHeight="1" x14ac:dyDescent="0.2">
      <c r="A53" s="545">
        <v>35</v>
      </c>
      <c r="B53" s="69">
        <v>2</v>
      </c>
      <c r="C53" s="136"/>
      <c r="D53" s="136"/>
      <c r="E53" s="93">
        <v>6</v>
      </c>
      <c r="F53" s="70" t="s">
        <v>158</v>
      </c>
      <c r="G53" s="87" t="s">
        <v>123</v>
      </c>
      <c r="H53" s="87" t="s">
        <v>124</v>
      </c>
      <c r="I53" s="72">
        <v>33</v>
      </c>
      <c r="J53" s="73" t="s">
        <v>159</v>
      </c>
      <c r="K53" s="70" t="s">
        <v>160</v>
      </c>
      <c r="L53" s="74" t="s">
        <v>121</v>
      </c>
      <c r="M53" s="74">
        <v>13</v>
      </c>
      <c r="N53" s="166" t="s">
        <v>69</v>
      </c>
      <c r="O53" s="76" t="s">
        <v>49</v>
      </c>
      <c r="P53" s="172">
        <v>1200</v>
      </c>
      <c r="Q53" s="77">
        <v>200</v>
      </c>
      <c r="R53" s="78">
        <v>400</v>
      </c>
      <c r="S53" s="500"/>
      <c r="T53" s="78">
        <v>400</v>
      </c>
      <c r="U53" s="78"/>
      <c r="V53" s="78">
        <v>200</v>
      </c>
      <c r="W53" s="78"/>
      <c r="X53" s="79">
        <f>AJ53/$AJ$50</f>
        <v>4.3478260869565216E-2</v>
      </c>
      <c r="Y53" s="80">
        <v>8</v>
      </c>
      <c r="Z53" s="168" t="s">
        <v>131</v>
      </c>
      <c r="AA53" s="169"/>
      <c r="AB53" s="169"/>
      <c r="AC53" s="108">
        <v>10000000</v>
      </c>
      <c r="AD53" s="170"/>
      <c r="AE53" s="170"/>
      <c r="AF53" s="169"/>
      <c r="AG53" s="169"/>
      <c r="AH53" s="169"/>
      <c r="AI53" s="169"/>
      <c r="AJ53" s="82">
        <f>+AA53+AB53+AC53+AD53+AE53+AF53+AG53+AH53+AI53</f>
        <v>10000000</v>
      </c>
      <c r="AK53" s="90"/>
      <c r="AL53" s="90"/>
      <c r="AM53" s="455">
        <v>8600000</v>
      </c>
      <c r="AN53" s="90"/>
      <c r="AO53" s="90"/>
      <c r="AP53" s="90"/>
      <c r="AQ53" s="90"/>
      <c r="AR53" s="90"/>
      <c r="AS53" s="90"/>
      <c r="AT53" s="84">
        <f>AK53+AL53+AM53+AN53+AO53+AP53+AQ53+AR53+AS53</f>
        <v>8600000</v>
      </c>
      <c r="AU53" s="455"/>
      <c r="AV53" s="455"/>
      <c r="AW53" s="455">
        <v>2100000</v>
      </c>
      <c r="AX53" s="455"/>
      <c r="AY53" s="455"/>
      <c r="AZ53" s="455"/>
      <c r="BA53" s="455"/>
      <c r="BB53" s="455"/>
      <c r="BC53" s="455"/>
      <c r="BD53" s="455">
        <f>SUM(AU53:BC53)</f>
        <v>2100000</v>
      </c>
      <c r="BE53" s="90"/>
      <c r="BF53" s="90"/>
      <c r="BG53" s="90">
        <v>2500000</v>
      </c>
      <c r="BH53" s="90"/>
      <c r="BI53" s="90"/>
      <c r="BJ53" s="90"/>
      <c r="BK53" s="90"/>
      <c r="BL53" s="90"/>
      <c r="BM53" s="90"/>
      <c r="BN53" s="90">
        <f>SUM(BE53:BM53)</f>
        <v>2500000</v>
      </c>
      <c r="BO53" s="546">
        <f>AJ53+AT53+BD53+BN53</f>
        <v>23200000</v>
      </c>
    </row>
    <row r="54" spans="1:67" ht="107.25" customHeight="1" x14ac:dyDescent="0.2">
      <c r="A54" s="547">
        <v>36</v>
      </c>
      <c r="B54" s="69">
        <v>2</v>
      </c>
      <c r="C54" s="136"/>
      <c r="D54" s="136"/>
      <c r="E54" s="451">
        <v>7</v>
      </c>
      <c r="F54" s="119" t="s">
        <v>146</v>
      </c>
      <c r="G54" s="114" t="s">
        <v>128</v>
      </c>
      <c r="H54" s="173">
        <v>0.27</v>
      </c>
      <c r="I54" s="72">
        <v>34</v>
      </c>
      <c r="J54" s="73" t="s">
        <v>161</v>
      </c>
      <c r="K54" s="70" t="s">
        <v>162</v>
      </c>
      <c r="L54" s="74" t="s">
        <v>121</v>
      </c>
      <c r="M54" s="74">
        <v>13</v>
      </c>
      <c r="N54" s="142" t="s">
        <v>69</v>
      </c>
      <c r="O54" s="76" t="s">
        <v>49</v>
      </c>
      <c r="P54" s="172">
        <v>2400</v>
      </c>
      <c r="Q54" s="77">
        <v>400</v>
      </c>
      <c r="R54" s="78">
        <v>800</v>
      </c>
      <c r="S54" s="500"/>
      <c r="T54" s="78">
        <v>600</v>
      </c>
      <c r="U54" s="78"/>
      <c r="V54" s="78">
        <v>600</v>
      </c>
      <c r="W54" s="78"/>
      <c r="X54" s="79">
        <f>AJ54/$AJ$50</f>
        <v>4.3478260869565216E-2</v>
      </c>
      <c r="Y54" s="80">
        <v>8</v>
      </c>
      <c r="Z54" s="168" t="s">
        <v>131</v>
      </c>
      <c r="AA54" s="169"/>
      <c r="AB54" s="169"/>
      <c r="AC54" s="108">
        <v>10000000</v>
      </c>
      <c r="AD54" s="170"/>
      <c r="AE54" s="170"/>
      <c r="AF54" s="169"/>
      <c r="AG54" s="169"/>
      <c r="AH54" s="169"/>
      <c r="AI54" s="169"/>
      <c r="AJ54" s="82">
        <f>+AA54+AB54+AC54+AD54+AE54+AF54+AG54+AH54+AI54</f>
        <v>10000000</v>
      </c>
      <c r="AK54" s="90"/>
      <c r="AL54" s="90"/>
      <c r="AM54" s="455">
        <v>8600000</v>
      </c>
      <c r="AN54" s="90"/>
      <c r="AO54" s="90"/>
      <c r="AP54" s="90"/>
      <c r="AQ54" s="90"/>
      <c r="AR54" s="90"/>
      <c r="AS54" s="90"/>
      <c r="AT54" s="84">
        <f>AK54+AL54+AM54+AN54+AO54+AP54+AQ54+AR54+AS54</f>
        <v>8600000</v>
      </c>
      <c r="AU54" s="455"/>
      <c r="AV54" s="455"/>
      <c r="AW54" s="455">
        <v>2300000</v>
      </c>
      <c r="AX54" s="455"/>
      <c r="AY54" s="455"/>
      <c r="AZ54" s="455"/>
      <c r="BA54" s="455"/>
      <c r="BB54" s="455"/>
      <c r="BC54" s="455"/>
      <c r="BD54" s="455">
        <f>SUM(AU54:BC54)</f>
        <v>2300000</v>
      </c>
      <c r="BE54" s="90"/>
      <c r="BF54" s="90"/>
      <c r="BG54" s="90">
        <v>3000000</v>
      </c>
      <c r="BH54" s="90"/>
      <c r="BI54" s="90"/>
      <c r="BJ54" s="90"/>
      <c r="BK54" s="90"/>
      <c r="BL54" s="90"/>
      <c r="BM54" s="90"/>
      <c r="BN54" s="90">
        <f>SUM(BE54:BM54)</f>
        <v>3000000</v>
      </c>
      <c r="BO54" s="546">
        <f>AJ54+AT54+BD54+BN54</f>
        <v>23900000</v>
      </c>
    </row>
    <row r="55" spans="1:67" ht="24.75" customHeight="1" x14ac:dyDescent="0.2">
      <c r="A55" s="547"/>
      <c r="B55" s="69"/>
      <c r="C55" s="136"/>
      <c r="D55" s="136"/>
      <c r="E55" s="57">
        <v>7</v>
      </c>
      <c r="F55" s="58" t="s">
        <v>163</v>
      </c>
      <c r="G55" s="60"/>
      <c r="H55" s="96"/>
      <c r="I55" s="60"/>
      <c r="J55" s="96"/>
      <c r="K55" s="96"/>
      <c r="L55" s="60"/>
      <c r="M55" s="60"/>
      <c r="N55" s="97"/>
      <c r="O55" s="96"/>
      <c r="P55" s="96"/>
      <c r="Q55" s="174"/>
      <c r="R55" s="18"/>
      <c r="S55" s="507"/>
      <c r="T55" s="18"/>
      <c r="U55" s="18"/>
      <c r="V55" s="175"/>
      <c r="W55" s="175"/>
      <c r="X55" s="99"/>
      <c r="Y55" s="60"/>
      <c r="Z55" s="60"/>
      <c r="AA55" s="100">
        <f t="shared" ref="AA55:AI55" si="67">SUM(AA56:AA58)</f>
        <v>0</v>
      </c>
      <c r="AB55" s="100">
        <f t="shared" si="67"/>
        <v>0</v>
      </c>
      <c r="AC55" s="100">
        <f t="shared" si="67"/>
        <v>90000000</v>
      </c>
      <c r="AD55" s="100">
        <f t="shared" si="67"/>
        <v>0</v>
      </c>
      <c r="AE55" s="100">
        <f t="shared" si="67"/>
        <v>0</v>
      </c>
      <c r="AF55" s="100">
        <f t="shared" si="67"/>
        <v>0</v>
      </c>
      <c r="AG55" s="100">
        <f t="shared" si="67"/>
        <v>0</v>
      </c>
      <c r="AH55" s="100">
        <f t="shared" si="67"/>
        <v>0</v>
      </c>
      <c r="AI55" s="100">
        <f t="shared" si="67"/>
        <v>0</v>
      </c>
      <c r="AJ55" s="101">
        <f>SUM(AJ56:AJ58)</f>
        <v>90000000</v>
      </c>
      <c r="AK55" s="100">
        <f t="shared" ref="AK55:AT55" si="68">SUM(AK56:AK58)</f>
        <v>0</v>
      </c>
      <c r="AL55" s="100">
        <f t="shared" si="68"/>
        <v>0</v>
      </c>
      <c r="AM55" s="100">
        <f t="shared" si="68"/>
        <v>100000000</v>
      </c>
      <c r="AN55" s="100">
        <f t="shared" si="68"/>
        <v>0</v>
      </c>
      <c r="AO55" s="100">
        <f t="shared" si="68"/>
        <v>0</v>
      </c>
      <c r="AP55" s="100">
        <f t="shared" si="68"/>
        <v>0</v>
      </c>
      <c r="AQ55" s="100">
        <f t="shared" si="68"/>
        <v>0</v>
      </c>
      <c r="AR55" s="100">
        <f t="shared" si="68"/>
        <v>0</v>
      </c>
      <c r="AS55" s="100">
        <f t="shared" si="68"/>
        <v>0</v>
      </c>
      <c r="AT55" s="100">
        <f t="shared" si="68"/>
        <v>100000000</v>
      </c>
      <c r="AU55" s="102"/>
      <c r="AV55" s="102"/>
      <c r="AW55" s="102"/>
      <c r="AX55" s="102"/>
      <c r="AY55" s="102"/>
      <c r="AZ55" s="102"/>
      <c r="BA55" s="102"/>
      <c r="BB55" s="102"/>
      <c r="BC55" s="102"/>
      <c r="BD55" s="100">
        <f t="shared" ref="BD55" si="69">SUM(BD56:BD58)</f>
        <v>30000000</v>
      </c>
      <c r="BE55" s="102"/>
      <c r="BF55" s="102"/>
      <c r="BG55" s="102"/>
      <c r="BH55" s="102"/>
      <c r="BI55" s="102"/>
      <c r="BJ55" s="102"/>
      <c r="BK55" s="102"/>
      <c r="BL55" s="102"/>
      <c r="BM55" s="102"/>
      <c r="BN55" s="100">
        <f t="shared" ref="BN55:BO55" si="70">SUM(BN56:BN58)</f>
        <v>20000000</v>
      </c>
      <c r="BO55" s="560">
        <f t="shared" si="70"/>
        <v>240000000</v>
      </c>
    </row>
    <row r="56" spans="1:67" ht="114.75" customHeight="1" x14ac:dyDescent="0.2">
      <c r="A56" s="545">
        <v>37</v>
      </c>
      <c r="B56" s="69">
        <v>2</v>
      </c>
      <c r="C56" s="136"/>
      <c r="D56" s="136"/>
      <c r="E56" s="93">
        <v>5</v>
      </c>
      <c r="F56" s="70" t="s">
        <v>116</v>
      </c>
      <c r="G56" s="176" t="s">
        <v>117</v>
      </c>
      <c r="H56" s="176" t="s">
        <v>118</v>
      </c>
      <c r="I56" s="72">
        <v>35</v>
      </c>
      <c r="J56" s="73" t="s">
        <v>164</v>
      </c>
      <c r="K56" s="70" t="s">
        <v>140</v>
      </c>
      <c r="L56" s="74" t="s">
        <v>121</v>
      </c>
      <c r="M56" s="74">
        <v>13</v>
      </c>
      <c r="N56" s="164" t="s">
        <v>54</v>
      </c>
      <c r="O56" s="89">
        <v>0</v>
      </c>
      <c r="P56" s="89">
        <v>5</v>
      </c>
      <c r="Q56" s="532">
        <v>5</v>
      </c>
      <c r="R56" s="532">
        <v>5</v>
      </c>
      <c r="S56" s="500"/>
      <c r="T56" s="532">
        <v>5</v>
      </c>
      <c r="U56" s="532"/>
      <c r="V56" s="532">
        <v>5</v>
      </c>
      <c r="W56" s="164"/>
      <c r="X56" s="177">
        <f>AJ56/$AJ$55</f>
        <v>0.96666666666666667</v>
      </c>
      <c r="Y56" s="77">
        <v>8</v>
      </c>
      <c r="Z56" s="164" t="s">
        <v>131</v>
      </c>
      <c r="AA56" s="169"/>
      <c r="AB56" s="169"/>
      <c r="AC56" s="108">
        <v>87000000</v>
      </c>
      <c r="AD56" s="170"/>
      <c r="AE56" s="170"/>
      <c r="AF56" s="169"/>
      <c r="AG56" s="169"/>
      <c r="AH56" s="169"/>
      <c r="AI56" s="169"/>
      <c r="AJ56" s="82">
        <f>+AA56+AB56+AC56+AD56+AE56+AF56+AG56+AH56+AI56</f>
        <v>87000000</v>
      </c>
      <c r="AK56" s="90"/>
      <c r="AL56" s="90"/>
      <c r="AM56" s="455">
        <v>90000000</v>
      </c>
      <c r="AN56" s="90"/>
      <c r="AO56" s="90"/>
      <c r="AP56" s="90"/>
      <c r="AQ56" s="90"/>
      <c r="AR56" s="90"/>
      <c r="AS56" s="90"/>
      <c r="AT56" s="84">
        <f>AK56+AL56+AM56+AN56+AO56+AP56+AQ56+AR56+AS56</f>
        <v>90000000</v>
      </c>
      <c r="AU56" s="455"/>
      <c r="AV56" s="455"/>
      <c r="AW56" s="455">
        <v>23000000</v>
      </c>
      <c r="AX56" s="455"/>
      <c r="AY56" s="455"/>
      <c r="AZ56" s="455"/>
      <c r="BA56" s="455"/>
      <c r="BB56" s="455"/>
      <c r="BC56" s="455"/>
      <c r="BD56" s="455">
        <f>SUM(AU56:BC56)</f>
        <v>23000000</v>
      </c>
      <c r="BE56" s="90"/>
      <c r="BF56" s="90"/>
      <c r="BG56" s="90">
        <v>17000000</v>
      </c>
      <c r="BH56" s="90"/>
      <c r="BI56" s="90"/>
      <c r="BJ56" s="90"/>
      <c r="BK56" s="90"/>
      <c r="BL56" s="90"/>
      <c r="BM56" s="90"/>
      <c r="BN56" s="158">
        <f>SUM(BE56:BM56)</f>
        <v>17000000</v>
      </c>
      <c r="BO56" s="546">
        <f>AJ56+AT56+BD56+BN56</f>
        <v>217000000</v>
      </c>
    </row>
    <row r="57" spans="1:67" ht="93.75" customHeight="1" x14ac:dyDescent="0.2">
      <c r="A57" s="547">
        <v>38</v>
      </c>
      <c r="B57" s="69">
        <v>2</v>
      </c>
      <c r="C57" s="136"/>
      <c r="D57" s="136"/>
      <c r="E57" s="93">
        <v>6</v>
      </c>
      <c r="F57" s="70" t="s">
        <v>158</v>
      </c>
      <c r="G57" s="87" t="s">
        <v>123</v>
      </c>
      <c r="H57" s="87" t="s">
        <v>124</v>
      </c>
      <c r="I57" s="77">
        <v>36</v>
      </c>
      <c r="J57" s="73" t="s">
        <v>165</v>
      </c>
      <c r="K57" s="73" t="s">
        <v>166</v>
      </c>
      <c r="L57" s="74" t="s">
        <v>121</v>
      </c>
      <c r="M57" s="74">
        <v>13</v>
      </c>
      <c r="N57" s="164" t="s">
        <v>69</v>
      </c>
      <c r="O57" s="89">
        <v>0</v>
      </c>
      <c r="P57" s="89">
        <v>3</v>
      </c>
      <c r="Q57" s="77">
        <v>1</v>
      </c>
      <c r="R57" s="78">
        <v>1</v>
      </c>
      <c r="S57" s="500"/>
      <c r="T57" s="78">
        <v>1</v>
      </c>
      <c r="U57" s="78"/>
      <c r="V57" s="78">
        <v>0</v>
      </c>
      <c r="W57" s="166"/>
      <c r="X57" s="177">
        <f>AJ57/$AJ$55</f>
        <v>3.3333333333333333E-2</v>
      </c>
      <c r="Y57" s="77">
        <v>12</v>
      </c>
      <c r="Z57" s="164" t="s">
        <v>70</v>
      </c>
      <c r="AA57" s="169"/>
      <c r="AB57" s="169"/>
      <c r="AC57" s="108">
        <v>3000000</v>
      </c>
      <c r="AD57" s="170"/>
      <c r="AE57" s="170"/>
      <c r="AF57" s="169"/>
      <c r="AG57" s="169"/>
      <c r="AH57" s="169"/>
      <c r="AI57" s="169"/>
      <c r="AJ57" s="82">
        <f>+AA57+AB57+AC57+AD57+AE57+AF57+AG57+AH57+AI57</f>
        <v>3000000</v>
      </c>
      <c r="AK57" s="90"/>
      <c r="AL57" s="90"/>
      <c r="AM57" s="455">
        <v>3500000</v>
      </c>
      <c r="AN57" s="90"/>
      <c r="AO57" s="90"/>
      <c r="AP57" s="90"/>
      <c r="AQ57" s="90"/>
      <c r="AR57" s="90"/>
      <c r="AS57" s="90"/>
      <c r="AT57" s="84">
        <f>AK57+AL57+AM57+AN57+AO57+AP57+AQ57+AR57+AS57</f>
        <v>3500000</v>
      </c>
      <c r="AU57" s="455"/>
      <c r="AV57" s="455"/>
      <c r="AW57" s="455">
        <v>3000000</v>
      </c>
      <c r="AX57" s="455"/>
      <c r="AY57" s="455"/>
      <c r="AZ57" s="455"/>
      <c r="BA57" s="455"/>
      <c r="BB57" s="455"/>
      <c r="BC57" s="455"/>
      <c r="BD57" s="455">
        <f>SUM(AU57:BC57)</f>
        <v>3000000</v>
      </c>
      <c r="BE57" s="90"/>
      <c r="BF57" s="90"/>
      <c r="BG57" s="90" t="s">
        <v>61</v>
      </c>
      <c r="BH57" s="90"/>
      <c r="BI57" s="90"/>
      <c r="BJ57" s="90"/>
      <c r="BK57" s="90"/>
      <c r="BL57" s="90"/>
      <c r="BM57" s="90"/>
      <c r="BN57" s="158">
        <f>SUM(BE57:BM57)</f>
        <v>0</v>
      </c>
      <c r="BO57" s="546">
        <f>AJ57+AT57+BD57+BN57</f>
        <v>9500000</v>
      </c>
    </row>
    <row r="58" spans="1:67" ht="93.75" customHeight="1" x14ac:dyDescent="0.2">
      <c r="A58" s="545">
        <v>39</v>
      </c>
      <c r="B58" s="69">
        <v>2</v>
      </c>
      <c r="C58" s="136"/>
      <c r="D58" s="136"/>
      <c r="E58" s="451">
        <v>7</v>
      </c>
      <c r="F58" s="119" t="s">
        <v>146</v>
      </c>
      <c r="G58" s="114" t="s">
        <v>128</v>
      </c>
      <c r="H58" s="173">
        <v>0.27</v>
      </c>
      <c r="I58" s="77">
        <v>37</v>
      </c>
      <c r="J58" s="73" t="s">
        <v>167</v>
      </c>
      <c r="K58" s="70" t="s">
        <v>168</v>
      </c>
      <c r="L58" s="74" t="s">
        <v>121</v>
      </c>
      <c r="M58" s="74">
        <v>13</v>
      </c>
      <c r="N58" s="166" t="s">
        <v>54</v>
      </c>
      <c r="O58" s="76">
        <v>0</v>
      </c>
      <c r="P58" s="76">
        <v>1</v>
      </c>
      <c r="Q58" s="77">
        <v>0</v>
      </c>
      <c r="R58" s="78">
        <v>1</v>
      </c>
      <c r="S58" s="500"/>
      <c r="T58" s="78">
        <v>1</v>
      </c>
      <c r="U58" s="78"/>
      <c r="V58" s="78">
        <v>1</v>
      </c>
      <c r="W58" s="166"/>
      <c r="X58" s="177">
        <f>AJ58/$AJ$55</f>
        <v>0</v>
      </c>
      <c r="Y58" s="77">
        <v>2</v>
      </c>
      <c r="Z58" s="164" t="s">
        <v>137</v>
      </c>
      <c r="AA58" s="169"/>
      <c r="AB58" s="169"/>
      <c r="AC58" s="169"/>
      <c r="AD58" s="169"/>
      <c r="AE58" s="169"/>
      <c r="AF58" s="169"/>
      <c r="AG58" s="169"/>
      <c r="AH58" s="169"/>
      <c r="AI58" s="169"/>
      <c r="AJ58" s="82">
        <f>+AA58+AB58+AC58+AD58+AE58+AF58+AG58+AH58+AI58</f>
        <v>0</v>
      </c>
      <c r="AK58" s="90"/>
      <c r="AL58" s="90"/>
      <c r="AM58" s="455">
        <v>6500000</v>
      </c>
      <c r="AN58" s="90"/>
      <c r="AO58" s="90"/>
      <c r="AP58" s="90"/>
      <c r="AQ58" s="90"/>
      <c r="AR58" s="90"/>
      <c r="AS58" s="90"/>
      <c r="AT58" s="84">
        <f>AK58+AL58+AM58+AN58+AO58+AP58+AQ58+AR58+AS58</f>
        <v>6500000</v>
      </c>
      <c r="AU58" s="455"/>
      <c r="AV58" s="455"/>
      <c r="AW58" s="455">
        <v>4000000</v>
      </c>
      <c r="AX58" s="455"/>
      <c r="AY58" s="455"/>
      <c r="AZ58" s="455"/>
      <c r="BA58" s="455"/>
      <c r="BB58" s="455"/>
      <c r="BC58" s="455"/>
      <c r="BD58" s="455">
        <f>SUM(AU58:BC58)</f>
        <v>4000000</v>
      </c>
      <c r="BE58" s="90"/>
      <c r="BF58" s="90"/>
      <c r="BG58" s="90">
        <v>3000000</v>
      </c>
      <c r="BH58" s="90"/>
      <c r="BI58" s="90"/>
      <c r="BJ58" s="90"/>
      <c r="BK58" s="90"/>
      <c r="BL58" s="90"/>
      <c r="BM58" s="90"/>
      <c r="BN58" s="158">
        <f>SUM(BE58:BM58)</f>
        <v>3000000</v>
      </c>
      <c r="BO58" s="546">
        <f>AJ58+AT58+BD58+BN58</f>
        <v>13500000</v>
      </c>
    </row>
    <row r="59" spans="1:67" ht="24.75" customHeight="1" x14ac:dyDescent="0.2">
      <c r="A59" s="545"/>
      <c r="B59" s="69"/>
      <c r="C59" s="136"/>
      <c r="D59" s="136"/>
      <c r="E59" s="57">
        <v>8</v>
      </c>
      <c r="F59" s="58" t="s">
        <v>169</v>
      </c>
      <c r="G59" s="60"/>
      <c r="H59" s="96"/>
      <c r="I59" s="60"/>
      <c r="J59" s="96"/>
      <c r="K59" s="96"/>
      <c r="L59" s="60"/>
      <c r="M59" s="60"/>
      <c r="N59" s="97"/>
      <c r="O59" s="96"/>
      <c r="P59" s="96"/>
      <c r="Q59" s="98"/>
      <c r="R59" s="96"/>
      <c r="S59" s="503"/>
      <c r="T59" s="96"/>
      <c r="U59" s="96"/>
      <c r="V59" s="60"/>
      <c r="W59" s="60"/>
      <c r="X59" s="99"/>
      <c r="Y59" s="60"/>
      <c r="Z59" s="60"/>
      <c r="AA59" s="100">
        <f t="shared" ref="AA59:AI59" si="71">SUM(AA60:AA64)</f>
        <v>0</v>
      </c>
      <c r="AB59" s="100">
        <f t="shared" si="71"/>
        <v>0</v>
      </c>
      <c r="AC59" s="100">
        <f t="shared" si="71"/>
        <v>50000000</v>
      </c>
      <c r="AD59" s="100">
        <f t="shared" si="71"/>
        <v>0</v>
      </c>
      <c r="AE59" s="100">
        <f t="shared" si="71"/>
        <v>0</v>
      </c>
      <c r="AF59" s="100">
        <f t="shared" si="71"/>
        <v>0</v>
      </c>
      <c r="AG59" s="100">
        <f t="shared" si="71"/>
        <v>0</v>
      </c>
      <c r="AH59" s="100">
        <f t="shared" si="71"/>
        <v>0</v>
      </c>
      <c r="AI59" s="100">
        <f t="shared" si="71"/>
        <v>1250000000</v>
      </c>
      <c r="AJ59" s="101">
        <f>SUM(AJ60:AJ64)</f>
        <v>1300000000</v>
      </c>
      <c r="AK59" s="100">
        <f t="shared" ref="AK59:AT59" si="72">SUM(AK60:AK64)</f>
        <v>0</v>
      </c>
      <c r="AL59" s="100">
        <f t="shared" si="72"/>
        <v>0</v>
      </c>
      <c r="AM59" s="100">
        <f t="shared" si="72"/>
        <v>50000000</v>
      </c>
      <c r="AN59" s="100">
        <f t="shared" si="72"/>
        <v>0</v>
      </c>
      <c r="AO59" s="100">
        <f t="shared" si="72"/>
        <v>0</v>
      </c>
      <c r="AP59" s="100">
        <f t="shared" si="72"/>
        <v>0</v>
      </c>
      <c r="AQ59" s="100">
        <f t="shared" si="72"/>
        <v>0</v>
      </c>
      <c r="AR59" s="100">
        <f t="shared" si="72"/>
        <v>0</v>
      </c>
      <c r="AS59" s="100">
        <f t="shared" si="72"/>
        <v>0</v>
      </c>
      <c r="AT59" s="100">
        <f t="shared" si="72"/>
        <v>50000000</v>
      </c>
      <c r="AU59" s="102"/>
      <c r="AV59" s="102"/>
      <c r="AW59" s="102"/>
      <c r="AX59" s="102"/>
      <c r="AY59" s="102"/>
      <c r="AZ59" s="102"/>
      <c r="BA59" s="102"/>
      <c r="BB59" s="102"/>
      <c r="BC59" s="102"/>
      <c r="BD59" s="100">
        <f t="shared" ref="BD59" si="73">SUM(BD60:BD64)</f>
        <v>20000000</v>
      </c>
      <c r="BE59" s="102"/>
      <c r="BF59" s="102"/>
      <c r="BG59" s="102"/>
      <c r="BH59" s="102"/>
      <c r="BI59" s="102"/>
      <c r="BJ59" s="102"/>
      <c r="BK59" s="102"/>
      <c r="BL59" s="102"/>
      <c r="BM59" s="102"/>
      <c r="BN59" s="100">
        <f t="shared" ref="BN59:BO59" si="74">SUM(BN60:BN64)</f>
        <v>10000000</v>
      </c>
      <c r="BO59" s="560">
        <f t="shared" si="74"/>
        <v>1380000000</v>
      </c>
    </row>
    <row r="60" spans="1:67" ht="89.25" customHeight="1" x14ac:dyDescent="0.2">
      <c r="A60" s="547">
        <v>40</v>
      </c>
      <c r="B60" s="69">
        <v>2</v>
      </c>
      <c r="C60" s="136"/>
      <c r="D60" s="136"/>
      <c r="E60" s="478"/>
      <c r="F60" s="461"/>
      <c r="G60" s="480"/>
      <c r="H60" s="480"/>
      <c r="I60" s="72">
        <v>38</v>
      </c>
      <c r="J60" s="73" t="s">
        <v>170</v>
      </c>
      <c r="K60" s="70" t="s">
        <v>171</v>
      </c>
      <c r="L60" s="74" t="s">
        <v>121</v>
      </c>
      <c r="M60" s="74">
        <v>13</v>
      </c>
      <c r="N60" s="88" t="s">
        <v>54</v>
      </c>
      <c r="O60" s="76">
        <v>3</v>
      </c>
      <c r="P60" s="76">
        <v>4</v>
      </c>
      <c r="Q60" s="89">
        <v>4</v>
      </c>
      <c r="R60" s="76">
        <v>4</v>
      </c>
      <c r="S60" s="500"/>
      <c r="T60" s="76">
        <v>4</v>
      </c>
      <c r="U60" s="76"/>
      <c r="V60" s="76">
        <v>4</v>
      </c>
      <c r="W60" s="88"/>
      <c r="X60" s="121">
        <f>AJ60/$AJ$59</f>
        <v>5.7692307692307696E-3</v>
      </c>
      <c r="Y60" s="78">
        <v>12</v>
      </c>
      <c r="Z60" s="75" t="s">
        <v>70</v>
      </c>
      <c r="AA60" s="82"/>
      <c r="AB60" s="82"/>
      <c r="AC60" s="108">
        <v>7500000</v>
      </c>
      <c r="AD60" s="108"/>
      <c r="AE60" s="108"/>
      <c r="AF60" s="82"/>
      <c r="AG60" s="82"/>
      <c r="AH60" s="82"/>
      <c r="AI60" s="82"/>
      <c r="AJ60" s="82">
        <f>+AA60+AB60+AC60+AD60+AE60+AF60+AG60+AH60+AI60</f>
        <v>7500000</v>
      </c>
      <c r="AK60" s="90"/>
      <c r="AL60" s="90"/>
      <c r="AM60" s="90">
        <v>7500000</v>
      </c>
      <c r="AN60" s="90"/>
      <c r="AO60" s="90"/>
      <c r="AP60" s="90"/>
      <c r="AQ60" s="90"/>
      <c r="AR60" s="90"/>
      <c r="AS60" s="90"/>
      <c r="AT60" s="84">
        <f>AK60+AL60+AM60+AN60+AO60+AP60+AQ60+AR60+AS60</f>
        <v>7500000</v>
      </c>
      <c r="AU60" s="455"/>
      <c r="AV60" s="455"/>
      <c r="AW60" s="455">
        <v>3000000</v>
      </c>
      <c r="AX60" s="455"/>
      <c r="AY60" s="455"/>
      <c r="AZ60" s="455"/>
      <c r="BA60" s="455"/>
      <c r="BB60" s="455"/>
      <c r="BC60" s="455"/>
      <c r="BD60" s="455">
        <f>SUM(AU60:BC60)</f>
        <v>3000000</v>
      </c>
      <c r="BE60" s="90"/>
      <c r="BF60" s="90"/>
      <c r="BG60" s="90">
        <v>57692.307692307695</v>
      </c>
      <c r="BH60" s="90"/>
      <c r="BI60" s="90"/>
      <c r="BJ60" s="90"/>
      <c r="BK60" s="90"/>
      <c r="BL60" s="90"/>
      <c r="BM60" s="90"/>
      <c r="BN60" s="90">
        <f>SUM(BE60:BM60)</f>
        <v>57692.307692307695</v>
      </c>
      <c r="BO60" s="546">
        <f>AJ60+AT60+BD60+BN60</f>
        <v>18057692.307692308</v>
      </c>
    </row>
    <row r="61" spans="1:67" ht="67.5" customHeight="1" x14ac:dyDescent="0.2">
      <c r="A61" s="545">
        <v>41</v>
      </c>
      <c r="B61" s="69">
        <v>2</v>
      </c>
      <c r="C61" s="136"/>
      <c r="D61" s="136"/>
      <c r="E61" s="451">
        <v>5</v>
      </c>
      <c r="F61" s="178" t="s">
        <v>116</v>
      </c>
      <c r="G61" s="171" t="s">
        <v>117</v>
      </c>
      <c r="H61" s="171" t="s">
        <v>118</v>
      </c>
      <c r="I61" s="72">
        <v>39</v>
      </c>
      <c r="J61" s="73" t="s">
        <v>172</v>
      </c>
      <c r="K61" s="70" t="s">
        <v>173</v>
      </c>
      <c r="L61" s="74" t="s">
        <v>121</v>
      </c>
      <c r="M61" s="74">
        <v>13</v>
      </c>
      <c r="N61" s="88" t="s">
        <v>54</v>
      </c>
      <c r="O61" s="76">
        <v>0</v>
      </c>
      <c r="P61" s="76">
        <v>3</v>
      </c>
      <c r="Q61" s="89">
        <v>3</v>
      </c>
      <c r="R61" s="76">
        <v>3</v>
      </c>
      <c r="S61" s="500"/>
      <c r="T61" s="76">
        <v>3</v>
      </c>
      <c r="U61" s="76"/>
      <c r="V61" s="76">
        <v>3</v>
      </c>
      <c r="W61" s="88"/>
      <c r="X61" s="121">
        <f>AJ61/$AJ$59</f>
        <v>5.7692307692307696E-3</v>
      </c>
      <c r="Y61" s="78">
        <v>12</v>
      </c>
      <c r="Z61" s="75" t="s">
        <v>70</v>
      </c>
      <c r="AA61" s="82"/>
      <c r="AB61" s="82"/>
      <c r="AC61" s="108">
        <v>7500000</v>
      </c>
      <c r="AD61" s="108"/>
      <c r="AE61" s="108"/>
      <c r="AF61" s="82"/>
      <c r="AG61" s="82"/>
      <c r="AH61" s="82"/>
      <c r="AI61" s="82"/>
      <c r="AJ61" s="82">
        <f>+AA61+AB61+AC61+AD61+AE61+AF61+AG61+AH61+AI61</f>
        <v>7500000</v>
      </c>
      <c r="AK61" s="90"/>
      <c r="AL61" s="90"/>
      <c r="AM61" s="90">
        <v>7500000</v>
      </c>
      <c r="AN61" s="90"/>
      <c r="AO61" s="90"/>
      <c r="AP61" s="90"/>
      <c r="AQ61" s="90"/>
      <c r="AR61" s="90"/>
      <c r="AS61" s="90"/>
      <c r="AT61" s="84">
        <f>AK61+AL61+AM61+AN61+AO61+AP61+AQ61+AR61+AS61</f>
        <v>7500000</v>
      </c>
      <c r="AU61" s="455"/>
      <c r="AV61" s="455"/>
      <c r="AW61" s="455">
        <v>3000000</v>
      </c>
      <c r="AX61" s="455"/>
      <c r="AY61" s="455"/>
      <c r="AZ61" s="455"/>
      <c r="BA61" s="455"/>
      <c r="BB61" s="455"/>
      <c r="BC61" s="455"/>
      <c r="BD61" s="455">
        <f>SUM(AU61:BC61)</f>
        <v>3000000</v>
      </c>
      <c r="BE61" s="90"/>
      <c r="BF61" s="90"/>
      <c r="BG61" s="90">
        <v>57692.307692307695</v>
      </c>
      <c r="BH61" s="90"/>
      <c r="BI61" s="90"/>
      <c r="BJ61" s="90"/>
      <c r="BK61" s="90"/>
      <c r="BL61" s="90"/>
      <c r="BM61" s="90"/>
      <c r="BN61" s="90">
        <f>SUM(BE61:BM61)</f>
        <v>57692.307692307695</v>
      </c>
      <c r="BO61" s="546">
        <f>AJ61+AT61+BD61+BN61</f>
        <v>18057692.307692308</v>
      </c>
    </row>
    <row r="62" spans="1:67" ht="96" customHeight="1" x14ac:dyDescent="0.2">
      <c r="A62" s="547">
        <v>42</v>
      </c>
      <c r="B62" s="69">
        <v>2</v>
      </c>
      <c r="C62" s="136"/>
      <c r="D62" s="136"/>
      <c r="E62" s="93">
        <v>6</v>
      </c>
      <c r="F62" s="70" t="s">
        <v>158</v>
      </c>
      <c r="G62" s="87" t="s">
        <v>123</v>
      </c>
      <c r="H62" s="87" t="s">
        <v>124</v>
      </c>
      <c r="I62" s="72">
        <v>40</v>
      </c>
      <c r="J62" s="73" t="s">
        <v>174</v>
      </c>
      <c r="K62" s="70" t="s">
        <v>175</v>
      </c>
      <c r="L62" s="74" t="s">
        <v>121</v>
      </c>
      <c r="M62" s="74">
        <v>13</v>
      </c>
      <c r="N62" s="110" t="s">
        <v>69</v>
      </c>
      <c r="O62" s="76">
        <v>0</v>
      </c>
      <c r="P62" s="422">
        <v>1</v>
      </c>
      <c r="Q62" s="89">
        <v>0.05</v>
      </c>
      <c r="R62" s="76">
        <v>0.35</v>
      </c>
      <c r="S62" s="500"/>
      <c r="T62" s="76">
        <v>0.4</v>
      </c>
      <c r="U62" s="76"/>
      <c r="V62" s="76">
        <v>0.2</v>
      </c>
      <c r="W62" s="88">
        <f>V62+Q62</f>
        <v>0.25</v>
      </c>
      <c r="X62" s="121">
        <f>AJ62/$AJ$59</f>
        <v>1.5384615384615385E-2</v>
      </c>
      <c r="Y62" s="78">
        <v>9</v>
      </c>
      <c r="Z62" s="78" t="s">
        <v>176</v>
      </c>
      <c r="AA62" s="447"/>
      <c r="AB62" s="82"/>
      <c r="AC62" s="108">
        <v>20000000</v>
      </c>
      <c r="AD62" s="108"/>
      <c r="AE62" s="108"/>
      <c r="AF62" s="82"/>
      <c r="AG62" s="82"/>
      <c r="AH62" s="82"/>
      <c r="AI62" s="82"/>
      <c r="AJ62" s="82">
        <f>+AA62+AB62+AC62+AD62+AE62+AF62+AG62+AH62+AI62</f>
        <v>20000000</v>
      </c>
      <c r="AK62" s="90"/>
      <c r="AL62" s="90"/>
      <c r="AM62" s="90">
        <v>20000000</v>
      </c>
      <c r="AN62" s="90"/>
      <c r="AO62" s="90"/>
      <c r="AP62" s="90"/>
      <c r="AQ62" s="90"/>
      <c r="AR62" s="90"/>
      <c r="AS62" s="90"/>
      <c r="AT62" s="84">
        <f>AK62+AL62+AM62+AN62+AO62+AP62+AQ62+AR62+AS62</f>
        <v>20000000</v>
      </c>
      <c r="AU62" s="455"/>
      <c r="AV62" s="455"/>
      <c r="AW62" s="455">
        <v>8000000</v>
      </c>
      <c r="AX62" s="455"/>
      <c r="AY62" s="455"/>
      <c r="AZ62" s="455"/>
      <c r="BA62" s="455"/>
      <c r="BB62" s="455"/>
      <c r="BC62" s="455"/>
      <c r="BD62" s="455">
        <f>SUM(AU62:BC62)</f>
        <v>8000000</v>
      </c>
      <c r="BE62" s="90"/>
      <c r="BF62" s="90"/>
      <c r="BG62" s="90">
        <v>153846.15384615384</v>
      </c>
      <c r="BH62" s="90"/>
      <c r="BI62" s="90"/>
      <c r="BJ62" s="90"/>
      <c r="BK62" s="90"/>
      <c r="BL62" s="90"/>
      <c r="BM62" s="90"/>
      <c r="BN62" s="90">
        <f>SUM(BE62:BM62)</f>
        <v>153846.15384615384</v>
      </c>
      <c r="BO62" s="546">
        <f>AJ62+AT62+BD62+BN62</f>
        <v>48153846.153846152</v>
      </c>
    </row>
    <row r="63" spans="1:67" ht="67.5" customHeight="1" x14ac:dyDescent="0.2">
      <c r="A63" s="545">
        <v>43</v>
      </c>
      <c r="B63" s="69">
        <v>2</v>
      </c>
      <c r="C63" s="136"/>
      <c r="D63" s="136"/>
      <c r="E63" s="91">
        <v>7</v>
      </c>
      <c r="F63" s="106" t="s">
        <v>146</v>
      </c>
      <c r="G63" s="179">
        <v>0.317</v>
      </c>
      <c r="H63" s="173">
        <v>0.27</v>
      </c>
      <c r="I63" s="72">
        <v>41</v>
      </c>
      <c r="J63" s="73" t="s">
        <v>177</v>
      </c>
      <c r="K63" s="70" t="s">
        <v>178</v>
      </c>
      <c r="L63" s="74" t="s">
        <v>121</v>
      </c>
      <c r="M63" s="74">
        <v>13</v>
      </c>
      <c r="N63" s="88" t="s">
        <v>54</v>
      </c>
      <c r="O63" s="76">
        <v>0</v>
      </c>
      <c r="P63" s="76">
        <v>1</v>
      </c>
      <c r="Q63" s="89">
        <v>1</v>
      </c>
      <c r="R63" s="76">
        <v>1</v>
      </c>
      <c r="S63" s="500"/>
      <c r="T63" s="76">
        <v>1</v>
      </c>
      <c r="U63" s="76"/>
      <c r="V63" s="76">
        <v>1</v>
      </c>
      <c r="W63" s="88"/>
      <c r="X63" s="121">
        <f>AJ63/$AJ$59</f>
        <v>5.7692307692307696E-3</v>
      </c>
      <c r="Y63" s="78">
        <v>9</v>
      </c>
      <c r="Z63" s="81" t="s">
        <v>176</v>
      </c>
      <c r="AA63" s="447"/>
      <c r="AB63" s="82"/>
      <c r="AC63" s="108">
        <v>7500000</v>
      </c>
      <c r="AD63" s="108"/>
      <c r="AE63" s="108"/>
      <c r="AF63" s="82"/>
      <c r="AG63" s="82"/>
      <c r="AH63" s="82"/>
      <c r="AI63" s="82"/>
      <c r="AJ63" s="82">
        <f>+AA63+AB63+AC63+AD63+AE63+AF63+AG63+AH63+AI63</f>
        <v>7500000</v>
      </c>
      <c r="AK63" s="90"/>
      <c r="AL63" s="90"/>
      <c r="AM63" s="90">
        <v>7500000</v>
      </c>
      <c r="AN63" s="90"/>
      <c r="AO63" s="90"/>
      <c r="AP63" s="90"/>
      <c r="AQ63" s="90"/>
      <c r="AR63" s="90"/>
      <c r="AS63" s="90"/>
      <c r="AT63" s="84">
        <f>AK63+AL63+AM63+AN63+AO63+AP63+AQ63+AR63+AS63</f>
        <v>7500000</v>
      </c>
      <c r="AU63" s="455"/>
      <c r="AV63" s="455"/>
      <c r="AW63" s="455">
        <v>3000000</v>
      </c>
      <c r="AX63" s="455"/>
      <c r="AY63" s="455"/>
      <c r="AZ63" s="455"/>
      <c r="BA63" s="455"/>
      <c r="BB63" s="455"/>
      <c r="BC63" s="455"/>
      <c r="BD63" s="455">
        <f>SUM(AU63:BC63)</f>
        <v>3000000</v>
      </c>
      <c r="BE63" s="90"/>
      <c r="BF63" s="90"/>
      <c r="BG63" s="90">
        <v>57692.307692307695</v>
      </c>
      <c r="BH63" s="90"/>
      <c r="BI63" s="90"/>
      <c r="BJ63" s="90"/>
      <c r="BK63" s="90"/>
      <c r="BL63" s="90"/>
      <c r="BM63" s="90"/>
      <c r="BN63" s="90">
        <f>SUM(BE63:BM63)</f>
        <v>57692.307692307695</v>
      </c>
      <c r="BO63" s="546">
        <f>AJ63+AT63+BD63+BN63</f>
        <v>18057692.307692308</v>
      </c>
    </row>
    <row r="64" spans="1:67" ht="48.75" customHeight="1" x14ac:dyDescent="0.2">
      <c r="A64" s="547">
        <v>44</v>
      </c>
      <c r="B64" s="69">
        <v>2</v>
      </c>
      <c r="C64" s="136"/>
      <c r="D64" s="136"/>
      <c r="E64" s="451"/>
      <c r="F64" s="109"/>
      <c r="G64" s="180"/>
      <c r="H64" s="181"/>
      <c r="I64" s="72">
        <v>42</v>
      </c>
      <c r="J64" s="73" t="s">
        <v>179</v>
      </c>
      <c r="K64" s="70" t="s">
        <v>180</v>
      </c>
      <c r="L64" s="74" t="s">
        <v>121</v>
      </c>
      <c r="M64" s="74">
        <v>13</v>
      </c>
      <c r="N64" s="88" t="s">
        <v>54</v>
      </c>
      <c r="O64" s="76">
        <v>1</v>
      </c>
      <c r="P64" s="76">
        <v>1</v>
      </c>
      <c r="Q64" s="89">
        <v>1</v>
      </c>
      <c r="R64" s="76">
        <v>1</v>
      </c>
      <c r="S64" s="500"/>
      <c r="T64" s="76">
        <v>1</v>
      </c>
      <c r="U64" s="76"/>
      <c r="V64" s="76">
        <v>1</v>
      </c>
      <c r="W64" s="88"/>
      <c r="X64" s="121">
        <f>AJ64/$AJ$59</f>
        <v>0.96730769230769231</v>
      </c>
      <c r="Y64" s="78">
        <v>9</v>
      </c>
      <c r="Z64" s="81" t="s">
        <v>176</v>
      </c>
      <c r="AA64" s="447"/>
      <c r="AB64" s="82"/>
      <c r="AC64" s="82">
        <v>7500000</v>
      </c>
      <c r="AD64" s="82"/>
      <c r="AE64" s="82"/>
      <c r="AF64" s="82"/>
      <c r="AG64" s="82"/>
      <c r="AH64" s="82"/>
      <c r="AI64" s="82">
        <v>1250000000</v>
      </c>
      <c r="AJ64" s="82">
        <f>+AA64+AB64+AC64+AD64+AE64+AF64+AG64+AH64+AI64</f>
        <v>1257500000</v>
      </c>
      <c r="AK64" s="90"/>
      <c r="AL64" s="90"/>
      <c r="AM64" s="90">
        <v>7500000</v>
      </c>
      <c r="AN64" s="90"/>
      <c r="AO64" s="90"/>
      <c r="AP64" s="90"/>
      <c r="AQ64" s="90"/>
      <c r="AR64" s="90"/>
      <c r="AS64" s="90"/>
      <c r="AT64" s="84">
        <f>AK64+AL64+AM64+AN64+AO64+AP64+AQ64+AR64+AS64</f>
        <v>7500000</v>
      </c>
      <c r="AU64" s="455"/>
      <c r="AV64" s="455"/>
      <c r="AW64" s="455">
        <v>3000000</v>
      </c>
      <c r="AX64" s="455"/>
      <c r="AY64" s="455"/>
      <c r="AZ64" s="455"/>
      <c r="BA64" s="455"/>
      <c r="BB64" s="455"/>
      <c r="BC64" s="455"/>
      <c r="BD64" s="455">
        <f>SUM(AU64:BC64)</f>
        <v>3000000</v>
      </c>
      <c r="BE64" s="90"/>
      <c r="BF64" s="90"/>
      <c r="BG64" s="90">
        <v>9673076.9230769239</v>
      </c>
      <c r="BH64" s="90"/>
      <c r="BI64" s="90"/>
      <c r="BJ64" s="90"/>
      <c r="BK64" s="90"/>
      <c r="BL64" s="90"/>
      <c r="BM64" s="90"/>
      <c r="BN64" s="90">
        <f>SUM(BE64:BM64)</f>
        <v>9673076.9230769239</v>
      </c>
      <c r="BO64" s="546">
        <f>AJ64+AT64+BD64+BN64</f>
        <v>1277673076.9230769</v>
      </c>
    </row>
    <row r="65" spans="1:68" ht="24.75" customHeight="1" x14ac:dyDescent="0.2">
      <c r="A65" s="547"/>
      <c r="B65" s="69"/>
      <c r="C65" s="136"/>
      <c r="D65" s="136"/>
      <c r="E65" s="57">
        <v>9</v>
      </c>
      <c r="F65" s="58" t="s">
        <v>181</v>
      </c>
      <c r="G65" s="182"/>
      <c r="H65" s="182"/>
      <c r="I65" s="183"/>
      <c r="J65" s="184"/>
      <c r="K65" s="96"/>
      <c r="L65" s="60"/>
      <c r="M65" s="60"/>
      <c r="N65" s="97"/>
      <c r="O65" s="96"/>
      <c r="P65" s="96"/>
      <c r="Q65" s="98"/>
      <c r="R65" s="96"/>
      <c r="S65" s="503"/>
      <c r="T65" s="96"/>
      <c r="U65" s="96"/>
      <c r="V65" s="60"/>
      <c r="W65" s="60"/>
      <c r="X65" s="99"/>
      <c r="Y65" s="57"/>
      <c r="Z65" s="60"/>
      <c r="AA65" s="100">
        <f t="shared" ref="AA65:AC65" si="75">SUM(AA66:AA69)</f>
        <v>0</v>
      </c>
      <c r="AB65" s="100">
        <f t="shared" si="75"/>
        <v>0</v>
      </c>
      <c r="AC65" s="100">
        <f t="shared" si="75"/>
        <v>80000000</v>
      </c>
      <c r="AD65" s="100">
        <f t="shared" ref="AD65:AI65" si="76">SUM(AD66:AD69)</f>
        <v>0</v>
      </c>
      <c r="AE65" s="100">
        <f t="shared" si="76"/>
        <v>0</v>
      </c>
      <c r="AF65" s="100">
        <f t="shared" si="76"/>
        <v>0</v>
      </c>
      <c r="AG65" s="100">
        <f t="shared" si="76"/>
        <v>0</v>
      </c>
      <c r="AH65" s="100">
        <f t="shared" si="76"/>
        <v>0</v>
      </c>
      <c r="AI65" s="100">
        <f t="shared" si="76"/>
        <v>0</v>
      </c>
      <c r="AJ65" s="101">
        <f>SUM(AJ66:AJ69)</f>
        <v>80000000</v>
      </c>
      <c r="AK65" s="100">
        <f t="shared" ref="AK65:AT65" si="77">SUM(AK66:AK69)</f>
        <v>0</v>
      </c>
      <c r="AL65" s="100">
        <f t="shared" si="77"/>
        <v>0</v>
      </c>
      <c r="AM65" s="100">
        <f t="shared" si="77"/>
        <v>70000000</v>
      </c>
      <c r="AN65" s="100">
        <f t="shared" si="77"/>
        <v>0</v>
      </c>
      <c r="AO65" s="100">
        <f t="shared" si="77"/>
        <v>0</v>
      </c>
      <c r="AP65" s="100">
        <f t="shared" si="77"/>
        <v>0</v>
      </c>
      <c r="AQ65" s="100">
        <f t="shared" si="77"/>
        <v>0</v>
      </c>
      <c r="AR65" s="100">
        <f t="shared" si="77"/>
        <v>0</v>
      </c>
      <c r="AS65" s="100">
        <f t="shared" si="77"/>
        <v>0</v>
      </c>
      <c r="AT65" s="100">
        <f t="shared" si="77"/>
        <v>70000000</v>
      </c>
      <c r="AU65" s="102"/>
      <c r="AV65" s="102"/>
      <c r="AW65" s="102"/>
      <c r="AX65" s="102"/>
      <c r="AY65" s="102"/>
      <c r="AZ65" s="102"/>
      <c r="BA65" s="102"/>
      <c r="BB65" s="102"/>
      <c r="BC65" s="102"/>
      <c r="BD65" s="100">
        <f t="shared" ref="BD65" si="78">SUM(BD66:BD69)</f>
        <v>20000000</v>
      </c>
      <c r="BE65" s="102"/>
      <c r="BF65" s="102"/>
      <c r="BG65" s="102"/>
      <c r="BH65" s="102"/>
      <c r="BI65" s="102"/>
      <c r="BJ65" s="102"/>
      <c r="BK65" s="102"/>
      <c r="BL65" s="102"/>
      <c r="BM65" s="102"/>
      <c r="BN65" s="100">
        <f t="shared" ref="BN65:BO65" si="79">SUM(BN66:BN69)</f>
        <v>10000000</v>
      </c>
      <c r="BO65" s="560">
        <f t="shared" si="79"/>
        <v>180000000</v>
      </c>
    </row>
    <row r="66" spans="1:68" ht="44.25" customHeight="1" x14ac:dyDescent="0.2">
      <c r="A66" s="545">
        <v>45</v>
      </c>
      <c r="B66" s="69">
        <v>2</v>
      </c>
      <c r="C66" s="136"/>
      <c r="D66" s="136"/>
      <c r="E66" s="478"/>
      <c r="F66" s="461"/>
      <c r="G66" s="480"/>
      <c r="H66" s="480"/>
      <c r="I66" s="72">
        <v>43</v>
      </c>
      <c r="J66" s="73" t="s">
        <v>182</v>
      </c>
      <c r="K66" s="70" t="s">
        <v>183</v>
      </c>
      <c r="L66" s="74" t="s">
        <v>121</v>
      </c>
      <c r="M66" s="74">
        <v>13</v>
      </c>
      <c r="N66" s="88" t="s">
        <v>69</v>
      </c>
      <c r="O66" s="76" t="s">
        <v>49</v>
      </c>
      <c r="P66" s="76">
        <v>12</v>
      </c>
      <c r="Q66" s="89">
        <v>3</v>
      </c>
      <c r="R66" s="89">
        <v>3</v>
      </c>
      <c r="S66" s="500"/>
      <c r="T66" s="89">
        <v>3</v>
      </c>
      <c r="U66" s="89"/>
      <c r="V66" s="89">
        <v>3</v>
      </c>
      <c r="W66" s="110"/>
      <c r="X66" s="121">
        <f>AJ66/$AJ$65</f>
        <v>0.125</v>
      </c>
      <c r="Y66" s="78">
        <v>8</v>
      </c>
      <c r="Z66" s="81" t="s">
        <v>131</v>
      </c>
      <c r="AA66" s="447"/>
      <c r="AB66" s="82"/>
      <c r="AC66" s="82">
        <v>10000000</v>
      </c>
      <c r="AD66" s="82"/>
      <c r="AE66" s="82"/>
      <c r="AF66" s="82"/>
      <c r="AG66" s="82"/>
      <c r="AH66" s="82"/>
      <c r="AI66" s="82"/>
      <c r="AJ66" s="82">
        <f>+AA66+AB66+AC66+AD66+AE66+AF66+AG66+AH66+AI66</f>
        <v>10000000</v>
      </c>
      <c r="AK66" s="90"/>
      <c r="AL66" s="90"/>
      <c r="AM66" s="455">
        <v>15000000</v>
      </c>
      <c r="AN66" s="90"/>
      <c r="AO66" s="90"/>
      <c r="AP66" s="90"/>
      <c r="AQ66" s="90"/>
      <c r="AR66" s="90"/>
      <c r="AS66" s="90"/>
      <c r="AT66" s="84">
        <f>AK66+AL66+AM66+AN66+AO66+AP66+AQ66+AR66+AS66</f>
        <v>15000000</v>
      </c>
      <c r="AU66" s="455"/>
      <c r="AV66" s="455"/>
      <c r="AW66" s="455">
        <v>5000000</v>
      </c>
      <c r="AX66" s="455"/>
      <c r="AY66" s="455"/>
      <c r="AZ66" s="455"/>
      <c r="BA66" s="455"/>
      <c r="BB66" s="455"/>
      <c r="BC66" s="455"/>
      <c r="BD66" s="455">
        <f>SUM(AU66:BC66)</f>
        <v>5000000</v>
      </c>
      <c r="BE66" s="90"/>
      <c r="BF66" s="90"/>
      <c r="BG66" s="90">
        <v>2000000</v>
      </c>
      <c r="BH66" s="90"/>
      <c r="BI66" s="90"/>
      <c r="BJ66" s="90"/>
      <c r="BK66" s="90"/>
      <c r="BL66" s="90"/>
      <c r="BM66" s="90"/>
      <c r="BN66" s="90">
        <f>SUM(BE66:BM66)</f>
        <v>2000000</v>
      </c>
      <c r="BO66" s="546">
        <f>AJ66+AT66+BD66+BN66</f>
        <v>32000000</v>
      </c>
    </row>
    <row r="67" spans="1:68" ht="120.75" customHeight="1" x14ac:dyDescent="0.2">
      <c r="A67" s="547">
        <v>46</v>
      </c>
      <c r="B67" s="69">
        <v>2</v>
      </c>
      <c r="C67" s="136"/>
      <c r="D67" s="136"/>
      <c r="E67" s="451">
        <v>5</v>
      </c>
      <c r="F67" s="178" t="s">
        <v>116</v>
      </c>
      <c r="G67" s="171" t="s">
        <v>117</v>
      </c>
      <c r="H67" s="171" t="s">
        <v>118</v>
      </c>
      <c r="I67" s="72">
        <v>44</v>
      </c>
      <c r="J67" s="73" t="s">
        <v>936</v>
      </c>
      <c r="K67" s="70" t="s">
        <v>184</v>
      </c>
      <c r="L67" s="74" t="s">
        <v>121</v>
      </c>
      <c r="M67" s="74">
        <v>13</v>
      </c>
      <c r="N67" s="88" t="s">
        <v>54</v>
      </c>
      <c r="O67" s="76">
        <v>0</v>
      </c>
      <c r="P67" s="76">
        <v>1</v>
      </c>
      <c r="Q67" s="89">
        <v>1</v>
      </c>
      <c r="R67" s="89">
        <v>1</v>
      </c>
      <c r="S67" s="500"/>
      <c r="T67" s="89">
        <v>1</v>
      </c>
      <c r="U67" s="89"/>
      <c r="V67" s="89">
        <v>1</v>
      </c>
      <c r="W67" s="110"/>
      <c r="X67" s="121">
        <f>AJ67/$AJ$65</f>
        <v>0.125</v>
      </c>
      <c r="Y67" s="78">
        <v>8</v>
      </c>
      <c r="Z67" s="81" t="s">
        <v>131</v>
      </c>
      <c r="AA67" s="447"/>
      <c r="AB67" s="82"/>
      <c r="AC67" s="553">
        <v>10000000</v>
      </c>
      <c r="AD67" s="185"/>
      <c r="AE67" s="108"/>
      <c r="AF67" s="82"/>
      <c r="AG67" s="82"/>
      <c r="AH67" s="82"/>
      <c r="AI67" s="82"/>
      <c r="AJ67" s="82">
        <f>+AA67+AB67+AC67+AD67+AE67+AF67+AG67+AH67+AI67</f>
        <v>10000000</v>
      </c>
      <c r="AK67" s="90"/>
      <c r="AL67" s="90"/>
      <c r="AM67" s="455">
        <v>15000000</v>
      </c>
      <c r="AN67" s="90"/>
      <c r="AO67" s="90"/>
      <c r="AP67" s="90"/>
      <c r="AQ67" s="90"/>
      <c r="AR67" s="90"/>
      <c r="AS67" s="90"/>
      <c r="AT67" s="84">
        <f>AK67+AL67+AM67+AN67+AO67+AP67+AQ67+AR67+AS67</f>
        <v>15000000</v>
      </c>
      <c r="AU67" s="455"/>
      <c r="AV67" s="455"/>
      <c r="AW67" s="455">
        <v>5000000</v>
      </c>
      <c r="AX67" s="455"/>
      <c r="AY67" s="455"/>
      <c r="AZ67" s="455"/>
      <c r="BA67" s="455"/>
      <c r="BB67" s="455"/>
      <c r="BC67" s="455"/>
      <c r="BD67" s="455">
        <f>SUM(AU67:BC67)</f>
        <v>5000000</v>
      </c>
      <c r="BE67" s="90"/>
      <c r="BF67" s="90"/>
      <c r="BG67" s="90">
        <v>2000000</v>
      </c>
      <c r="BH67" s="90"/>
      <c r="BI67" s="90"/>
      <c r="BJ67" s="90"/>
      <c r="BK67" s="90"/>
      <c r="BL67" s="90"/>
      <c r="BM67" s="90"/>
      <c r="BN67" s="90">
        <f>SUM(BE67:BM67)</f>
        <v>2000000</v>
      </c>
      <c r="BO67" s="546">
        <f>AJ67+AT67+BD67+BN67</f>
        <v>32000000</v>
      </c>
    </row>
    <row r="68" spans="1:68" ht="105.75" customHeight="1" x14ac:dyDescent="0.2">
      <c r="A68" s="545">
        <v>47</v>
      </c>
      <c r="B68" s="69">
        <v>2</v>
      </c>
      <c r="C68" s="136"/>
      <c r="D68" s="136"/>
      <c r="E68" s="93">
        <v>6</v>
      </c>
      <c r="F68" s="70" t="s">
        <v>158</v>
      </c>
      <c r="G68" s="87" t="s">
        <v>123</v>
      </c>
      <c r="H68" s="87" t="s">
        <v>124</v>
      </c>
      <c r="I68" s="72">
        <v>45</v>
      </c>
      <c r="J68" s="73" t="s">
        <v>185</v>
      </c>
      <c r="K68" s="70" t="s">
        <v>183</v>
      </c>
      <c r="L68" s="74" t="s">
        <v>121</v>
      </c>
      <c r="M68" s="74">
        <v>13</v>
      </c>
      <c r="N68" s="88" t="s">
        <v>69</v>
      </c>
      <c r="O68" s="76" t="s">
        <v>49</v>
      </c>
      <c r="P68" s="76">
        <v>12</v>
      </c>
      <c r="Q68" s="89">
        <v>2</v>
      </c>
      <c r="R68" s="89">
        <v>3</v>
      </c>
      <c r="S68" s="500"/>
      <c r="T68" s="89">
        <v>3</v>
      </c>
      <c r="U68" s="89"/>
      <c r="V68" s="89">
        <v>4</v>
      </c>
      <c r="W68" s="110"/>
      <c r="X68" s="121">
        <f>AJ68/$AJ$65</f>
        <v>0.25</v>
      </c>
      <c r="Y68" s="78">
        <v>8</v>
      </c>
      <c r="Z68" s="81" t="s">
        <v>131</v>
      </c>
      <c r="AA68" s="447"/>
      <c r="AB68" s="82"/>
      <c r="AC68" s="185">
        <v>20000000</v>
      </c>
      <c r="AD68" s="185"/>
      <c r="AE68" s="108"/>
      <c r="AF68" s="82"/>
      <c r="AG68" s="82"/>
      <c r="AH68" s="82"/>
      <c r="AI68" s="82"/>
      <c r="AJ68" s="82">
        <f>+AA68+AB68+AC68+AD68+AE68+AF68+AG68+AH68+AI68</f>
        <v>20000000</v>
      </c>
      <c r="AK68" s="90"/>
      <c r="AL68" s="90"/>
      <c r="AM68" s="455">
        <v>15000000</v>
      </c>
      <c r="AN68" s="90"/>
      <c r="AO68" s="90"/>
      <c r="AP68" s="90"/>
      <c r="AQ68" s="90"/>
      <c r="AR68" s="90"/>
      <c r="AS68" s="90"/>
      <c r="AT68" s="84">
        <f>AK68+AL68+AM68+AN68+AO68+AP68+AQ68+AR68+AS68</f>
        <v>15000000</v>
      </c>
      <c r="AU68" s="455"/>
      <c r="AV68" s="455"/>
      <c r="AW68" s="455">
        <v>5000000</v>
      </c>
      <c r="AX68" s="455"/>
      <c r="AY68" s="455"/>
      <c r="AZ68" s="455"/>
      <c r="BA68" s="455"/>
      <c r="BB68" s="455"/>
      <c r="BC68" s="455"/>
      <c r="BD68" s="455">
        <f>SUM(AU68:BC68)</f>
        <v>5000000</v>
      </c>
      <c r="BE68" s="90"/>
      <c r="BF68" s="90"/>
      <c r="BG68" s="90">
        <v>2000000</v>
      </c>
      <c r="BH68" s="90"/>
      <c r="BI68" s="90"/>
      <c r="BJ68" s="90"/>
      <c r="BK68" s="90"/>
      <c r="BL68" s="90"/>
      <c r="BM68" s="90"/>
      <c r="BN68" s="90">
        <f>SUM(BE68:BM68)</f>
        <v>2000000</v>
      </c>
      <c r="BO68" s="546">
        <f>AJ68+AT68+BD68+BN68</f>
        <v>42000000</v>
      </c>
    </row>
    <row r="69" spans="1:68" ht="68.25" customHeight="1" x14ac:dyDescent="0.2">
      <c r="A69" s="547">
        <v>48</v>
      </c>
      <c r="B69" s="69">
        <v>2</v>
      </c>
      <c r="C69" s="136"/>
      <c r="D69" s="136"/>
      <c r="E69" s="451">
        <v>7</v>
      </c>
      <c r="F69" s="119" t="s">
        <v>146</v>
      </c>
      <c r="G69" s="114" t="s">
        <v>128</v>
      </c>
      <c r="H69" s="173">
        <v>0.27</v>
      </c>
      <c r="I69" s="72">
        <v>46</v>
      </c>
      <c r="J69" s="73" t="s">
        <v>186</v>
      </c>
      <c r="K69" s="70" t="s">
        <v>187</v>
      </c>
      <c r="L69" s="74" t="s">
        <v>121</v>
      </c>
      <c r="M69" s="74">
        <v>13</v>
      </c>
      <c r="N69" s="88" t="s">
        <v>54</v>
      </c>
      <c r="O69" s="76">
        <v>0</v>
      </c>
      <c r="P69" s="89">
        <v>1</v>
      </c>
      <c r="Q69" s="89">
        <v>1</v>
      </c>
      <c r="R69" s="89">
        <v>1</v>
      </c>
      <c r="S69" s="500"/>
      <c r="T69" s="89">
        <v>1</v>
      </c>
      <c r="U69" s="89"/>
      <c r="V69" s="89">
        <v>1</v>
      </c>
      <c r="W69" s="110"/>
      <c r="X69" s="121">
        <f>AJ69/$AJ$65</f>
        <v>0.5</v>
      </c>
      <c r="Y69" s="78">
        <v>1</v>
      </c>
      <c r="Z69" s="78" t="s">
        <v>188</v>
      </c>
      <c r="AA69" s="447"/>
      <c r="AB69" s="82"/>
      <c r="AC69" s="185">
        <v>40000000</v>
      </c>
      <c r="AD69" s="185"/>
      <c r="AE69" s="108"/>
      <c r="AF69" s="82"/>
      <c r="AG69" s="82"/>
      <c r="AH69" s="82"/>
      <c r="AI69" s="82"/>
      <c r="AJ69" s="82">
        <f>+AA69+AB69+AC69+AD69+AE69+AF69+AG69+AH69+AI69</f>
        <v>40000000</v>
      </c>
      <c r="AK69" s="90"/>
      <c r="AL69" s="90"/>
      <c r="AM69" s="455">
        <v>25000000</v>
      </c>
      <c r="AN69" s="90"/>
      <c r="AO69" s="90"/>
      <c r="AP69" s="90"/>
      <c r="AQ69" s="90"/>
      <c r="AR69" s="90"/>
      <c r="AS69" s="90"/>
      <c r="AT69" s="84">
        <f>AK69+AL69+AM69+AN69+AO69+AP69+AQ69+AR69+AS69</f>
        <v>25000000</v>
      </c>
      <c r="AU69" s="455"/>
      <c r="AV69" s="455"/>
      <c r="AW69" s="455">
        <v>5000000</v>
      </c>
      <c r="AX69" s="455"/>
      <c r="AY69" s="455"/>
      <c r="AZ69" s="455"/>
      <c r="BA69" s="455"/>
      <c r="BB69" s="455"/>
      <c r="BC69" s="455"/>
      <c r="BD69" s="455">
        <f>SUM(AU69:BC69)</f>
        <v>5000000</v>
      </c>
      <c r="BE69" s="90"/>
      <c r="BF69" s="90"/>
      <c r="BG69" s="90">
        <v>4000000</v>
      </c>
      <c r="BH69" s="90"/>
      <c r="BI69" s="90"/>
      <c r="BJ69" s="90"/>
      <c r="BK69" s="90"/>
      <c r="BL69" s="90"/>
      <c r="BM69" s="90"/>
      <c r="BN69" s="90">
        <f>SUM(BE69:BM69)</f>
        <v>4000000</v>
      </c>
      <c r="BO69" s="546">
        <f>AJ69+AT69+BD69+BN69</f>
        <v>74000000</v>
      </c>
    </row>
    <row r="70" spans="1:68" ht="24.75" customHeight="1" x14ac:dyDescent="0.2">
      <c r="A70" s="547"/>
      <c r="B70" s="69"/>
      <c r="C70" s="136"/>
      <c r="D70" s="136"/>
      <c r="E70" s="57">
        <v>10</v>
      </c>
      <c r="F70" s="186" t="s">
        <v>189</v>
      </c>
      <c r="G70" s="60"/>
      <c r="H70" s="103"/>
      <c r="I70" s="60"/>
      <c r="J70" s="103"/>
      <c r="K70" s="103"/>
      <c r="L70" s="60"/>
      <c r="M70" s="60"/>
      <c r="N70" s="187"/>
      <c r="O70" s="188"/>
      <c r="P70" s="188"/>
      <c r="Q70" s="187"/>
      <c r="R70" s="188"/>
      <c r="S70" s="508"/>
      <c r="T70" s="188"/>
      <c r="U70" s="188"/>
      <c r="V70" s="188"/>
      <c r="W70" s="188"/>
      <c r="X70" s="99"/>
      <c r="Y70" s="188"/>
      <c r="Z70" s="188"/>
      <c r="AA70" s="100">
        <f t="shared" ref="AA70:AI70" si="80">SUM(AA71:AA73)</f>
        <v>0</v>
      </c>
      <c r="AB70" s="100">
        <f t="shared" si="80"/>
        <v>0</v>
      </c>
      <c r="AC70" s="100">
        <f t="shared" si="80"/>
        <v>80000000</v>
      </c>
      <c r="AD70" s="100">
        <f t="shared" si="80"/>
        <v>0</v>
      </c>
      <c r="AE70" s="100">
        <f t="shared" si="80"/>
        <v>0</v>
      </c>
      <c r="AF70" s="100">
        <f t="shared" si="80"/>
        <v>0</v>
      </c>
      <c r="AG70" s="100">
        <f t="shared" si="80"/>
        <v>0</v>
      </c>
      <c r="AH70" s="100">
        <f t="shared" si="80"/>
        <v>0</v>
      </c>
      <c r="AI70" s="100">
        <f t="shared" si="80"/>
        <v>2000000000</v>
      </c>
      <c r="AJ70" s="101">
        <f>SUM(AJ71:AJ73)</f>
        <v>2080000000</v>
      </c>
      <c r="AK70" s="100">
        <f t="shared" ref="AK70:BD70" si="81">SUM(AK71:AK73)</f>
        <v>0</v>
      </c>
      <c r="AL70" s="100">
        <f t="shared" si="81"/>
        <v>0</v>
      </c>
      <c r="AM70" s="100">
        <f t="shared" si="81"/>
        <v>90000000</v>
      </c>
      <c r="AN70" s="100">
        <f t="shared" si="81"/>
        <v>0</v>
      </c>
      <c r="AO70" s="100">
        <f t="shared" si="81"/>
        <v>0</v>
      </c>
      <c r="AP70" s="100">
        <f t="shared" si="81"/>
        <v>0</v>
      </c>
      <c r="AQ70" s="100">
        <f t="shared" si="81"/>
        <v>0</v>
      </c>
      <c r="AR70" s="100">
        <f t="shared" si="81"/>
        <v>0</v>
      </c>
      <c r="AS70" s="100">
        <f t="shared" si="81"/>
        <v>0</v>
      </c>
      <c r="AT70" s="100">
        <f t="shared" si="81"/>
        <v>90000000</v>
      </c>
      <c r="AU70" s="100"/>
      <c r="AV70" s="100"/>
      <c r="AW70" s="100"/>
      <c r="AX70" s="100"/>
      <c r="AY70" s="100"/>
      <c r="AZ70" s="100"/>
      <c r="BA70" s="100"/>
      <c r="BB70" s="100"/>
      <c r="BC70" s="100"/>
      <c r="BD70" s="100">
        <f t="shared" si="81"/>
        <v>30000000</v>
      </c>
      <c r="BE70" s="102"/>
      <c r="BF70" s="102"/>
      <c r="BG70" s="102"/>
      <c r="BH70" s="102"/>
      <c r="BI70" s="102"/>
      <c r="BJ70" s="102"/>
      <c r="BK70" s="102"/>
      <c r="BL70" s="102"/>
      <c r="BM70" s="102"/>
      <c r="BN70" s="100">
        <f t="shared" ref="BN70:BO70" si="82">SUM(BN71:BN73)</f>
        <v>15000000</v>
      </c>
      <c r="BO70" s="560">
        <f t="shared" si="82"/>
        <v>2215000000</v>
      </c>
    </row>
    <row r="71" spans="1:68" ht="177.75" customHeight="1" x14ac:dyDescent="0.2">
      <c r="A71" s="545">
        <v>49</v>
      </c>
      <c r="B71" s="69">
        <v>2</v>
      </c>
      <c r="C71" s="136"/>
      <c r="D71" s="136"/>
      <c r="E71" s="93">
        <v>5</v>
      </c>
      <c r="F71" s="189" t="s">
        <v>116</v>
      </c>
      <c r="G71" s="190" t="s">
        <v>117</v>
      </c>
      <c r="H71" s="190" t="s">
        <v>118</v>
      </c>
      <c r="I71" s="78">
        <v>47</v>
      </c>
      <c r="J71" s="70" t="s">
        <v>190</v>
      </c>
      <c r="K71" s="70" t="s">
        <v>191</v>
      </c>
      <c r="L71" s="75" t="s">
        <v>121</v>
      </c>
      <c r="M71" s="75">
        <v>13</v>
      </c>
      <c r="N71" s="431" t="s">
        <v>69</v>
      </c>
      <c r="O71" s="422">
        <v>0</v>
      </c>
      <c r="P71" s="422">
        <v>48</v>
      </c>
      <c r="Q71" s="76">
        <v>12</v>
      </c>
      <c r="R71" s="76">
        <v>24</v>
      </c>
      <c r="S71" s="500"/>
      <c r="T71" s="76">
        <v>36</v>
      </c>
      <c r="U71" s="76"/>
      <c r="V71" s="76">
        <v>48</v>
      </c>
      <c r="W71" s="88"/>
      <c r="X71" s="191">
        <f>AJ71/$AJ$70</f>
        <v>0.99519230769230771</v>
      </c>
      <c r="Y71" s="78">
        <v>12</v>
      </c>
      <c r="Z71" s="75" t="s">
        <v>70</v>
      </c>
      <c r="AA71" s="118"/>
      <c r="AB71" s="118"/>
      <c r="AC71" s="118">
        <v>70000000</v>
      </c>
      <c r="AD71" s="118"/>
      <c r="AE71" s="118"/>
      <c r="AF71" s="118"/>
      <c r="AG71" s="118"/>
      <c r="AH71" s="118"/>
      <c r="AI71" s="118">
        <v>2000000000</v>
      </c>
      <c r="AJ71" s="118">
        <f>+AA71+AB71+AC71+AD71+AE71+AF71+AG71+AH71+AI71</f>
        <v>2070000000</v>
      </c>
      <c r="AK71" s="90"/>
      <c r="AL71" s="90"/>
      <c r="AM71" s="455">
        <v>78750000</v>
      </c>
      <c r="AN71" s="90"/>
      <c r="AO71" s="90"/>
      <c r="AP71" s="90"/>
      <c r="AQ71" s="90"/>
      <c r="AR71" s="90"/>
      <c r="AS71" s="90"/>
      <c r="AT71" s="84">
        <f>AK71+AL71+AM71+AN71+AO71+AP71+AQ71+AR71+AS71</f>
        <v>78750000</v>
      </c>
      <c r="AU71" s="455"/>
      <c r="AV71" s="455"/>
      <c r="AW71" s="455">
        <v>25000000</v>
      </c>
      <c r="AX71" s="455"/>
      <c r="AY71" s="455"/>
      <c r="AZ71" s="455"/>
      <c r="BA71" s="455"/>
      <c r="BB71" s="455"/>
      <c r="BC71" s="455"/>
      <c r="BD71" s="455">
        <f>SUM(AU71:BC71)</f>
        <v>25000000</v>
      </c>
      <c r="BE71" s="90"/>
      <c r="BF71" s="90"/>
      <c r="BG71" s="90">
        <v>13000000</v>
      </c>
      <c r="BH71" s="90"/>
      <c r="BI71" s="90"/>
      <c r="BJ71" s="90"/>
      <c r="BK71" s="90"/>
      <c r="BL71" s="90"/>
      <c r="BM71" s="90"/>
      <c r="BN71" s="90">
        <f>SUM(BE71:BM71)</f>
        <v>13000000</v>
      </c>
      <c r="BO71" s="546">
        <f>AJ71+AT71+BD71+BN71</f>
        <v>2186750000</v>
      </c>
      <c r="BP71" s="3"/>
    </row>
    <row r="72" spans="1:68" ht="146.25" customHeight="1" x14ac:dyDescent="0.2">
      <c r="A72" s="547">
        <v>50</v>
      </c>
      <c r="B72" s="69">
        <v>2</v>
      </c>
      <c r="C72" s="136"/>
      <c r="D72" s="136"/>
      <c r="E72" s="93">
        <v>6</v>
      </c>
      <c r="F72" s="70" t="s">
        <v>158</v>
      </c>
      <c r="G72" s="87" t="s">
        <v>123</v>
      </c>
      <c r="H72" s="87" t="s">
        <v>124</v>
      </c>
      <c r="I72" s="77">
        <v>48</v>
      </c>
      <c r="J72" s="73" t="s">
        <v>192</v>
      </c>
      <c r="K72" s="70" t="s">
        <v>193</v>
      </c>
      <c r="L72" s="74" t="s">
        <v>121</v>
      </c>
      <c r="M72" s="74">
        <v>13</v>
      </c>
      <c r="N72" s="88" t="s">
        <v>54</v>
      </c>
      <c r="O72" s="76">
        <v>0</v>
      </c>
      <c r="P72" s="76">
        <v>1</v>
      </c>
      <c r="Q72" s="89">
        <v>1</v>
      </c>
      <c r="R72" s="76">
        <v>1</v>
      </c>
      <c r="S72" s="500"/>
      <c r="T72" s="76">
        <v>1</v>
      </c>
      <c r="U72" s="76"/>
      <c r="V72" s="76">
        <v>1</v>
      </c>
      <c r="W72" s="88"/>
      <c r="X72" s="121">
        <f>AJ72/$AJ$70</f>
        <v>2.403846153846154E-3</v>
      </c>
      <c r="Y72" s="78">
        <v>8</v>
      </c>
      <c r="Z72" s="75" t="s">
        <v>131</v>
      </c>
      <c r="AA72" s="82"/>
      <c r="AB72" s="82"/>
      <c r="AC72" s="82">
        <v>5000000</v>
      </c>
      <c r="AD72" s="82"/>
      <c r="AE72" s="82"/>
      <c r="AF72" s="82"/>
      <c r="AG72" s="82"/>
      <c r="AH72" s="82"/>
      <c r="AI72" s="82"/>
      <c r="AJ72" s="82">
        <f>+AA72+AB72+AC72+AD72+AE72+AF72+AG72+AH72+AI72</f>
        <v>5000000</v>
      </c>
      <c r="AK72" s="90"/>
      <c r="AL72" s="90"/>
      <c r="AM72" s="455">
        <v>5625000</v>
      </c>
      <c r="AN72" s="90"/>
      <c r="AO72" s="90"/>
      <c r="AP72" s="90"/>
      <c r="AQ72" s="90"/>
      <c r="AR72" s="90"/>
      <c r="AS72" s="90"/>
      <c r="AT72" s="84">
        <f>AK72+AL72+AM72+AN72+AO72+AP72+AQ72+AR72+AS72</f>
        <v>5625000</v>
      </c>
      <c r="AU72" s="455"/>
      <c r="AV72" s="455"/>
      <c r="AW72" s="455">
        <v>2500000</v>
      </c>
      <c r="AX72" s="455"/>
      <c r="AY72" s="455"/>
      <c r="AZ72" s="455"/>
      <c r="BA72" s="455"/>
      <c r="BB72" s="455"/>
      <c r="BC72" s="455"/>
      <c r="BD72" s="455">
        <f>SUM(AU72:BC72)</f>
        <v>2500000</v>
      </c>
      <c r="BE72" s="90"/>
      <c r="BF72" s="90"/>
      <c r="BG72" s="90">
        <v>1000000</v>
      </c>
      <c r="BH72" s="90"/>
      <c r="BI72" s="90"/>
      <c r="BJ72" s="90"/>
      <c r="BK72" s="90"/>
      <c r="BL72" s="90"/>
      <c r="BM72" s="90"/>
      <c r="BN72" s="90">
        <f>SUM(BE72:BM72)</f>
        <v>1000000</v>
      </c>
      <c r="BO72" s="546">
        <f>AJ72+AT72+BD72+BN72</f>
        <v>14125000</v>
      </c>
    </row>
    <row r="73" spans="1:68" ht="92.25" customHeight="1" x14ac:dyDescent="0.2">
      <c r="A73" s="545">
        <v>51</v>
      </c>
      <c r="B73" s="69">
        <v>2</v>
      </c>
      <c r="C73" s="136"/>
      <c r="D73" s="192"/>
      <c r="E73" s="451">
        <v>7</v>
      </c>
      <c r="F73" s="119" t="s">
        <v>146</v>
      </c>
      <c r="G73" s="114" t="s">
        <v>128</v>
      </c>
      <c r="H73" s="173">
        <v>0.27</v>
      </c>
      <c r="I73" s="77">
        <v>49</v>
      </c>
      <c r="J73" s="73" t="s">
        <v>194</v>
      </c>
      <c r="K73" s="70" t="s">
        <v>195</v>
      </c>
      <c r="L73" s="74" t="s">
        <v>121</v>
      </c>
      <c r="M73" s="74">
        <v>13</v>
      </c>
      <c r="N73" s="88" t="s">
        <v>54</v>
      </c>
      <c r="O73" s="76">
        <v>0</v>
      </c>
      <c r="P73" s="76">
        <v>1</v>
      </c>
      <c r="Q73" s="89">
        <v>1</v>
      </c>
      <c r="R73" s="76">
        <v>1</v>
      </c>
      <c r="S73" s="500"/>
      <c r="T73" s="76">
        <v>1</v>
      </c>
      <c r="U73" s="76"/>
      <c r="V73" s="76">
        <v>1</v>
      </c>
      <c r="W73" s="88"/>
      <c r="X73" s="121">
        <f>AJ73/$AJ$70</f>
        <v>2.403846153846154E-3</v>
      </c>
      <c r="Y73" s="78">
        <v>9</v>
      </c>
      <c r="Z73" s="75" t="s">
        <v>176</v>
      </c>
      <c r="AA73" s="82"/>
      <c r="AB73" s="82"/>
      <c r="AC73" s="82">
        <v>5000000</v>
      </c>
      <c r="AD73" s="82"/>
      <c r="AE73" s="82"/>
      <c r="AF73" s="82"/>
      <c r="AG73" s="82"/>
      <c r="AH73" s="82"/>
      <c r="AI73" s="82"/>
      <c r="AJ73" s="82">
        <f>+AA73+AB73+AC73+AD73+AE73+AF73+AG73+AH73+AI73</f>
        <v>5000000</v>
      </c>
      <c r="AK73" s="90"/>
      <c r="AL73" s="90"/>
      <c r="AM73" s="455">
        <v>5625000</v>
      </c>
      <c r="AN73" s="90"/>
      <c r="AO73" s="90"/>
      <c r="AP73" s="90"/>
      <c r="AQ73" s="90"/>
      <c r="AR73" s="90"/>
      <c r="AS73" s="90"/>
      <c r="AT73" s="84">
        <f>AK73+AL73+AM73+AN73+AO73+AP73+AQ73+AR73+AS73</f>
        <v>5625000</v>
      </c>
      <c r="AU73" s="455"/>
      <c r="AV73" s="455"/>
      <c r="AW73" s="455">
        <v>2500000</v>
      </c>
      <c r="AX73" s="455"/>
      <c r="AY73" s="455"/>
      <c r="AZ73" s="455"/>
      <c r="BA73" s="455"/>
      <c r="BB73" s="455"/>
      <c r="BC73" s="455"/>
      <c r="BD73" s="455">
        <f>SUM(AU73:BC73)</f>
        <v>2500000</v>
      </c>
      <c r="BE73" s="90"/>
      <c r="BF73" s="90"/>
      <c r="BG73" s="90">
        <v>1000000</v>
      </c>
      <c r="BH73" s="90"/>
      <c r="BI73" s="90"/>
      <c r="BJ73" s="90"/>
      <c r="BK73" s="90"/>
      <c r="BL73" s="90"/>
      <c r="BM73" s="90"/>
      <c r="BN73" s="90">
        <f>SUM(BE73:BM73)</f>
        <v>1000000</v>
      </c>
      <c r="BO73" s="546">
        <f>AJ73+AT73+BD73+BN73</f>
        <v>14125000</v>
      </c>
    </row>
    <row r="74" spans="1:68" ht="24.75" customHeight="1" x14ac:dyDescent="0.2">
      <c r="A74" s="545"/>
      <c r="B74" s="69"/>
      <c r="C74" s="136"/>
      <c r="D74" s="43">
        <v>3</v>
      </c>
      <c r="E74" s="134" t="s">
        <v>196</v>
      </c>
      <c r="F74" s="45"/>
      <c r="G74" s="46"/>
      <c r="H74" s="46"/>
      <c r="I74" s="47"/>
      <c r="J74" s="48"/>
      <c r="K74" s="48"/>
      <c r="L74" s="49"/>
      <c r="M74" s="47"/>
      <c r="N74" s="50"/>
      <c r="O74" s="48"/>
      <c r="P74" s="48"/>
      <c r="Q74" s="51"/>
      <c r="R74" s="48"/>
      <c r="S74" s="498"/>
      <c r="T74" s="48"/>
      <c r="U74" s="48"/>
      <c r="V74" s="47"/>
      <c r="W74" s="47"/>
      <c r="X74" s="135"/>
      <c r="Y74" s="47"/>
      <c r="Z74" s="47"/>
      <c r="AA74" s="53">
        <f t="shared" ref="AA74:AI74" si="83">AA75+AA78+AA80</f>
        <v>0</v>
      </c>
      <c r="AB74" s="53">
        <f t="shared" si="83"/>
        <v>292360000</v>
      </c>
      <c r="AC74" s="53">
        <f t="shared" si="83"/>
        <v>203000000</v>
      </c>
      <c r="AD74" s="53">
        <f t="shared" si="83"/>
        <v>0</v>
      </c>
      <c r="AE74" s="53">
        <f t="shared" si="83"/>
        <v>0</v>
      </c>
      <c r="AF74" s="53">
        <f t="shared" si="83"/>
        <v>0</v>
      </c>
      <c r="AG74" s="53">
        <f t="shared" si="83"/>
        <v>0</v>
      </c>
      <c r="AH74" s="53">
        <f t="shared" si="83"/>
        <v>0</v>
      </c>
      <c r="AI74" s="53">
        <f t="shared" si="83"/>
        <v>3000000000</v>
      </c>
      <c r="AJ74" s="54">
        <f>AJ75+AJ78+AJ80</f>
        <v>3495360000</v>
      </c>
      <c r="AK74" s="53">
        <f t="shared" ref="AK74:AT74" si="84">AK75+AK78+AK80</f>
        <v>0</v>
      </c>
      <c r="AL74" s="53">
        <f t="shared" si="84"/>
        <v>386620800</v>
      </c>
      <c r="AM74" s="53">
        <f t="shared" si="84"/>
        <v>140000000</v>
      </c>
      <c r="AN74" s="53">
        <f t="shared" si="84"/>
        <v>0</v>
      </c>
      <c r="AO74" s="53">
        <f t="shared" si="84"/>
        <v>0</v>
      </c>
      <c r="AP74" s="53">
        <f t="shared" si="84"/>
        <v>0</v>
      </c>
      <c r="AQ74" s="53">
        <f t="shared" si="84"/>
        <v>0</v>
      </c>
      <c r="AR74" s="53">
        <f t="shared" si="84"/>
        <v>0</v>
      </c>
      <c r="AS74" s="53">
        <f t="shared" si="84"/>
        <v>0</v>
      </c>
      <c r="AT74" s="53">
        <f t="shared" si="84"/>
        <v>526620800</v>
      </c>
      <c r="AU74" s="55"/>
      <c r="AV74" s="55"/>
      <c r="AW74" s="55"/>
      <c r="AX74" s="55"/>
      <c r="AY74" s="55"/>
      <c r="AZ74" s="55"/>
      <c r="BA74" s="55"/>
      <c r="BB74" s="55"/>
      <c r="BC74" s="55"/>
      <c r="BD74" s="53">
        <f t="shared" ref="BD74" si="85">BD75+BD78+BD80</f>
        <v>448219424</v>
      </c>
      <c r="BE74" s="55"/>
      <c r="BF74" s="55"/>
      <c r="BG74" s="55"/>
      <c r="BH74" s="55"/>
      <c r="BI74" s="55"/>
      <c r="BJ74" s="55"/>
      <c r="BK74" s="55"/>
      <c r="BL74" s="55"/>
      <c r="BM74" s="55"/>
      <c r="BN74" s="53">
        <f t="shared" ref="BN74:BO74" si="86">BN75+BN78+BN80</f>
        <v>440166007</v>
      </c>
      <c r="BO74" s="543">
        <f t="shared" si="86"/>
        <v>4910366231</v>
      </c>
    </row>
    <row r="75" spans="1:68" ht="24.75" customHeight="1" x14ac:dyDescent="0.2">
      <c r="A75" s="545"/>
      <c r="B75" s="69"/>
      <c r="C75" s="136"/>
      <c r="D75" s="562"/>
      <c r="E75" s="57">
        <v>11</v>
      </c>
      <c r="F75" s="58" t="s">
        <v>197</v>
      </c>
      <c r="G75" s="95"/>
      <c r="H75" s="61"/>
      <c r="I75" s="60"/>
      <c r="J75" s="61"/>
      <c r="K75" s="61"/>
      <c r="L75" s="60"/>
      <c r="M75" s="62"/>
      <c r="N75" s="63"/>
      <c r="O75" s="61"/>
      <c r="P75" s="61"/>
      <c r="Q75" s="64"/>
      <c r="R75" s="61"/>
      <c r="S75" s="499"/>
      <c r="T75" s="61"/>
      <c r="U75" s="61"/>
      <c r="V75" s="62"/>
      <c r="W75" s="62"/>
      <c r="X75" s="137"/>
      <c r="Y75" s="62"/>
      <c r="Z75" s="62"/>
      <c r="AA75" s="66">
        <f t="shared" ref="AA75:AI75" si="87">SUM(AA76:AA77)</f>
        <v>0</v>
      </c>
      <c r="AB75" s="66">
        <f t="shared" si="87"/>
        <v>0</v>
      </c>
      <c r="AC75" s="66">
        <f t="shared" si="87"/>
        <v>40000000</v>
      </c>
      <c r="AD75" s="66">
        <f t="shared" si="87"/>
        <v>0</v>
      </c>
      <c r="AE75" s="66">
        <f t="shared" si="87"/>
        <v>0</v>
      </c>
      <c r="AF75" s="66">
        <f t="shared" si="87"/>
        <v>0</v>
      </c>
      <c r="AG75" s="66">
        <f t="shared" si="87"/>
        <v>0</v>
      </c>
      <c r="AH75" s="66">
        <f t="shared" si="87"/>
        <v>0</v>
      </c>
      <c r="AI75" s="66">
        <f t="shared" si="87"/>
        <v>1000000000</v>
      </c>
      <c r="AJ75" s="67">
        <f>SUM(AJ76:AJ77)</f>
        <v>1040000000</v>
      </c>
      <c r="AK75" s="66">
        <f t="shared" ref="AK75:AT75" si="88">SUM(AK76:AK77)</f>
        <v>0</v>
      </c>
      <c r="AL75" s="66">
        <f t="shared" si="88"/>
        <v>0</v>
      </c>
      <c r="AM75" s="66">
        <f t="shared" si="88"/>
        <v>50000000</v>
      </c>
      <c r="AN75" s="66">
        <f t="shared" si="88"/>
        <v>0</v>
      </c>
      <c r="AO75" s="66">
        <f t="shared" si="88"/>
        <v>0</v>
      </c>
      <c r="AP75" s="66">
        <f t="shared" si="88"/>
        <v>0</v>
      </c>
      <c r="AQ75" s="66">
        <f t="shared" si="88"/>
        <v>0</v>
      </c>
      <c r="AR75" s="66">
        <f t="shared" si="88"/>
        <v>0</v>
      </c>
      <c r="AS75" s="66">
        <f t="shared" si="88"/>
        <v>0</v>
      </c>
      <c r="AT75" s="66">
        <f t="shared" si="88"/>
        <v>50000000</v>
      </c>
      <c r="AU75" s="68"/>
      <c r="AV75" s="68"/>
      <c r="AW75" s="68"/>
      <c r="AX75" s="68"/>
      <c r="AY75" s="68"/>
      <c r="AZ75" s="68"/>
      <c r="BA75" s="68"/>
      <c r="BB75" s="68"/>
      <c r="BC75" s="68"/>
      <c r="BD75" s="66">
        <f t="shared" ref="BD75" si="89">SUM(BD76:BD77)</f>
        <v>20000000</v>
      </c>
      <c r="BE75" s="68"/>
      <c r="BF75" s="68"/>
      <c r="BG75" s="68"/>
      <c r="BH75" s="68"/>
      <c r="BI75" s="68"/>
      <c r="BJ75" s="68"/>
      <c r="BK75" s="68"/>
      <c r="BL75" s="68"/>
      <c r="BM75" s="68"/>
      <c r="BN75" s="66">
        <f t="shared" ref="BN75:BO75" si="90">SUM(BN76:BN77)</f>
        <v>10000000</v>
      </c>
      <c r="BO75" s="544">
        <f t="shared" si="90"/>
        <v>1120000000</v>
      </c>
    </row>
    <row r="76" spans="1:68" ht="104.25" customHeight="1" x14ac:dyDescent="0.2">
      <c r="A76" s="547">
        <v>52</v>
      </c>
      <c r="B76" s="69">
        <v>2</v>
      </c>
      <c r="C76" s="136"/>
      <c r="D76" s="136"/>
      <c r="E76" s="478">
        <v>8</v>
      </c>
      <c r="F76" s="439" t="s">
        <v>198</v>
      </c>
      <c r="G76" s="548">
        <v>665</v>
      </c>
      <c r="H76" s="548">
        <v>798</v>
      </c>
      <c r="I76" s="72">
        <v>50</v>
      </c>
      <c r="J76" s="73" t="s">
        <v>199</v>
      </c>
      <c r="K76" s="70" t="s">
        <v>200</v>
      </c>
      <c r="L76" s="74" t="s">
        <v>121</v>
      </c>
      <c r="M76" s="74">
        <v>13</v>
      </c>
      <c r="N76" s="483" t="s">
        <v>69</v>
      </c>
      <c r="O76" s="76" t="s">
        <v>49</v>
      </c>
      <c r="P76" s="76">
        <v>15</v>
      </c>
      <c r="Q76" s="551">
        <v>2</v>
      </c>
      <c r="R76" s="475">
        <v>5</v>
      </c>
      <c r="S76" s="500"/>
      <c r="T76" s="475">
        <v>5</v>
      </c>
      <c r="U76" s="475"/>
      <c r="V76" s="475">
        <v>3</v>
      </c>
      <c r="W76" s="483"/>
      <c r="X76" s="567">
        <f>AJ76/AJ75</f>
        <v>1</v>
      </c>
      <c r="Y76" s="77">
        <v>8</v>
      </c>
      <c r="Z76" s="568" t="s">
        <v>131</v>
      </c>
      <c r="AA76" s="569"/>
      <c r="AB76" s="569"/>
      <c r="AC76" s="569">
        <v>40000000</v>
      </c>
      <c r="AD76" s="569"/>
      <c r="AE76" s="569"/>
      <c r="AF76" s="569"/>
      <c r="AG76" s="569"/>
      <c r="AH76" s="569"/>
      <c r="AI76" s="569">
        <v>1000000000</v>
      </c>
      <c r="AJ76" s="82">
        <f>+AA76+AB76+AC76+AD76+AE76+AF76+AG76+AH76+AI76</f>
        <v>1040000000</v>
      </c>
      <c r="AK76" s="90"/>
      <c r="AL76" s="90"/>
      <c r="AM76" s="455">
        <v>40000000</v>
      </c>
      <c r="AN76" s="90"/>
      <c r="AO76" s="90"/>
      <c r="AP76" s="90"/>
      <c r="AQ76" s="90"/>
      <c r="AR76" s="90"/>
      <c r="AS76" s="90"/>
      <c r="AT76" s="84">
        <v>40000000</v>
      </c>
      <c r="AU76" s="455"/>
      <c r="AV76" s="455"/>
      <c r="AW76" s="455">
        <v>10000000</v>
      </c>
      <c r="AX76" s="455"/>
      <c r="AY76" s="455"/>
      <c r="AZ76" s="455"/>
      <c r="BA76" s="455"/>
      <c r="BB76" s="455"/>
      <c r="BC76" s="455"/>
      <c r="BD76" s="455">
        <f>SUM(AU76:BC76)</f>
        <v>10000000</v>
      </c>
      <c r="BE76" s="90"/>
      <c r="BF76" s="90"/>
      <c r="BG76" s="90">
        <v>5000000</v>
      </c>
      <c r="BH76" s="90"/>
      <c r="BI76" s="90"/>
      <c r="BJ76" s="90"/>
      <c r="BK76" s="90"/>
      <c r="BL76" s="90"/>
      <c r="BM76" s="90"/>
      <c r="BN76" s="90">
        <f>SUM(BE76:BM76)</f>
        <v>5000000</v>
      </c>
      <c r="BO76" s="546">
        <f>AJ76+AT76+BD76+BN76</f>
        <v>1095000000</v>
      </c>
    </row>
    <row r="77" spans="1:68" ht="81.75" customHeight="1" x14ac:dyDescent="0.2">
      <c r="A77" s="545">
        <v>53</v>
      </c>
      <c r="B77" s="69">
        <v>2</v>
      </c>
      <c r="C77" s="136"/>
      <c r="D77" s="136"/>
      <c r="E77" s="451"/>
      <c r="F77" s="529"/>
      <c r="G77" s="92"/>
      <c r="H77" s="92"/>
      <c r="I77" s="72">
        <v>51</v>
      </c>
      <c r="J77" s="73" t="s">
        <v>201</v>
      </c>
      <c r="K77" s="70" t="s">
        <v>202</v>
      </c>
      <c r="L77" s="74" t="s">
        <v>121</v>
      </c>
      <c r="M77" s="74">
        <v>13</v>
      </c>
      <c r="N77" s="110" t="s">
        <v>54</v>
      </c>
      <c r="O77" s="89">
        <v>0</v>
      </c>
      <c r="P77" s="89">
        <v>1</v>
      </c>
      <c r="Q77" s="89">
        <v>0</v>
      </c>
      <c r="R77" s="89">
        <v>1</v>
      </c>
      <c r="S77" s="500"/>
      <c r="T77" s="89">
        <v>1</v>
      </c>
      <c r="U77" s="89"/>
      <c r="V77" s="89">
        <v>1</v>
      </c>
      <c r="W77" s="110"/>
      <c r="X77" s="149"/>
      <c r="Y77" s="77">
        <v>12</v>
      </c>
      <c r="Z77" s="74" t="s">
        <v>70</v>
      </c>
      <c r="AA77" s="82"/>
      <c r="AB77" s="82"/>
      <c r="AC77" s="82"/>
      <c r="AD77" s="82"/>
      <c r="AE77" s="82"/>
      <c r="AF77" s="82"/>
      <c r="AG77" s="82"/>
      <c r="AH77" s="82"/>
      <c r="AI77" s="82"/>
      <c r="AJ77" s="82">
        <f>+AA77+AB77+AC77+AD77+AE77+AF77+AG77+AH77+AI77</f>
        <v>0</v>
      </c>
      <c r="AK77" s="158"/>
      <c r="AL77" s="158"/>
      <c r="AM77" s="455">
        <v>10000000</v>
      </c>
      <c r="AN77" s="90"/>
      <c r="AO77" s="158"/>
      <c r="AP77" s="158"/>
      <c r="AQ77" s="158"/>
      <c r="AR77" s="158"/>
      <c r="AS77" s="158"/>
      <c r="AT77" s="84">
        <v>10000000</v>
      </c>
      <c r="AU77" s="455"/>
      <c r="AV77" s="455"/>
      <c r="AW77" s="455">
        <v>10000000</v>
      </c>
      <c r="AX77" s="455"/>
      <c r="AY77" s="455"/>
      <c r="AZ77" s="455"/>
      <c r="BA77" s="455"/>
      <c r="BB77" s="455"/>
      <c r="BC77" s="455"/>
      <c r="BD77" s="455">
        <f>SUM(AU77:BC77)</f>
        <v>10000000</v>
      </c>
      <c r="BE77" s="90"/>
      <c r="BF77" s="90"/>
      <c r="BG77" s="90">
        <v>5000000</v>
      </c>
      <c r="BH77" s="90"/>
      <c r="BI77" s="90"/>
      <c r="BJ77" s="90"/>
      <c r="BK77" s="90"/>
      <c r="BL77" s="90"/>
      <c r="BM77" s="90"/>
      <c r="BN77" s="90">
        <f>SUM(BE77:BM77)</f>
        <v>5000000</v>
      </c>
      <c r="BO77" s="546">
        <f>AJ77+AT77+BD77+BN77</f>
        <v>25000000</v>
      </c>
    </row>
    <row r="78" spans="1:68" ht="36.75" customHeight="1" x14ac:dyDescent="0.2">
      <c r="A78" s="545"/>
      <c r="B78" s="69"/>
      <c r="C78" s="136"/>
      <c r="D78" s="136"/>
      <c r="E78" s="57">
        <v>12</v>
      </c>
      <c r="F78" s="58" t="s">
        <v>203</v>
      </c>
      <c r="G78" s="96"/>
      <c r="H78" s="96"/>
      <c r="I78" s="60"/>
      <c r="J78" s="96"/>
      <c r="K78" s="96"/>
      <c r="L78" s="60"/>
      <c r="M78" s="60"/>
      <c r="N78" s="97"/>
      <c r="O78" s="96"/>
      <c r="P78" s="96"/>
      <c r="Q78" s="98"/>
      <c r="R78" s="96"/>
      <c r="S78" s="503"/>
      <c r="T78" s="96"/>
      <c r="U78" s="96"/>
      <c r="V78" s="60"/>
      <c r="W78" s="60"/>
      <c r="X78" s="99"/>
      <c r="Y78" s="60"/>
      <c r="Z78" s="60"/>
      <c r="AA78" s="100">
        <f t="shared" ref="AA78:AI78" si="91">SUM(AA79)</f>
        <v>0</v>
      </c>
      <c r="AB78" s="100">
        <f t="shared" si="91"/>
        <v>0</v>
      </c>
      <c r="AC78" s="100">
        <f t="shared" si="91"/>
        <v>80000000</v>
      </c>
      <c r="AD78" s="100">
        <f t="shared" si="91"/>
        <v>0</v>
      </c>
      <c r="AE78" s="100">
        <f t="shared" si="91"/>
        <v>0</v>
      </c>
      <c r="AF78" s="100">
        <f t="shared" si="91"/>
        <v>0</v>
      </c>
      <c r="AG78" s="100">
        <f t="shared" si="91"/>
        <v>0</v>
      </c>
      <c r="AH78" s="100">
        <f t="shared" si="91"/>
        <v>0</v>
      </c>
      <c r="AI78" s="100">
        <f t="shared" si="91"/>
        <v>2000000000</v>
      </c>
      <c r="AJ78" s="100">
        <f>SUM(AJ79)</f>
        <v>2080000000</v>
      </c>
      <c r="AK78" s="101">
        <f t="shared" ref="AK78:AT78" si="92">SUM(AK79)</f>
        <v>0</v>
      </c>
      <c r="AL78" s="101">
        <f t="shared" si="92"/>
        <v>0</v>
      </c>
      <c r="AM78" s="101">
        <f t="shared" si="92"/>
        <v>90000000</v>
      </c>
      <c r="AN78" s="101">
        <f t="shared" si="92"/>
        <v>0</v>
      </c>
      <c r="AO78" s="101">
        <f t="shared" si="92"/>
        <v>0</v>
      </c>
      <c r="AP78" s="101">
        <f t="shared" si="92"/>
        <v>0</v>
      </c>
      <c r="AQ78" s="101">
        <f t="shared" si="92"/>
        <v>0</v>
      </c>
      <c r="AR78" s="101">
        <f t="shared" si="92"/>
        <v>0</v>
      </c>
      <c r="AS78" s="101">
        <f t="shared" si="92"/>
        <v>0</v>
      </c>
      <c r="AT78" s="101">
        <f t="shared" si="92"/>
        <v>90000000</v>
      </c>
      <c r="AU78" s="102"/>
      <c r="AV78" s="102"/>
      <c r="AW78" s="102"/>
      <c r="AX78" s="102"/>
      <c r="AY78" s="102"/>
      <c r="AZ78" s="102"/>
      <c r="BA78" s="102"/>
      <c r="BB78" s="102"/>
      <c r="BC78" s="102"/>
      <c r="BD78" s="101">
        <f t="shared" ref="BD78" si="93">SUM(BD79)</f>
        <v>30000000</v>
      </c>
      <c r="BE78" s="102"/>
      <c r="BF78" s="102"/>
      <c r="BG78" s="102"/>
      <c r="BH78" s="102"/>
      <c r="BI78" s="102"/>
      <c r="BJ78" s="102"/>
      <c r="BK78" s="102"/>
      <c r="BL78" s="102"/>
      <c r="BM78" s="102"/>
      <c r="BN78" s="101">
        <f t="shared" ref="BN78:BO78" si="94">SUM(BN79)</f>
        <v>20000000</v>
      </c>
      <c r="BO78" s="570">
        <f t="shared" si="94"/>
        <v>2220000000</v>
      </c>
    </row>
    <row r="79" spans="1:68" ht="104.25" customHeight="1" x14ac:dyDescent="0.2">
      <c r="A79" s="547">
        <v>54</v>
      </c>
      <c r="B79" s="69">
        <v>2</v>
      </c>
      <c r="C79" s="136"/>
      <c r="D79" s="136"/>
      <c r="E79" s="91">
        <v>8</v>
      </c>
      <c r="F79" s="439" t="s">
        <v>198</v>
      </c>
      <c r="G79" s="114">
        <v>665</v>
      </c>
      <c r="H79" s="114">
        <v>798</v>
      </c>
      <c r="I79" s="72">
        <v>52</v>
      </c>
      <c r="J79" s="73" t="s">
        <v>204</v>
      </c>
      <c r="K79" s="70" t="s">
        <v>205</v>
      </c>
      <c r="L79" s="74" t="s">
        <v>121</v>
      </c>
      <c r="M79" s="74">
        <v>13</v>
      </c>
      <c r="N79" s="483" t="s">
        <v>54</v>
      </c>
      <c r="O79" s="76">
        <v>0</v>
      </c>
      <c r="P79" s="76">
        <v>3</v>
      </c>
      <c r="Q79" s="551">
        <v>3</v>
      </c>
      <c r="R79" s="475">
        <v>3</v>
      </c>
      <c r="S79" s="500"/>
      <c r="T79" s="475">
        <v>3</v>
      </c>
      <c r="U79" s="475"/>
      <c r="V79" s="475">
        <v>3</v>
      </c>
      <c r="W79" s="483"/>
      <c r="X79" s="567">
        <f>AJ79/AJ78</f>
        <v>1</v>
      </c>
      <c r="Y79" s="78">
        <v>8</v>
      </c>
      <c r="Z79" s="564" t="s">
        <v>131</v>
      </c>
      <c r="AA79" s="569"/>
      <c r="AB79" s="569"/>
      <c r="AC79" s="569">
        <v>80000000</v>
      </c>
      <c r="AD79" s="569"/>
      <c r="AE79" s="569"/>
      <c r="AF79" s="569"/>
      <c r="AG79" s="569"/>
      <c r="AH79" s="569"/>
      <c r="AI79" s="569">
        <v>2000000000</v>
      </c>
      <c r="AJ79" s="82">
        <f>+AA79+AB79+AC79+AD79+AE79+AF79+AG79+AH79+AI79</f>
        <v>2080000000</v>
      </c>
      <c r="AK79" s="90"/>
      <c r="AL79" s="90"/>
      <c r="AM79" s="90">
        <v>90000000</v>
      </c>
      <c r="AN79" s="90"/>
      <c r="AO79" s="90"/>
      <c r="AP79" s="90"/>
      <c r="AQ79" s="90"/>
      <c r="AR79" s="90"/>
      <c r="AS79" s="90"/>
      <c r="AT79" s="84">
        <v>90000000</v>
      </c>
      <c r="AU79" s="150"/>
      <c r="AV79" s="455"/>
      <c r="AW79" s="455">
        <v>30000000</v>
      </c>
      <c r="AX79" s="455"/>
      <c r="AY79" s="455"/>
      <c r="AZ79" s="455"/>
      <c r="BA79" s="455"/>
      <c r="BB79" s="455"/>
      <c r="BC79" s="455"/>
      <c r="BD79" s="455">
        <f>SUM(AU79:BC79)</f>
        <v>30000000</v>
      </c>
      <c r="BE79" s="90"/>
      <c r="BF79" s="90"/>
      <c r="BG79" s="90">
        <v>20000000</v>
      </c>
      <c r="BH79" s="90"/>
      <c r="BI79" s="90"/>
      <c r="BJ79" s="90"/>
      <c r="BK79" s="90"/>
      <c r="BL79" s="90"/>
      <c r="BM79" s="90"/>
      <c r="BN79" s="90">
        <f>SUM(BE79:BM79)</f>
        <v>20000000</v>
      </c>
      <c r="BO79" s="546">
        <f>AJ79+AT79+BD79+BN79</f>
        <v>2220000000</v>
      </c>
    </row>
    <row r="80" spans="1:68" ht="24.75" customHeight="1" x14ac:dyDescent="0.2">
      <c r="A80" s="547"/>
      <c r="B80" s="69"/>
      <c r="C80" s="136"/>
      <c r="D80" s="136"/>
      <c r="E80" s="57">
        <v>13</v>
      </c>
      <c r="F80" s="58" t="s">
        <v>206</v>
      </c>
      <c r="G80" s="60"/>
      <c r="H80" s="96"/>
      <c r="I80" s="60"/>
      <c r="J80" s="96"/>
      <c r="K80" s="96"/>
      <c r="L80" s="60"/>
      <c r="M80" s="60"/>
      <c r="N80" s="97"/>
      <c r="O80" s="96"/>
      <c r="P80" s="96"/>
      <c r="Q80" s="98"/>
      <c r="R80" s="96"/>
      <c r="S80" s="503"/>
      <c r="T80" s="96"/>
      <c r="U80" s="96"/>
      <c r="V80" s="60"/>
      <c r="W80" s="60"/>
      <c r="X80" s="99"/>
      <c r="Y80" s="60"/>
      <c r="Z80" s="60"/>
      <c r="AA80" s="100">
        <f>SUM(AA81)</f>
        <v>0</v>
      </c>
      <c r="AB80" s="100">
        <f t="shared" ref="AB80:AI80" si="95">SUM(AB81)</f>
        <v>292360000</v>
      </c>
      <c r="AC80" s="100">
        <f t="shared" si="95"/>
        <v>83000000</v>
      </c>
      <c r="AD80" s="100">
        <f t="shared" si="95"/>
        <v>0</v>
      </c>
      <c r="AE80" s="100">
        <f t="shared" si="95"/>
        <v>0</v>
      </c>
      <c r="AF80" s="100">
        <f t="shared" si="95"/>
        <v>0</v>
      </c>
      <c r="AG80" s="100">
        <f t="shared" si="95"/>
        <v>0</v>
      </c>
      <c r="AH80" s="100">
        <f t="shared" si="95"/>
        <v>0</v>
      </c>
      <c r="AI80" s="100">
        <f t="shared" si="95"/>
        <v>0</v>
      </c>
      <c r="AJ80" s="101">
        <f>SUM(AJ81)</f>
        <v>375360000</v>
      </c>
      <c r="AK80" s="100">
        <f t="shared" ref="AK80:AT80" si="96">SUM(AK81)</f>
        <v>0</v>
      </c>
      <c r="AL80" s="100">
        <f t="shared" si="96"/>
        <v>386620800</v>
      </c>
      <c r="AM80" s="100">
        <f t="shared" si="96"/>
        <v>0</v>
      </c>
      <c r="AN80" s="100">
        <f t="shared" si="96"/>
        <v>0</v>
      </c>
      <c r="AO80" s="100">
        <f t="shared" si="96"/>
        <v>0</v>
      </c>
      <c r="AP80" s="100">
        <f t="shared" si="96"/>
        <v>0</v>
      </c>
      <c r="AQ80" s="100">
        <f t="shared" si="96"/>
        <v>0</v>
      </c>
      <c r="AR80" s="100">
        <f t="shared" si="96"/>
        <v>0</v>
      </c>
      <c r="AS80" s="100">
        <f t="shared" si="96"/>
        <v>0</v>
      </c>
      <c r="AT80" s="100">
        <f t="shared" si="96"/>
        <v>386620800</v>
      </c>
      <c r="AU80" s="102"/>
      <c r="AV80" s="102"/>
      <c r="AW80" s="102"/>
      <c r="AX80" s="102"/>
      <c r="AY80" s="102"/>
      <c r="AZ80" s="102"/>
      <c r="BA80" s="102"/>
      <c r="BB80" s="102"/>
      <c r="BC80" s="102"/>
      <c r="BD80" s="100">
        <f t="shared" ref="BD80" si="97">SUM(BD81)</f>
        <v>398219424</v>
      </c>
      <c r="BE80" s="102"/>
      <c r="BF80" s="102"/>
      <c r="BG80" s="102"/>
      <c r="BH80" s="102"/>
      <c r="BI80" s="102"/>
      <c r="BJ80" s="102"/>
      <c r="BK80" s="102"/>
      <c r="BL80" s="102"/>
      <c r="BM80" s="102"/>
      <c r="BN80" s="100">
        <f t="shared" ref="BN80:BO80" si="98">SUM(BN81)</f>
        <v>410166007</v>
      </c>
      <c r="BO80" s="560">
        <f t="shared" si="98"/>
        <v>1570366231</v>
      </c>
    </row>
    <row r="81" spans="1:68" ht="86.25" customHeight="1" x14ac:dyDescent="0.2">
      <c r="A81" s="545">
        <v>55</v>
      </c>
      <c r="B81" s="69">
        <v>2</v>
      </c>
      <c r="C81" s="136"/>
      <c r="D81" s="192"/>
      <c r="E81" s="451">
        <v>8</v>
      </c>
      <c r="F81" s="439" t="s">
        <v>198</v>
      </c>
      <c r="G81" s="114">
        <v>665</v>
      </c>
      <c r="H81" s="114">
        <v>798</v>
      </c>
      <c r="I81" s="72">
        <v>53</v>
      </c>
      <c r="J81" s="73" t="s">
        <v>207</v>
      </c>
      <c r="K81" s="70" t="s">
        <v>208</v>
      </c>
      <c r="L81" s="74" t="s">
        <v>121</v>
      </c>
      <c r="M81" s="74">
        <v>13</v>
      </c>
      <c r="N81" s="483" t="s">
        <v>54</v>
      </c>
      <c r="O81" s="76">
        <v>0</v>
      </c>
      <c r="P81" s="76">
        <v>1</v>
      </c>
      <c r="Q81" s="551">
        <v>1</v>
      </c>
      <c r="R81" s="475">
        <v>1</v>
      </c>
      <c r="S81" s="500"/>
      <c r="T81" s="475">
        <v>1</v>
      </c>
      <c r="U81" s="475"/>
      <c r="V81" s="475">
        <v>1</v>
      </c>
      <c r="W81" s="483"/>
      <c r="X81" s="567">
        <f>AJ81/AJ80</f>
        <v>1</v>
      </c>
      <c r="Y81" s="78">
        <v>8</v>
      </c>
      <c r="Z81" s="564" t="s">
        <v>131</v>
      </c>
      <c r="AA81" s="569"/>
      <c r="AB81" s="569">
        <v>292360000</v>
      </c>
      <c r="AC81" s="569">
        <v>83000000</v>
      </c>
      <c r="AD81" s="569"/>
      <c r="AE81" s="569"/>
      <c r="AF81" s="569"/>
      <c r="AG81" s="569"/>
      <c r="AH81" s="569"/>
      <c r="AI81" s="569"/>
      <c r="AJ81" s="82">
        <f>+AA81+AB81+AC81+AD81+AE81+AF81+AG81+AH81+AI81</f>
        <v>375360000</v>
      </c>
      <c r="AK81" s="90"/>
      <c r="AL81" s="455">
        <v>386620800</v>
      </c>
      <c r="AM81" s="90"/>
      <c r="AN81" s="90"/>
      <c r="AO81" s="90"/>
      <c r="AP81" s="90"/>
      <c r="AQ81" s="90"/>
      <c r="AR81" s="90"/>
      <c r="AS81" s="90"/>
      <c r="AT81" s="84">
        <f>AK81+AL81+AM81+AN81+AO81+AP81+AQ81+AR81+AS81</f>
        <v>386620800</v>
      </c>
      <c r="AU81" s="455"/>
      <c r="AV81" s="455"/>
      <c r="AW81" s="455">
        <v>398219424</v>
      </c>
      <c r="AX81" s="455"/>
      <c r="AY81" s="455"/>
      <c r="AZ81" s="455"/>
      <c r="BA81" s="455"/>
      <c r="BB81" s="455"/>
      <c r="BC81" s="455"/>
      <c r="BD81" s="455">
        <f>SUM(AU81:BC81)</f>
        <v>398219424</v>
      </c>
      <c r="BE81" s="90"/>
      <c r="BF81" s="90"/>
      <c r="BG81" s="90">
        <v>410166007</v>
      </c>
      <c r="BH81" s="90"/>
      <c r="BI81" s="90"/>
      <c r="BJ81" s="90"/>
      <c r="BK81" s="90"/>
      <c r="BL81" s="90"/>
      <c r="BM81" s="90"/>
      <c r="BN81" s="90">
        <f>SUM(BE81:BM81)</f>
        <v>410166007</v>
      </c>
      <c r="BO81" s="546">
        <f>AJ81+AT81+BD81+BN81</f>
        <v>1570366231</v>
      </c>
    </row>
    <row r="82" spans="1:68" s="159" customFormat="1" ht="24.75" customHeight="1" x14ac:dyDescent="0.2">
      <c r="A82" s="565"/>
      <c r="B82" s="152"/>
      <c r="C82" s="136"/>
      <c r="D82" s="43">
        <v>4</v>
      </c>
      <c r="E82" s="134" t="s">
        <v>209</v>
      </c>
      <c r="F82" s="48"/>
      <c r="G82" s="48"/>
      <c r="H82" s="48"/>
      <c r="I82" s="47"/>
      <c r="J82" s="48"/>
      <c r="K82" s="48"/>
      <c r="L82" s="49"/>
      <c r="M82" s="47"/>
      <c r="N82" s="50"/>
      <c r="O82" s="48"/>
      <c r="P82" s="48"/>
      <c r="Q82" s="51"/>
      <c r="R82" s="48"/>
      <c r="S82" s="498"/>
      <c r="T82" s="48"/>
      <c r="U82" s="48"/>
      <c r="V82" s="47"/>
      <c r="W82" s="47"/>
      <c r="X82" s="135"/>
      <c r="Y82" s="47"/>
      <c r="Z82" s="47"/>
      <c r="AA82" s="53">
        <f t="shared" ref="AA82:AH82" si="99">AA83+AA87</f>
        <v>0</v>
      </c>
      <c r="AB82" s="53">
        <f t="shared" si="99"/>
        <v>7625296341</v>
      </c>
      <c r="AC82" s="53">
        <f t="shared" si="99"/>
        <v>563293889</v>
      </c>
      <c r="AD82" s="53">
        <f t="shared" si="99"/>
        <v>20519904</v>
      </c>
      <c r="AE82" s="53">
        <f t="shared" si="99"/>
        <v>0</v>
      </c>
      <c r="AF82" s="53">
        <f t="shared" si="99"/>
        <v>0</v>
      </c>
      <c r="AG82" s="53">
        <f t="shared" si="99"/>
        <v>0</v>
      </c>
      <c r="AH82" s="53">
        <f t="shared" si="99"/>
        <v>0</v>
      </c>
      <c r="AI82" s="53">
        <f t="shared" ref="AI82:AJ82" si="100">AI83+AI87</f>
        <v>2400000000</v>
      </c>
      <c r="AJ82" s="54">
        <f t="shared" si="100"/>
        <v>10609110134</v>
      </c>
      <c r="AK82" s="54">
        <f t="shared" ref="AK82:AT82" si="101">AK83+AK87</f>
        <v>3000000000</v>
      </c>
      <c r="AL82" s="54">
        <f t="shared" si="101"/>
        <v>7958719927</v>
      </c>
      <c r="AM82" s="54">
        <f t="shared" si="101"/>
        <v>100000000</v>
      </c>
      <c r="AN82" s="54">
        <f t="shared" si="101"/>
        <v>0</v>
      </c>
      <c r="AO82" s="54">
        <f t="shared" si="101"/>
        <v>0</v>
      </c>
      <c r="AP82" s="54">
        <f t="shared" si="101"/>
        <v>0</v>
      </c>
      <c r="AQ82" s="54">
        <f t="shared" si="101"/>
        <v>0</v>
      </c>
      <c r="AR82" s="54">
        <f t="shared" si="101"/>
        <v>0</v>
      </c>
      <c r="AS82" s="54">
        <f t="shared" si="101"/>
        <v>12000000000</v>
      </c>
      <c r="AT82" s="54">
        <f t="shared" si="101"/>
        <v>23058719927</v>
      </c>
      <c r="AU82" s="55"/>
      <c r="AV82" s="55"/>
      <c r="AW82" s="55"/>
      <c r="AX82" s="55"/>
      <c r="AY82" s="55"/>
      <c r="AZ82" s="55"/>
      <c r="BA82" s="55"/>
      <c r="BB82" s="55"/>
      <c r="BC82" s="55"/>
      <c r="BD82" s="54">
        <f>BD83+BD87</f>
        <v>21404317496</v>
      </c>
      <c r="BE82" s="55"/>
      <c r="BF82" s="55"/>
      <c r="BG82" s="55"/>
      <c r="BH82" s="55"/>
      <c r="BI82" s="55"/>
      <c r="BJ82" s="55"/>
      <c r="BK82" s="55"/>
      <c r="BL82" s="55"/>
      <c r="BM82" s="55"/>
      <c r="BN82" s="54">
        <f t="shared" ref="BN82" si="102">BN83+BN87</f>
        <v>24853681020</v>
      </c>
      <c r="BO82" s="571">
        <f t="shared" ref="BO82" si="103">BO83+BO87</f>
        <v>79925828577</v>
      </c>
    </row>
    <row r="83" spans="1:68" s="159" customFormat="1" ht="24.75" customHeight="1" x14ac:dyDescent="0.2">
      <c r="A83" s="565"/>
      <c r="B83" s="152"/>
      <c r="C83" s="136"/>
      <c r="D83" s="572"/>
      <c r="E83" s="57">
        <v>14</v>
      </c>
      <c r="F83" s="58" t="s">
        <v>210</v>
      </c>
      <c r="G83" s="59"/>
      <c r="H83" s="58"/>
      <c r="I83" s="120"/>
      <c r="J83" s="61"/>
      <c r="K83" s="61"/>
      <c r="L83" s="60"/>
      <c r="M83" s="62"/>
      <c r="N83" s="63"/>
      <c r="O83" s="61"/>
      <c r="P83" s="61"/>
      <c r="Q83" s="64"/>
      <c r="R83" s="61"/>
      <c r="S83" s="499"/>
      <c r="T83" s="61"/>
      <c r="U83" s="61"/>
      <c r="V83" s="62"/>
      <c r="W83" s="62"/>
      <c r="X83" s="137"/>
      <c r="Y83" s="62"/>
      <c r="Z83" s="62"/>
      <c r="AA83" s="66">
        <f t="shared" ref="AA83:AI83" si="104">SUM(AA84:AA86)</f>
        <v>0</v>
      </c>
      <c r="AB83" s="66">
        <f t="shared" si="104"/>
        <v>502256341</v>
      </c>
      <c r="AC83" s="66">
        <f t="shared" si="104"/>
        <v>363293889</v>
      </c>
      <c r="AD83" s="66">
        <f t="shared" si="104"/>
        <v>0</v>
      </c>
      <c r="AE83" s="66">
        <f t="shared" si="104"/>
        <v>0</v>
      </c>
      <c r="AF83" s="66">
        <f t="shared" si="104"/>
        <v>0</v>
      </c>
      <c r="AG83" s="66">
        <f t="shared" si="104"/>
        <v>0</v>
      </c>
      <c r="AH83" s="66">
        <f t="shared" si="104"/>
        <v>0</v>
      </c>
      <c r="AI83" s="66">
        <f t="shared" si="104"/>
        <v>0</v>
      </c>
      <c r="AJ83" s="67">
        <f>SUM(AJ84:AJ86)</f>
        <v>865550230</v>
      </c>
      <c r="AK83" s="67">
        <f t="shared" ref="AK83" si="105">SUM(AK84:AK86)</f>
        <v>0</v>
      </c>
      <c r="AL83" s="67">
        <f t="shared" ref="AL83" si="106">SUM(AL84:AL86)</f>
        <v>621988727</v>
      </c>
      <c r="AM83" s="67">
        <f t="shared" ref="AM83" si="107">SUM(AM84:AM86)</f>
        <v>0</v>
      </c>
      <c r="AN83" s="67">
        <f t="shared" ref="AN83" si="108">SUM(AN84:AN86)</f>
        <v>0</v>
      </c>
      <c r="AO83" s="67">
        <f t="shared" ref="AO83" si="109">SUM(AO84:AO86)</f>
        <v>0</v>
      </c>
      <c r="AP83" s="67">
        <f t="shared" ref="AP83" si="110">SUM(AP84:AP86)</f>
        <v>0</v>
      </c>
      <c r="AQ83" s="67">
        <f t="shared" ref="AQ83" si="111">SUM(AQ84:AQ86)</f>
        <v>0</v>
      </c>
      <c r="AR83" s="67">
        <f t="shared" ref="AR83" si="112">SUM(AR84:AR86)</f>
        <v>0</v>
      </c>
      <c r="AS83" s="67">
        <f t="shared" ref="AS83" si="113">SUM(AS84:AS86)</f>
        <v>0</v>
      </c>
      <c r="AT83" s="67">
        <f t="shared" ref="AT83" si="114">SUM(AT84:AT86)</f>
        <v>621988727</v>
      </c>
      <c r="AU83" s="148"/>
      <c r="AV83" s="148"/>
      <c r="AW83" s="148"/>
      <c r="AX83" s="148"/>
      <c r="AY83" s="148"/>
      <c r="AZ83" s="148"/>
      <c r="BA83" s="148"/>
      <c r="BB83" s="148"/>
      <c r="BC83" s="148"/>
      <c r="BD83" s="67">
        <f t="shared" ref="BD83" si="115">SUM(BD84:BD86)</f>
        <v>4807484360</v>
      </c>
      <c r="BE83" s="148"/>
      <c r="BF83" s="148"/>
      <c r="BG83" s="148"/>
      <c r="BH83" s="148"/>
      <c r="BI83" s="148"/>
      <c r="BJ83" s="148"/>
      <c r="BK83" s="148"/>
      <c r="BL83" s="148"/>
      <c r="BM83" s="148"/>
      <c r="BN83" s="67">
        <f t="shared" ref="BN83:BO83" si="116">SUM(BN84:BN86)</f>
        <v>5995263005</v>
      </c>
      <c r="BO83" s="573">
        <f t="shared" si="116"/>
        <v>12290286322</v>
      </c>
    </row>
    <row r="84" spans="1:68" ht="77.25" customHeight="1" x14ac:dyDescent="0.2">
      <c r="A84" s="547">
        <v>56</v>
      </c>
      <c r="B84" s="69">
        <v>2</v>
      </c>
      <c r="C84" s="136"/>
      <c r="D84" s="153"/>
      <c r="E84" s="478">
        <v>9</v>
      </c>
      <c r="F84" s="439" t="s">
        <v>211</v>
      </c>
      <c r="G84" s="563">
        <v>0.59</v>
      </c>
      <c r="H84" s="563">
        <v>0.87</v>
      </c>
      <c r="I84" s="194">
        <v>54</v>
      </c>
      <c r="J84" s="195" t="s">
        <v>212</v>
      </c>
      <c r="K84" s="70" t="s">
        <v>213</v>
      </c>
      <c r="L84" s="74" t="s">
        <v>214</v>
      </c>
      <c r="M84" s="74">
        <v>9</v>
      </c>
      <c r="N84" s="75" t="s">
        <v>54</v>
      </c>
      <c r="O84" s="76">
        <v>129.85</v>
      </c>
      <c r="P84" s="89">
        <v>130</v>
      </c>
      <c r="Q84" s="77">
        <v>130</v>
      </c>
      <c r="R84" s="78">
        <v>130</v>
      </c>
      <c r="S84" s="500"/>
      <c r="T84" s="78">
        <v>130</v>
      </c>
      <c r="U84" s="78"/>
      <c r="V84" s="78">
        <v>130</v>
      </c>
      <c r="W84" s="75"/>
      <c r="X84" s="121">
        <f>AJ84/$AJ$83</f>
        <v>0.3723138528886995</v>
      </c>
      <c r="Y84" s="196">
        <v>9</v>
      </c>
      <c r="Z84" s="77" t="s">
        <v>176</v>
      </c>
      <c r="AA84" s="447"/>
      <c r="AB84" s="447">
        <f>292256341-49000000+30000000+49000000</f>
        <v>322256341</v>
      </c>
      <c r="AC84" s="447"/>
      <c r="AD84" s="82"/>
      <c r="AE84" s="82"/>
      <c r="AF84" s="82"/>
      <c r="AG84" s="82"/>
      <c r="AH84" s="82"/>
      <c r="AI84" s="82"/>
      <c r="AJ84" s="82">
        <f>+AA84+AB84+AC84+AD84+AE84+AF84+AG84+AH84+AI84</f>
        <v>322256341</v>
      </c>
      <c r="AK84" s="90"/>
      <c r="AL84" s="90">
        <v>231688727</v>
      </c>
      <c r="AM84" s="90"/>
      <c r="AN84" s="90"/>
      <c r="AO84" s="90"/>
      <c r="AP84" s="90"/>
      <c r="AQ84" s="90"/>
      <c r="AR84" s="90"/>
      <c r="AS84" s="90"/>
      <c r="AT84" s="84">
        <f>AK84+AL84+AM84+AN84+AO84+AP84+AQ84+AR84+AS84</f>
        <v>231688727</v>
      </c>
      <c r="AU84" s="90"/>
      <c r="AV84" s="90">
        <v>300000000</v>
      </c>
      <c r="AW84" s="90"/>
      <c r="AX84" s="90"/>
      <c r="AY84" s="90"/>
      <c r="AZ84" s="90"/>
      <c r="BA84" s="90"/>
      <c r="BB84" s="90"/>
      <c r="BC84" s="90">
        <v>2000000000</v>
      </c>
      <c r="BD84" s="90">
        <f>SUM(AU84:BC84)</f>
        <v>2300000000</v>
      </c>
      <c r="BE84" s="90">
        <v>4000000000</v>
      </c>
      <c r="BF84" s="90">
        <v>473550204</v>
      </c>
      <c r="BG84" s="90"/>
      <c r="BH84" s="90"/>
      <c r="BI84" s="90"/>
      <c r="BJ84" s="90"/>
      <c r="BK84" s="90"/>
      <c r="BL84" s="90"/>
      <c r="BM84" s="90"/>
      <c r="BN84" s="90">
        <f>SUM(BE84:BM84)</f>
        <v>4473550204</v>
      </c>
      <c r="BO84" s="546">
        <f>AJ84+AT84+BD84+BN84</f>
        <v>7327495272</v>
      </c>
    </row>
    <row r="85" spans="1:68" ht="77.25" customHeight="1" x14ac:dyDescent="0.2">
      <c r="A85" s="545">
        <v>57</v>
      </c>
      <c r="B85" s="69">
        <v>2</v>
      </c>
      <c r="C85" s="136"/>
      <c r="D85" s="153"/>
      <c r="E85" s="91"/>
      <c r="F85" s="119"/>
      <c r="G85" s="173"/>
      <c r="H85" s="173"/>
      <c r="I85" s="194">
        <v>55</v>
      </c>
      <c r="J85" s="195" t="s">
        <v>215</v>
      </c>
      <c r="K85" s="70" t="s">
        <v>216</v>
      </c>
      <c r="L85" s="74" t="s">
        <v>214</v>
      </c>
      <c r="M85" s="74">
        <v>9</v>
      </c>
      <c r="N85" s="75" t="s">
        <v>54</v>
      </c>
      <c r="O85" s="76">
        <v>12</v>
      </c>
      <c r="P85" s="76">
        <v>12</v>
      </c>
      <c r="Q85" s="77">
        <v>12</v>
      </c>
      <c r="R85" s="78">
        <v>12</v>
      </c>
      <c r="S85" s="500"/>
      <c r="T85" s="78">
        <v>12</v>
      </c>
      <c r="U85" s="78"/>
      <c r="V85" s="78">
        <v>12</v>
      </c>
      <c r="W85" s="75"/>
      <c r="X85" s="121">
        <f>AJ85/$AJ$83</f>
        <v>0.41972594588762341</v>
      </c>
      <c r="Y85" s="196">
        <v>9</v>
      </c>
      <c r="Z85" s="77" t="s">
        <v>176</v>
      </c>
      <c r="AA85" s="447"/>
      <c r="AB85" s="447"/>
      <c r="AC85" s="452">
        <v>363293889</v>
      </c>
      <c r="AD85" s="118"/>
      <c r="AE85" s="118"/>
      <c r="AF85" s="82"/>
      <c r="AG85" s="82"/>
      <c r="AH85" s="82"/>
      <c r="AI85" s="82"/>
      <c r="AJ85" s="82">
        <f>+AA85+AB85+AC85+AD85+AE85+AF85+AG85+AH85+AI85</f>
        <v>363293889</v>
      </c>
      <c r="AK85" s="84"/>
      <c r="AL85" s="90">
        <v>261000000</v>
      </c>
      <c r="AM85" s="84"/>
      <c r="AN85" s="84"/>
      <c r="AO85" s="84"/>
      <c r="AP85" s="84"/>
      <c r="AQ85" s="84"/>
      <c r="AR85" s="84"/>
      <c r="AS85" s="84"/>
      <c r="AT85" s="84">
        <f>AK85+AL85+AM85+AN85+AO85+AP85+AQ85+AR85+AS85</f>
        <v>261000000</v>
      </c>
      <c r="AU85" s="90">
        <v>2000000000</v>
      </c>
      <c r="AV85" s="90">
        <v>338000000</v>
      </c>
      <c r="AW85" s="90"/>
      <c r="AX85" s="90"/>
      <c r="AY85" s="90"/>
      <c r="AZ85" s="90"/>
      <c r="BA85" s="90"/>
      <c r="BB85" s="90"/>
      <c r="BC85" s="90"/>
      <c r="BD85" s="90">
        <f>SUM(AU85:BC85)</f>
        <v>2338000000</v>
      </c>
      <c r="BE85" s="90"/>
      <c r="BF85" s="90">
        <v>521712801</v>
      </c>
      <c r="BG85" s="90"/>
      <c r="BH85" s="90"/>
      <c r="BI85" s="90"/>
      <c r="BJ85" s="90"/>
      <c r="BK85" s="90"/>
      <c r="BL85" s="90"/>
      <c r="BM85" s="90">
        <v>1000000000</v>
      </c>
      <c r="BN85" s="90">
        <f>SUM(BE85:BM85)</f>
        <v>1521712801</v>
      </c>
      <c r="BO85" s="546">
        <f>AJ85+AT85+BD85+BN85</f>
        <v>4484006690</v>
      </c>
    </row>
    <row r="86" spans="1:68" ht="90.75" customHeight="1" x14ac:dyDescent="0.2">
      <c r="A86" s="547">
        <v>58</v>
      </c>
      <c r="B86" s="69">
        <v>2</v>
      </c>
      <c r="C86" s="136"/>
      <c r="D86" s="153"/>
      <c r="E86" s="451"/>
      <c r="F86" s="529"/>
      <c r="G86" s="198"/>
      <c r="H86" s="198"/>
      <c r="I86" s="194">
        <v>56</v>
      </c>
      <c r="J86" s="195" t="s">
        <v>217</v>
      </c>
      <c r="K86" s="70" t="s">
        <v>218</v>
      </c>
      <c r="L86" s="74" t="s">
        <v>214</v>
      </c>
      <c r="M86" s="74">
        <v>9</v>
      </c>
      <c r="N86" s="199" t="s">
        <v>69</v>
      </c>
      <c r="O86" s="76">
        <v>9</v>
      </c>
      <c r="P86" s="76">
        <v>8</v>
      </c>
      <c r="Q86" s="77">
        <v>3</v>
      </c>
      <c r="R86" s="78">
        <v>3</v>
      </c>
      <c r="S86" s="504">
        <v>6</v>
      </c>
      <c r="T86" s="78">
        <v>2</v>
      </c>
      <c r="U86" s="78"/>
      <c r="V86" s="78">
        <v>0</v>
      </c>
      <c r="W86" s="75"/>
      <c r="X86" s="121">
        <f>AJ86/$AJ$83</f>
        <v>0.20796020122367712</v>
      </c>
      <c r="Y86" s="196">
        <v>9</v>
      </c>
      <c r="Z86" s="77" t="s">
        <v>176</v>
      </c>
      <c r="AA86" s="447"/>
      <c r="AB86" s="447">
        <v>180000000</v>
      </c>
      <c r="AC86" s="447"/>
      <c r="AD86" s="82"/>
      <c r="AE86" s="82"/>
      <c r="AF86" s="82"/>
      <c r="AG86" s="82"/>
      <c r="AH86" s="82"/>
      <c r="AI86" s="82"/>
      <c r="AJ86" s="82">
        <f>+AA86+AB86+AC86+AD86+AE86+AF86+AG86+AH86+AI86</f>
        <v>180000000</v>
      </c>
      <c r="AK86" s="90"/>
      <c r="AL86" s="90">
        <v>129300000</v>
      </c>
      <c r="AM86" s="90"/>
      <c r="AN86" s="90"/>
      <c r="AO86" s="90"/>
      <c r="AP86" s="90"/>
      <c r="AQ86" s="90"/>
      <c r="AR86" s="90"/>
      <c r="AS86" s="90"/>
      <c r="AT86" s="84">
        <f>AK86+AL86+AM86+AN86+AO86+AP86+AQ86+AR86+AS86</f>
        <v>129300000</v>
      </c>
      <c r="AU86" s="90"/>
      <c r="AV86" s="90">
        <v>169484360</v>
      </c>
      <c r="AW86" s="90"/>
      <c r="AX86" s="90"/>
      <c r="AY86" s="90"/>
      <c r="AZ86" s="90"/>
      <c r="BA86" s="90"/>
      <c r="BB86" s="90"/>
      <c r="BC86" s="90"/>
      <c r="BD86" s="90">
        <f>SUM(AU86:BC86)</f>
        <v>169484360</v>
      </c>
      <c r="BE86" s="90"/>
      <c r="BF86" s="90"/>
      <c r="BG86" s="90"/>
      <c r="BH86" s="90"/>
      <c r="BI86" s="90"/>
      <c r="BJ86" s="90"/>
      <c r="BK86" s="90"/>
      <c r="BL86" s="90"/>
      <c r="BM86" s="90"/>
      <c r="BN86" s="90">
        <f>SUM(BE86:BM86)</f>
        <v>0</v>
      </c>
      <c r="BO86" s="546">
        <f>AJ86+AT86+BD86+BN86</f>
        <v>478784360</v>
      </c>
    </row>
    <row r="87" spans="1:68" ht="24.75" customHeight="1" x14ac:dyDescent="0.2">
      <c r="A87" s="547"/>
      <c r="B87" s="69"/>
      <c r="C87" s="136"/>
      <c r="D87" s="153"/>
      <c r="E87" s="57">
        <v>15</v>
      </c>
      <c r="F87" s="58" t="s">
        <v>219</v>
      </c>
      <c r="G87" s="61"/>
      <c r="H87" s="61"/>
      <c r="I87" s="62"/>
      <c r="J87" s="61"/>
      <c r="K87" s="96"/>
      <c r="L87" s="60"/>
      <c r="M87" s="60"/>
      <c r="N87" s="97"/>
      <c r="O87" s="96"/>
      <c r="P87" s="96"/>
      <c r="Q87" s="98"/>
      <c r="R87" s="96"/>
      <c r="S87" s="503"/>
      <c r="T87" s="96"/>
      <c r="U87" s="96"/>
      <c r="V87" s="60"/>
      <c r="W87" s="60"/>
      <c r="X87" s="99"/>
      <c r="Y87" s="60"/>
      <c r="Z87" s="60"/>
      <c r="AA87" s="100">
        <f t="shared" ref="AA87:AI87" si="117">SUM(AA88:AA95)</f>
        <v>0</v>
      </c>
      <c r="AB87" s="100">
        <f t="shared" si="117"/>
        <v>7123040000</v>
      </c>
      <c r="AC87" s="100">
        <f t="shared" si="117"/>
        <v>200000000</v>
      </c>
      <c r="AD87" s="100">
        <f t="shared" si="117"/>
        <v>20519904</v>
      </c>
      <c r="AE87" s="100">
        <f t="shared" si="117"/>
        <v>0</v>
      </c>
      <c r="AF87" s="100">
        <f t="shared" si="117"/>
        <v>0</v>
      </c>
      <c r="AG87" s="100">
        <f t="shared" si="117"/>
        <v>0</v>
      </c>
      <c r="AH87" s="100">
        <f t="shared" si="117"/>
        <v>0</v>
      </c>
      <c r="AI87" s="100">
        <f t="shared" si="117"/>
        <v>2400000000</v>
      </c>
      <c r="AJ87" s="101">
        <f>SUM(AJ88:AJ95)</f>
        <v>9743559904</v>
      </c>
      <c r="AK87" s="100">
        <f t="shared" ref="AK87:AT87" si="118">SUM(AK88:AK95)</f>
        <v>3000000000</v>
      </c>
      <c r="AL87" s="100">
        <f t="shared" si="118"/>
        <v>7336731200</v>
      </c>
      <c r="AM87" s="100">
        <f t="shared" si="118"/>
        <v>100000000</v>
      </c>
      <c r="AN87" s="100">
        <f t="shared" si="118"/>
        <v>0</v>
      </c>
      <c r="AO87" s="100">
        <f t="shared" si="118"/>
        <v>0</v>
      </c>
      <c r="AP87" s="100">
        <f t="shared" si="118"/>
        <v>0</v>
      </c>
      <c r="AQ87" s="100">
        <f t="shared" si="118"/>
        <v>0</v>
      </c>
      <c r="AR87" s="100">
        <f t="shared" si="118"/>
        <v>0</v>
      </c>
      <c r="AS87" s="100">
        <f t="shared" si="118"/>
        <v>12000000000</v>
      </c>
      <c r="AT87" s="100">
        <f t="shared" si="118"/>
        <v>22436731200</v>
      </c>
      <c r="AU87" s="102"/>
      <c r="AV87" s="102"/>
      <c r="AW87" s="102"/>
      <c r="AX87" s="102"/>
      <c r="AY87" s="102"/>
      <c r="AZ87" s="102"/>
      <c r="BA87" s="102"/>
      <c r="BB87" s="102"/>
      <c r="BC87" s="102"/>
      <c r="BD87" s="100">
        <f t="shared" ref="BD87" si="119">SUM(BD88:BD95)</f>
        <v>16596833136</v>
      </c>
      <c r="BE87" s="102"/>
      <c r="BF87" s="102"/>
      <c r="BG87" s="102"/>
      <c r="BH87" s="102"/>
      <c r="BI87" s="102"/>
      <c r="BJ87" s="102"/>
      <c r="BK87" s="102"/>
      <c r="BL87" s="102"/>
      <c r="BM87" s="102"/>
      <c r="BN87" s="100">
        <f t="shared" ref="BN87:BO87" si="120">SUM(BN88:BN95)</f>
        <v>18858418015</v>
      </c>
      <c r="BO87" s="560">
        <f t="shared" si="120"/>
        <v>67635542255</v>
      </c>
    </row>
    <row r="88" spans="1:68" ht="73.5" customHeight="1" x14ac:dyDescent="0.2">
      <c r="A88" s="545">
        <v>59</v>
      </c>
      <c r="B88" s="69">
        <v>2</v>
      </c>
      <c r="C88" s="136"/>
      <c r="D88" s="153"/>
      <c r="E88" s="93">
        <v>14</v>
      </c>
      <c r="F88" s="70" t="s">
        <v>220</v>
      </c>
      <c r="G88" s="200" t="s">
        <v>221</v>
      </c>
      <c r="H88" s="200">
        <v>0.03</v>
      </c>
      <c r="I88" s="72">
        <v>57</v>
      </c>
      <c r="J88" s="73" t="s">
        <v>222</v>
      </c>
      <c r="K88" s="70" t="s">
        <v>223</v>
      </c>
      <c r="L88" s="74" t="s">
        <v>224</v>
      </c>
      <c r="M88" s="74">
        <v>1</v>
      </c>
      <c r="N88" s="421" t="s">
        <v>69</v>
      </c>
      <c r="O88" s="76">
        <v>103</v>
      </c>
      <c r="P88" s="422">
        <v>48</v>
      </c>
      <c r="Q88" s="77">
        <v>12</v>
      </c>
      <c r="R88" s="77">
        <v>12</v>
      </c>
      <c r="S88" s="500"/>
      <c r="T88" s="78">
        <v>12</v>
      </c>
      <c r="U88" s="78"/>
      <c r="V88" s="78">
        <v>12</v>
      </c>
      <c r="W88" s="75"/>
      <c r="X88" s="121">
        <f t="shared" ref="X88:X95" si="121">AJ88/$AJ$87</f>
        <v>0.36439657979035095</v>
      </c>
      <c r="Y88" s="77">
        <v>11</v>
      </c>
      <c r="Z88" s="74" t="s">
        <v>225</v>
      </c>
      <c r="AA88" s="82"/>
      <c r="AB88" s="82">
        <v>3530000000</v>
      </c>
      <c r="AC88" s="448"/>
      <c r="AD88" s="201">
        <v>20519904</v>
      </c>
      <c r="AE88" s="201"/>
      <c r="AF88" s="82"/>
      <c r="AG88" s="82"/>
      <c r="AH88" s="82"/>
      <c r="AI88" s="82"/>
      <c r="AJ88" s="82">
        <f t="shared" ref="AJ88:AJ95" si="122">+AA88+AB88+AC88+AD88+AE88+AF88+AG88+AH88+AI88</f>
        <v>3550519904</v>
      </c>
      <c r="AK88" s="90"/>
      <c r="AL88" s="90">
        <v>4489900000</v>
      </c>
      <c r="AM88" s="90"/>
      <c r="AN88" s="90"/>
      <c r="AO88" s="90"/>
      <c r="AP88" s="90"/>
      <c r="AQ88" s="90"/>
      <c r="AR88" s="90"/>
      <c r="AS88" s="90"/>
      <c r="AT88" s="84">
        <f t="shared" ref="AT88:AT95" si="123">AK88+AL88+AM88+AN88+AO88+AP88+AQ88+AR88+AS88</f>
        <v>4489900000</v>
      </c>
      <c r="AU88" s="90"/>
      <c r="AV88" s="90">
        <f>3297438011+357158989</f>
        <v>3654597000</v>
      </c>
      <c r="AW88" s="90"/>
      <c r="AX88" s="90"/>
      <c r="AY88" s="90"/>
      <c r="AZ88" s="90"/>
      <c r="BA88" s="90"/>
      <c r="BB88" s="90"/>
      <c r="BC88" s="90"/>
      <c r="BD88" s="90">
        <f t="shared" ref="BD88:BD95" si="124">SUM(AU88:BC88)</f>
        <v>3654597000</v>
      </c>
      <c r="BE88" s="90"/>
      <c r="BF88" s="90">
        <v>3824234910</v>
      </c>
      <c r="BG88" s="90"/>
      <c r="BH88" s="90"/>
      <c r="BI88" s="90"/>
      <c r="BJ88" s="90"/>
      <c r="BK88" s="90"/>
      <c r="BL88" s="90"/>
      <c r="BM88" s="90"/>
      <c r="BN88" s="90">
        <f t="shared" ref="BN88:BN95" si="125">SUM(BE88:BM88)</f>
        <v>3824234910</v>
      </c>
      <c r="BO88" s="546">
        <f t="shared" ref="BO88:BO95" si="126">AJ88+AT88+BD88+BN88</f>
        <v>15519251814</v>
      </c>
    </row>
    <row r="89" spans="1:68" ht="67.5" customHeight="1" x14ac:dyDescent="0.2">
      <c r="A89" s="545"/>
      <c r="B89" s="69"/>
      <c r="C89" s="136"/>
      <c r="D89" s="153"/>
      <c r="E89" s="451">
        <v>6</v>
      </c>
      <c r="F89" s="529" t="s">
        <v>226</v>
      </c>
      <c r="G89" s="161" t="s">
        <v>123</v>
      </c>
      <c r="H89" s="202" t="s">
        <v>123</v>
      </c>
      <c r="I89" s="574">
        <v>58</v>
      </c>
      <c r="J89" s="440" t="s">
        <v>227</v>
      </c>
      <c r="K89" s="439" t="s">
        <v>228</v>
      </c>
      <c r="L89" s="568" t="s">
        <v>229</v>
      </c>
      <c r="M89" s="568">
        <v>15</v>
      </c>
      <c r="N89" s="75" t="s">
        <v>69</v>
      </c>
      <c r="O89" s="475">
        <v>6</v>
      </c>
      <c r="P89" s="475">
        <v>4</v>
      </c>
      <c r="Q89" s="78">
        <v>0</v>
      </c>
      <c r="R89" s="78">
        <v>1</v>
      </c>
      <c r="S89" s="500"/>
      <c r="T89" s="78">
        <v>2</v>
      </c>
      <c r="U89" s="78"/>
      <c r="V89" s="78">
        <v>1</v>
      </c>
      <c r="W89" s="75"/>
      <c r="X89" s="121">
        <f t="shared" si="121"/>
        <v>0</v>
      </c>
      <c r="Y89" s="77">
        <v>11</v>
      </c>
      <c r="Z89" s="74" t="s">
        <v>225</v>
      </c>
      <c r="AA89" s="82"/>
      <c r="AB89" s="185">
        <v>0</v>
      </c>
      <c r="AC89" s="448"/>
      <c r="AD89" s="185"/>
      <c r="AE89" s="185"/>
      <c r="AF89" s="82"/>
      <c r="AG89" s="82"/>
      <c r="AH89" s="82"/>
      <c r="AI89" s="82"/>
      <c r="AJ89" s="82">
        <f t="shared" si="122"/>
        <v>0</v>
      </c>
      <c r="AK89" s="455"/>
      <c r="AL89" s="90"/>
      <c r="AM89" s="90"/>
      <c r="AN89" s="90"/>
      <c r="AO89" s="90"/>
      <c r="AP89" s="90"/>
      <c r="AQ89" s="90"/>
      <c r="AR89" s="90"/>
      <c r="AS89" s="90">
        <v>1000000000</v>
      </c>
      <c r="AT89" s="84">
        <f t="shared" si="123"/>
        <v>1000000000</v>
      </c>
      <c r="AU89" s="90"/>
      <c r="AV89" s="90"/>
      <c r="AW89" s="90"/>
      <c r="AX89" s="90"/>
      <c r="AY89" s="90"/>
      <c r="AZ89" s="90"/>
      <c r="BA89" s="90"/>
      <c r="BB89" s="90"/>
      <c r="BC89" s="90">
        <v>1000000000</v>
      </c>
      <c r="BD89" s="90">
        <f t="shared" si="124"/>
        <v>1000000000</v>
      </c>
      <c r="BE89" s="90"/>
      <c r="BF89" s="90"/>
      <c r="BG89" s="90"/>
      <c r="BH89" s="90"/>
      <c r="BI89" s="90"/>
      <c r="BJ89" s="90"/>
      <c r="BK89" s="90"/>
      <c r="BL89" s="90"/>
      <c r="BM89" s="90">
        <v>1000000000</v>
      </c>
      <c r="BN89" s="90">
        <f t="shared" si="125"/>
        <v>1000000000</v>
      </c>
      <c r="BO89" s="546">
        <f t="shared" si="126"/>
        <v>3000000000</v>
      </c>
    </row>
    <row r="90" spans="1:68" ht="300.75" customHeight="1" x14ac:dyDescent="0.2">
      <c r="A90" s="545">
        <v>61</v>
      </c>
      <c r="B90" s="69">
        <v>2</v>
      </c>
      <c r="C90" s="136"/>
      <c r="D90" s="136"/>
      <c r="E90" s="93">
        <v>36</v>
      </c>
      <c r="F90" s="529" t="s">
        <v>230</v>
      </c>
      <c r="G90" s="575">
        <v>0.4</v>
      </c>
      <c r="H90" s="203">
        <v>0.6</v>
      </c>
      <c r="I90" s="80">
        <v>59</v>
      </c>
      <c r="J90" s="70" t="s">
        <v>231</v>
      </c>
      <c r="K90" s="70" t="s">
        <v>232</v>
      </c>
      <c r="L90" s="564" t="s">
        <v>229</v>
      </c>
      <c r="M90" s="564">
        <v>15</v>
      </c>
      <c r="N90" s="421" t="s">
        <v>69</v>
      </c>
      <c r="O90" s="76">
        <v>82</v>
      </c>
      <c r="P90" s="422">
        <v>48</v>
      </c>
      <c r="Q90" s="78">
        <v>12</v>
      </c>
      <c r="R90" s="78">
        <v>12</v>
      </c>
      <c r="S90" s="500"/>
      <c r="T90" s="78">
        <v>12</v>
      </c>
      <c r="U90" s="78"/>
      <c r="V90" s="78">
        <v>12</v>
      </c>
      <c r="W90" s="75"/>
      <c r="X90" s="191">
        <f t="shared" si="121"/>
        <v>0.18473740786065782</v>
      </c>
      <c r="Y90" s="78">
        <v>11</v>
      </c>
      <c r="Z90" s="75" t="s">
        <v>225</v>
      </c>
      <c r="AA90" s="118"/>
      <c r="AB90" s="108">
        <v>1800000000</v>
      </c>
      <c r="AC90" s="449"/>
      <c r="AD90" s="108"/>
      <c r="AE90" s="108"/>
      <c r="AF90" s="118"/>
      <c r="AG90" s="118"/>
      <c r="AH90" s="118"/>
      <c r="AI90" s="118"/>
      <c r="AJ90" s="118">
        <f t="shared" si="122"/>
        <v>1800000000</v>
      </c>
      <c r="AK90" s="90"/>
      <c r="AL90" s="90">
        <v>1000000000</v>
      </c>
      <c r="AM90" s="90"/>
      <c r="AN90" s="90"/>
      <c r="AO90" s="90"/>
      <c r="AP90" s="90"/>
      <c r="AQ90" s="90"/>
      <c r="AR90" s="455"/>
      <c r="AS90" s="90">
        <v>2000000000</v>
      </c>
      <c r="AT90" s="84">
        <f t="shared" si="123"/>
        <v>3000000000</v>
      </c>
      <c r="AU90" s="90"/>
      <c r="AV90" s="90">
        <f>2357158989-357158989</f>
        <v>2000000000</v>
      </c>
      <c r="AW90" s="90"/>
      <c r="AX90" s="90"/>
      <c r="AY90" s="90"/>
      <c r="AZ90" s="90"/>
      <c r="BA90" s="90"/>
      <c r="BB90" s="90"/>
      <c r="BC90" s="90"/>
      <c r="BD90" s="90">
        <f t="shared" si="124"/>
        <v>2000000000</v>
      </c>
      <c r="BE90" s="90"/>
      <c r="BF90" s="90">
        <v>2000000000</v>
      </c>
      <c r="BG90" s="90"/>
      <c r="BH90" s="90"/>
      <c r="BI90" s="90"/>
      <c r="BJ90" s="90"/>
      <c r="BK90" s="90"/>
      <c r="BL90" s="90"/>
      <c r="BM90" s="90"/>
      <c r="BN90" s="90">
        <f t="shared" si="125"/>
        <v>2000000000</v>
      </c>
      <c r="BO90" s="546">
        <f t="shared" si="126"/>
        <v>8800000000</v>
      </c>
      <c r="BP90" s="3" t="s">
        <v>61</v>
      </c>
    </row>
    <row r="91" spans="1:68" ht="119.25" customHeight="1" x14ac:dyDescent="0.2">
      <c r="A91" s="547">
        <v>62</v>
      </c>
      <c r="B91" s="69">
        <v>2</v>
      </c>
      <c r="C91" s="136"/>
      <c r="D91" s="136"/>
      <c r="E91" s="93">
        <v>10</v>
      </c>
      <c r="F91" s="70" t="s">
        <v>233</v>
      </c>
      <c r="G91" s="93" t="s">
        <v>234</v>
      </c>
      <c r="H91" s="204" t="s">
        <v>235</v>
      </c>
      <c r="I91" s="80">
        <v>60</v>
      </c>
      <c r="J91" s="70" t="s">
        <v>236</v>
      </c>
      <c r="K91" s="70" t="s">
        <v>237</v>
      </c>
      <c r="L91" s="564" t="s">
        <v>229</v>
      </c>
      <c r="M91" s="564">
        <v>15</v>
      </c>
      <c r="N91" s="425" t="s">
        <v>69</v>
      </c>
      <c r="O91" s="76">
        <v>9</v>
      </c>
      <c r="P91" s="422">
        <v>48</v>
      </c>
      <c r="Q91" s="78">
        <v>12</v>
      </c>
      <c r="R91" s="78">
        <v>12</v>
      </c>
      <c r="S91" s="500"/>
      <c r="T91" s="78">
        <v>12</v>
      </c>
      <c r="U91" s="78"/>
      <c r="V91" s="78">
        <v>12</v>
      </c>
      <c r="W91" s="75"/>
      <c r="X91" s="191">
        <f t="shared" si="121"/>
        <v>0</v>
      </c>
      <c r="Y91" s="78">
        <v>11</v>
      </c>
      <c r="Z91" s="75" t="s">
        <v>225</v>
      </c>
      <c r="AA91" s="118"/>
      <c r="AB91" s="108">
        <v>0</v>
      </c>
      <c r="AC91" s="449"/>
      <c r="AD91" s="108"/>
      <c r="AE91" s="108"/>
      <c r="AF91" s="118"/>
      <c r="AG91" s="118"/>
      <c r="AH91" s="118"/>
      <c r="AI91" s="118"/>
      <c r="AJ91" s="118">
        <f t="shared" si="122"/>
        <v>0</v>
      </c>
      <c r="AK91" s="90"/>
      <c r="AL91" s="90"/>
      <c r="AM91" s="90"/>
      <c r="AN91" s="90"/>
      <c r="AO91" s="90"/>
      <c r="AP91" s="90"/>
      <c r="AQ91" s="90"/>
      <c r="AR91" s="455"/>
      <c r="AS91" s="90">
        <v>4000000000</v>
      </c>
      <c r="AT91" s="84">
        <f t="shared" si="123"/>
        <v>4000000000</v>
      </c>
      <c r="AU91" s="90">
        <v>2500000000</v>
      </c>
      <c r="AV91" s="90"/>
      <c r="AW91" s="90"/>
      <c r="AX91" s="90"/>
      <c r="AY91" s="90"/>
      <c r="AZ91" s="90"/>
      <c r="BA91" s="90"/>
      <c r="BB91" s="90"/>
      <c r="BC91" s="90"/>
      <c r="BD91" s="90">
        <f t="shared" si="124"/>
        <v>2500000000</v>
      </c>
      <c r="BE91" s="90">
        <f>4000000000-2054879885</f>
        <v>1945120115</v>
      </c>
      <c r="BF91" s="90"/>
      <c r="BG91" s="90"/>
      <c r="BH91" s="90"/>
      <c r="BI91" s="90"/>
      <c r="BJ91" s="90"/>
      <c r="BK91" s="90"/>
      <c r="BL91" s="90"/>
      <c r="BM91" s="90">
        <v>2054879885</v>
      </c>
      <c r="BN91" s="90">
        <f t="shared" si="125"/>
        <v>4000000000</v>
      </c>
      <c r="BO91" s="546">
        <f t="shared" si="126"/>
        <v>10500000000</v>
      </c>
    </row>
    <row r="92" spans="1:68" ht="185.25" customHeight="1" x14ac:dyDescent="0.2">
      <c r="A92" s="545">
        <v>63</v>
      </c>
      <c r="B92" s="69">
        <v>2</v>
      </c>
      <c r="C92" s="136"/>
      <c r="D92" s="153"/>
      <c r="E92" s="451">
        <v>22</v>
      </c>
      <c r="F92" s="529" t="s">
        <v>238</v>
      </c>
      <c r="G92" s="205" t="s">
        <v>239</v>
      </c>
      <c r="H92" s="206" t="s">
        <v>240</v>
      </c>
      <c r="I92" s="72">
        <v>61</v>
      </c>
      <c r="J92" s="73" t="s">
        <v>241</v>
      </c>
      <c r="K92" s="70" t="s">
        <v>242</v>
      </c>
      <c r="L92" s="568" t="s">
        <v>229</v>
      </c>
      <c r="M92" s="568">
        <v>15</v>
      </c>
      <c r="N92" s="421" t="s">
        <v>69</v>
      </c>
      <c r="O92" s="76">
        <v>2</v>
      </c>
      <c r="P92" s="422">
        <v>4</v>
      </c>
      <c r="Q92" s="77">
        <v>1</v>
      </c>
      <c r="R92" s="77">
        <v>2</v>
      </c>
      <c r="S92" s="500"/>
      <c r="T92" s="77">
        <v>1</v>
      </c>
      <c r="U92" s="77"/>
      <c r="V92" s="77">
        <v>0</v>
      </c>
      <c r="W92" s="74"/>
      <c r="X92" s="121">
        <f t="shared" si="121"/>
        <v>1.7447421853506572E-2</v>
      </c>
      <c r="Y92" s="77">
        <v>11</v>
      </c>
      <c r="Z92" s="74" t="s">
        <v>225</v>
      </c>
      <c r="AA92" s="82"/>
      <c r="AB92" s="185">
        <v>0</v>
      </c>
      <c r="AC92" s="197">
        <v>170000000</v>
      </c>
      <c r="AD92" s="201"/>
      <c r="AE92" s="201"/>
      <c r="AF92" s="82"/>
      <c r="AG92" s="82"/>
      <c r="AH92" s="82"/>
      <c r="AI92" s="82"/>
      <c r="AJ92" s="82">
        <f t="shared" si="122"/>
        <v>170000000</v>
      </c>
      <c r="AK92" s="90"/>
      <c r="AL92" s="90"/>
      <c r="AM92" s="90"/>
      <c r="AN92" s="90"/>
      <c r="AO92" s="90"/>
      <c r="AP92" s="90"/>
      <c r="AQ92" s="90"/>
      <c r="AR92" s="455"/>
      <c r="AS92" s="90">
        <v>2000000000</v>
      </c>
      <c r="AT92" s="84">
        <f t="shared" si="123"/>
        <v>2000000000</v>
      </c>
      <c r="AU92" s="90">
        <v>1000000000</v>
      </c>
      <c r="AV92" s="90"/>
      <c r="AW92" s="90"/>
      <c r="AX92" s="90"/>
      <c r="AY92" s="90"/>
      <c r="AZ92" s="90"/>
      <c r="BA92" s="90"/>
      <c r="BB92" s="90"/>
      <c r="BC92" s="90"/>
      <c r="BD92" s="90">
        <f t="shared" si="124"/>
        <v>1000000000</v>
      </c>
      <c r="BE92" s="90"/>
      <c r="BF92" s="90"/>
      <c r="BG92" s="90"/>
      <c r="BH92" s="90"/>
      <c r="BI92" s="90"/>
      <c r="BJ92" s="90"/>
      <c r="BK92" s="90"/>
      <c r="BL92" s="90"/>
      <c r="BM92" s="90"/>
      <c r="BN92" s="90">
        <f t="shared" si="125"/>
        <v>0</v>
      </c>
      <c r="BO92" s="546">
        <f t="shared" si="126"/>
        <v>3170000000</v>
      </c>
      <c r="BP92" s="246"/>
    </row>
    <row r="93" spans="1:68" ht="119.25" customHeight="1" x14ac:dyDescent="0.2">
      <c r="A93" s="547">
        <v>64</v>
      </c>
      <c r="B93" s="69">
        <v>2</v>
      </c>
      <c r="C93" s="136"/>
      <c r="D93" s="153"/>
      <c r="E93" s="93">
        <v>22</v>
      </c>
      <c r="F93" s="207" t="s">
        <v>238</v>
      </c>
      <c r="G93" s="87" t="s">
        <v>239</v>
      </c>
      <c r="H93" s="87" t="s">
        <v>243</v>
      </c>
      <c r="I93" s="72">
        <v>62</v>
      </c>
      <c r="J93" s="73" t="s">
        <v>244</v>
      </c>
      <c r="K93" s="70" t="s">
        <v>245</v>
      </c>
      <c r="L93" s="568" t="s">
        <v>229</v>
      </c>
      <c r="M93" s="568">
        <v>15</v>
      </c>
      <c r="N93" s="421" t="s">
        <v>54</v>
      </c>
      <c r="O93" s="76">
        <v>1</v>
      </c>
      <c r="P93" s="422">
        <v>2</v>
      </c>
      <c r="Q93" s="77">
        <v>2</v>
      </c>
      <c r="R93" s="78">
        <v>2</v>
      </c>
      <c r="S93" s="500"/>
      <c r="T93" s="78">
        <v>2</v>
      </c>
      <c r="U93" s="78"/>
      <c r="V93" s="78">
        <v>2</v>
      </c>
      <c r="W93" s="75"/>
      <c r="X93" s="121">
        <f t="shared" si="121"/>
        <v>3.0789567976776304E-3</v>
      </c>
      <c r="Y93" s="77">
        <v>11</v>
      </c>
      <c r="Z93" s="74" t="s">
        <v>225</v>
      </c>
      <c r="AA93" s="82"/>
      <c r="AB93" s="185">
        <v>0</v>
      </c>
      <c r="AC93" s="197">
        <v>30000000</v>
      </c>
      <c r="AD93" s="201"/>
      <c r="AE93" s="201"/>
      <c r="AF93" s="82"/>
      <c r="AG93" s="82"/>
      <c r="AH93" s="82"/>
      <c r="AI93" s="82"/>
      <c r="AJ93" s="82">
        <f t="shared" si="122"/>
        <v>30000000</v>
      </c>
      <c r="AK93" s="90">
        <v>3000000000</v>
      </c>
      <c r="AL93" s="90"/>
      <c r="AM93" s="90">
        <v>70000000</v>
      </c>
      <c r="AN93" s="90"/>
      <c r="AO93" s="90"/>
      <c r="AP93" s="90"/>
      <c r="AQ93" s="90"/>
      <c r="AR93" s="455"/>
      <c r="AS93" s="90"/>
      <c r="AT93" s="84">
        <f t="shared" si="123"/>
        <v>3070000000</v>
      </c>
      <c r="AU93" s="90">
        <v>2500000000</v>
      </c>
      <c r="AV93" s="90"/>
      <c r="AW93" s="90">
        <v>40000000</v>
      </c>
      <c r="AX93" s="90"/>
      <c r="AY93" s="90"/>
      <c r="AZ93" s="90"/>
      <c r="BA93" s="90"/>
      <c r="BB93" s="90"/>
      <c r="BC93" s="90"/>
      <c r="BD93" s="90">
        <f t="shared" si="124"/>
        <v>2540000000</v>
      </c>
      <c r="BE93" s="90">
        <v>2000000000</v>
      </c>
      <c r="BF93" s="90"/>
      <c r="BG93" s="90">
        <v>20000000</v>
      </c>
      <c r="BH93" s="90"/>
      <c r="BI93" s="90"/>
      <c r="BJ93" s="90"/>
      <c r="BK93" s="90"/>
      <c r="BL93" s="90"/>
      <c r="BM93" s="90"/>
      <c r="BN93" s="90">
        <f t="shared" si="125"/>
        <v>2020000000</v>
      </c>
      <c r="BO93" s="546">
        <f t="shared" si="126"/>
        <v>7660000000</v>
      </c>
      <c r="BP93" s="246"/>
    </row>
    <row r="94" spans="1:68" ht="119.25" customHeight="1" x14ac:dyDescent="0.2">
      <c r="A94" s="545">
        <v>65</v>
      </c>
      <c r="B94" s="69">
        <v>2</v>
      </c>
      <c r="C94" s="136"/>
      <c r="D94" s="153"/>
      <c r="E94" s="93">
        <v>32</v>
      </c>
      <c r="F94" s="207" t="s">
        <v>246</v>
      </c>
      <c r="G94" s="71" t="s">
        <v>247</v>
      </c>
      <c r="H94" s="71" t="s">
        <v>248</v>
      </c>
      <c r="I94" s="72">
        <v>63</v>
      </c>
      <c r="J94" s="73" t="s">
        <v>249</v>
      </c>
      <c r="K94" s="70" t="s">
        <v>250</v>
      </c>
      <c r="L94" s="74" t="s">
        <v>251</v>
      </c>
      <c r="M94" s="74">
        <v>7</v>
      </c>
      <c r="N94" s="75" t="s">
        <v>69</v>
      </c>
      <c r="O94" s="76" t="s">
        <v>49</v>
      </c>
      <c r="P94" s="76">
        <v>1000</v>
      </c>
      <c r="Q94" s="77">
        <v>250</v>
      </c>
      <c r="R94" s="78">
        <v>250</v>
      </c>
      <c r="S94" s="500"/>
      <c r="T94" s="78">
        <v>250</v>
      </c>
      <c r="U94" s="78"/>
      <c r="V94" s="78">
        <v>250</v>
      </c>
      <c r="W94" s="75"/>
      <c r="X94" s="121">
        <f t="shared" si="121"/>
        <v>0.43033963369780703</v>
      </c>
      <c r="Y94" s="77">
        <v>1</v>
      </c>
      <c r="Z94" s="74" t="s">
        <v>188</v>
      </c>
      <c r="AA94" s="82"/>
      <c r="AB94" s="185">
        <f>1230000000+563040000</f>
        <v>1793040000</v>
      </c>
      <c r="AC94" s="448"/>
      <c r="AD94" s="185"/>
      <c r="AE94" s="185"/>
      <c r="AF94" s="82"/>
      <c r="AG94" s="82"/>
      <c r="AH94" s="82"/>
      <c r="AI94" s="82">
        <v>2400000000</v>
      </c>
      <c r="AJ94" s="82">
        <f t="shared" si="122"/>
        <v>4193040000</v>
      </c>
      <c r="AK94" s="90"/>
      <c r="AL94" s="90">
        <f>1266900000+579931200</f>
        <v>1846831200</v>
      </c>
      <c r="AM94" s="90"/>
      <c r="AN94" s="90"/>
      <c r="AO94" s="90"/>
      <c r="AP94" s="90"/>
      <c r="AQ94" s="90"/>
      <c r="AR94" s="455"/>
      <c r="AS94" s="90">
        <v>2000000000</v>
      </c>
      <c r="AT94" s="84">
        <f t="shared" si="123"/>
        <v>3846831200</v>
      </c>
      <c r="AU94" s="90">
        <v>1000000000</v>
      </c>
      <c r="AV94" s="150">
        <f>1304907000+597329136</f>
        <v>1902236136</v>
      </c>
      <c r="AW94" s="90"/>
      <c r="AX94" s="90"/>
      <c r="AY94" s="90"/>
      <c r="AZ94" s="90"/>
      <c r="BA94" s="90"/>
      <c r="BB94" s="90"/>
      <c r="BC94" s="90"/>
      <c r="BD94" s="90">
        <f t="shared" si="124"/>
        <v>2902236136</v>
      </c>
      <c r="BE94" s="90">
        <f>5014183105-2959303220</f>
        <v>2054879885</v>
      </c>
      <c r="BF94" s="90">
        <f>1344054210+615249010</f>
        <v>1959303220</v>
      </c>
      <c r="BG94" s="90"/>
      <c r="BH94" s="90"/>
      <c r="BI94" s="90"/>
      <c r="BJ94" s="90"/>
      <c r="BK94" s="90"/>
      <c r="BL94" s="90"/>
      <c r="BM94" s="90">
        <v>1000000000</v>
      </c>
      <c r="BN94" s="90">
        <f t="shared" si="125"/>
        <v>5014183105</v>
      </c>
      <c r="BO94" s="546">
        <f t="shared" si="126"/>
        <v>15956290441</v>
      </c>
    </row>
    <row r="95" spans="1:68" ht="86.25" customHeight="1" x14ac:dyDescent="0.2">
      <c r="A95" s="547">
        <v>66</v>
      </c>
      <c r="B95" s="69">
        <v>2</v>
      </c>
      <c r="C95" s="192"/>
      <c r="D95" s="208"/>
      <c r="E95" s="451">
        <v>6</v>
      </c>
      <c r="F95" s="109" t="s">
        <v>226</v>
      </c>
      <c r="G95" s="576" t="s">
        <v>123</v>
      </c>
      <c r="H95" s="161" t="s">
        <v>123</v>
      </c>
      <c r="I95" s="72">
        <v>64</v>
      </c>
      <c r="J95" s="73" t="s">
        <v>252</v>
      </c>
      <c r="K95" s="70" t="s">
        <v>253</v>
      </c>
      <c r="L95" s="568" t="s">
        <v>229</v>
      </c>
      <c r="M95" s="568">
        <v>15</v>
      </c>
      <c r="N95" s="75" t="s">
        <v>69</v>
      </c>
      <c r="O95" s="76">
        <v>0</v>
      </c>
      <c r="P95" s="76">
        <v>3</v>
      </c>
      <c r="Q95" s="78">
        <v>0</v>
      </c>
      <c r="R95" s="78">
        <v>1</v>
      </c>
      <c r="S95" s="500"/>
      <c r="T95" s="78">
        <v>1</v>
      </c>
      <c r="U95" s="78"/>
      <c r="V95" s="78">
        <v>1</v>
      </c>
      <c r="W95" s="75"/>
      <c r="X95" s="121">
        <f t="shared" si="121"/>
        <v>0</v>
      </c>
      <c r="Y95" s="77">
        <v>11</v>
      </c>
      <c r="Z95" s="74" t="s">
        <v>225</v>
      </c>
      <c r="AA95" s="82"/>
      <c r="AB95" s="82"/>
      <c r="AC95" s="448"/>
      <c r="AD95" s="185"/>
      <c r="AE95" s="185"/>
      <c r="AF95" s="82"/>
      <c r="AG95" s="82"/>
      <c r="AH95" s="82"/>
      <c r="AI95" s="82"/>
      <c r="AJ95" s="82">
        <f t="shared" si="122"/>
        <v>0</v>
      </c>
      <c r="AK95" s="90"/>
      <c r="AL95" s="90"/>
      <c r="AM95" s="90">
        <v>30000000</v>
      </c>
      <c r="AN95" s="90"/>
      <c r="AO95" s="90"/>
      <c r="AP95" s="90"/>
      <c r="AQ95" s="90"/>
      <c r="AR95" s="90"/>
      <c r="AS95" s="90">
        <v>1000000000</v>
      </c>
      <c r="AT95" s="84">
        <f t="shared" si="123"/>
        <v>1030000000</v>
      </c>
      <c r="AU95" s="90">
        <v>1000000000</v>
      </c>
      <c r="AV95" s="455"/>
      <c r="AW95" s="455"/>
      <c r="AX95" s="90"/>
      <c r="AY95" s="90"/>
      <c r="AZ95" s="90"/>
      <c r="BA95" s="90"/>
      <c r="BB95" s="90"/>
      <c r="BC95" s="90"/>
      <c r="BD95" s="90">
        <f t="shared" si="124"/>
        <v>1000000000</v>
      </c>
      <c r="BE95" s="90"/>
      <c r="BF95" s="90"/>
      <c r="BG95" s="90"/>
      <c r="BH95" s="90"/>
      <c r="BI95" s="90"/>
      <c r="BJ95" s="90"/>
      <c r="BK95" s="90"/>
      <c r="BL95" s="90"/>
      <c r="BM95" s="90">
        <v>1000000000</v>
      </c>
      <c r="BN95" s="90">
        <f t="shared" si="125"/>
        <v>1000000000</v>
      </c>
      <c r="BO95" s="546">
        <f t="shared" si="126"/>
        <v>3030000000</v>
      </c>
    </row>
    <row r="96" spans="1:68" ht="24.75" customHeight="1" x14ac:dyDescent="0.2">
      <c r="A96" s="547"/>
      <c r="B96" s="69"/>
      <c r="C96" s="125">
        <v>3</v>
      </c>
      <c r="D96" s="470" t="s">
        <v>254</v>
      </c>
      <c r="E96" s="471"/>
      <c r="F96" s="471"/>
      <c r="G96" s="209"/>
      <c r="H96" s="209"/>
      <c r="I96" s="129"/>
      <c r="J96" s="209"/>
      <c r="K96" s="209"/>
      <c r="L96" s="129"/>
      <c r="M96" s="129"/>
      <c r="N96" s="210"/>
      <c r="O96" s="209"/>
      <c r="P96" s="209"/>
      <c r="Q96" s="211"/>
      <c r="R96" s="209"/>
      <c r="S96" s="509"/>
      <c r="T96" s="209"/>
      <c r="U96" s="209"/>
      <c r="V96" s="129"/>
      <c r="W96" s="129"/>
      <c r="X96" s="212"/>
      <c r="Y96" s="129"/>
      <c r="Z96" s="129"/>
      <c r="AA96" s="213">
        <f t="shared" ref="AA96:AH96" si="127">AA97+AA111+AA139+AA152+AA163+AA172+AA178+AA189+AA234+AA241+AA258+AA263+AA269+AA282+AA295+AA301+AA313+AA320</f>
        <v>0</v>
      </c>
      <c r="AB96" s="213">
        <f t="shared" si="127"/>
        <v>33921269166</v>
      </c>
      <c r="AC96" s="213">
        <f t="shared" si="127"/>
        <v>5674664564.6400003</v>
      </c>
      <c r="AD96" s="213">
        <f t="shared" si="127"/>
        <v>1159954239</v>
      </c>
      <c r="AE96" s="213">
        <f t="shared" si="127"/>
        <v>4987433131</v>
      </c>
      <c r="AF96" s="213">
        <f t="shared" si="127"/>
        <v>0</v>
      </c>
      <c r="AG96" s="213">
        <f t="shared" si="127"/>
        <v>112952913595</v>
      </c>
      <c r="AH96" s="213">
        <f t="shared" si="127"/>
        <v>11365979119</v>
      </c>
      <c r="AI96" s="213">
        <f t="shared" ref="AI96:AP96" si="128">AI97+AI111+AI139+AI152+AI163+AI172+AI178+AI189+AI234+AI241+AI258+AI263+AI269+AI282+AI295+AI301+AI313+AI320</f>
        <v>9950000000</v>
      </c>
      <c r="AJ96" s="214">
        <f t="shared" si="128"/>
        <v>180012213814.64001</v>
      </c>
      <c r="AK96" s="213">
        <f t="shared" si="128"/>
        <v>0</v>
      </c>
      <c r="AL96" s="213">
        <f t="shared" si="128"/>
        <v>28265270630.439999</v>
      </c>
      <c r="AM96" s="213">
        <f t="shared" si="128"/>
        <v>5601591884.6692009</v>
      </c>
      <c r="AN96" s="213">
        <f t="shared" si="128"/>
        <v>0</v>
      </c>
      <c r="AO96" s="213">
        <f t="shared" si="128"/>
        <v>233587702.31</v>
      </c>
      <c r="AP96" s="213">
        <f t="shared" si="128"/>
        <v>0</v>
      </c>
      <c r="AQ96" s="213">
        <f t="shared" ref="AQ96:AT96" si="129">AQ97+AQ111+AQ139+AQ152+AQ163+AQ172+AQ178+AQ189+AQ234+AQ241+AQ258+AQ263+AQ269+AQ282+AQ295+AQ301+AQ313+AQ320</f>
        <v>116291155143.60001</v>
      </c>
      <c r="AR96" s="213">
        <f t="shared" si="129"/>
        <v>10799941036.780186</v>
      </c>
      <c r="AS96" s="213">
        <f t="shared" si="129"/>
        <v>11045276423</v>
      </c>
      <c r="AT96" s="213">
        <f t="shared" si="129"/>
        <v>172236822820.43924</v>
      </c>
      <c r="AU96" s="215"/>
      <c r="AV96" s="215"/>
      <c r="AW96" s="215"/>
      <c r="AX96" s="215"/>
      <c r="AY96" s="215"/>
      <c r="AZ96" s="215"/>
      <c r="BA96" s="215"/>
      <c r="BB96" s="215"/>
      <c r="BC96" s="215"/>
      <c r="BD96" s="213">
        <f>BD97+BD111+BD139+BD152+BD163+BD172+BD178+BD189+BD234+BD241+BD258+BD263+BD269+BD282+BD295+BD301+BD313+BD320</f>
        <v>175949632789.45718</v>
      </c>
      <c r="BE96" s="215"/>
      <c r="BF96" s="215"/>
      <c r="BG96" s="215"/>
      <c r="BH96" s="215"/>
      <c r="BI96" s="215"/>
      <c r="BJ96" s="215"/>
      <c r="BK96" s="215"/>
      <c r="BL96" s="215"/>
      <c r="BM96" s="215"/>
      <c r="BN96" s="213">
        <f>BN97+BN111+BN139+BN152+BN163+BN172+BN178+BN189+BN234+BN241+BN258+BN263+BN269+BN282+BN295+BN301+BN313+BN320</f>
        <v>183007271771.91962</v>
      </c>
      <c r="BO96" s="577">
        <f>BO97+BO111+BO139+BO152+BO163+BO172+BO178+BO189+BO234+BO241+BO258+BO263+BO269+BO282+BO295+BO301+BO313+BO320</f>
        <v>711205941196.45593</v>
      </c>
    </row>
    <row r="97" spans="1:67" ht="24.75" customHeight="1" x14ac:dyDescent="0.2">
      <c r="A97" s="547"/>
      <c r="B97" s="69"/>
      <c r="C97" s="562"/>
      <c r="D97" s="43">
        <v>5</v>
      </c>
      <c r="E97" s="134" t="s">
        <v>255</v>
      </c>
      <c r="F97" s="46"/>
      <c r="G97" s="46"/>
      <c r="H97" s="46"/>
      <c r="I97" s="47"/>
      <c r="J97" s="48"/>
      <c r="K97" s="48"/>
      <c r="L97" s="49"/>
      <c r="M97" s="47"/>
      <c r="N97" s="50"/>
      <c r="O97" s="48"/>
      <c r="P97" s="48"/>
      <c r="Q97" s="51"/>
      <c r="R97" s="48"/>
      <c r="S97" s="498"/>
      <c r="T97" s="48"/>
      <c r="U97" s="48"/>
      <c r="V97" s="47"/>
      <c r="W97" s="47"/>
      <c r="X97" s="135"/>
      <c r="Y97" s="47"/>
      <c r="Z97" s="47"/>
      <c r="AA97" s="53">
        <f t="shared" ref="AA97:AH97" si="130">AA98+AA102+AA109</f>
        <v>0</v>
      </c>
      <c r="AB97" s="53">
        <f t="shared" si="130"/>
        <v>3582459532</v>
      </c>
      <c r="AC97" s="53">
        <f t="shared" si="130"/>
        <v>3216953997</v>
      </c>
      <c r="AD97" s="53">
        <f t="shared" si="130"/>
        <v>0</v>
      </c>
      <c r="AE97" s="53">
        <f t="shared" si="130"/>
        <v>4987433131</v>
      </c>
      <c r="AF97" s="53">
        <f t="shared" si="130"/>
        <v>0</v>
      </c>
      <c r="AG97" s="53">
        <f t="shared" si="130"/>
        <v>99034613825</v>
      </c>
      <c r="AH97" s="53">
        <f t="shared" si="130"/>
        <v>0</v>
      </c>
      <c r="AI97" s="53">
        <f t="shared" ref="AI97:AJ97" si="131">AI98+AI102+AI109</f>
        <v>0</v>
      </c>
      <c r="AJ97" s="54">
        <f t="shared" si="131"/>
        <v>110821460485</v>
      </c>
      <c r="AK97" s="53">
        <f t="shared" ref="AK97:AT97" si="132">AK98+AK102+AK109</f>
        <v>0</v>
      </c>
      <c r="AL97" s="53">
        <f t="shared" si="132"/>
        <v>3683852490.1000004</v>
      </c>
      <c r="AM97" s="53">
        <f t="shared" si="132"/>
        <v>3050000000</v>
      </c>
      <c r="AN97" s="53">
        <f t="shared" si="132"/>
        <v>0</v>
      </c>
      <c r="AO97" s="53">
        <f t="shared" si="132"/>
        <v>233587702.31</v>
      </c>
      <c r="AP97" s="53">
        <f t="shared" si="132"/>
        <v>0</v>
      </c>
      <c r="AQ97" s="53">
        <f t="shared" si="132"/>
        <v>102005652239.75</v>
      </c>
      <c r="AR97" s="53">
        <f t="shared" si="132"/>
        <v>0</v>
      </c>
      <c r="AS97" s="53">
        <f t="shared" si="132"/>
        <v>0</v>
      </c>
      <c r="AT97" s="53">
        <f t="shared" si="132"/>
        <v>108973092432.16</v>
      </c>
      <c r="AU97" s="55"/>
      <c r="AV97" s="55"/>
      <c r="AW97" s="55"/>
      <c r="AX97" s="55"/>
      <c r="AY97" s="55"/>
      <c r="AZ97" s="55"/>
      <c r="BA97" s="55"/>
      <c r="BB97" s="55"/>
      <c r="BC97" s="55"/>
      <c r="BD97" s="53">
        <f t="shared" ref="BD97" si="133">BD98+BD102+BD109</f>
        <v>111115785205.12529</v>
      </c>
      <c r="BE97" s="55"/>
      <c r="BF97" s="55"/>
      <c r="BG97" s="55"/>
      <c r="BH97" s="55"/>
      <c r="BI97" s="55"/>
      <c r="BJ97" s="55"/>
      <c r="BK97" s="55"/>
      <c r="BL97" s="55"/>
      <c r="BM97" s="55"/>
      <c r="BN97" s="53">
        <f t="shared" ref="BN97" si="134">BN98+BN102+BN109</f>
        <v>115891991461.27399</v>
      </c>
      <c r="BO97" s="543">
        <f t="shared" ref="BO97" si="135">BO98+BO102+BO109</f>
        <v>446802329583.55927</v>
      </c>
    </row>
    <row r="98" spans="1:67" ht="24.75" customHeight="1" x14ac:dyDescent="0.2">
      <c r="A98" s="547"/>
      <c r="B98" s="69"/>
      <c r="C98" s="136"/>
      <c r="D98" s="562"/>
      <c r="E98" s="57">
        <v>16</v>
      </c>
      <c r="F98" s="58" t="s">
        <v>256</v>
      </c>
      <c r="G98" s="61"/>
      <c r="H98" s="61"/>
      <c r="I98" s="60"/>
      <c r="J98" s="61"/>
      <c r="K98" s="61"/>
      <c r="L98" s="60"/>
      <c r="M98" s="62"/>
      <c r="N98" s="63"/>
      <c r="O98" s="61"/>
      <c r="P98" s="61"/>
      <c r="Q98" s="64"/>
      <c r="R98" s="61"/>
      <c r="S98" s="499"/>
      <c r="T98" s="61"/>
      <c r="U98" s="61"/>
      <c r="V98" s="62"/>
      <c r="W98" s="62"/>
      <c r="X98" s="137"/>
      <c r="Y98" s="62"/>
      <c r="Z98" s="62"/>
      <c r="AA98" s="66">
        <f t="shared" ref="AA98:AI98" si="136">SUM(AA99:AA101)</f>
        <v>0</v>
      </c>
      <c r="AB98" s="66">
        <f t="shared" si="136"/>
        <v>3582459532</v>
      </c>
      <c r="AC98" s="66">
        <f t="shared" si="136"/>
        <v>3166953997</v>
      </c>
      <c r="AD98" s="66">
        <f t="shared" si="136"/>
        <v>0</v>
      </c>
      <c r="AE98" s="66">
        <f t="shared" si="136"/>
        <v>4987433131</v>
      </c>
      <c r="AF98" s="66">
        <f t="shared" si="136"/>
        <v>0</v>
      </c>
      <c r="AG98" s="66">
        <f t="shared" si="136"/>
        <v>0</v>
      </c>
      <c r="AH98" s="66">
        <f t="shared" si="136"/>
        <v>0</v>
      </c>
      <c r="AI98" s="66">
        <f t="shared" si="136"/>
        <v>0</v>
      </c>
      <c r="AJ98" s="67">
        <f>SUM(AJ99:AJ101)</f>
        <v>11736846660</v>
      </c>
      <c r="AK98" s="66">
        <f t="shared" ref="AK98:AT98" si="137">SUM(AK99:AK101)</f>
        <v>0</v>
      </c>
      <c r="AL98" s="66">
        <f t="shared" si="137"/>
        <v>3683852490.1000004</v>
      </c>
      <c r="AM98" s="66">
        <f t="shared" si="137"/>
        <v>3000000000</v>
      </c>
      <c r="AN98" s="66">
        <f t="shared" si="137"/>
        <v>0</v>
      </c>
      <c r="AO98" s="66">
        <f t="shared" si="137"/>
        <v>233587702.31</v>
      </c>
      <c r="AP98" s="66">
        <f t="shared" si="137"/>
        <v>0</v>
      </c>
      <c r="AQ98" s="66">
        <f t="shared" si="137"/>
        <v>0</v>
      </c>
      <c r="AR98" s="66">
        <f t="shared" si="137"/>
        <v>0</v>
      </c>
      <c r="AS98" s="66">
        <f t="shared" si="137"/>
        <v>0</v>
      </c>
      <c r="AT98" s="66">
        <f t="shared" si="137"/>
        <v>6917440192.4099998</v>
      </c>
      <c r="AU98" s="68"/>
      <c r="AV98" s="68"/>
      <c r="AW98" s="68"/>
      <c r="AX98" s="68"/>
      <c r="AY98" s="68"/>
      <c r="AZ98" s="68"/>
      <c r="BA98" s="68"/>
      <c r="BB98" s="68"/>
      <c r="BC98" s="68"/>
      <c r="BD98" s="66">
        <f t="shared" ref="BD98" si="138">SUM(BD99:BD101)</f>
        <v>6034963398.1823006</v>
      </c>
      <c r="BE98" s="68"/>
      <c r="BF98" s="68"/>
      <c r="BG98" s="68"/>
      <c r="BH98" s="68"/>
      <c r="BI98" s="68"/>
      <c r="BJ98" s="68"/>
      <c r="BK98" s="68"/>
      <c r="BL98" s="68"/>
      <c r="BM98" s="68"/>
      <c r="BN98" s="66">
        <f t="shared" ref="BN98" si="139">SUM(BN99:BN101)</f>
        <v>7659195000.1277695</v>
      </c>
      <c r="BO98" s="544">
        <f t="shared" ref="BO98" si="140">SUM(BO99:BO101)</f>
        <v>32348445250.72007</v>
      </c>
    </row>
    <row r="99" spans="1:67" ht="87.75" customHeight="1" x14ac:dyDescent="0.2">
      <c r="A99" s="545">
        <v>67</v>
      </c>
      <c r="B99" s="69">
        <v>3</v>
      </c>
      <c r="C99" s="136"/>
      <c r="D99" s="136"/>
      <c r="E99" s="478">
        <v>15</v>
      </c>
      <c r="F99" s="439" t="s">
        <v>257</v>
      </c>
      <c r="G99" s="548" t="s">
        <v>258</v>
      </c>
      <c r="H99" s="548" t="s">
        <v>259</v>
      </c>
      <c r="I99" s="72">
        <v>65</v>
      </c>
      <c r="J99" s="73" t="s">
        <v>260</v>
      </c>
      <c r="K99" s="216" t="s">
        <v>261</v>
      </c>
      <c r="L99" s="217" t="s">
        <v>262</v>
      </c>
      <c r="M99" s="217">
        <v>1</v>
      </c>
      <c r="N99" s="112" t="s">
        <v>54</v>
      </c>
      <c r="O99" s="172">
        <v>1</v>
      </c>
      <c r="P99" s="172">
        <v>1</v>
      </c>
      <c r="Q99" s="196">
        <v>1</v>
      </c>
      <c r="R99" s="93">
        <v>1</v>
      </c>
      <c r="S99" s="500"/>
      <c r="T99" s="93">
        <v>1</v>
      </c>
      <c r="U99" s="93"/>
      <c r="V99" s="93">
        <v>1</v>
      </c>
      <c r="W99" s="112"/>
      <c r="X99" s="218">
        <f>AJ99/$AJ$98</f>
        <v>0.37367306449925114</v>
      </c>
      <c r="Y99" s="77">
        <v>4</v>
      </c>
      <c r="Z99" s="138" t="s">
        <v>110</v>
      </c>
      <c r="AA99" s="185"/>
      <c r="AB99" s="83">
        <f>1212885746+5903716</f>
        <v>1218789462</v>
      </c>
      <c r="AC99" s="185">
        <f>1459029622+1707924375</f>
        <v>3166953997</v>
      </c>
      <c r="AD99" s="185"/>
      <c r="AE99" s="185"/>
      <c r="AF99" s="185"/>
      <c r="AG99" s="185"/>
      <c r="AH99" s="185"/>
      <c r="AI99" s="185"/>
      <c r="AJ99" s="82">
        <f>+AA99+AB99+AC99+AD99+AE99+AF99+AG99+AH99+AI99</f>
        <v>4385743459</v>
      </c>
      <c r="AK99" s="90"/>
      <c r="AL99" s="90">
        <v>1250000000</v>
      </c>
      <c r="AM99" s="90">
        <v>1600000000</v>
      </c>
      <c r="AN99" s="90"/>
      <c r="AO99" s="90"/>
      <c r="AP99" s="90"/>
      <c r="AQ99" s="90"/>
      <c r="AR99" s="90"/>
      <c r="AS99" s="90"/>
      <c r="AT99" s="84">
        <f>AK99+AL99+AM99+AN99+AO99+AP99+AQ99+AR99+AS99</f>
        <v>2850000000</v>
      </c>
      <c r="AU99" s="90"/>
      <c r="AV99" s="90">
        <f>1250000000*1.03</f>
        <v>1287500000</v>
      </c>
      <c r="AW99" s="90">
        <v>1000000000</v>
      </c>
      <c r="AX99" s="90"/>
      <c r="AY99" s="90"/>
      <c r="AZ99" s="90"/>
      <c r="BA99" s="90"/>
      <c r="BB99" s="90"/>
      <c r="BC99" s="90"/>
      <c r="BD99" s="90">
        <f>SUM(AU99:BC99)</f>
        <v>2287500000</v>
      </c>
      <c r="BE99" s="90"/>
      <c r="BF99" s="90">
        <f>1287500000*1.03+3182700</f>
        <v>1329307700</v>
      </c>
      <c r="BG99" s="90">
        <v>750000000</v>
      </c>
      <c r="BH99" s="90"/>
      <c r="BI99" s="90"/>
      <c r="BJ99" s="90"/>
      <c r="BK99" s="90"/>
      <c r="BL99" s="90"/>
      <c r="BM99" s="90"/>
      <c r="BN99" s="90">
        <f>SUM(BE99:BM99)</f>
        <v>2079307700</v>
      </c>
      <c r="BO99" s="546">
        <f>AJ99+AT99+BD99+BN99</f>
        <v>11602551159</v>
      </c>
    </row>
    <row r="100" spans="1:67" ht="59.25" customHeight="1" x14ac:dyDescent="0.2">
      <c r="A100" s="547">
        <v>68</v>
      </c>
      <c r="B100" s="69">
        <v>3</v>
      </c>
      <c r="C100" s="136"/>
      <c r="D100" s="136"/>
      <c r="E100" s="91"/>
      <c r="F100" s="119"/>
      <c r="G100" s="114"/>
      <c r="H100" s="114"/>
      <c r="I100" s="72">
        <v>66</v>
      </c>
      <c r="J100" s="73" t="s">
        <v>263</v>
      </c>
      <c r="K100" s="216" t="s">
        <v>264</v>
      </c>
      <c r="L100" s="217" t="s">
        <v>262</v>
      </c>
      <c r="M100" s="217">
        <v>1</v>
      </c>
      <c r="N100" s="112" t="s">
        <v>54</v>
      </c>
      <c r="O100" s="172">
        <v>1</v>
      </c>
      <c r="P100" s="172">
        <v>1</v>
      </c>
      <c r="Q100" s="196">
        <v>1</v>
      </c>
      <c r="R100" s="93">
        <v>1</v>
      </c>
      <c r="S100" s="500"/>
      <c r="T100" s="93">
        <v>1</v>
      </c>
      <c r="U100" s="93"/>
      <c r="V100" s="93">
        <v>1</v>
      </c>
      <c r="W100" s="112"/>
      <c r="X100" s="218">
        <f>AJ100/$AJ$98</f>
        <v>0.53942113963002047</v>
      </c>
      <c r="Y100" s="78">
        <v>2</v>
      </c>
      <c r="Z100" s="81" t="s">
        <v>137</v>
      </c>
      <c r="AA100" s="185"/>
      <c r="AB100" s="448">
        <v>1343670070</v>
      </c>
      <c r="AC100" s="193"/>
      <c r="AD100" s="193"/>
      <c r="AE100" s="185">
        <v>4987433131</v>
      </c>
      <c r="AF100" s="185"/>
      <c r="AG100" s="448"/>
      <c r="AH100" s="185"/>
      <c r="AI100" s="185"/>
      <c r="AJ100" s="82">
        <f>+AA100+AB100+AC100+AD100+AE100+AF100+AG100+AH100+AI100</f>
        <v>6331103201</v>
      </c>
      <c r="AK100" s="90"/>
      <c r="AL100" s="90">
        <v>1383252490.1000001</v>
      </c>
      <c r="AM100" s="90">
        <v>1400000000</v>
      </c>
      <c r="AN100" s="90"/>
      <c r="AO100" s="90">
        <v>233587702.31</v>
      </c>
      <c r="AP100" s="90"/>
      <c r="AQ100" s="158"/>
      <c r="AR100" s="90"/>
      <c r="AS100" s="90"/>
      <c r="AT100" s="84">
        <f>AK100+AL100+AM100+AN100+AO100+AP100+AQ100+AR100+AS100</f>
        <v>3016840192.4100003</v>
      </c>
      <c r="AU100" s="90"/>
      <c r="AV100" s="90">
        <f>1383252490.1*1.03</f>
        <v>1424750064.803</v>
      </c>
      <c r="AW100" s="90">
        <v>1000000000</v>
      </c>
      <c r="AX100" s="90"/>
      <c r="AY100" s="90">
        <v>240595333.3793</v>
      </c>
      <c r="AZ100" s="90"/>
      <c r="BA100" s="90"/>
      <c r="BB100" s="90"/>
      <c r="BC100" s="90"/>
      <c r="BD100" s="90">
        <f>SUM(AU100:BC100)</f>
        <v>2665345398.1823001</v>
      </c>
      <c r="BE100" s="90"/>
      <c r="BF100" s="90">
        <f>1424750064.803*1.03</f>
        <v>1467492566.7470901</v>
      </c>
      <c r="BG100" s="90">
        <v>750000000</v>
      </c>
      <c r="BH100" s="90"/>
      <c r="BI100" s="90">
        <v>247813193.38067901</v>
      </c>
      <c r="BJ100" s="90"/>
      <c r="BK100" s="90"/>
      <c r="BL100" s="90"/>
      <c r="BM100" s="90">
        <v>2000000000</v>
      </c>
      <c r="BN100" s="90">
        <f>SUM(BE100:BM100)</f>
        <v>4465305760.1277695</v>
      </c>
      <c r="BO100" s="546">
        <f>AJ100+AT100+BD100+BN100</f>
        <v>16478594551.72007</v>
      </c>
    </row>
    <row r="101" spans="1:67" ht="59.25" customHeight="1" x14ac:dyDescent="0.2">
      <c r="A101" s="545">
        <v>69</v>
      </c>
      <c r="B101" s="69">
        <v>3</v>
      </c>
      <c r="C101" s="136"/>
      <c r="D101" s="136"/>
      <c r="E101" s="451"/>
      <c r="F101" s="529"/>
      <c r="G101" s="92"/>
      <c r="H101" s="92"/>
      <c r="I101" s="72">
        <v>67</v>
      </c>
      <c r="J101" s="73" t="s">
        <v>265</v>
      </c>
      <c r="K101" s="216" t="s">
        <v>266</v>
      </c>
      <c r="L101" s="217" t="s">
        <v>262</v>
      </c>
      <c r="M101" s="217">
        <v>1</v>
      </c>
      <c r="N101" s="112" t="s">
        <v>54</v>
      </c>
      <c r="O101" s="172">
        <v>1</v>
      </c>
      <c r="P101" s="172">
        <v>1</v>
      </c>
      <c r="Q101" s="196">
        <v>1</v>
      </c>
      <c r="R101" s="93">
        <v>1</v>
      </c>
      <c r="S101" s="500"/>
      <c r="T101" s="93">
        <v>1</v>
      </c>
      <c r="U101" s="93"/>
      <c r="V101" s="93">
        <v>1</v>
      </c>
      <c r="W101" s="112"/>
      <c r="X101" s="218">
        <f>AJ101/$AJ$98</f>
        <v>8.6905795870728358E-2</v>
      </c>
      <c r="Y101" s="78">
        <v>4</v>
      </c>
      <c r="Z101" s="81" t="s">
        <v>110</v>
      </c>
      <c r="AA101" s="185"/>
      <c r="AB101" s="449">
        <v>1020000000</v>
      </c>
      <c r="AC101" s="185"/>
      <c r="AD101" s="185"/>
      <c r="AE101" s="185"/>
      <c r="AF101" s="185"/>
      <c r="AG101" s="185"/>
      <c r="AH101" s="185"/>
      <c r="AI101" s="185"/>
      <c r="AJ101" s="82">
        <f>+AA101+AB101+AC101+AD101+AE101+AF101+AG101+AH101+AI101</f>
        <v>1020000000</v>
      </c>
      <c r="AK101" s="90"/>
      <c r="AL101" s="90">
        <v>1050600000</v>
      </c>
      <c r="AM101" s="90"/>
      <c r="AN101" s="90"/>
      <c r="AO101" s="90"/>
      <c r="AP101" s="90"/>
      <c r="AQ101" s="90"/>
      <c r="AR101" s="90"/>
      <c r="AS101" s="90"/>
      <c r="AT101" s="84">
        <f>AK101+AL101+AM101+AN101+AO101+AP101+AQ101+AR101+AS101</f>
        <v>1050600000</v>
      </c>
      <c r="AU101" s="90"/>
      <c r="AV101" s="90">
        <f>1050600000*1.03</f>
        <v>1082118000</v>
      </c>
      <c r="AW101" s="90"/>
      <c r="AX101" s="90"/>
      <c r="AY101" s="90"/>
      <c r="AZ101" s="90"/>
      <c r="BA101" s="90"/>
      <c r="BB101" s="90"/>
      <c r="BC101" s="90"/>
      <c r="BD101" s="90">
        <f>SUM(AU101:BC101)</f>
        <v>1082118000</v>
      </c>
      <c r="BE101" s="90"/>
      <c r="BF101" s="90">
        <f>1082118000*1.03</f>
        <v>1114581540</v>
      </c>
      <c r="BG101" s="90"/>
      <c r="BH101" s="90"/>
      <c r="BI101" s="90"/>
      <c r="BJ101" s="90"/>
      <c r="BK101" s="90"/>
      <c r="BL101" s="90"/>
      <c r="BM101" s="90"/>
      <c r="BN101" s="90">
        <f>SUM(BE101:BM101)</f>
        <v>1114581540</v>
      </c>
      <c r="BO101" s="546">
        <f>AJ101+AT101+BD101+BN101</f>
        <v>4267299540</v>
      </c>
    </row>
    <row r="102" spans="1:67" ht="24.75" customHeight="1" x14ac:dyDescent="0.2">
      <c r="A102" s="545"/>
      <c r="B102" s="69"/>
      <c r="C102" s="136"/>
      <c r="D102" s="136"/>
      <c r="E102" s="57">
        <v>17</v>
      </c>
      <c r="F102" s="58" t="s">
        <v>267</v>
      </c>
      <c r="G102" s="59"/>
      <c r="H102" s="58"/>
      <c r="I102" s="57"/>
      <c r="J102" s="58"/>
      <c r="K102" s="61"/>
      <c r="L102" s="60"/>
      <c r="M102" s="62"/>
      <c r="N102" s="63"/>
      <c r="O102" s="61"/>
      <c r="P102" s="61"/>
      <c r="Q102" s="64"/>
      <c r="R102" s="61"/>
      <c r="S102" s="499"/>
      <c r="T102" s="61"/>
      <c r="U102" s="61"/>
      <c r="V102" s="62"/>
      <c r="W102" s="62"/>
      <c r="X102" s="137"/>
      <c r="Y102" s="62"/>
      <c r="Z102" s="62"/>
      <c r="AA102" s="66">
        <f t="shared" ref="AA102:AI102" si="141">SUM(AA103:AA108)</f>
        <v>0</v>
      </c>
      <c r="AB102" s="66">
        <f t="shared" si="141"/>
        <v>0</v>
      </c>
      <c r="AC102" s="66">
        <f t="shared" si="141"/>
        <v>50000000</v>
      </c>
      <c r="AD102" s="66">
        <f t="shared" si="141"/>
        <v>0</v>
      </c>
      <c r="AE102" s="66">
        <f t="shared" si="141"/>
        <v>0</v>
      </c>
      <c r="AF102" s="66">
        <f t="shared" si="141"/>
        <v>0</v>
      </c>
      <c r="AG102" s="66">
        <f t="shared" si="141"/>
        <v>1100000000</v>
      </c>
      <c r="AH102" s="66">
        <f t="shared" si="141"/>
        <v>0</v>
      </c>
      <c r="AI102" s="66">
        <f t="shared" si="141"/>
        <v>0</v>
      </c>
      <c r="AJ102" s="67">
        <f>SUM(AJ103:AJ108)</f>
        <v>1150000000</v>
      </c>
      <c r="AK102" s="66">
        <f t="shared" ref="AK102:AT102" si="142">SUM(AK103:AK108)</f>
        <v>0</v>
      </c>
      <c r="AL102" s="66">
        <f t="shared" si="142"/>
        <v>0</v>
      </c>
      <c r="AM102" s="66">
        <f t="shared" si="142"/>
        <v>50000000</v>
      </c>
      <c r="AN102" s="66">
        <f t="shared" si="142"/>
        <v>0</v>
      </c>
      <c r="AO102" s="66">
        <f t="shared" si="142"/>
        <v>0</v>
      </c>
      <c r="AP102" s="66">
        <f t="shared" si="142"/>
        <v>0</v>
      </c>
      <c r="AQ102" s="66">
        <f t="shared" si="142"/>
        <v>1133000000</v>
      </c>
      <c r="AR102" s="66">
        <f t="shared" si="142"/>
        <v>0</v>
      </c>
      <c r="AS102" s="66">
        <f t="shared" si="142"/>
        <v>0</v>
      </c>
      <c r="AT102" s="66">
        <f t="shared" si="142"/>
        <v>1183000000</v>
      </c>
      <c r="AU102" s="68"/>
      <c r="AV102" s="68"/>
      <c r="AW102" s="68"/>
      <c r="AX102" s="68"/>
      <c r="AY102" s="68"/>
      <c r="AZ102" s="68"/>
      <c r="BA102" s="68"/>
      <c r="BB102" s="68"/>
      <c r="BC102" s="68"/>
      <c r="BD102" s="66">
        <f t="shared" ref="BD102" si="143">SUM(BD103:BD108)</f>
        <v>1181990000</v>
      </c>
      <c r="BE102" s="68"/>
      <c r="BF102" s="68"/>
      <c r="BG102" s="68"/>
      <c r="BH102" s="68"/>
      <c r="BI102" s="68"/>
      <c r="BJ102" s="68"/>
      <c r="BK102" s="68"/>
      <c r="BL102" s="68"/>
      <c r="BM102" s="68"/>
      <c r="BN102" s="66">
        <f t="shared" ref="BN102:BO102" si="144">SUM(BN103:BN108)</f>
        <v>1216999699.9952176</v>
      </c>
      <c r="BO102" s="544">
        <f t="shared" si="144"/>
        <v>4731989699.9952173</v>
      </c>
    </row>
    <row r="103" spans="1:67" ht="96.75" customHeight="1" x14ac:dyDescent="0.2">
      <c r="A103" s="547">
        <v>70</v>
      </c>
      <c r="B103" s="69">
        <v>3</v>
      </c>
      <c r="C103" s="136"/>
      <c r="D103" s="136"/>
      <c r="E103" s="93">
        <v>15</v>
      </c>
      <c r="F103" s="70" t="s">
        <v>257</v>
      </c>
      <c r="G103" s="71" t="s">
        <v>258</v>
      </c>
      <c r="H103" s="220" t="s">
        <v>259</v>
      </c>
      <c r="I103" s="72">
        <v>68</v>
      </c>
      <c r="J103" s="221" t="s">
        <v>268</v>
      </c>
      <c r="K103" s="221" t="s">
        <v>269</v>
      </c>
      <c r="L103" s="217" t="s">
        <v>262</v>
      </c>
      <c r="M103" s="217">
        <v>1</v>
      </c>
      <c r="N103" s="222" t="s">
        <v>54</v>
      </c>
      <c r="O103" s="77">
        <v>4357</v>
      </c>
      <c r="P103" s="77">
        <v>4500</v>
      </c>
      <c r="Q103" s="223">
        <v>4500</v>
      </c>
      <c r="R103" s="223">
        <v>4500</v>
      </c>
      <c r="S103" s="500"/>
      <c r="T103" s="223">
        <v>4500</v>
      </c>
      <c r="U103" s="223"/>
      <c r="V103" s="223">
        <v>4500</v>
      </c>
      <c r="W103" s="222"/>
      <c r="X103" s="218">
        <f t="shared" ref="X103:X108" si="145">AJ103/$AJ$102</f>
        <v>8.6956521739130436E-3</v>
      </c>
      <c r="Y103" s="77">
        <v>4</v>
      </c>
      <c r="Z103" s="138" t="s">
        <v>110</v>
      </c>
      <c r="AA103" s="185"/>
      <c r="AB103" s="185"/>
      <c r="AC103" s="108">
        <v>10000000</v>
      </c>
      <c r="AD103" s="108"/>
      <c r="AE103" s="185"/>
      <c r="AF103" s="185"/>
      <c r="AG103" s="185"/>
      <c r="AH103" s="185"/>
      <c r="AI103" s="185"/>
      <c r="AJ103" s="82">
        <f t="shared" ref="AJ103:AJ108" si="146">+AA103+AB103+AC103+AD103+AE103+AF103+AG103+AH103+AI103</f>
        <v>10000000</v>
      </c>
      <c r="AK103" s="90"/>
      <c r="AL103" s="90"/>
      <c r="AM103" s="90">
        <v>10000000</v>
      </c>
      <c r="AN103" s="90"/>
      <c r="AO103" s="90"/>
      <c r="AP103" s="90"/>
      <c r="AQ103" s="90"/>
      <c r="AR103" s="90"/>
      <c r="AS103" s="90"/>
      <c r="AT103" s="84">
        <f t="shared" ref="AT103:AT108" si="147">AK103+AL103+AM103+AN103+AO103+AP103+AQ103+AR103+AS103</f>
        <v>10000000</v>
      </c>
      <c r="AU103" s="90"/>
      <c r="AV103" s="90"/>
      <c r="AW103" s="90">
        <v>4000000</v>
      </c>
      <c r="AX103" s="90"/>
      <c r="AY103" s="90"/>
      <c r="AZ103" s="90"/>
      <c r="BA103" s="90"/>
      <c r="BB103" s="90"/>
      <c r="BC103" s="90"/>
      <c r="BD103" s="90">
        <f t="shared" ref="BD103:BD108" si="148">SUM(AU103:BC103)</f>
        <v>4000000</v>
      </c>
      <c r="BE103" s="90"/>
      <c r="BF103" s="90"/>
      <c r="BG103" s="90">
        <v>10550000</v>
      </c>
      <c r="BH103" s="90"/>
      <c r="BI103" s="90"/>
      <c r="BJ103" s="90"/>
      <c r="BK103" s="90"/>
      <c r="BL103" s="90"/>
      <c r="BM103" s="90"/>
      <c r="BN103" s="90">
        <f t="shared" ref="BN103:BN108" si="149">SUM(BE103:BM103)</f>
        <v>10550000</v>
      </c>
      <c r="BO103" s="546">
        <f t="shared" ref="BO103:BO108" si="150">AJ103+AT103+BD103+BN103</f>
        <v>34550000</v>
      </c>
    </row>
    <row r="104" spans="1:67" ht="96.75" customHeight="1" x14ac:dyDescent="0.2">
      <c r="A104" s="545">
        <v>71</v>
      </c>
      <c r="B104" s="69">
        <v>3</v>
      </c>
      <c r="C104" s="136"/>
      <c r="D104" s="136"/>
      <c r="E104" s="93">
        <v>14</v>
      </c>
      <c r="F104" s="70" t="s">
        <v>270</v>
      </c>
      <c r="G104" s="92" t="s">
        <v>271</v>
      </c>
      <c r="H104" s="224">
        <v>0.03</v>
      </c>
      <c r="I104" s="72">
        <v>69</v>
      </c>
      <c r="J104" s="73" t="s">
        <v>272</v>
      </c>
      <c r="K104" s="221" t="s">
        <v>273</v>
      </c>
      <c r="L104" s="217" t="s">
        <v>262</v>
      </c>
      <c r="M104" s="217">
        <v>1</v>
      </c>
      <c r="N104" s="222" t="s">
        <v>54</v>
      </c>
      <c r="O104" s="77" t="s">
        <v>49</v>
      </c>
      <c r="P104" s="77">
        <v>1</v>
      </c>
      <c r="Q104" s="223">
        <v>1</v>
      </c>
      <c r="R104" s="223">
        <v>1</v>
      </c>
      <c r="S104" s="500"/>
      <c r="T104" s="223">
        <v>1</v>
      </c>
      <c r="U104" s="223"/>
      <c r="V104" s="223">
        <v>1</v>
      </c>
      <c r="W104" s="222"/>
      <c r="X104" s="218">
        <f t="shared" si="145"/>
        <v>8.6956521739130436E-3</v>
      </c>
      <c r="Y104" s="77">
        <v>4</v>
      </c>
      <c r="Z104" s="138" t="s">
        <v>110</v>
      </c>
      <c r="AA104" s="185"/>
      <c r="AB104" s="185"/>
      <c r="AC104" s="108">
        <v>10000000</v>
      </c>
      <c r="AD104" s="108"/>
      <c r="AE104" s="185"/>
      <c r="AF104" s="185"/>
      <c r="AG104" s="185"/>
      <c r="AH104" s="185"/>
      <c r="AI104" s="185"/>
      <c r="AJ104" s="82">
        <f t="shared" si="146"/>
        <v>10000000</v>
      </c>
      <c r="AK104" s="90"/>
      <c r="AL104" s="90"/>
      <c r="AM104" s="90">
        <v>10000000</v>
      </c>
      <c r="AN104" s="90"/>
      <c r="AO104" s="90"/>
      <c r="AP104" s="90"/>
      <c r="AQ104" s="90"/>
      <c r="AR104" s="90"/>
      <c r="AS104" s="90"/>
      <c r="AT104" s="84">
        <f t="shared" si="147"/>
        <v>10000000</v>
      </c>
      <c r="AU104" s="90"/>
      <c r="AV104" s="90"/>
      <c r="AW104" s="90">
        <v>4000000</v>
      </c>
      <c r="AX104" s="90"/>
      <c r="AY104" s="90"/>
      <c r="AZ104" s="90"/>
      <c r="BA104" s="90"/>
      <c r="BB104" s="90"/>
      <c r="BC104" s="90"/>
      <c r="BD104" s="90">
        <f t="shared" si="148"/>
        <v>4000000</v>
      </c>
      <c r="BE104" s="90"/>
      <c r="BF104" s="90"/>
      <c r="BG104" s="90">
        <f>15000000-10550000</f>
        <v>4450000</v>
      </c>
      <c r="BH104" s="90"/>
      <c r="BI104" s="90"/>
      <c r="BJ104" s="90"/>
      <c r="BK104" s="90">
        <f>10550000-4450000</f>
        <v>6100000</v>
      </c>
      <c r="BL104" s="90"/>
      <c r="BM104" s="90"/>
      <c r="BN104" s="90">
        <f t="shared" si="149"/>
        <v>10550000</v>
      </c>
      <c r="BO104" s="546">
        <f t="shared" si="150"/>
        <v>34550000</v>
      </c>
    </row>
    <row r="105" spans="1:67" ht="96.75" customHeight="1" x14ac:dyDescent="0.2">
      <c r="A105" s="547">
        <v>72</v>
      </c>
      <c r="B105" s="69">
        <v>3</v>
      </c>
      <c r="C105" s="136"/>
      <c r="D105" s="136"/>
      <c r="E105" s="91">
        <v>15</v>
      </c>
      <c r="F105" s="439" t="s">
        <v>257</v>
      </c>
      <c r="G105" s="548" t="s">
        <v>258</v>
      </c>
      <c r="H105" s="548" t="s">
        <v>259</v>
      </c>
      <c r="I105" s="72">
        <v>70</v>
      </c>
      <c r="J105" s="73" t="s">
        <v>274</v>
      </c>
      <c r="K105" s="216" t="s">
        <v>275</v>
      </c>
      <c r="L105" s="217" t="s">
        <v>262</v>
      </c>
      <c r="M105" s="217">
        <v>1</v>
      </c>
      <c r="N105" s="419" t="s">
        <v>69</v>
      </c>
      <c r="O105" s="225">
        <v>322</v>
      </c>
      <c r="P105" s="423">
        <v>490</v>
      </c>
      <c r="Q105" s="223">
        <v>343</v>
      </c>
      <c r="R105" s="223">
        <v>406</v>
      </c>
      <c r="S105" s="500"/>
      <c r="T105" s="223">
        <v>469</v>
      </c>
      <c r="U105" s="223"/>
      <c r="V105" s="223">
        <v>490</v>
      </c>
      <c r="W105" s="222"/>
      <c r="X105" s="218">
        <f t="shared" si="145"/>
        <v>1.7391304347826087E-2</v>
      </c>
      <c r="Y105" s="77">
        <v>4</v>
      </c>
      <c r="Z105" s="138" t="s">
        <v>110</v>
      </c>
      <c r="AA105" s="185"/>
      <c r="AB105" s="185"/>
      <c r="AC105" s="108">
        <v>20000000</v>
      </c>
      <c r="AD105" s="108"/>
      <c r="AE105" s="185"/>
      <c r="AF105" s="185"/>
      <c r="AG105" s="185"/>
      <c r="AH105" s="185"/>
      <c r="AI105" s="185"/>
      <c r="AJ105" s="82">
        <f t="shared" si="146"/>
        <v>20000000</v>
      </c>
      <c r="AK105" s="90"/>
      <c r="AL105" s="90"/>
      <c r="AM105" s="90">
        <v>20000000</v>
      </c>
      <c r="AN105" s="90"/>
      <c r="AO105" s="90"/>
      <c r="AP105" s="90"/>
      <c r="AQ105" s="90"/>
      <c r="AR105" s="90"/>
      <c r="AS105" s="90"/>
      <c r="AT105" s="84">
        <f t="shared" si="147"/>
        <v>20000000</v>
      </c>
      <c r="AU105" s="90"/>
      <c r="AV105" s="90"/>
      <c r="AW105" s="90">
        <v>4000000</v>
      </c>
      <c r="AX105" s="90"/>
      <c r="AY105" s="90"/>
      <c r="AZ105" s="90"/>
      <c r="BA105" s="90"/>
      <c r="BB105" s="90"/>
      <c r="BC105" s="90"/>
      <c r="BD105" s="90">
        <f t="shared" si="148"/>
        <v>4000000</v>
      </c>
      <c r="BE105" s="90"/>
      <c r="BF105" s="90"/>
      <c r="BG105" s="90"/>
      <c r="BH105" s="90"/>
      <c r="BI105" s="90"/>
      <c r="BJ105" s="90"/>
      <c r="BK105" s="90">
        <v>21165000</v>
      </c>
      <c r="BL105" s="90"/>
      <c r="BM105" s="90"/>
      <c r="BN105" s="90">
        <f t="shared" si="149"/>
        <v>21165000</v>
      </c>
      <c r="BO105" s="546">
        <f t="shared" si="150"/>
        <v>65165000</v>
      </c>
    </row>
    <row r="106" spans="1:67" ht="96.75" customHeight="1" x14ac:dyDescent="0.2">
      <c r="A106" s="545">
        <v>73</v>
      </c>
      <c r="B106" s="69">
        <v>3</v>
      </c>
      <c r="C106" s="136"/>
      <c r="D106" s="136"/>
      <c r="E106" s="91"/>
      <c r="F106" s="119"/>
      <c r="G106" s="114"/>
      <c r="H106" s="114"/>
      <c r="I106" s="72">
        <v>71</v>
      </c>
      <c r="J106" s="73" t="s">
        <v>276</v>
      </c>
      <c r="K106" s="216" t="s">
        <v>277</v>
      </c>
      <c r="L106" s="217" t="s">
        <v>262</v>
      </c>
      <c r="M106" s="217">
        <v>1</v>
      </c>
      <c r="N106" s="419" t="s">
        <v>69</v>
      </c>
      <c r="O106" s="225">
        <v>1762</v>
      </c>
      <c r="P106" s="423">
        <v>2570</v>
      </c>
      <c r="Q106" s="223">
        <v>1863</v>
      </c>
      <c r="R106" s="223">
        <v>2166</v>
      </c>
      <c r="S106" s="500"/>
      <c r="T106" s="223">
        <v>2469</v>
      </c>
      <c r="U106" s="223"/>
      <c r="V106" s="223">
        <v>2570</v>
      </c>
      <c r="W106" s="222"/>
      <c r="X106" s="218">
        <f t="shared" si="145"/>
        <v>0</v>
      </c>
      <c r="Y106" s="77">
        <v>4</v>
      </c>
      <c r="Z106" s="138" t="s">
        <v>110</v>
      </c>
      <c r="AA106" s="185"/>
      <c r="AB106" s="185"/>
      <c r="AC106" s="108"/>
      <c r="AD106" s="108"/>
      <c r="AE106" s="185"/>
      <c r="AF106" s="185"/>
      <c r="AG106" s="185"/>
      <c r="AH106" s="185"/>
      <c r="AI106" s="185"/>
      <c r="AJ106" s="82">
        <f t="shared" si="146"/>
        <v>0</v>
      </c>
      <c r="AK106" s="90"/>
      <c r="AL106" s="90"/>
      <c r="AM106" s="90"/>
      <c r="AN106" s="90"/>
      <c r="AO106" s="90"/>
      <c r="AP106" s="90"/>
      <c r="AQ106" s="90"/>
      <c r="AR106" s="90"/>
      <c r="AS106" s="90"/>
      <c r="AT106" s="84">
        <f t="shared" si="147"/>
        <v>0</v>
      </c>
      <c r="AU106" s="90"/>
      <c r="AV106" s="90"/>
      <c r="AW106" s="90">
        <v>0</v>
      </c>
      <c r="AX106" s="90"/>
      <c r="AY106" s="90"/>
      <c r="AZ106" s="90"/>
      <c r="BA106" s="90"/>
      <c r="BB106" s="90"/>
      <c r="BC106" s="90"/>
      <c r="BD106" s="90">
        <f t="shared" si="148"/>
        <v>0</v>
      </c>
      <c r="BE106" s="90"/>
      <c r="BF106" s="90"/>
      <c r="BG106" s="90"/>
      <c r="BH106" s="90"/>
      <c r="BI106" s="90"/>
      <c r="BJ106" s="90"/>
      <c r="BK106" s="90">
        <v>0</v>
      </c>
      <c r="BL106" s="90"/>
      <c r="BM106" s="90"/>
      <c r="BN106" s="90">
        <f t="shared" si="149"/>
        <v>0</v>
      </c>
      <c r="BO106" s="546">
        <f t="shared" si="150"/>
        <v>0</v>
      </c>
    </row>
    <row r="107" spans="1:67" ht="96.75" customHeight="1" x14ac:dyDescent="0.2">
      <c r="A107" s="547">
        <v>74</v>
      </c>
      <c r="B107" s="69">
        <v>3</v>
      </c>
      <c r="C107" s="136"/>
      <c r="D107" s="136"/>
      <c r="E107" s="91"/>
      <c r="F107" s="119"/>
      <c r="G107" s="114"/>
      <c r="H107" s="114"/>
      <c r="I107" s="72">
        <v>72</v>
      </c>
      <c r="J107" s="73" t="s">
        <v>278</v>
      </c>
      <c r="K107" s="216" t="s">
        <v>279</v>
      </c>
      <c r="L107" s="217" t="s">
        <v>262</v>
      </c>
      <c r="M107" s="217">
        <v>1</v>
      </c>
      <c r="N107" s="226" t="s">
        <v>54</v>
      </c>
      <c r="O107" s="172">
        <v>455</v>
      </c>
      <c r="P107" s="172">
        <v>455</v>
      </c>
      <c r="Q107" s="223">
        <v>455</v>
      </c>
      <c r="R107" s="227">
        <v>455</v>
      </c>
      <c r="S107" s="500"/>
      <c r="T107" s="227">
        <v>455</v>
      </c>
      <c r="U107" s="227"/>
      <c r="V107" s="227">
        <v>455</v>
      </c>
      <c r="W107" s="226"/>
      <c r="X107" s="218">
        <f t="shared" si="145"/>
        <v>8.6956521739130436E-3</v>
      </c>
      <c r="Y107" s="77">
        <v>4</v>
      </c>
      <c r="Z107" s="138" t="s">
        <v>110</v>
      </c>
      <c r="AA107" s="108"/>
      <c r="AB107" s="108"/>
      <c r="AC107" s="108">
        <v>10000000</v>
      </c>
      <c r="AD107" s="108"/>
      <c r="AE107" s="108"/>
      <c r="AF107" s="108"/>
      <c r="AG107" s="108"/>
      <c r="AH107" s="108"/>
      <c r="AI107" s="108"/>
      <c r="AJ107" s="82">
        <f t="shared" si="146"/>
        <v>10000000</v>
      </c>
      <c r="AK107" s="90"/>
      <c r="AL107" s="90"/>
      <c r="AM107" s="90">
        <v>10000000</v>
      </c>
      <c r="AN107" s="90"/>
      <c r="AO107" s="90"/>
      <c r="AP107" s="90"/>
      <c r="AQ107" s="90"/>
      <c r="AR107" s="90"/>
      <c r="AS107" s="90"/>
      <c r="AT107" s="84">
        <f t="shared" si="147"/>
        <v>10000000</v>
      </c>
      <c r="AU107" s="90"/>
      <c r="AV107" s="90"/>
      <c r="AW107" s="90">
        <v>3000000</v>
      </c>
      <c r="AX107" s="90"/>
      <c r="AY107" s="90"/>
      <c r="AZ107" s="90"/>
      <c r="BA107" s="90"/>
      <c r="BB107" s="90"/>
      <c r="BC107" s="90"/>
      <c r="BD107" s="90">
        <f t="shared" si="148"/>
        <v>3000000</v>
      </c>
      <c r="BE107" s="90"/>
      <c r="BF107" s="90"/>
      <c r="BG107" s="90"/>
      <c r="BH107" s="90"/>
      <c r="BI107" s="90"/>
      <c r="BJ107" s="90"/>
      <c r="BK107" s="90">
        <v>10580000</v>
      </c>
      <c r="BL107" s="90"/>
      <c r="BM107" s="90"/>
      <c r="BN107" s="90">
        <f t="shared" si="149"/>
        <v>10580000</v>
      </c>
      <c r="BO107" s="546">
        <f t="shared" si="150"/>
        <v>33580000</v>
      </c>
    </row>
    <row r="108" spans="1:67" ht="150.75" customHeight="1" x14ac:dyDescent="0.2">
      <c r="A108" s="545">
        <v>75</v>
      </c>
      <c r="B108" s="69">
        <v>3</v>
      </c>
      <c r="C108" s="136"/>
      <c r="D108" s="136"/>
      <c r="E108" s="451"/>
      <c r="F108" s="529"/>
      <c r="G108" s="92"/>
      <c r="H108" s="92"/>
      <c r="I108" s="72">
        <v>73</v>
      </c>
      <c r="J108" s="73" t="s">
        <v>280</v>
      </c>
      <c r="K108" s="216" t="s">
        <v>281</v>
      </c>
      <c r="L108" s="217" t="s">
        <v>262</v>
      </c>
      <c r="M108" s="217">
        <v>1</v>
      </c>
      <c r="N108" s="112" t="s">
        <v>54</v>
      </c>
      <c r="O108" s="172" t="s">
        <v>49</v>
      </c>
      <c r="P108" s="172">
        <v>1</v>
      </c>
      <c r="Q108" s="196">
        <v>1</v>
      </c>
      <c r="R108" s="93">
        <v>1</v>
      </c>
      <c r="S108" s="500"/>
      <c r="T108" s="93">
        <v>1</v>
      </c>
      <c r="U108" s="93"/>
      <c r="V108" s="93">
        <v>1</v>
      </c>
      <c r="W108" s="112"/>
      <c r="X108" s="218">
        <f t="shared" si="145"/>
        <v>0.95652173913043481</v>
      </c>
      <c r="Y108" s="77">
        <v>4</v>
      </c>
      <c r="Z108" s="138" t="s">
        <v>110</v>
      </c>
      <c r="AA108" s="108"/>
      <c r="AB108" s="108"/>
      <c r="AC108" s="108"/>
      <c r="AD108" s="108"/>
      <c r="AE108" s="108"/>
      <c r="AF108" s="108"/>
      <c r="AG108" s="108">
        <v>1100000000</v>
      </c>
      <c r="AH108" s="108"/>
      <c r="AI108" s="108"/>
      <c r="AJ108" s="82">
        <f t="shared" si="146"/>
        <v>1100000000</v>
      </c>
      <c r="AK108" s="90"/>
      <c r="AL108" s="90"/>
      <c r="AM108" s="90"/>
      <c r="AN108" s="90"/>
      <c r="AO108" s="90"/>
      <c r="AP108" s="90"/>
      <c r="AQ108" s="90">
        <v>1133000000</v>
      </c>
      <c r="AR108" s="90"/>
      <c r="AS108" s="90"/>
      <c r="AT108" s="84">
        <f t="shared" si="147"/>
        <v>1133000000</v>
      </c>
      <c r="AU108" s="90"/>
      <c r="AV108" s="90"/>
      <c r="AW108" s="90"/>
      <c r="AX108" s="90"/>
      <c r="AY108" s="90"/>
      <c r="AZ108" s="90"/>
      <c r="BA108" s="90">
        <v>1166990000</v>
      </c>
      <c r="BB108" s="90"/>
      <c r="BC108" s="90"/>
      <c r="BD108" s="90">
        <f t="shared" si="148"/>
        <v>1166990000</v>
      </c>
      <c r="BE108" s="90"/>
      <c r="BF108" s="90"/>
      <c r="BG108" s="90"/>
      <c r="BH108" s="90"/>
      <c r="BI108" s="90"/>
      <c r="BJ108" s="90"/>
      <c r="BK108" s="90">
        <v>1164154699.9952176</v>
      </c>
      <c r="BL108" s="90"/>
      <c r="BM108" s="90"/>
      <c r="BN108" s="90">
        <f t="shared" si="149"/>
        <v>1164154699.9952176</v>
      </c>
      <c r="BO108" s="546">
        <f t="shared" si="150"/>
        <v>4564144699.9952173</v>
      </c>
    </row>
    <row r="109" spans="1:67" ht="24.75" customHeight="1" x14ac:dyDescent="0.2">
      <c r="A109" s="545"/>
      <c r="B109" s="69"/>
      <c r="C109" s="136"/>
      <c r="D109" s="136"/>
      <c r="E109" s="57">
        <v>18</v>
      </c>
      <c r="F109" s="58" t="s">
        <v>282</v>
      </c>
      <c r="G109" s="61"/>
      <c r="H109" s="61"/>
      <c r="I109" s="62"/>
      <c r="J109" s="61"/>
      <c r="K109" s="96"/>
      <c r="L109" s="60"/>
      <c r="M109" s="60"/>
      <c r="N109" s="63"/>
      <c r="O109" s="61"/>
      <c r="P109" s="61"/>
      <c r="Q109" s="64"/>
      <c r="R109" s="61"/>
      <c r="S109" s="499"/>
      <c r="T109" s="61"/>
      <c r="U109" s="61"/>
      <c r="V109" s="62"/>
      <c r="W109" s="62"/>
      <c r="X109" s="137"/>
      <c r="Y109" s="228"/>
      <c r="Z109" s="62"/>
      <c r="AA109" s="66">
        <f t="shared" ref="AA109:AI109" si="151">SUM(AA110)</f>
        <v>0</v>
      </c>
      <c r="AB109" s="66">
        <f t="shared" si="151"/>
        <v>0</v>
      </c>
      <c r="AC109" s="66">
        <f t="shared" si="151"/>
        <v>0</v>
      </c>
      <c r="AD109" s="66">
        <f t="shared" si="151"/>
        <v>0</v>
      </c>
      <c r="AE109" s="66">
        <f t="shared" si="151"/>
        <v>0</v>
      </c>
      <c r="AF109" s="66">
        <f t="shared" si="151"/>
        <v>0</v>
      </c>
      <c r="AG109" s="66">
        <f t="shared" si="151"/>
        <v>97934613825</v>
      </c>
      <c r="AH109" s="66">
        <f t="shared" si="151"/>
        <v>0</v>
      </c>
      <c r="AI109" s="66">
        <f t="shared" si="151"/>
        <v>0</v>
      </c>
      <c r="AJ109" s="67">
        <f>SUM(AJ110)</f>
        <v>97934613825</v>
      </c>
      <c r="AK109" s="66">
        <f t="shared" ref="AK109:AT109" si="152">SUM(AK110)</f>
        <v>0</v>
      </c>
      <c r="AL109" s="66">
        <f t="shared" si="152"/>
        <v>0</v>
      </c>
      <c r="AM109" s="66">
        <f t="shared" si="152"/>
        <v>0</v>
      </c>
      <c r="AN109" s="66">
        <f t="shared" si="152"/>
        <v>0</v>
      </c>
      <c r="AO109" s="66">
        <f t="shared" si="152"/>
        <v>0</v>
      </c>
      <c r="AP109" s="66">
        <f t="shared" si="152"/>
        <v>0</v>
      </c>
      <c r="AQ109" s="66">
        <f t="shared" si="152"/>
        <v>100872652239.75</v>
      </c>
      <c r="AR109" s="66">
        <f t="shared" si="152"/>
        <v>0</v>
      </c>
      <c r="AS109" s="66">
        <f t="shared" si="152"/>
        <v>0</v>
      </c>
      <c r="AT109" s="66">
        <f t="shared" si="152"/>
        <v>100872652239.75</v>
      </c>
      <c r="AU109" s="102"/>
      <c r="AV109" s="102"/>
      <c r="AW109" s="102"/>
      <c r="AX109" s="102"/>
      <c r="AY109" s="102"/>
      <c r="AZ109" s="102"/>
      <c r="BA109" s="102"/>
      <c r="BB109" s="102"/>
      <c r="BC109" s="102"/>
      <c r="BD109" s="66">
        <f t="shared" ref="BD109" si="153">SUM(BD110)</f>
        <v>103898831806.94299</v>
      </c>
      <c r="BE109" s="68"/>
      <c r="BF109" s="68"/>
      <c r="BG109" s="68"/>
      <c r="BH109" s="68"/>
      <c r="BI109" s="68"/>
      <c r="BJ109" s="68"/>
      <c r="BK109" s="68"/>
      <c r="BL109" s="68"/>
      <c r="BM109" s="68"/>
      <c r="BN109" s="66">
        <f t="shared" ref="BN109:BO109" si="154">SUM(BN110)</f>
        <v>107015796761.151</v>
      </c>
      <c r="BO109" s="544">
        <f t="shared" si="154"/>
        <v>409721894632.84399</v>
      </c>
    </row>
    <row r="110" spans="1:67" ht="102.75" customHeight="1" x14ac:dyDescent="0.2">
      <c r="A110" s="547">
        <v>76</v>
      </c>
      <c r="B110" s="69">
        <v>3</v>
      </c>
      <c r="C110" s="136"/>
      <c r="D110" s="192"/>
      <c r="E110" s="93">
        <v>15</v>
      </c>
      <c r="F110" s="70" t="s">
        <v>283</v>
      </c>
      <c r="G110" s="71" t="s">
        <v>258</v>
      </c>
      <c r="H110" s="220" t="s">
        <v>259</v>
      </c>
      <c r="I110" s="72">
        <v>74</v>
      </c>
      <c r="J110" s="73" t="s">
        <v>284</v>
      </c>
      <c r="K110" s="216" t="s">
        <v>285</v>
      </c>
      <c r="L110" s="217" t="s">
        <v>262</v>
      </c>
      <c r="M110" s="217">
        <v>1</v>
      </c>
      <c r="N110" s="229" t="s">
        <v>54</v>
      </c>
      <c r="O110" s="172">
        <v>2232</v>
      </c>
      <c r="P110" s="172">
        <v>2232</v>
      </c>
      <c r="Q110" s="225">
        <v>2232</v>
      </c>
      <c r="R110" s="172">
        <v>2232</v>
      </c>
      <c r="S110" s="500"/>
      <c r="T110" s="172">
        <v>2232</v>
      </c>
      <c r="U110" s="172"/>
      <c r="V110" s="172">
        <v>2232</v>
      </c>
      <c r="W110" s="229"/>
      <c r="X110" s="121">
        <f>AJ110/AJ109</f>
        <v>1</v>
      </c>
      <c r="Y110" s="78">
        <v>4</v>
      </c>
      <c r="Z110" s="81" t="s">
        <v>110</v>
      </c>
      <c r="AA110" s="82">
        <v>0</v>
      </c>
      <c r="AB110" s="82">
        <v>0</v>
      </c>
      <c r="AC110" s="82">
        <v>0</v>
      </c>
      <c r="AD110" s="82">
        <v>0</v>
      </c>
      <c r="AE110" s="82">
        <v>0</v>
      </c>
      <c r="AF110" s="82">
        <v>0</v>
      </c>
      <c r="AG110" s="108">
        <v>97934613825</v>
      </c>
      <c r="AH110" s="82">
        <v>0</v>
      </c>
      <c r="AI110" s="82">
        <v>0</v>
      </c>
      <c r="AJ110" s="82">
        <f>+AA110+AB110+AC110+AD110+AE110+AF110+AG110+AH110+AI110</f>
        <v>97934613825</v>
      </c>
      <c r="AK110" s="90"/>
      <c r="AL110" s="90"/>
      <c r="AM110" s="90"/>
      <c r="AN110" s="90"/>
      <c r="AO110" s="90"/>
      <c r="AP110" s="90"/>
      <c r="AQ110" s="90">
        <v>100872652239.75</v>
      </c>
      <c r="AR110" s="90"/>
      <c r="AS110" s="90"/>
      <c r="AT110" s="84">
        <f>AK110+AL110+AM110+AN110+AO110+AP110+AQ110+AR110+AS110</f>
        <v>100872652239.75</v>
      </c>
      <c r="AU110" s="230"/>
      <c r="AV110" s="230"/>
      <c r="AW110" s="230"/>
      <c r="AX110" s="230"/>
      <c r="AY110" s="230"/>
      <c r="AZ110" s="230"/>
      <c r="BA110" s="455">
        <v>103898831806.94299</v>
      </c>
      <c r="BB110" s="230"/>
      <c r="BC110" s="230"/>
      <c r="BD110" s="230">
        <f>SUM(AU110:BC110)</f>
        <v>103898831806.94299</v>
      </c>
      <c r="BE110" s="90"/>
      <c r="BF110" s="90"/>
      <c r="BG110" s="90"/>
      <c r="BH110" s="90"/>
      <c r="BI110" s="90"/>
      <c r="BJ110" s="90"/>
      <c r="BK110" s="90">
        <v>107015796761.151</v>
      </c>
      <c r="BL110" s="90"/>
      <c r="BM110" s="90"/>
      <c r="BN110" s="90">
        <f>SUM(BE110:BM110)</f>
        <v>107015796761.151</v>
      </c>
      <c r="BO110" s="546">
        <f>AJ110+AT110+BD110+BN110</f>
        <v>409721894632.84399</v>
      </c>
    </row>
    <row r="111" spans="1:67" ht="24.75" customHeight="1" x14ac:dyDescent="0.2">
      <c r="A111" s="547"/>
      <c r="B111" s="69"/>
      <c r="C111" s="136"/>
      <c r="D111" s="43">
        <v>6</v>
      </c>
      <c r="E111" s="134" t="s">
        <v>286</v>
      </c>
      <c r="F111" s="48"/>
      <c r="G111" s="48"/>
      <c r="H111" s="48"/>
      <c r="I111" s="47"/>
      <c r="J111" s="48"/>
      <c r="K111" s="48"/>
      <c r="L111" s="49"/>
      <c r="M111" s="47"/>
      <c r="N111" s="50"/>
      <c r="O111" s="48"/>
      <c r="P111" s="48"/>
      <c r="Q111" s="51"/>
      <c r="R111" s="48"/>
      <c r="S111" s="498"/>
      <c r="T111" s="48"/>
      <c r="U111" s="48"/>
      <c r="V111" s="47"/>
      <c r="W111" s="47"/>
      <c r="X111" s="135"/>
      <c r="Y111" s="47"/>
      <c r="Z111" s="47"/>
      <c r="AA111" s="53">
        <f t="shared" ref="AA111:AI111" si="155">AA112+AA121+AA132+AA137</f>
        <v>0</v>
      </c>
      <c r="AB111" s="53">
        <f t="shared" si="155"/>
        <v>100000000</v>
      </c>
      <c r="AC111" s="53">
        <f t="shared" si="155"/>
        <v>105000000</v>
      </c>
      <c r="AD111" s="53">
        <f t="shared" si="155"/>
        <v>0</v>
      </c>
      <c r="AE111" s="53">
        <f t="shared" si="155"/>
        <v>0</v>
      </c>
      <c r="AF111" s="53">
        <f t="shared" si="155"/>
        <v>0</v>
      </c>
      <c r="AG111" s="53">
        <f t="shared" si="155"/>
        <v>360000000</v>
      </c>
      <c r="AH111" s="53">
        <f t="shared" si="155"/>
        <v>0</v>
      </c>
      <c r="AI111" s="53">
        <f t="shared" si="155"/>
        <v>4200000000</v>
      </c>
      <c r="AJ111" s="54">
        <f>AJ112+AJ121+AJ132+AJ137</f>
        <v>4765000000</v>
      </c>
      <c r="AK111" s="53">
        <f t="shared" ref="AK111:AT111" si="156">AK112+AK121+AK132+AK137</f>
        <v>0</v>
      </c>
      <c r="AL111" s="53">
        <f t="shared" si="156"/>
        <v>103000000</v>
      </c>
      <c r="AM111" s="53">
        <f t="shared" si="156"/>
        <v>80000000</v>
      </c>
      <c r="AN111" s="53">
        <f t="shared" si="156"/>
        <v>0</v>
      </c>
      <c r="AO111" s="53">
        <f t="shared" si="156"/>
        <v>0</v>
      </c>
      <c r="AP111" s="53">
        <f t="shared" si="156"/>
        <v>0</v>
      </c>
      <c r="AQ111" s="53">
        <f t="shared" si="156"/>
        <v>370800000</v>
      </c>
      <c r="AR111" s="53">
        <f t="shared" si="156"/>
        <v>0</v>
      </c>
      <c r="AS111" s="53">
        <f t="shared" si="156"/>
        <v>5295276423</v>
      </c>
      <c r="AT111" s="53">
        <f t="shared" si="156"/>
        <v>5849076423</v>
      </c>
      <c r="AU111" s="55"/>
      <c r="AV111" s="55"/>
      <c r="AW111" s="55"/>
      <c r="AX111" s="55"/>
      <c r="AY111" s="55"/>
      <c r="AZ111" s="55"/>
      <c r="BA111" s="55"/>
      <c r="BB111" s="55"/>
      <c r="BC111" s="55"/>
      <c r="BD111" s="53">
        <f t="shared" ref="BD111" si="157">BD112+BD121+BD132+BD137</f>
        <v>6523014000</v>
      </c>
      <c r="BE111" s="55"/>
      <c r="BF111" s="55"/>
      <c r="BG111" s="55"/>
      <c r="BH111" s="55"/>
      <c r="BI111" s="55"/>
      <c r="BJ111" s="55"/>
      <c r="BK111" s="55"/>
      <c r="BL111" s="55"/>
      <c r="BM111" s="55"/>
      <c r="BN111" s="53">
        <f t="shared" ref="BN111" si="158">BN112+BN121+BN132+BN137</f>
        <v>4529471720</v>
      </c>
      <c r="BO111" s="543">
        <f t="shared" ref="BO111" si="159">BO112+BO121+BO132+BO137</f>
        <v>21666562143</v>
      </c>
    </row>
    <row r="112" spans="1:67" ht="24.75" customHeight="1" x14ac:dyDescent="0.2">
      <c r="A112" s="547"/>
      <c r="B112" s="69"/>
      <c r="C112" s="136"/>
      <c r="D112" s="562"/>
      <c r="E112" s="57">
        <v>19</v>
      </c>
      <c r="F112" s="58" t="s">
        <v>287</v>
      </c>
      <c r="G112" s="231"/>
      <c r="H112" s="231"/>
      <c r="I112" s="60"/>
      <c r="J112" s="61"/>
      <c r="K112" s="61"/>
      <c r="L112" s="60"/>
      <c r="M112" s="62"/>
      <c r="N112" s="63"/>
      <c r="O112" s="61"/>
      <c r="P112" s="61"/>
      <c r="Q112" s="64"/>
      <c r="R112" s="61"/>
      <c r="S112" s="499"/>
      <c r="T112" s="61"/>
      <c r="U112" s="61"/>
      <c r="V112" s="62"/>
      <c r="W112" s="62"/>
      <c r="X112" s="137"/>
      <c r="Y112" s="62"/>
      <c r="Z112" s="62"/>
      <c r="AA112" s="66">
        <f t="shared" ref="AA112:AI112" si="160">SUM(AA113:AA120)</f>
        <v>0</v>
      </c>
      <c r="AB112" s="66">
        <f t="shared" si="160"/>
        <v>100000000</v>
      </c>
      <c r="AC112" s="66">
        <f t="shared" si="160"/>
        <v>30000000</v>
      </c>
      <c r="AD112" s="66">
        <f t="shared" si="160"/>
        <v>0</v>
      </c>
      <c r="AE112" s="66">
        <f t="shared" si="160"/>
        <v>0</v>
      </c>
      <c r="AF112" s="66">
        <f t="shared" si="160"/>
        <v>0</v>
      </c>
      <c r="AG112" s="66">
        <f t="shared" si="160"/>
        <v>0</v>
      </c>
      <c r="AH112" s="66">
        <f t="shared" si="160"/>
        <v>0</v>
      </c>
      <c r="AI112" s="66">
        <f t="shared" si="160"/>
        <v>0</v>
      </c>
      <c r="AJ112" s="67">
        <f>SUM(AJ113:AJ120)</f>
        <v>130000000</v>
      </c>
      <c r="AK112" s="66">
        <f t="shared" ref="AK112:AT112" si="161">SUM(AK113:AK120)</f>
        <v>0</v>
      </c>
      <c r="AL112" s="66">
        <f t="shared" si="161"/>
        <v>103000000</v>
      </c>
      <c r="AM112" s="66">
        <f t="shared" si="161"/>
        <v>0</v>
      </c>
      <c r="AN112" s="66">
        <f t="shared" si="161"/>
        <v>0</v>
      </c>
      <c r="AO112" s="66">
        <f t="shared" si="161"/>
        <v>0</v>
      </c>
      <c r="AP112" s="66">
        <f t="shared" si="161"/>
        <v>0</v>
      </c>
      <c r="AQ112" s="66">
        <f t="shared" si="161"/>
        <v>0</v>
      </c>
      <c r="AR112" s="66">
        <f t="shared" si="161"/>
        <v>0</v>
      </c>
      <c r="AS112" s="66">
        <f t="shared" si="161"/>
        <v>0</v>
      </c>
      <c r="AT112" s="66">
        <f t="shared" si="161"/>
        <v>103000000</v>
      </c>
      <c r="AU112" s="68"/>
      <c r="AV112" s="68"/>
      <c r="AW112" s="68"/>
      <c r="AX112" s="68"/>
      <c r="AY112" s="68"/>
      <c r="AZ112" s="68"/>
      <c r="BA112" s="68"/>
      <c r="BB112" s="68"/>
      <c r="BC112" s="68"/>
      <c r="BD112" s="66">
        <f t="shared" ref="BD112" si="162">SUM(BD113:BD120)</f>
        <v>106090000</v>
      </c>
      <c r="BE112" s="68"/>
      <c r="BF112" s="68"/>
      <c r="BG112" s="68"/>
      <c r="BH112" s="68"/>
      <c r="BI112" s="68"/>
      <c r="BJ112" s="68"/>
      <c r="BK112" s="68"/>
      <c r="BL112" s="68"/>
      <c r="BM112" s="68"/>
      <c r="BN112" s="66">
        <f t="shared" ref="BN112" si="163">SUM(BN113:BN120)</f>
        <v>106090000</v>
      </c>
      <c r="BO112" s="544">
        <f t="shared" ref="BO112" si="164">SUM(BO113:BO120)</f>
        <v>445180000</v>
      </c>
    </row>
    <row r="113" spans="1:68" ht="113.25" customHeight="1" x14ac:dyDescent="0.2">
      <c r="A113" s="545">
        <v>77</v>
      </c>
      <c r="B113" s="69">
        <v>3</v>
      </c>
      <c r="C113" s="136"/>
      <c r="D113" s="136"/>
      <c r="E113" s="478"/>
      <c r="F113" s="461"/>
      <c r="G113" s="480"/>
      <c r="H113" s="480"/>
      <c r="I113" s="72">
        <v>75</v>
      </c>
      <c r="J113" s="73" t="s">
        <v>288</v>
      </c>
      <c r="K113" s="216" t="s">
        <v>289</v>
      </c>
      <c r="L113" s="217" t="s">
        <v>262</v>
      </c>
      <c r="M113" s="217">
        <v>1</v>
      </c>
      <c r="N113" s="419" t="s">
        <v>69</v>
      </c>
      <c r="O113" s="225">
        <v>18</v>
      </c>
      <c r="P113" s="420">
        <v>36</v>
      </c>
      <c r="Q113" s="223">
        <v>23</v>
      </c>
      <c r="R113" s="223">
        <v>27</v>
      </c>
      <c r="S113" s="504">
        <v>20</v>
      </c>
      <c r="T113" s="223">
        <v>34</v>
      </c>
      <c r="U113" s="223">
        <v>28</v>
      </c>
      <c r="V113" s="223">
        <v>36</v>
      </c>
      <c r="W113" s="222">
        <v>36</v>
      </c>
      <c r="X113" s="218"/>
      <c r="Y113" s="77">
        <v>4</v>
      </c>
      <c r="Z113" s="138" t="s">
        <v>110</v>
      </c>
      <c r="AA113" s="185"/>
      <c r="AB113" s="185"/>
      <c r="AC113" s="185"/>
      <c r="AD113" s="185"/>
      <c r="AE113" s="185"/>
      <c r="AF113" s="185"/>
      <c r="AG113" s="185"/>
      <c r="AH113" s="185"/>
      <c r="AI113" s="185"/>
      <c r="AJ113" s="82">
        <f t="shared" ref="AJ113:AJ120" si="165">+AA113+AB113+AC113+AD113+AE113+AF113+AG113+AH113+AI113</f>
        <v>0</v>
      </c>
      <c r="AK113" s="90"/>
      <c r="AL113" s="90"/>
      <c r="AM113" s="90"/>
      <c r="AN113" s="90"/>
      <c r="AO113" s="90"/>
      <c r="AP113" s="90"/>
      <c r="AQ113" s="90"/>
      <c r="AR113" s="90"/>
      <c r="AS113" s="90"/>
      <c r="AT113" s="84">
        <f t="shared" ref="AT113:AT120" si="166">AK113+AL113+AM113+AN113+AO113+AP113+AQ113+AR113+AS113</f>
        <v>0</v>
      </c>
      <c r="AU113" s="455"/>
      <c r="AV113" s="455"/>
      <c r="AW113" s="455"/>
      <c r="AX113" s="455"/>
      <c r="AY113" s="455"/>
      <c r="AZ113" s="455"/>
      <c r="BA113" s="455"/>
      <c r="BB113" s="455"/>
      <c r="BC113" s="455"/>
      <c r="BD113" s="455"/>
      <c r="BE113" s="90"/>
      <c r="BF113" s="90"/>
      <c r="BG113" s="90"/>
      <c r="BH113" s="90"/>
      <c r="BI113" s="90"/>
      <c r="BJ113" s="90"/>
      <c r="BK113" s="90"/>
      <c r="BL113" s="90"/>
      <c r="BM113" s="90"/>
      <c r="BN113" s="90"/>
      <c r="BO113" s="546">
        <f t="shared" ref="BO113:BO120" si="167">AJ113+AT113+BD113+BN113</f>
        <v>0</v>
      </c>
    </row>
    <row r="114" spans="1:68" ht="120.75" customHeight="1" x14ac:dyDescent="0.2">
      <c r="A114" s="547">
        <v>78</v>
      </c>
      <c r="B114" s="69">
        <v>3</v>
      </c>
      <c r="C114" s="136"/>
      <c r="D114" s="136"/>
      <c r="E114" s="451">
        <v>16</v>
      </c>
      <c r="F114" s="178" t="s">
        <v>290</v>
      </c>
      <c r="G114" s="534">
        <v>45</v>
      </c>
      <c r="H114" s="534">
        <v>90</v>
      </c>
      <c r="I114" s="72">
        <v>76</v>
      </c>
      <c r="J114" s="73" t="s">
        <v>291</v>
      </c>
      <c r="K114" s="216" t="s">
        <v>292</v>
      </c>
      <c r="L114" s="217" t="s">
        <v>262</v>
      </c>
      <c r="M114" s="217">
        <v>1</v>
      </c>
      <c r="N114" s="424" t="s">
        <v>69</v>
      </c>
      <c r="O114" s="225">
        <v>0</v>
      </c>
      <c r="P114" s="423">
        <v>1200</v>
      </c>
      <c r="Q114" s="223">
        <v>450</v>
      </c>
      <c r="R114" s="223">
        <v>600</v>
      </c>
      <c r="S114" s="500"/>
      <c r="T114" s="223">
        <v>1050</v>
      </c>
      <c r="U114" s="223"/>
      <c r="V114" s="223">
        <v>1200</v>
      </c>
      <c r="W114" s="222"/>
      <c r="X114" s="218">
        <f>AJ114/AJ112</f>
        <v>1</v>
      </c>
      <c r="Y114" s="77">
        <v>4</v>
      </c>
      <c r="Z114" s="138" t="s">
        <v>110</v>
      </c>
      <c r="AA114" s="185"/>
      <c r="AB114" s="185">
        <v>100000000</v>
      </c>
      <c r="AC114" s="185">
        <v>30000000</v>
      </c>
      <c r="AD114" s="185"/>
      <c r="AE114" s="185"/>
      <c r="AF114" s="185"/>
      <c r="AG114" s="185"/>
      <c r="AH114" s="185"/>
      <c r="AI114" s="185"/>
      <c r="AJ114" s="82">
        <f t="shared" si="165"/>
        <v>130000000</v>
      </c>
      <c r="AK114" s="90"/>
      <c r="AL114" s="90">
        <v>103000000</v>
      </c>
      <c r="AM114" s="90"/>
      <c r="AN114" s="90"/>
      <c r="AO114" s="90"/>
      <c r="AP114" s="90"/>
      <c r="AQ114" s="90"/>
      <c r="AR114" s="90"/>
      <c r="AS114" s="90"/>
      <c r="AT114" s="84">
        <f t="shared" si="166"/>
        <v>103000000</v>
      </c>
      <c r="AU114" s="455"/>
      <c r="AV114" s="455">
        <v>106090000</v>
      </c>
      <c r="AW114" s="455"/>
      <c r="AX114" s="455"/>
      <c r="AY114" s="455"/>
      <c r="AZ114" s="455"/>
      <c r="BA114" s="455"/>
      <c r="BB114" s="455"/>
      <c r="BC114" s="455"/>
      <c r="BD114" s="455">
        <f>SUM(AU114:BC114)</f>
        <v>106090000</v>
      </c>
      <c r="BE114" s="90"/>
      <c r="BF114" s="90">
        <v>106090000</v>
      </c>
      <c r="BG114" s="90"/>
      <c r="BH114" s="90"/>
      <c r="BI114" s="90"/>
      <c r="BJ114" s="90"/>
      <c r="BK114" s="90"/>
      <c r="BL114" s="90"/>
      <c r="BM114" s="90"/>
      <c r="BN114" s="90">
        <f>SUM(BE114:BM114)</f>
        <v>106090000</v>
      </c>
      <c r="BO114" s="546">
        <f t="shared" si="167"/>
        <v>445180000</v>
      </c>
    </row>
    <row r="115" spans="1:68" ht="93.75" customHeight="1" x14ac:dyDescent="0.2">
      <c r="A115" s="545">
        <v>79</v>
      </c>
      <c r="B115" s="69">
        <v>3</v>
      </c>
      <c r="C115" s="136"/>
      <c r="D115" s="136"/>
      <c r="E115" s="91"/>
      <c r="F115" s="106"/>
      <c r="G115" s="426"/>
      <c r="H115" s="426"/>
      <c r="I115" s="72">
        <v>77</v>
      </c>
      <c r="J115" s="73" t="s">
        <v>293</v>
      </c>
      <c r="K115" s="216" t="s">
        <v>294</v>
      </c>
      <c r="L115" s="217" t="s">
        <v>262</v>
      </c>
      <c r="M115" s="217">
        <v>1</v>
      </c>
      <c r="N115" s="419" t="s">
        <v>69</v>
      </c>
      <c r="O115" s="225">
        <v>20</v>
      </c>
      <c r="P115" s="420">
        <v>80</v>
      </c>
      <c r="Q115" s="223">
        <v>28</v>
      </c>
      <c r="R115" s="223">
        <v>50</v>
      </c>
      <c r="S115" s="500"/>
      <c r="T115" s="223">
        <v>73</v>
      </c>
      <c r="U115" s="223"/>
      <c r="V115" s="223">
        <v>80</v>
      </c>
      <c r="W115" s="222"/>
      <c r="X115" s="218"/>
      <c r="Y115" s="77">
        <v>4</v>
      </c>
      <c r="Z115" s="138" t="s">
        <v>110</v>
      </c>
      <c r="AA115" s="185"/>
      <c r="AB115" s="185"/>
      <c r="AC115" s="185"/>
      <c r="AD115" s="185"/>
      <c r="AE115" s="185"/>
      <c r="AF115" s="185"/>
      <c r="AG115" s="185"/>
      <c r="AH115" s="185"/>
      <c r="AI115" s="185"/>
      <c r="AJ115" s="82">
        <f t="shared" si="165"/>
        <v>0</v>
      </c>
      <c r="AK115" s="90"/>
      <c r="AL115" s="90"/>
      <c r="AM115" s="90"/>
      <c r="AN115" s="90"/>
      <c r="AO115" s="90"/>
      <c r="AP115" s="90"/>
      <c r="AQ115" s="90"/>
      <c r="AR115" s="90"/>
      <c r="AS115" s="90"/>
      <c r="AT115" s="84">
        <f t="shared" si="166"/>
        <v>0</v>
      </c>
      <c r="AU115" s="455"/>
      <c r="AV115" s="455"/>
      <c r="AW115" s="455"/>
      <c r="AX115" s="455"/>
      <c r="AY115" s="455"/>
      <c r="AZ115" s="455"/>
      <c r="BA115" s="455"/>
      <c r="BB115" s="455"/>
      <c r="BC115" s="455"/>
      <c r="BD115" s="455"/>
      <c r="BE115" s="90"/>
      <c r="BF115" s="90"/>
      <c r="BG115" s="90"/>
      <c r="BH115" s="90"/>
      <c r="BI115" s="90"/>
      <c r="BJ115" s="90"/>
      <c r="BK115" s="90"/>
      <c r="BL115" s="90"/>
      <c r="BM115" s="90"/>
      <c r="BN115" s="90"/>
      <c r="BO115" s="546">
        <f t="shared" si="167"/>
        <v>0</v>
      </c>
    </row>
    <row r="116" spans="1:68" ht="57.75" customHeight="1" x14ac:dyDescent="0.2">
      <c r="A116" s="547">
        <v>80</v>
      </c>
      <c r="B116" s="69">
        <v>3</v>
      </c>
      <c r="C116" s="136"/>
      <c r="D116" s="136"/>
      <c r="E116" s="451">
        <v>17</v>
      </c>
      <c r="F116" s="232" t="s">
        <v>295</v>
      </c>
      <c r="G116" s="233" t="s">
        <v>296</v>
      </c>
      <c r="H116" s="234">
        <v>0.5</v>
      </c>
      <c r="I116" s="72">
        <v>78</v>
      </c>
      <c r="J116" s="73" t="s">
        <v>297</v>
      </c>
      <c r="K116" s="216" t="s">
        <v>298</v>
      </c>
      <c r="L116" s="217" t="s">
        <v>262</v>
      </c>
      <c r="M116" s="217">
        <v>1</v>
      </c>
      <c r="N116" s="419" t="s">
        <v>69</v>
      </c>
      <c r="O116" s="225">
        <v>7</v>
      </c>
      <c r="P116" s="420">
        <v>15</v>
      </c>
      <c r="Q116" s="223">
        <v>9</v>
      </c>
      <c r="R116" s="223">
        <v>11</v>
      </c>
      <c r="S116" s="500"/>
      <c r="T116" s="223">
        <v>14</v>
      </c>
      <c r="U116" s="223"/>
      <c r="V116" s="223">
        <v>15</v>
      </c>
      <c r="W116" s="222"/>
      <c r="X116" s="218"/>
      <c r="Y116" s="77">
        <v>4</v>
      </c>
      <c r="Z116" s="138" t="s">
        <v>110</v>
      </c>
      <c r="AA116" s="185"/>
      <c r="AB116" s="185"/>
      <c r="AC116" s="185"/>
      <c r="AD116" s="185"/>
      <c r="AE116" s="185"/>
      <c r="AF116" s="185"/>
      <c r="AG116" s="185"/>
      <c r="AH116" s="185"/>
      <c r="AI116" s="185"/>
      <c r="AJ116" s="82">
        <f t="shared" si="165"/>
        <v>0</v>
      </c>
      <c r="AK116" s="90"/>
      <c r="AL116" s="90"/>
      <c r="AM116" s="90"/>
      <c r="AN116" s="90"/>
      <c r="AO116" s="90"/>
      <c r="AP116" s="90"/>
      <c r="AQ116" s="90"/>
      <c r="AR116" s="90"/>
      <c r="AS116" s="90"/>
      <c r="AT116" s="84">
        <f t="shared" si="166"/>
        <v>0</v>
      </c>
      <c r="AU116" s="455"/>
      <c r="AV116" s="455"/>
      <c r="AW116" s="455"/>
      <c r="AX116" s="455"/>
      <c r="AY116" s="455"/>
      <c r="AZ116" s="455"/>
      <c r="BA116" s="455"/>
      <c r="BB116" s="455"/>
      <c r="BC116" s="455"/>
      <c r="BD116" s="455"/>
      <c r="BE116" s="90"/>
      <c r="BF116" s="90"/>
      <c r="BG116" s="90"/>
      <c r="BH116" s="90"/>
      <c r="BI116" s="90"/>
      <c r="BJ116" s="90"/>
      <c r="BK116" s="90"/>
      <c r="BL116" s="90"/>
      <c r="BM116" s="90"/>
      <c r="BN116" s="90"/>
      <c r="BO116" s="546">
        <f t="shared" si="167"/>
        <v>0</v>
      </c>
    </row>
    <row r="117" spans="1:68" ht="57.75" customHeight="1" x14ac:dyDescent="0.2">
      <c r="A117" s="545">
        <v>81</v>
      </c>
      <c r="B117" s="69">
        <v>3</v>
      </c>
      <c r="C117" s="136"/>
      <c r="D117" s="136"/>
      <c r="E117" s="93">
        <v>18</v>
      </c>
      <c r="F117" s="70" t="s">
        <v>299</v>
      </c>
      <c r="G117" s="78">
        <v>6</v>
      </c>
      <c r="H117" s="78">
        <v>12</v>
      </c>
      <c r="I117" s="72">
        <v>79</v>
      </c>
      <c r="J117" s="73" t="s">
        <v>300</v>
      </c>
      <c r="K117" s="216" t="s">
        <v>301</v>
      </c>
      <c r="L117" s="217" t="s">
        <v>262</v>
      </c>
      <c r="M117" s="217">
        <v>1</v>
      </c>
      <c r="N117" s="419" t="s">
        <v>69</v>
      </c>
      <c r="O117" s="225">
        <v>96</v>
      </c>
      <c r="P117" s="420">
        <v>230</v>
      </c>
      <c r="Q117" s="223">
        <v>113</v>
      </c>
      <c r="R117" s="223">
        <v>163</v>
      </c>
      <c r="S117" s="500"/>
      <c r="T117" s="223">
        <v>213</v>
      </c>
      <c r="U117" s="223"/>
      <c r="V117" s="223">
        <v>230</v>
      </c>
      <c r="W117" s="222"/>
      <c r="X117" s="218"/>
      <c r="Y117" s="77">
        <v>4</v>
      </c>
      <c r="Z117" s="138" t="s">
        <v>110</v>
      </c>
      <c r="AA117" s="185"/>
      <c r="AB117" s="185"/>
      <c r="AC117" s="185"/>
      <c r="AD117" s="185"/>
      <c r="AE117" s="185"/>
      <c r="AF117" s="185"/>
      <c r="AG117" s="185"/>
      <c r="AH117" s="185"/>
      <c r="AI117" s="185"/>
      <c r="AJ117" s="82">
        <f t="shared" si="165"/>
        <v>0</v>
      </c>
      <c r="AK117" s="90"/>
      <c r="AL117" s="90"/>
      <c r="AM117" s="90"/>
      <c r="AN117" s="90"/>
      <c r="AO117" s="90"/>
      <c r="AP117" s="90"/>
      <c r="AQ117" s="90"/>
      <c r="AR117" s="90"/>
      <c r="AS117" s="90"/>
      <c r="AT117" s="84">
        <f t="shared" si="166"/>
        <v>0</v>
      </c>
      <c r="AU117" s="455"/>
      <c r="AV117" s="455"/>
      <c r="AW117" s="455"/>
      <c r="AX117" s="455"/>
      <c r="AY117" s="455"/>
      <c r="AZ117" s="455"/>
      <c r="BA117" s="455"/>
      <c r="BB117" s="455"/>
      <c r="BC117" s="455"/>
      <c r="BD117" s="455"/>
      <c r="BE117" s="90"/>
      <c r="BF117" s="90"/>
      <c r="BG117" s="90"/>
      <c r="BH117" s="90"/>
      <c r="BI117" s="90"/>
      <c r="BJ117" s="90"/>
      <c r="BK117" s="90"/>
      <c r="BL117" s="90"/>
      <c r="BM117" s="90"/>
      <c r="BN117" s="90"/>
      <c r="BO117" s="546">
        <f t="shared" si="167"/>
        <v>0</v>
      </c>
    </row>
    <row r="118" spans="1:68" ht="57.75" customHeight="1" x14ac:dyDescent="0.2">
      <c r="A118" s="547">
        <v>82</v>
      </c>
      <c r="B118" s="69">
        <v>3</v>
      </c>
      <c r="C118" s="136"/>
      <c r="D118" s="136"/>
      <c r="E118" s="93">
        <v>19</v>
      </c>
      <c r="F118" s="70" t="s">
        <v>302</v>
      </c>
      <c r="G118" s="176" t="s">
        <v>303</v>
      </c>
      <c r="H118" s="176" t="s">
        <v>304</v>
      </c>
      <c r="I118" s="72">
        <v>80</v>
      </c>
      <c r="J118" s="73" t="s">
        <v>305</v>
      </c>
      <c r="K118" s="216" t="s">
        <v>306</v>
      </c>
      <c r="L118" s="217" t="s">
        <v>262</v>
      </c>
      <c r="M118" s="217">
        <v>1</v>
      </c>
      <c r="N118" s="419" t="s">
        <v>69</v>
      </c>
      <c r="O118" s="423">
        <v>2906</v>
      </c>
      <c r="P118" s="420">
        <v>4700</v>
      </c>
      <c r="Q118" s="223">
        <v>3130</v>
      </c>
      <c r="R118" s="223">
        <v>3803</v>
      </c>
      <c r="S118" s="500"/>
      <c r="T118" s="223">
        <v>4476</v>
      </c>
      <c r="U118" s="223"/>
      <c r="V118" s="223">
        <v>4700</v>
      </c>
      <c r="W118" s="222"/>
      <c r="X118" s="218"/>
      <c r="Y118" s="77">
        <v>4</v>
      </c>
      <c r="Z118" s="138" t="s">
        <v>110</v>
      </c>
      <c r="AA118" s="185"/>
      <c r="AB118" s="185"/>
      <c r="AC118" s="185"/>
      <c r="AD118" s="185"/>
      <c r="AE118" s="185"/>
      <c r="AF118" s="185"/>
      <c r="AG118" s="185"/>
      <c r="AH118" s="185"/>
      <c r="AI118" s="185"/>
      <c r="AJ118" s="82">
        <f t="shared" si="165"/>
        <v>0</v>
      </c>
      <c r="AK118" s="90"/>
      <c r="AL118" s="90"/>
      <c r="AM118" s="90"/>
      <c r="AN118" s="90"/>
      <c r="AO118" s="90"/>
      <c r="AP118" s="90"/>
      <c r="AQ118" s="90"/>
      <c r="AR118" s="90"/>
      <c r="AS118" s="90"/>
      <c r="AT118" s="84">
        <f t="shared" si="166"/>
        <v>0</v>
      </c>
      <c r="AU118" s="455"/>
      <c r="AV118" s="455"/>
      <c r="AW118" s="455"/>
      <c r="AX118" s="455"/>
      <c r="AY118" s="455"/>
      <c r="AZ118" s="455"/>
      <c r="BA118" s="455"/>
      <c r="BB118" s="455"/>
      <c r="BC118" s="455"/>
      <c r="BD118" s="455"/>
      <c r="BE118" s="90"/>
      <c r="BF118" s="90"/>
      <c r="BG118" s="90"/>
      <c r="BH118" s="90"/>
      <c r="BI118" s="90"/>
      <c r="BJ118" s="90"/>
      <c r="BK118" s="90"/>
      <c r="BL118" s="90"/>
      <c r="BM118" s="90"/>
      <c r="BN118" s="90"/>
      <c r="BO118" s="546">
        <f t="shared" si="167"/>
        <v>0</v>
      </c>
    </row>
    <row r="119" spans="1:68" ht="89.25" customHeight="1" x14ac:dyDescent="0.2">
      <c r="A119" s="545">
        <v>83</v>
      </c>
      <c r="B119" s="69">
        <v>3</v>
      </c>
      <c r="C119" s="136"/>
      <c r="D119" s="136"/>
      <c r="E119" s="91">
        <v>19</v>
      </c>
      <c r="F119" s="119" t="s">
        <v>302</v>
      </c>
      <c r="G119" s="235" t="s">
        <v>303</v>
      </c>
      <c r="H119" s="235" t="s">
        <v>304</v>
      </c>
      <c r="I119" s="72">
        <v>81</v>
      </c>
      <c r="J119" s="73" t="s">
        <v>307</v>
      </c>
      <c r="K119" s="216" t="s">
        <v>308</v>
      </c>
      <c r="L119" s="217" t="s">
        <v>262</v>
      </c>
      <c r="M119" s="217">
        <v>1</v>
      </c>
      <c r="N119" s="419" t="s">
        <v>69</v>
      </c>
      <c r="O119" s="432">
        <v>13</v>
      </c>
      <c r="P119" s="432">
        <v>41</v>
      </c>
      <c r="Q119" s="223">
        <v>17</v>
      </c>
      <c r="R119" s="223">
        <v>27</v>
      </c>
      <c r="S119" s="504">
        <v>25</v>
      </c>
      <c r="T119" s="223">
        <v>38</v>
      </c>
      <c r="U119" s="223">
        <v>32</v>
      </c>
      <c r="V119" s="223">
        <v>41</v>
      </c>
      <c r="W119" s="222">
        <v>41</v>
      </c>
      <c r="X119" s="218"/>
      <c r="Y119" s="77">
        <v>4</v>
      </c>
      <c r="Z119" s="138" t="s">
        <v>110</v>
      </c>
      <c r="AA119" s="185"/>
      <c r="AB119" s="185"/>
      <c r="AC119" s="185"/>
      <c r="AD119" s="185"/>
      <c r="AE119" s="185"/>
      <c r="AF119" s="185"/>
      <c r="AG119" s="185"/>
      <c r="AH119" s="185"/>
      <c r="AI119" s="185"/>
      <c r="AJ119" s="82">
        <f t="shared" si="165"/>
        <v>0</v>
      </c>
      <c r="AK119" s="90"/>
      <c r="AL119" s="90"/>
      <c r="AM119" s="90"/>
      <c r="AN119" s="90"/>
      <c r="AO119" s="90"/>
      <c r="AP119" s="90"/>
      <c r="AQ119" s="90"/>
      <c r="AR119" s="90"/>
      <c r="AS119" s="90"/>
      <c r="AT119" s="84">
        <f t="shared" si="166"/>
        <v>0</v>
      </c>
      <c r="AU119" s="455"/>
      <c r="AV119" s="455"/>
      <c r="AW119" s="455"/>
      <c r="AX119" s="455"/>
      <c r="AY119" s="455"/>
      <c r="AZ119" s="455"/>
      <c r="BA119" s="455"/>
      <c r="BB119" s="455"/>
      <c r="BC119" s="455"/>
      <c r="BD119" s="455"/>
      <c r="BE119" s="90"/>
      <c r="BF119" s="90"/>
      <c r="BG119" s="90"/>
      <c r="BH119" s="90"/>
      <c r="BI119" s="90"/>
      <c r="BJ119" s="90"/>
      <c r="BK119" s="90"/>
      <c r="BL119" s="90"/>
      <c r="BM119" s="90"/>
      <c r="BN119" s="90"/>
      <c r="BO119" s="546">
        <f t="shared" si="167"/>
        <v>0</v>
      </c>
    </row>
    <row r="120" spans="1:68" ht="89.25" customHeight="1" x14ac:dyDescent="0.2">
      <c r="A120" s="547">
        <v>84</v>
      </c>
      <c r="B120" s="69">
        <v>3</v>
      </c>
      <c r="C120" s="136"/>
      <c r="D120" s="136"/>
      <c r="E120" s="451"/>
      <c r="F120" s="109"/>
      <c r="G120" s="534"/>
      <c r="H120" s="534"/>
      <c r="I120" s="72">
        <v>82</v>
      </c>
      <c r="J120" s="73" t="s">
        <v>309</v>
      </c>
      <c r="K120" s="216" t="s">
        <v>310</v>
      </c>
      <c r="L120" s="217" t="s">
        <v>262</v>
      </c>
      <c r="M120" s="217">
        <v>1</v>
      </c>
      <c r="N120" s="419" t="s">
        <v>69</v>
      </c>
      <c r="O120" s="432">
        <v>14</v>
      </c>
      <c r="P120" s="432">
        <v>40</v>
      </c>
      <c r="Q120" s="223">
        <v>17</v>
      </c>
      <c r="R120" s="223">
        <v>27</v>
      </c>
      <c r="S120" s="504">
        <v>25</v>
      </c>
      <c r="T120" s="223">
        <v>37</v>
      </c>
      <c r="U120" s="223">
        <v>32</v>
      </c>
      <c r="V120" s="223">
        <v>40</v>
      </c>
      <c r="W120" s="222">
        <v>40</v>
      </c>
      <c r="X120" s="218"/>
      <c r="Y120" s="77">
        <v>4</v>
      </c>
      <c r="Z120" s="138" t="s">
        <v>110</v>
      </c>
      <c r="AA120" s="185"/>
      <c r="AB120" s="185"/>
      <c r="AC120" s="185"/>
      <c r="AD120" s="185"/>
      <c r="AE120" s="185"/>
      <c r="AF120" s="185"/>
      <c r="AG120" s="185"/>
      <c r="AH120" s="185"/>
      <c r="AI120" s="185"/>
      <c r="AJ120" s="82">
        <f t="shared" si="165"/>
        <v>0</v>
      </c>
      <c r="AK120" s="90"/>
      <c r="AL120" s="90"/>
      <c r="AM120" s="90"/>
      <c r="AN120" s="90"/>
      <c r="AO120" s="90"/>
      <c r="AP120" s="90"/>
      <c r="AQ120" s="90"/>
      <c r="AR120" s="90"/>
      <c r="AS120" s="90"/>
      <c r="AT120" s="84">
        <f t="shared" si="166"/>
        <v>0</v>
      </c>
      <c r="AU120" s="455"/>
      <c r="AV120" s="455"/>
      <c r="AW120" s="455"/>
      <c r="AX120" s="455"/>
      <c r="AY120" s="455"/>
      <c r="AZ120" s="455"/>
      <c r="BA120" s="455"/>
      <c r="BB120" s="455"/>
      <c r="BC120" s="455"/>
      <c r="BD120" s="455"/>
      <c r="BE120" s="90"/>
      <c r="BF120" s="90"/>
      <c r="BG120" s="90"/>
      <c r="BH120" s="90"/>
      <c r="BI120" s="90"/>
      <c r="BJ120" s="90"/>
      <c r="BK120" s="90"/>
      <c r="BL120" s="90"/>
      <c r="BM120" s="90"/>
      <c r="BN120" s="90"/>
      <c r="BO120" s="546">
        <f t="shared" si="167"/>
        <v>0</v>
      </c>
    </row>
    <row r="121" spans="1:68" ht="24.75" customHeight="1" x14ac:dyDescent="0.2">
      <c r="A121" s="547"/>
      <c r="B121" s="69"/>
      <c r="C121" s="136"/>
      <c r="D121" s="136"/>
      <c r="E121" s="57">
        <v>20</v>
      </c>
      <c r="F121" s="58" t="s">
        <v>311</v>
      </c>
      <c r="G121" s="60"/>
      <c r="H121" s="96"/>
      <c r="I121" s="60"/>
      <c r="J121" s="96"/>
      <c r="K121" s="96"/>
      <c r="L121" s="60"/>
      <c r="M121" s="60"/>
      <c r="N121" s="97"/>
      <c r="O121" s="96"/>
      <c r="P121" s="96"/>
      <c r="Q121" s="98"/>
      <c r="R121" s="96"/>
      <c r="S121" s="503"/>
      <c r="T121" s="96"/>
      <c r="U121" s="96"/>
      <c r="V121" s="60"/>
      <c r="W121" s="60"/>
      <c r="X121" s="99"/>
      <c r="Y121" s="60"/>
      <c r="Z121" s="60"/>
      <c r="AA121" s="100">
        <f t="shared" ref="AA121:AI121" si="168">SUM(AA122:AA131)</f>
        <v>0</v>
      </c>
      <c r="AB121" s="100">
        <f t="shared" si="168"/>
        <v>0</v>
      </c>
      <c r="AC121" s="100">
        <f t="shared" si="168"/>
        <v>50000000</v>
      </c>
      <c r="AD121" s="100">
        <f t="shared" si="168"/>
        <v>0</v>
      </c>
      <c r="AE121" s="100">
        <f t="shared" si="168"/>
        <v>0</v>
      </c>
      <c r="AF121" s="100">
        <f t="shared" si="168"/>
        <v>0</v>
      </c>
      <c r="AG121" s="100">
        <f t="shared" si="168"/>
        <v>0</v>
      </c>
      <c r="AH121" s="100">
        <f t="shared" si="168"/>
        <v>0</v>
      </c>
      <c r="AI121" s="100">
        <f t="shared" si="168"/>
        <v>4200000000</v>
      </c>
      <c r="AJ121" s="101">
        <f>SUM(AJ122:AJ131)</f>
        <v>4250000000</v>
      </c>
      <c r="AK121" s="100">
        <f t="shared" ref="AK121:AT121" si="169">SUM(AK122:AK131)</f>
        <v>0</v>
      </c>
      <c r="AL121" s="100">
        <f t="shared" si="169"/>
        <v>0</v>
      </c>
      <c r="AM121" s="100">
        <f t="shared" si="169"/>
        <v>50000000</v>
      </c>
      <c r="AN121" s="100">
        <f t="shared" si="169"/>
        <v>0</v>
      </c>
      <c r="AO121" s="100">
        <f t="shared" si="169"/>
        <v>0</v>
      </c>
      <c r="AP121" s="100">
        <f t="shared" si="169"/>
        <v>0</v>
      </c>
      <c r="AQ121" s="100">
        <f t="shared" si="169"/>
        <v>0</v>
      </c>
      <c r="AR121" s="100">
        <f t="shared" si="169"/>
        <v>0</v>
      </c>
      <c r="AS121" s="100">
        <f t="shared" si="169"/>
        <v>5295276423</v>
      </c>
      <c r="AT121" s="100">
        <f t="shared" si="169"/>
        <v>5345276423</v>
      </c>
      <c r="AU121" s="102"/>
      <c r="AV121" s="102"/>
      <c r="AW121" s="102"/>
      <c r="AX121" s="102"/>
      <c r="AY121" s="102"/>
      <c r="AZ121" s="102"/>
      <c r="BA121" s="102"/>
      <c r="BB121" s="102"/>
      <c r="BC121" s="102"/>
      <c r="BD121" s="100">
        <f t="shared" ref="BD121" si="170">SUM(BD122:BD131)</f>
        <v>6020000000</v>
      </c>
      <c r="BE121" s="102"/>
      <c r="BF121" s="102"/>
      <c r="BG121" s="102"/>
      <c r="BH121" s="102"/>
      <c r="BI121" s="102"/>
      <c r="BJ121" s="102"/>
      <c r="BK121" s="102"/>
      <c r="BL121" s="102"/>
      <c r="BM121" s="102"/>
      <c r="BN121" s="100">
        <f t="shared" ref="BN121:BO121" si="171">SUM(BN122:BN131)</f>
        <v>4020000000</v>
      </c>
      <c r="BO121" s="560">
        <f t="shared" si="171"/>
        <v>19635276423</v>
      </c>
    </row>
    <row r="122" spans="1:68" ht="101.25" customHeight="1" x14ac:dyDescent="0.2">
      <c r="A122" s="545">
        <v>85</v>
      </c>
      <c r="B122" s="69">
        <v>3</v>
      </c>
      <c r="C122" s="136"/>
      <c r="D122" s="136"/>
      <c r="E122" s="478"/>
      <c r="F122" s="461"/>
      <c r="G122" s="480"/>
      <c r="H122" s="480"/>
      <c r="I122" s="77">
        <v>83</v>
      </c>
      <c r="J122" s="73" t="s">
        <v>312</v>
      </c>
      <c r="K122" s="236" t="s">
        <v>313</v>
      </c>
      <c r="L122" s="217" t="s">
        <v>262</v>
      </c>
      <c r="M122" s="217">
        <v>1</v>
      </c>
      <c r="N122" s="222" t="s">
        <v>69</v>
      </c>
      <c r="O122" s="225">
        <v>0</v>
      </c>
      <c r="P122" s="223">
        <v>54</v>
      </c>
      <c r="Q122" s="223">
        <v>4</v>
      </c>
      <c r="R122" s="223">
        <v>27</v>
      </c>
      <c r="S122" s="500"/>
      <c r="T122" s="223">
        <v>47</v>
      </c>
      <c r="U122" s="223"/>
      <c r="V122" s="223">
        <v>54</v>
      </c>
      <c r="W122" s="222"/>
      <c r="X122" s="237"/>
      <c r="Y122" s="77">
        <v>4</v>
      </c>
      <c r="Z122" s="138" t="s">
        <v>110</v>
      </c>
      <c r="AA122" s="185"/>
      <c r="AB122" s="185">
        <v>0</v>
      </c>
      <c r="AC122" s="185"/>
      <c r="AD122" s="185"/>
      <c r="AE122" s="185"/>
      <c r="AF122" s="185"/>
      <c r="AG122" s="185"/>
      <c r="AH122" s="185"/>
      <c r="AI122" s="185"/>
      <c r="AJ122" s="82">
        <f t="shared" ref="AJ122:AJ131" si="172">+AA122+AB122+AC122+AD122+AE122+AF122+AG122+AH122+AI122</f>
        <v>0</v>
      </c>
      <c r="AK122" s="90"/>
      <c r="AL122" s="90"/>
      <c r="AM122" s="90"/>
      <c r="AN122" s="90"/>
      <c r="AO122" s="90"/>
      <c r="AP122" s="90"/>
      <c r="AQ122" s="90"/>
      <c r="AR122" s="90"/>
      <c r="AS122" s="90"/>
      <c r="AT122" s="84">
        <f t="shared" ref="AT122:AT131" si="173">AK122+AL122+AM122+AN122+AO122+AP122+AQ122+AR122+AS122</f>
        <v>0</v>
      </c>
      <c r="AU122" s="455"/>
      <c r="AV122" s="455"/>
      <c r="AW122" s="455"/>
      <c r="AX122" s="455"/>
      <c r="AY122" s="455"/>
      <c r="AZ122" s="455"/>
      <c r="BA122" s="455"/>
      <c r="BB122" s="455"/>
      <c r="BC122" s="455"/>
      <c r="BD122" s="455">
        <f>SUM(AK122:BC122)</f>
        <v>0</v>
      </c>
      <c r="BE122" s="90"/>
      <c r="BF122" s="90"/>
      <c r="BG122" s="90"/>
      <c r="BH122" s="90"/>
      <c r="BI122" s="90"/>
      <c r="BJ122" s="90"/>
      <c r="BK122" s="90"/>
      <c r="BL122" s="90"/>
      <c r="BM122" s="90"/>
      <c r="BN122" s="90">
        <f t="shared" ref="BN122:BN131" si="174">SUM(BE122:BM122)</f>
        <v>0</v>
      </c>
      <c r="BO122" s="546">
        <f t="shared" ref="BO122:BO131" si="175">AJ122+AT122+BD122+BN122</f>
        <v>0</v>
      </c>
    </row>
    <row r="123" spans="1:68" ht="92.25" customHeight="1" x14ac:dyDescent="0.2">
      <c r="A123" s="547">
        <v>86</v>
      </c>
      <c r="B123" s="69">
        <v>3</v>
      </c>
      <c r="C123" s="136"/>
      <c r="D123" s="136"/>
      <c r="E123" s="91"/>
      <c r="F123" s="106"/>
      <c r="G123" s="426"/>
      <c r="H123" s="426"/>
      <c r="I123" s="77">
        <v>84</v>
      </c>
      <c r="J123" s="73" t="s">
        <v>314</v>
      </c>
      <c r="K123" s="236" t="s">
        <v>315</v>
      </c>
      <c r="L123" s="217" t="s">
        <v>262</v>
      </c>
      <c r="M123" s="217">
        <v>1</v>
      </c>
      <c r="N123" s="222" t="s">
        <v>69</v>
      </c>
      <c r="O123" s="225">
        <v>0</v>
      </c>
      <c r="P123" s="223">
        <v>30</v>
      </c>
      <c r="Q123" s="223">
        <v>3.75</v>
      </c>
      <c r="R123" s="223">
        <v>15</v>
      </c>
      <c r="S123" s="500"/>
      <c r="T123" s="223">
        <v>26</v>
      </c>
      <c r="U123" s="223"/>
      <c r="V123" s="223">
        <v>30</v>
      </c>
      <c r="W123" s="222"/>
      <c r="X123" s="237"/>
      <c r="Y123" s="77">
        <v>4</v>
      </c>
      <c r="Z123" s="138" t="s">
        <v>110</v>
      </c>
      <c r="AA123" s="185"/>
      <c r="AB123" s="185"/>
      <c r="AC123" s="185"/>
      <c r="AD123" s="185"/>
      <c r="AE123" s="185"/>
      <c r="AF123" s="185"/>
      <c r="AG123" s="185"/>
      <c r="AH123" s="185"/>
      <c r="AI123" s="185"/>
      <c r="AJ123" s="82">
        <f t="shared" si="172"/>
        <v>0</v>
      </c>
      <c r="AK123" s="90"/>
      <c r="AL123" s="90"/>
      <c r="AM123" s="90"/>
      <c r="AN123" s="90"/>
      <c r="AO123" s="90"/>
      <c r="AP123" s="90"/>
      <c r="AQ123" s="90"/>
      <c r="AR123" s="90"/>
      <c r="AS123" s="90"/>
      <c r="AT123" s="84">
        <f t="shared" si="173"/>
        <v>0</v>
      </c>
      <c r="AU123" s="455"/>
      <c r="AV123" s="455"/>
      <c r="AW123" s="455"/>
      <c r="AX123" s="455"/>
      <c r="AY123" s="455"/>
      <c r="AZ123" s="455"/>
      <c r="BA123" s="455"/>
      <c r="BB123" s="455"/>
      <c r="BC123" s="455"/>
      <c r="BD123" s="455">
        <f t="shared" ref="BD123:BD131" si="176">SUM(AU123:BC123)</f>
        <v>0</v>
      </c>
      <c r="BE123" s="90"/>
      <c r="BF123" s="90"/>
      <c r="BG123" s="90"/>
      <c r="BH123" s="90"/>
      <c r="BI123" s="90"/>
      <c r="BJ123" s="90"/>
      <c r="BK123" s="90"/>
      <c r="BL123" s="90"/>
      <c r="BM123" s="90"/>
      <c r="BN123" s="90">
        <f t="shared" si="174"/>
        <v>0</v>
      </c>
      <c r="BO123" s="546">
        <f t="shared" si="175"/>
        <v>0</v>
      </c>
    </row>
    <row r="124" spans="1:68" ht="78" customHeight="1" x14ac:dyDescent="0.2">
      <c r="A124" s="545">
        <v>87</v>
      </c>
      <c r="B124" s="69">
        <v>3</v>
      </c>
      <c r="C124" s="136"/>
      <c r="D124" s="136"/>
      <c r="E124" s="451">
        <v>16</v>
      </c>
      <c r="F124" s="529" t="s">
        <v>290</v>
      </c>
      <c r="G124" s="534">
        <v>45</v>
      </c>
      <c r="H124" s="534">
        <v>90</v>
      </c>
      <c r="I124" s="77">
        <v>85</v>
      </c>
      <c r="J124" s="73" t="s">
        <v>316</v>
      </c>
      <c r="K124" s="236" t="s">
        <v>317</v>
      </c>
      <c r="L124" s="217" t="s">
        <v>262</v>
      </c>
      <c r="M124" s="217">
        <v>1</v>
      </c>
      <c r="N124" s="222" t="s">
        <v>69</v>
      </c>
      <c r="O124" s="225">
        <v>0</v>
      </c>
      <c r="P124" s="223">
        <v>30</v>
      </c>
      <c r="Q124" s="223">
        <v>4</v>
      </c>
      <c r="R124" s="223">
        <v>15</v>
      </c>
      <c r="S124" s="500"/>
      <c r="T124" s="223">
        <v>26</v>
      </c>
      <c r="U124" s="223"/>
      <c r="V124" s="223">
        <v>30</v>
      </c>
      <c r="W124" s="222"/>
      <c r="X124" s="237"/>
      <c r="Y124" s="77">
        <v>4</v>
      </c>
      <c r="Z124" s="138" t="s">
        <v>110</v>
      </c>
      <c r="AA124" s="185"/>
      <c r="AB124" s="185"/>
      <c r="AC124" s="185"/>
      <c r="AD124" s="185"/>
      <c r="AE124" s="185"/>
      <c r="AF124" s="185"/>
      <c r="AG124" s="185"/>
      <c r="AH124" s="185"/>
      <c r="AI124" s="185"/>
      <c r="AJ124" s="82">
        <f t="shared" si="172"/>
        <v>0</v>
      </c>
      <c r="AK124" s="90"/>
      <c r="AL124" s="90"/>
      <c r="AM124" s="90"/>
      <c r="AN124" s="90"/>
      <c r="AO124" s="90"/>
      <c r="AP124" s="90"/>
      <c r="AQ124" s="90"/>
      <c r="AR124" s="90"/>
      <c r="AS124" s="90"/>
      <c r="AT124" s="84">
        <f t="shared" si="173"/>
        <v>0</v>
      </c>
      <c r="AU124" s="455"/>
      <c r="AV124" s="455"/>
      <c r="AW124" s="455"/>
      <c r="AX124" s="455"/>
      <c r="AY124" s="455"/>
      <c r="AZ124" s="455"/>
      <c r="BA124" s="455"/>
      <c r="BB124" s="455"/>
      <c r="BC124" s="455"/>
      <c r="BD124" s="455">
        <f t="shared" si="176"/>
        <v>0</v>
      </c>
      <c r="BE124" s="90"/>
      <c r="BF124" s="90"/>
      <c r="BG124" s="90"/>
      <c r="BH124" s="90"/>
      <c r="BI124" s="90"/>
      <c r="BJ124" s="90"/>
      <c r="BK124" s="90"/>
      <c r="BL124" s="90"/>
      <c r="BM124" s="90"/>
      <c r="BN124" s="90">
        <f t="shared" si="174"/>
        <v>0</v>
      </c>
      <c r="BO124" s="546">
        <f t="shared" si="175"/>
        <v>0</v>
      </c>
    </row>
    <row r="125" spans="1:68" ht="83.25" customHeight="1" x14ac:dyDescent="0.2">
      <c r="A125" s="547">
        <v>88</v>
      </c>
      <c r="B125" s="69">
        <v>3</v>
      </c>
      <c r="C125" s="136"/>
      <c r="D125" s="136"/>
      <c r="E125" s="91"/>
      <c r="F125" s="106"/>
      <c r="G125" s="426"/>
      <c r="H125" s="426"/>
      <c r="I125" s="77">
        <v>86</v>
      </c>
      <c r="J125" s="73" t="s">
        <v>318</v>
      </c>
      <c r="K125" s="236" t="s">
        <v>319</v>
      </c>
      <c r="L125" s="217" t="s">
        <v>262</v>
      </c>
      <c r="M125" s="217">
        <v>1</v>
      </c>
      <c r="N125" s="222" t="s">
        <v>69</v>
      </c>
      <c r="O125" s="225">
        <v>0</v>
      </c>
      <c r="P125" s="223">
        <v>8</v>
      </c>
      <c r="Q125" s="223">
        <v>1</v>
      </c>
      <c r="R125" s="223">
        <v>4</v>
      </c>
      <c r="S125" s="504">
        <v>3</v>
      </c>
      <c r="T125" s="223">
        <v>7</v>
      </c>
      <c r="U125" s="223">
        <v>3</v>
      </c>
      <c r="V125" s="223">
        <v>8</v>
      </c>
      <c r="W125" s="222">
        <v>1</v>
      </c>
      <c r="X125" s="237"/>
      <c r="Y125" s="77">
        <v>4</v>
      </c>
      <c r="Z125" s="138" t="s">
        <v>110</v>
      </c>
      <c r="AA125" s="185"/>
      <c r="AB125" s="185"/>
      <c r="AC125" s="185"/>
      <c r="AD125" s="185"/>
      <c r="AE125" s="185"/>
      <c r="AF125" s="185"/>
      <c r="AG125" s="185"/>
      <c r="AH125" s="185"/>
      <c r="AI125" s="185"/>
      <c r="AJ125" s="82">
        <f t="shared" si="172"/>
        <v>0</v>
      </c>
      <c r="AK125" s="90"/>
      <c r="AL125" s="90"/>
      <c r="AM125" s="90"/>
      <c r="AN125" s="90"/>
      <c r="AO125" s="90"/>
      <c r="AP125" s="90"/>
      <c r="AQ125" s="90"/>
      <c r="AR125" s="90"/>
      <c r="AS125" s="90"/>
      <c r="AT125" s="84">
        <f t="shared" si="173"/>
        <v>0</v>
      </c>
      <c r="AU125" s="455"/>
      <c r="AV125" s="455"/>
      <c r="AW125" s="455"/>
      <c r="AX125" s="455"/>
      <c r="AY125" s="455"/>
      <c r="AZ125" s="455"/>
      <c r="BA125" s="455"/>
      <c r="BB125" s="455"/>
      <c r="BC125" s="455"/>
      <c r="BD125" s="455">
        <f t="shared" si="176"/>
        <v>0</v>
      </c>
      <c r="BE125" s="90"/>
      <c r="BF125" s="90"/>
      <c r="BG125" s="90"/>
      <c r="BH125" s="90"/>
      <c r="BI125" s="90"/>
      <c r="BJ125" s="90"/>
      <c r="BK125" s="90"/>
      <c r="BL125" s="90"/>
      <c r="BM125" s="90"/>
      <c r="BN125" s="90">
        <f t="shared" si="174"/>
        <v>0</v>
      </c>
      <c r="BO125" s="546">
        <f t="shared" si="175"/>
        <v>0</v>
      </c>
    </row>
    <row r="126" spans="1:68" ht="90.75" customHeight="1" x14ac:dyDescent="0.2">
      <c r="A126" s="545">
        <v>89</v>
      </c>
      <c r="B126" s="69">
        <v>3</v>
      </c>
      <c r="C126" s="136"/>
      <c r="D126" s="136"/>
      <c r="E126" s="451">
        <v>17</v>
      </c>
      <c r="F126" s="232" t="s">
        <v>295</v>
      </c>
      <c r="G126" s="233" t="s">
        <v>296</v>
      </c>
      <c r="H126" s="234">
        <v>0.5</v>
      </c>
      <c r="I126" s="77">
        <v>87</v>
      </c>
      <c r="J126" s="73" t="s">
        <v>320</v>
      </c>
      <c r="K126" s="236" t="s">
        <v>321</v>
      </c>
      <c r="L126" s="217" t="s">
        <v>262</v>
      </c>
      <c r="M126" s="217">
        <v>1</v>
      </c>
      <c r="N126" s="222" t="s">
        <v>54</v>
      </c>
      <c r="O126" s="225">
        <v>0</v>
      </c>
      <c r="P126" s="223">
        <v>30</v>
      </c>
      <c r="Q126" s="223">
        <v>30</v>
      </c>
      <c r="R126" s="223">
        <v>30</v>
      </c>
      <c r="S126" s="500"/>
      <c r="T126" s="223">
        <v>30</v>
      </c>
      <c r="U126" s="223"/>
      <c r="V126" s="223">
        <v>30</v>
      </c>
      <c r="W126" s="222"/>
      <c r="X126" s="218">
        <f>AJ126/$AJ$121</f>
        <v>2.352941176470588E-3</v>
      </c>
      <c r="Y126" s="77">
        <v>4</v>
      </c>
      <c r="Z126" s="138" t="s">
        <v>110</v>
      </c>
      <c r="AA126" s="185"/>
      <c r="AB126" s="185"/>
      <c r="AC126" s="185">
        <v>10000000</v>
      </c>
      <c r="AD126" s="185"/>
      <c r="AE126" s="185"/>
      <c r="AF126" s="185"/>
      <c r="AG126" s="185"/>
      <c r="AH126" s="185"/>
      <c r="AI126" s="185"/>
      <c r="AJ126" s="82">
        <f t="shared" si="172"/>
        <v>10000000</v>
      </c>
      <c r="AK126" s="90"/>
      <c r="AL126" s="90"/>
      <c r="AM126" s="90">
        <v>10000000</v>
      </c>
      <c r="AN126" s="90"/>
      <c r="AO126" s="90"/>
      <c r="AP126" s="90"/>
      <c r="AQ126" s="90"/>
      <c r="AR126" s="90"/>
      <c r="AS126" s="90"/>
      <c r="AT126" s="84">
        <f t="shared" si="173"/>
        <v>10000000</v>
      </c>
      <c r="AU126" s="455"/>
      <c r="AV126" s="455"/>
      <c r="AW126" s="455">
        <v>20000000</v>
      </c>
      <c r="AX126" s="455"/>
      <c r="AY126" s="455"/>
      <c r="AZ126" s="455"/>
      <c r="BA126" s="455"/>
      <c r="BB126" s="455"/>
      <c r="BC126" s="455"/>
      <c r="BD126" s="455">
        <f t="shared" si="176"/>
        <v>20000000</v>
      </c>
      <c r="BE126" s="90"/>
      <c r="BF126" s="90"/>
      <c r="BG126" s="90">
        <v>10000000</v>
      </c>
      <c r="BH126" s="90"/>
      <c r="BI126" s="90"/>
      <c r="BJ126" s="90"/>
      <c r="BK126" s="90"/>
      <c r="BL126" s="90"/>
      <c r="BM126" s="90"/>
      <c r="BN126" s="90">
        <f t="shared" si="174"/>
        <v>10000000</v>
      </c>
      <c r="BO126" s="546">
        <f t="shared" si="175"/>
        <v>50000000</v>
      </c>
    </row>
    <row r="127" spans="1:68" ht="70.5" customHeight="1" x14ac:dyDescent="0.2">
      <c r="A127" s="547">
        <v>90</v>
      </c>
      <c r="B127" s="69">
        <v>3</v>
      </c>
      <c r="C127" s="136"/>
      <c r="D127" s="136"/>
      <c r="E127" s="93">
        <v>18</v>
      </c>
      <c r="F127" s="70" t="s">
        <v>299</v>
      </c>
      <c r="G127" s="78">
        <v>6</v>
      </c>
      <c r="H127" s="78">
        <v>12</v>
      </c>
      <c r="I127" s="77">
        <v>88</v>
      </c>
      <c r="J127" s="73" t="s">
        <v>322</v>
      </c>
      <c r="K127" s="70" t="s">
        <v>323</v>
      </c>
      <c r="L127" s="217" t="s">
        <v>262</v>
      </c>
      <c r="M127" s="217">
        <v>1</v>
      </c>
      <c r="N127" s="419" t="s">
        <v>69</v>
      </c>
      <c r="O127" s="225">
        <v>21</v>
      </c>
      <c r="P127" s="420">
        <v>36</v>
      </c>
      <c r="Q127" s="223">
        <v>23</v>
      </c>
      <c r="R127" s="223">
        <v>29</v>
      </c>
      <c r="S127" s="500"/>
      <c r="T127" s="223">
        <v>34</v>
      </c>
      <c r="U127" s="223"/>
      <c r="V127" s="223">
        <v>36</v>
      </c>
      <c r="W127" s="222"/>
      <c r="X127" s="237"/>
      <c r="Y127" s="77">
        <v>4</v>
      </c>
      <c r="Z127" s="138" t="s">
        <v>110</v>
      </c>
      <c r="AA127" s="185"/>
      <c r="AB127" s="185"/>
      <c r="AC127" s="185"/>
      <c r="AD127" s="185"/>
      <c r="AE127" s="185"/>
      <c r="AF127" s="185"/>
      <c r="AG127" s="185"/>
      <c r="AH127" s="185"/>
      <c r="AI127" s="185"/>
      <c r="AJ127" s="82">
        <f t="shared" si="172"/>
        <v>0</v>
      </c>
      <c r="AK127" s="90"/>
      <c r="AL127" s="90"/>
      <c r="AM127" s="90"/>
      <c r="AN127" s="90"/>
      <c r="AO127" s="90"/>
      <c r="AP127" s="90"/>
      <c r="AQ127" s="90"/>
      <c r="AR127" s="90"/>
      <c r="AS127" s="90"/>
      <c r="AT127" s="84">
        <f t="shared" si="173"/>
        <v>0</v>
      </c>
      <c r="AU127" s="455"/>
      <c r="AV127" s="455"/>
      <c r="AW127" s="455"/>
      <c r="AX127" s="455"/>
      <c r="AY127" s="455"/>
      <c r="AZ127" s="455"/>
      <c r="BA127" s="455"/>
      <c r="BB127" s="455"/>
      <c r="BC127" s="455"/>
      <c r="BD127" s="455">
        <f t="shared" si="176"/>
        <v>0</v>
      </c>
      <c r="BE127" s="90"/>
      <c r="BF127" s="90"/>
      <c r="BG127" s="90"/>
      <c r="BH127" s="90"/>
      <c r="BI127" s="90"/>
      <c r="BJ127" s="90"/>
      <c r="BK127" s="90"/>
      <c r="BL127" s="90"/>
      <c r="BM127" s="90"/>
      <c r="BN127" s="90">
        <f t="shared" si="174"/>
        <v>0</v>
      </c>
      <c r="BO127" s="546">
        <f t="shared" si="175"/>
        <v>0</v>
      </c>
    </row>
    <row r="128" spans="1:68" ht="63" customHeight="1" x14ac:dyDescent="0.2">
      <c r="A128" s="545">
        <v>91</v>
      </c>
      <c r="B128" s="69">
        <v>3</v>
      </c>
      <c r="C128" s="136"/>
      <c r="D128" s="136"/>
      <c r="E128" s="91">
        <v>19</v>
      </c>
      <c r="F128" s="119" t="s">
        <v>302</v>
      </c>
      <c r="G128" s="235" t="s">
        <v>303</v>
      </c>
      <c r="H128" s="578" t="s">
        <v>304</v>
      </c>
      <c r="I128" s="77">
        <v>89</v>
      </c>
      <c r="J128" s="73" t="s">
        <v>324</v>
      </c>
      <c r="K128" s="236" t="s">
        <v>325</v>
      </c>
      <c r="L128" s="217" t="s">
        <v>262</v>
      </c>
      <c r="M128" s="217">
        <v>1</v>
      </c>
      <c r="N128" s="419" t="s">
        <v>69</v>
      </c>
      <c r="O128" s="225" t="s">
        <v>49</v>
      </c>
      <c r="P128" s="420">
        <v>20000</v>
      </c>
      <c r="Q128" s="223">
        <v>9000</v>
      </c>
      <c r="R128" s="420">
        <v>13000</v>
      </c>
      <c r="S128" s="500"/>
      <c r="T128" s="223">
        <v>17500</v>
      </c>
      <c r="U128" s="223"/>
      <c r="V128" s="223">
        <v>20000</v>
      </c>
      <c r="W128" s="222"/>
      <c r="X128" s="237"/>
      <c r="Y128" s="77">
        <v>4</v>
      </c>
      <c r="Z128" s="138" t="s">
        <v>110</v>
      </c>
      <c r="AA128" s="185"/>
      <c r="AB128" s="185"/>
      <c r="AC128" s="185"/>
      <c r="AD128" s="185"/>
      <c r="AE128" s="185"/>
      <c r="AF128" s="185"/>
      <c r="AG128" s="185"/>
      <c r="AH128" s="185"/>
      <c r="AI128" s="185"/>
      <c r="AJ128" s="82">
        <f t="shared" si="172"/>
        <v>0</v>
      </c>
      <c r="AK128" s="90"/>
      <c r="AL128" s="90"/>
      <c r="AM128" s="90"/>
      <c r="AN128" s="90"/>
      <c r="AO128" s="90"/>
      <c r="AP128" s="90"/>
      <c r="AQ128" s="90"/>
      <c r="AR128" s="90"/>
      <c r="AS128" s="90"/>
      <c r="AT128" s="84">
        <f t="shared" si="173"/>
        <v>0</v>
      </c>
      <c r="AU128" s="455"/>
      <c r="AV128" s="455"/>
      <c r="AW128" s="455"/>
      <c r="AX128" s="455"/>
      <c r="AY128" s="455"/>
      <c r="AZ128" s="455"/>
      <c r="BA128" s="455"/>
      <c r="BB128" s="455"/>
      <c r="BC128" s="455"/>
      <c r="BD128" s="455">
        <f t="shared" si="176"/>
        <v>0</v>
      </c>
      <c r="BE128" s="90"/>
      <c r="BF128" s="90"/>
      <c r="BG128" s="90"/>
      <c r="BH128" s="90"/>
      <c r="BI128" s="90"/>
      <c r="BJ128" s="90"/>
      <c r="BK128" s="90"/>
      <c r="BL128" s="90"/>
      <c r="BM128" s="90"/>
      <c r="BN128" s="90">
        <f t="shared" si="174"/>
        <v>0</v>
      </c>
      <c r="BO128" s="546">
        <f t="shared" si="175"/>
        <v>0</v>
      </c>
      <c r="BP128" s="86"/>
    </row>
    <row r="129" spans="1:67" ht="83.25" customHeight="1" x14ac:dyDescent="0.2">
      <c r="A129" s="547">
        <v>92</v>
      </c>
      <c r="B129" s="69">
        <v>3</v>
      </c>
      <c r="C129" s="136"/>
      <c r="D129" s="136"/>
      <c r="E129" s="91"/>
      <c r="F129" s="106"/>
      <c r="G129" s="238"/>
      <c r="H129" s="579"/>
      <c r="I129" s="77">
        <v>90</v>
      </c>
      <c r="J129" s="73" t="s">
        <v>326</v>
      </c>
      <c r="K129" s="236" t="s">
        <v>327</v>
      </c>
      <c r="L129" s="217" t="s">
        <v>262</v>
      </c>
      <c r="M129" s="217">
        <v>1</v>
      </c>
      <c r="N129" s="419" t="s">
        <v>69</v>
      </c>
      <c r="O129" s="225">
        <v>100</v>
      </c>
      <c r="P129" s="420">
        <v>130</v>
      </c>
      <c r="Q129" s="223">
        <v>104</v>
      </c>
      <c r="R129" s="223">
        <v>115</v>
      </c>
      <c r="S129" s="500"/>
      <c r="T129" s="223">
        <v>126</v>
      </c>
      <c r="U129" s="223"/>
      <c r="V129" s="223">
        <v>130</v>
      </c>
      <c r="W129" s="222"/>
      <c r="X129" s="218">
        <f>AJ129/$AJ$121</f>
        <v>0.76235294117647057</v>
      </c>
      <c r="Y129" s="77">
        <v>4</v>
      </c>
      <c r="Z129" s="138" t="s">
        <v>110</v>
      </c>
      <c r="AA129" s="185"/>
      <c r="AB129" s="185"/>
      <c r="AC129" s="185">
        <v>40000000</v>
      </c>
      <c r="AD129" s="185"/>
      <c r="AE129" s="185"/>
      <c r="AF129" s="185"/>
      <c r="AG129" s="185"/>
      <c r="AH129" s="185"/>
      <c r="AI129" s="185">
        <v>3200000000</v>
      </c>
      <c r="AJ129" s="82">
        <f t="shared" si="172"/>
        <v>3240000000</v>
      </c>
      <c r="AK129" s="90"/>
      <c r="AL129" s="90"/>
      <c r="AM129" s="90">
        <v>40000000</v>
      </c>
      <c r="AN129" s="90"/>
      <c r="AO129" s="90"/>
      <c r="AP129" s="90"/>
      <c r="AQ129" s="90"/>
      <c r="AR129" s="455"/>
      <c r="AS129" s="90">
        <v>4295276423</v>
      </c>
      <c r="AT129" s="84">
        <f t="shared" si="173"/>
        <v>4335276423</v>
      </c>
      <c r="AU129" s="455"/>
      <c r="AV129" s="455"/>
      <c r="AW129" s="455"/>
      <c r="AX129" s="455"/>
      <c r="AY129" s="455"/>
      <c r="AZ129" s="455"/>
      <c r="BA129" s="455"/>
      <c r="BB129" s="455"/>
      <c r="BC129" s="455">
        <f>6000000000-1000000000</f>
        <v>5000000000</v>
      </c>
      <c r="BD129" s="455">
        <f t="shared" si="176"/>
        <v>5000000000</v>
      </c>
      <c r="BE129" s="90"/>
      <c r="BF129" s="90"/>
      <c r="BG129" s="90">
        <v>10000000</v>
      </c>
      <c r="BH129" s="90"/>
      <c r="BI129" s="90"/>
      <c r="BJ129" s="90"/>
      <c r="BK129" s="90"/>
      <c r="BL129" s="90"/>
      <c r="BM129" s="90">
        <v>3000000000</v>
      </c>
      <c r="BN129" s="90">
        <f t="shared" si="174"/>
        <v>3010000000</v>
      </c>
      <c r="BO129" s="546">
        <f t="shared" si="175"/>
        <v>15585276423</v>
      </c>
    </row>
    <row r="130" spans="1:67" ht="84" customHeight="1" x14ac:dyDescent="0.2">
      <c r="A130" s="547"/>
      <c r="B130" s="69"/>
      <c r="C130" s="136"/>
      <c r="D130" s="136"/>
      <c r="E130" s="91"/>
      <c r="F130" s="106"/>
      <c r="G130" s="426"/>
      <c r="H130" s="426"/>
      <c r="I130" s="77">
        <v>91</v>
      </c>
      <c r="J130" s="73" t="s">
        <v>328</v>
      </c>
      <c r="K130" s="236" t="s">
        <v>329</v>
      </c>
      <c r="L130" s="217" t="s">
        <v>262</v>
      </c>
      <c r="M130" s="217">
        <v>1</v>
      </c>
      <c r="N130" s="222" t="s">
        <v>54</v>
      </c>
      <c r="O130" s="225">
        <v>0</v>
      </c>
      <c r="P130" s="223">
        <v>54</v>
      </c>
      <c r="Q130" s="223">
        <v>54</v>
      </c>
      <c r="R130" s="223">
        <v>54</v>
      </c>
      <c r="S130" s="500"/>
      <c r="T130" s="223">
        <v>54</v>
      </c>
      <c r="U130" s="223"/>
      <c r="V130" s="223">
        <v>54</v>
      </c>
      <c r="W130" s="222"/>
      <c r="X130" s="218">
        <f>AJ130/$AJ$121</f>
        <v>0.23529411764705882</v>
      </c>
      <c r="Y130" s="77">
        <v>4</v>
      </c>
      <c r="Z130" s="138" t="s">
        <v>110</v>
      </c>
      <c r="AA130" s="185"/>
      <c r="AB130" s="185"/>
      <c r="AC130" s="185"/>
      <c r="AD130" s="185"/>
      <c r="AE130" s="185"/>
      <c r="AF130" s="185"/>
      <c r="AG130" s="185"/>
      <c r="AH130" s="185"/>
      <c r="AI130" s="185">
        <v>1000000000</v>
      </c>
      <c r="AJ130" s="82">
        <f t="shared" si="172"/>
        <v>1000000000</v>
      </c>
      <c r="AK130" s="90"/>
      <c r="AL130" s="90"/>
      <c r="AM130" s="90"/>
      <c r="AN130" s="90"/>
      <c r="AO130" s="90"/>
      <c r="AP130" s="90"/>
      <c r="AQ130" s="90"/>
      <c r="AR130" s="455"/>
      <c r="AS130" s="90">
        <v>1000000000</v>
      </c>
      <c r="AT130" s="84">
        <f t="shared" si="173"/>
        <v>1000000000</v>
      </c>
      <c r="AU130" s="455"/>
      <c r="AV130" s="455"/>
      <c r="AW130" s="455"/>
      <c r="AX130" s="455"/>
      <c r="AY130" s="455"/>
      <c r="AZ130" s="455"/>
      <c r="BA130" s="455"/>
      <c r="BB130" s="455"/>
      <c r="BC130" s="455">
        <v>1000000000</v>
      </c>
      <c r="BD130" s="455">
        <f t="shared" si="176"/>
        <v>1000000000</v>
      </c>
      <c r="BE130" s="90"/>
      <c r="BF130" s="90"/>
      <c r="BG130" s="90"/>
      <c r="BH130" s="90"/>
      <c r="BI130" s="90"/>
      <c r="BJ130" s="90"/>
      <c r="BK130" s="90"/>
      <c r="BL130" s="90"/>
      <c r="BM130" s="90">
        <v>1000000000</v>
      </c>
      <c r="BN130" s="90">
        <f t="shared" si="174"/>
        <v>1000000000</v>
      </c>
      <c r="BO130" s="546">
        <f t="shared" si="175"/>
        <v>4000000000</v>
      </c>
    </row>
    <row r="131" spans="1:67" ht="93" customHeight="1" x14ac:dyDescent="0.2">
      <c r="A131" s="545">
        <v>93</v>
      </c>
      <c r="B131" s="69">
        <v>3</v>
      </c>
      <c r="C131" s="136"/>
      <c r="D131" s="136"/>
      <c r="E131" s="451"/>
      <c r="F131" s="109"/>
      <c r="G131" s="534"/>
      <c r="H131" s="534"/>
      <c r="I131" s="77">
        <v>92</v>
      </c>
      <c r="J131" s="73" t="s">
        <v>330</v>
      </c>
      <c r="K131" s="236" t="s">
        <v>331</v>
      </c>
      <c r="L131" s="217" t="s">
        <v>262</v>
      </c>
      <c r="M131" s="217">
        <v>1</v>
      </c>
      <c r="N131" s="222" t="s">
        <v>69</v>
      </c>
      <c r="O131" s="225">
        <v>0</v>
      </c>
      <c r="P131" s="223">
        <v>6</v>
      </c>
      <c r="Q131" s="223">
        <v>1</v>
      </c>
      <c r="R131" s="223">
        <v>2</v>
      </c>
      <c r="S131" s="500"/>
      <c r="T131" s="223">
        <v>2</v>
      </c>
      <c r="U131" s="223"/>
      <c r="V131" s="223">
        <v>1</v>
      </c>
      <c r="W131" s="222"/>
      <c r="X131" s="237"/>
      <c r="Y131" s="77">
        <v>4</v>
      </c>
      <c r="Z131" s="138" t="s">
        <v>110</v>
      </c>
      <c r="AA131" s="185"/>
      <c r="AB131" s="185"/>
      <c r="AC131" s="185"/>
      <c r="AD131" s="185"/>
      <c r="AE131" s="185"/>
      <c r="AF131" s="185"/>
      <c r="AG131" s="185"/>
      <c r="AH131" s="185"/>
      <c r="AI131" s="185"/>
      <c r="AJ131" s="82">
        <f t="shared" si="172"/>
        <v>0</v>
      </c>
      <c r="AK131" s="90"/>
      <c r="AL131" s="90"/>
      <c r="AM131" s="90"/>
      <c r="AN131" s="90"/>
      <c r="AO131" s="90"/>
      <c r="AP131" s="90"/>
      <c r="AQ131" s="90"/>
      <c r="AR131" s="90"/>
      <c r="AS131" s="90"/>
      <c r="AT131" s="84">
        <f t="shared" si="173"/>
        <v>0</v>
      </c>
      <c r="AU131" s="455"/>
      <c r="AV131" s="455"/>
      <c r="AW131" s="455"/>
      <c r="AX131" s="455"/>
      <c r="AY131" s="455"/>
      <c r="AZ131" s="455"/>
      <c r="BA131" s="455"/>
      <c r="BB131" s="455"/>
      <c r="BC131" s="455"/>
      <c r="BD131" s="455">
        <f t="shared" si="176"/>
        <v>0</v>
      </c>
      <c r="BE131" s="90"/>
      <c r="BF131" s="90"/>
      <c r="BG131" s="90"/>
      <c r="BH131" s="90"/>
      <c r="BI131" s="90"/>
      <c r="BJ131" s="90"/>
      <c r="BK131" s="90"/>
      <c r="BL131" s="90"/>
      <c r="BM131" s="90"/>
      <c r="BN131" s="90">
        <f t="shared" si="174"/>
        <v>0</v>
      </c>
      <c r="BO131" s="546">
        <f t="shared" si="175"/>
        <v>0</v>
      </c>
    </row>
    <row r="132" spans="1:67" ht="24.75" customHeight="1" x14ac:dyDescent="0.2">
      <c r="A132" s="545"/>
      <c r="B132" s="69"/>
      <c r="C132" s="136"/>
      <c r="D132" s="136"/>
      <c r="E132" s="57">
        <v>21</v>
      </c>
      <c r="F132" s="58" t="s">
        <v>332</v>
      </c>
      <c r="G132" s="57"/>
      <c r="H132" s="184"/>
      <c r="I132" s="57"/>
      <c r="J132" s="184"/>
      <c r="K132" s="96"/>
      <c r="L132" s="60"/>
      <c r="M132" s="60"/>
      <c r="N132" s="97"/>
      <c r="O132" s="96"/>
      <c r="P132" s="96"/>
      <c r="Q132" s="98"/>
      <c r="R132" s="96"/>
      <c r="S132" s="503"/>
      <c r="T132" s="96"/>
      <c r="U132" s="96"/>
      <c r="V132" s="60"/>
      <c r="W132" s="60"/>
      <c r="X132" s="99"/>
      <c r="Y132" s="60"/>
      <c r="Z132" s="60"/>
      <c r="AA132" s="100">
        <f t="shared" ref="AA132:AI132" si="177">SUM(AA133:AA136)</f>
        <v>0</v>
      </c>
      <c r="AB132" s="100">
        <f t="shared" si="177"/>
        <v>0</v>
      </c>
      <c r="AC132" s="100">
        <f t="shared" si="177"/>
        <v>25000000</v>
      </c>
      <c r="AD132" s="100">
        <f t="shared" si="177"/>
        <v>0</v>
      </c>
      <c r="AE132" s="100">
        <f t="shared" si="177"/>
        <v>0</v>
      </c>
      <c r="AF132" s="100">
        <f t="shared" si="177"/>
        <v>0</v>
      </c>
      <c r="AG132" s="100">
        <f t="shared" si="177"/>
        <v>250000000</v>
      </c>
      <c r="AH132" s="100">
        <f t="shared" si="177"/>
        <v>0</v>
      </c>
      <c r="AI132" s="100">
        <f t="shared" si="177"/>
        <v>0</v>
      </c>
      <c r="AJ132" s="101">
        <f>SUM(AJ133:AJ136)</f>
        <v>275000000</v>
      </c>
      <c r="AK132" s="100">
        <f t="shared" ref="AK132:AT132" si="178">SUM(AK133:AK136)</f>
        <v>0</v>
      </c>
      <c r="AL132" s="100">
        <f t="shared" si="178"/>
        <v>0</v>
      </c>
      <c r="AM132" s="100">
        <f t="shared" si="178"/>
        <v>30000000</v>
      </c>
      <c r="AN132" s="100">
        <f t="shared" si="178"/>
        <v>0</v>
      </c>
      <c r="AO132" s="100">
        <f t="shared" si="178"/>
        <v>0</v>
      </c>
      <c r="AP132" s="100">
        <f t="shared" si="178"/>
        <v>0</v>
      </c>
      <c r="AQ132" s="100">
        <f t="shared" si="178"/>
        <v>257500000</v>
      </c>
      <c r="AR132" s="100">
        <f t="shared" si="178"/>
        <v>0</v>
      </c>
      <c r="AS132" s="100">
        <f t="shared" si="178"/>
        <v>0</v>
      </c>
      <c r="AT132" s="100">
        <f t="shared" si="178"/>
        <v>287500000</v>
      </c>
      <c r="AU132" s="102"/>
      <c r="AV132" s="102"/>
      <c r="AW132" s="102"/>
      <c r="AX132" s="102"/>
      <c r="AY132" s="102"/>
      <c r="AZ132" s="102"/>
      <c r="BA132" s="102"/>
      <c r="BB132" s="102"/>
      <c r="BC132" s="102"/>
      <c r="BD132" s="100">
        <f t="shared" ref="BD132" si="179">SUM(BD133:BD136)</f>
        <v>280225000</v>
      </c>
      <c r="BE132" s="102"/>
      <c r="BF132" s="102"/>
      <c r="BG132" s="102"/>
      <c r="BH132" s="102"/>
      <c r="BI132" s="102"/>
      <c r="BJ132" s="102"/>
      <c r="BK132" s="102"/>
      <c r="BL132" s="102"/>
      <c r="BM132" s="102"/>
      <c r="BN132" s="100">
        <f t="shared" ref="BN132:BO132" si="180">SUM(BN133:BN136)</f>
        <v>283181750</v>
      </c>
      <c r="BO132" s="560">
        <f t="shared" si="180"/>
        <v>1125906750</v>
      </c>
    </row>
    <row r="133" spans="1:67" ht="51.75" customHeight="1" x14ac:dyDescent="0.2">
      <c r="A133" s="545">
        <v>95</v>
      </c>
      <c r="B133" s="69">
        <v>3</v>
      </c>
      <c r="C133" s="136"/>
      <c r="D133" s="136"/>
      <c r="E133" s="93">
        <v>16</v>
      </c>
      <c r="F133" s="70" t="s">
        <v>333</v>
      </c>
      <c r="G133" s="78">
        <v>45</v>
      </c>
      <c r="H133" s="78">
        <v>90</v>
      </c>
      <c r="I133" s="72">
        <v>93</v>
      </c>
      <c r="J133" s="73" t="s">
        <v>334</v>
      </c>
      <c r="K133" s="236" t="s">
        <v>335</v>
      </c>
      <c r="L133" s="217" t="s">
        <v>262</v>
      </c>
      <c r="M133" s="217">
        <v>1</v>
      </c>
      <c r="N133" s="419" t="s">
        <v>69</v>
      </c>
      <c r="O133" s="225" t="s">
        <v>49</v>
      </c>
      <c r="P133" s="420">
        <v>36</v>
      </c>
      <c r="Q133" s="223">
        <v>4</v>
      </c>
      <c r="R133" s="223">
        <v>18</v>
      </c>
      <c r="S133" s="500"/>
      <c r="T133" s="223">
        <v>32</v>
      </c>
      <c r="U133" s="223"/>
      <c r="V133" s="223">
        <v>36</v>
      </c>
      <c r="W133" s="222"/>
      <c r="X133" s="237"/>
      <c r="Y133" s="77">
        <v>4</v>
      </c>
      <c r="Z133" s="77" t="s">
        <v>110</v>
      </c>
      <c r="AA133" s="185"/>
      <c r="AB133" s="185"/>
      <c r="AC133" s="185"/>
      <c r="AD133" s="185"/>
      <c r="AE133" s="185"/>
      <c r="AF133" s="185"/>
      <c r="AG133" s="185"/>
      <c r="AH133" s="185"/>
      <c r="AI133" s="185"/>
      <c r="AJ133" s="82">
        <f>+AA133+AB133+AC133+AD133+AE133+AF133+AG133+AH133+AI133</f>
        <v>0</v>
      </c>
      <c r="AK133" s="90"/>
      <c r="AL133" s="90"/>
      <c r="AM133" s="90"/>
      <c r="AN133" s="90"/>
      <c r="AO133" s="90"/>
      <c r="AP133" s="90"/>
      <c r="AQ133" s="90"/>
      <c r="AR133" s="90"/>
      <c r="AS133" s="90"/>
      <c r="AT133" s="84">
        <f>AK133+AL133+AM133+AN133+AO133+AP133+AQ133+AR133+AS133</f>
        <v>0</v>
      </c>
      <c r="AU133" s="455"/>
      <c r="AV133" s="455"/>
      <c r="AW133" s="455"/>
      <c r="AX133" s="455"/>
      <c r="AY133" s="455"/>
      <c r="AZ133" s="455"/>
      <c r="BA133" s="455"/>
      <c r="BB133" s="455"/>
      <c r="BC133" s="455"/>
      <c r="BD133" s="455">
        <f>SUM(AU133:BC133)</f>
        <v>0</v>
      </c>
      <c r="BE133" s="90"/>
      <c r="BF133" s="90"/>
      <c r="BG133" s="90"/>
      <c r="BH133" s="90"/>
      <c r="BI133" s="90"/>
      <c r="BJ133" s="90"/>
      <c r="BK133" s="90"/>
      <c r="BL133" s="90"/>
      <c r="BM133" s="90"/>
      <c r="BN133" s="90">
        <f>SUM(BE133:BM133)</f>
        <v>0</v>
      </c>
      <c r="BO133" s="546">
        <f>AJ133+AT133+BD133+BN133</f>
        <v>0</v>
      </c>
    </row>
    <row r="134" spans="1:67" ht="51.75" customHeight="1" x14ac:dyDescent="0.2">
      <c r="A134" s="547">
        <v>96</v>
      </c>
      <c r="B134" s="69">
        <v>3</v>
      </c>
      <c r="C134" s="136"/>
      <c r="D134" s="136"/>
      <c r="E134" s="93">
        <v>17</v>
      </c>
      <c r="F134" s="239" t="s">
        <v>295</v>
      </c>
      <c r="G134" s="240" t="s">
        <v>296</v>
      </c>
      <c r="H134" s="241">
        <v>0.5</v>
      </c>
      <c r="I134" s="72">
        <v>94</v>
      </c>
      <c r="J134" s="73" t="s">
        <v>336</v>
      </c>
      <c r="K134" s="236" t="s">
        <v>337</v>
      </c>
      <c r="L134" s="217" t="s">
        <v>262</v>
      </c>
      <c r="M134" s="217">
        <v>1</v>
      </c>
      <c r="N134" s="419" t="s">
        <v>69</v>
      </c>
      <c r="O134" s="225">
        <v>70</v>
      </c>
      <c r="P134" s="420">
        <v>140</v>
      </c>
      <c r="Q134" s="223">
        <v>79</v>
      </c>
      <c r="R134" s="223">
        <v>105</v>
      </c>
      <c r="S134" s="504">
        <v>30</v>
      </c>
      <c r="T134" s="223">
        <v>131</v>
      </c>
      <c r="U134" s="223">
        <v>40</v>
      </c>
      <c r="V134" s="223">
        <v>140</v>
      </c>
      <c r="W134" s="222">
        <v>50</v>
      </c>
      <c r="X134" s="218">
        <f>AJ134/$AJ$132</f>
        <v>0.88181818181818183</v>
      </c>
      <c r="Y134" s="77">
        <v>4</v>
      </c>
      <c r="Z134" s="77" t="s">
        <v>110</v>
      </c>
      <c r="AA134" s="185"/>
      <c r="AB134" s="185"/>
      <c r="AC134" s="185"/>
      <c r="AD134" s="185"/>
      <c r="AE134" s="185"/>
      <c r="AF134" s="185"/>
      <c r="AG134" s="185">
        <v>242500000</v>
      </c>
      <c r="AH134" s="185"/>
      <c r="AI134" s="185"/>
      <c r="AJ134" s="82">
        <f>+AA134+AB134+AC134+AD134+AE134+AF134+AG134+AH134+AI134</f>
        <v>242500000</v>
      </c>
      <c r="AK134" s="90"/>
      <c r="AL134" s="90"/>
      <c r="AM134" s="90"/>
      <c r="AN134" s="90"/>
      <c r="AO134" s="90"/>
      <c r="AP134" s="90"/>
      <c r="AQ134" s="90">
        <v>253000000</v>
      </c>
      <c r="AR134" s="90"/>
      <c r="AS134" s="90"/>
      <c r="AT134" s="84">
        <f>AK134+AL134+AM134+AN134+AO134+AP134+AQ134+AR134+AS134</f>
        <v>253000000</v>
      </c>
      <c r="AU134" s="455"/>
      <c r="AV134" s="455"/>
      <c r="AW134" s="455"/>
      <c r="AX134" s="455"/>
      <c r="AY134" s="455"/>
      <c r="AZ134" s="455"/>
      <c r="BA134" s="455">
        <v>240000000</v>
      </c>
      <c r="BB134" s="455"/>
      <c r="BC134" s="455"/>
      <c r="BD134" s="455">
        <f>SUM(AU134:BC134)</f>
        <v>240000000</v>
      </c>
      <c r="BE134" s="90"/>
      <c r="BF134" s="90"/>
      <c r="BG134" s="90"/>
      <c r="BH134" s="90"/>
      <c r="BI134" s="90"/>
      <c r="BJ134" s="90"/>
      <c r="BK134" s="90">
        <v>249700000</v>
      </c>
      <c r="BL134" s="90"/>
      <c r="BM134" s="90"/>
      <c r="BN134" s="90">
        <f>SUM(BE134:BM134)</f>
        <v>249700000</v>
      </c>
      <c r="BO134" s="546">
        <f>AJ134+AT134+BD134+BN134</f>
        <v>985200000</v>
      </c>
    </row>
    <row r="135" spans="1:67" ht="51.75" customHeight="1" x14ac:dyDescent="0.2">
      <c r="A135" s="545">
        <v>97</v>
      </c>
      <c r="B135" s="69">
        <v>3</v>
      </c>
      <c r="C135" s="136"/>
      <c r="D135" s="136"/>
      <c r="E135" s="93">
        <v>18</v>
      </c>
      <c r="F135" s="70" t="s">
        <v>299</v>
      </c>
      <c r="G135" s="78">
        <v>6</v>
      </c>
      <c r="H135" s="78">
        <v>12</v>
      </c>
      <c r="I135" s="72">
        <v>95</v>
      </c>
      <c r="J135" s="73" t="s">
        <v>338</v>
      </c>
      <c r="K135" s="236" t="s">
        <v>339</v>
      </c>
      <c r="L135" s="217" t="s">
        <v>262</v>
      </c>
      <c r="M135" s="217">
        <v>1</v>
      </c>
      <c r="N135" s="222" t="s">
        <v>54</v>
      </c>
      <c r="O135" s="225">
        <v>0</v>
      </c>
      <c r="P135" s="223">
        <v>500</v>
      </c>
      <c r="Q135" s="223">
        <v>500</v>
      </c>
      <c r="R135" s="223">
        <v>500</v>
      </c>
      <c r="S135" s="500" t="s">
        <v>61</v>
      </c>
      <c r="T135" s="223">
        <v>500</v>
      </c>
      <c r="U135" s="223"/>
      <c r="V135" s="223">
        <v>500</v>
      </c>
      <c r="W135" s="222"/>
      <c r="X135" s="218">
        <f>AJ135/$AJ$132</f>
        <v>6.363636363636363E-2</v>
      </c>
      <c r="Y135" s="77">
        <v>4</v>
      </c>
      <c r="Z135" s="77" t="s">
        <v>110</v>
      </c>
      <c r="AA135" s="185"/>
      <c r="AB135" s="185"/>
      <c r="AC135" s="185">
        <v>10000000</v>
      </c>
      <c r="AD135" s="185"/>
      <c r="AE135" s="185"/>
      <c r="AF135" s="185"/>
      <c r="AG135" s="185">
        <v>7500000</v>
      </c>
      <c r="AH135" s="185"/>
      <c r="AI135" s="185"/>
      <c r="AJ135" s="82">
        <f>+AA135+AB135+AC135+AD135+AE135+AF135+AG135+AH135+AI135</f>
        <v>17500000</v>
      </c>
      <c r="AK135" s="90"/>
      <c r="AL135" s="90"/>
      <c r="AM135" s="90">
        <f>18200000-4500000</f>
        <v>13700000</v>
      </c>
      <c r="AN135" s="90"/>
      <c r="AO135" s="90"/>
      <c r="AP135" s="90"/>
      <c r="AQ135" s="90">
        <v>4500000</v>
      </c>
      <c r="AR135" s="90"/>
      <c r="AS135" s="90"/>
      <c r="AT135" s="84">
        <f>AK135+AL135+AM135+AN135+AO135+AP135+AQ135+AR135+AS135</f>
        <v>18200000</v>
      </c>
      <c r="AU135" s="455"/>
      <c r="AV135" s="455"/>
      <c r="AW135" s="455">
        <f>17800000-3000000</f>
        <v>14800000</v>
      </c>
      <c r="AX135" s="455"/>
      <c r="AY135" s="455"/>
      <c r="AZ135" s="455"/>
      <c r="BA135" s="455">
        <v>3000000</v>
      </c>
      <c r="BB135" s="455"/>
      <c r="BC135" s="455"/>
      <c r="BD135" s="455">
        <f>SUM(AU135:BC135)</f>
        <v>17800000</v>
      </c>
      <c r="BE135" s="90"/>
      <c r="BF135" s="90"/>
      <c r="BG135" s="90"/>
      <c r="BH135" s="90"/>
      <c r="BI135" s="90"/>
      <c r="BJ135" s="90"/>
      <c r="BK135" s="90">
        <v>18020000</v>
      </c>
      <c r="BL135" s="90"/>
      <c r="BM135" s="90"/>
      <c r="BN135" s="90">
        <f>SUM(BE135:BM135)</f>
        <v>18020000</v>
      </c>
      <c r="BO135" s="546">
        <f>AJ135+AT135+BD135+BN135</f>
        <v>71520000</v>
      </c>
    </row>
    <row r="136" spans="1:67" ht="51.75" customHeight="1" x14ac:dyDescent="0.2">
      <c r="A136" s="547">
        <v>98</v>
      </c>
      <c r="B136" s="69">
        <v>3</v>
      </c>
      <c r="C136" s="136"/>
      <c r="D136" s="136"/>
      <c r="E136" s="451">
        <v>19</v>
      </c>
      <c r="F136" s="119" t="s">
        <v>302</v>
      </c>
      <c r="G136" s="161" t="s">
        <v>303</v>
      </c>
      <c r="H136" s="202" t="s">
        <v>304</v>
      </c>
      <c r="I136" s="242">
        <v>96</v>
      </c>
      <c r="J136" s="73" t="s">
        <v>340</v>
      </c>
      <c r="K136" s="236" t="s">
        <v>341</v>
      </c>
      <c r="L136" s="217" t="s">
        <v>262</v>
      </c>
      <c r="M136" s="217">
        <v>1</v>
      </c>
      <c r="N136" s="419" t="s">
        <v>69</v>
      </c>
      <c r="O136" s="423">
        <v>0</v>
      </c>
      <c r="P136" s="420">
        <v>6</v>
      </c>
      <c r="Q136" s="223">
        <v>1</v>
      </c>
      <c r="R136" s="223">
        <v>3</v>
      </c>
      <c r="S136" s="504">
        <v>2</v>
      </c>
      <c r="T136" s="223">
        <v>5</v>
      </c>
      <c r="U136" s="223">
        <v>2</v>
      </c>
      <c r="V136" s="223">
        <v>6</v>
      </c>
      <c r="W136" s="222">
        <v>2</v>
      </c>
      <c r="X136" s="218">
        <f>AJ136/$AJ$132</f>
        <v>5.4545454545454543E-2</v>
      </c>
      <c r="Y136" s="77">
        <v>4</v>
      </c>
      <c r="Z136" s="77" t="s">
        <v>110</v>
      </c>
      <c r="AA136" s="185"/>
      <c r="AB136" s="185"/>
      <c r="AC136" s="185">
        <v>15000000</v>
      </c>
      <c r="AD136" s="185"/>
      <c r="AE136" s="185"/>
      <c r="AF136" s="185"/>
      <c r="AG136" s="185"/>
      <c r="AH136" s="185"/>
      <c r="AI136" s="185"/>
      <c r="AJ136" s="82">
        <f>+AA136+AB136+AC136+AD136+AE136+AF136+AG136+AH136+AI136</f>
        <v>15000000</v>
      </c>
      <c r="AK136" s="90"/>
      <c r="AL136" s="90"/>
      <c r="AM136" s="90">
        <v>16300000</v>
      </c>
      <c r="AN136" s="90"/>
      <c r="AO136" s="90"/>
      <c r="AP136" s="90"/>
      <c r="AQ136" s="90"/>
      <c r="AR136" s="90"/>
      <c r="AS136" s="90"/>
      <c r="AT136" s="84">
        <f>AK136+AL136+AM136+AN136+AO136+AP136+AQ136+AR136+AS136</f>
        <v>16300000</v>
      </c>
      <c r="AU136" s="455"/>
      <c r="AV136" s="455"/>
      <c r="AW136" s="455">
        <v>200000</v>
      </c>
      <c r="AX136" s="455"/>
      <c r="AY136" s="455"/>
      <c r="AZ136" s="455"/>
      <c r="BA136" s="455">
        <v>22225000</v>
      </c>
      <c r="BB136" s="455"/>
      <c r="BC136" s="455"/>
      <c r="BD136" s="455">
        <f>SUM(AU136:BC136)</f>
        <v>22425000</v>
      </c>
      <c r="BE136" s="90"/>
      <c r="BF136" s="90"/>
      <c r="BG136" s="90">
        <v>10000000</v>
      </c>
      <c r="BH136" s="90"/>
      <c r="BI136" s="90"/>
      <c r="BJ136" s="90"/>
      <c r="BK136" s="90">
        <v>5461750</v>
      </c>
      <c r="BL136" s="90"/>
      <c r="BM136" s="90"/>
      <c r="BN136" s="90">
        <f>SUM(BE136:BM136)</f>
        <v>15461750</v>
      </c>
      <c r="BO136" s="546">
        <f>AJ136+AT136+BD136+BN136</f>
        <v>69186750</v>
      </c>
    </row>
    <row r="137" spans="1:67" ht="24.75" customHeight="1" x14ac:dyDescent="0.2">
      <c r="A137" s="547"/>
      <c r="B137" s="69"/>
      <c r="C137" s="136"/>
      <c r="D137" s="136"/>
      <c r="E137" s="57">
        <v>22</v>
      </c>
      <c r="F137" s="58" t="s">
        <v>342</v>
      </c>
      <c r="G137" s="60"/>
      <c r="H137" s="96"/>
      <c r="I137" s="60"/>
      <c r="J137" s="96"/>
      <c r="K137" s="96"/>
      <c r="L137" s="60"/>
      <c r="M137" s="60"/>
      <c r="N137" s="97"/>
      <c r="O137" s="96"/>
      <c r="P137" s="96"/>
      <c r="Q137" s="98"/>
      <c r="R137" s="96"/>
      <c r="S137" s="503"/>
      <c r="T137" s="96"/>
      <c r="U137" s="96"/>
      <c r="V137" s="60"/>
      <c r="W137" s="60"/>
      <c r="X137" s="99"/>
      <c r="Y137" s="60"/>
      <c r="Z137" s="60"/>
      <c r="AA137" s="100">
        <f t="shared" ref="AA137:AJ137" si="181">SUM(AA138)</f>
        <v>0</v>
      </c>
      <c r="AB137" s="100">
        <f t="shared" si="181"/>
        <v>0</v>
      </c>
      <c r="AC137" s="100">
        <f t="shared" si="181"/>
        <v>0</v>
      </c>
      <c r="AD137" s="100">
        <f t="shared" si="181"/>
        <v>0</v>
      </c>
      <c r="AE137" s="100">
        <f t="shared" si="181"/>
        <v>0</v>
      </c>
      <c r="AF137" s="100">
        <f t="shared" si="181"/>
        <v>0</v>
      </c>
      <c r="AG137" s="100">
        <f t="shared" si="181"/>
        <v>110000000</v>
      </c>
      <c r="AH137" s="100">
        <f t="shared" si="181"/>
        <v>0</v>
      </c>
      <c r="AI137" s="100">
        <f t="shared" si="181"/>
        <v>0</v>
      </c>
      <c r="AJ137" s="100">
        <f t="shared" si="181"/>
        <v>110000000</v>
      </c>
      <c r="AK137" s="100">
        <f t="shared" ref="AK137:AT137" si="182">SUM(AK138)</f>
        <v>0</v>
      </c>
      <c r="AL137" s="100">
        <f t="shared" si="182"/>
        <v>0</v>
      </c>
      <c r="AM137" s="100">
        <f t="shared" si="182"/>
        <v>0</v>
      </c>
      <c r="AN137" s="100">
        <f t="shared" si="182"/>
        <v>0</v>
      </c>
      <c r="AO137" s="100">
        <f t="shared" si="182"/>
        <v>0</v>
      </c>
      <c r="AP137" s="100">
        <f t="shared" si="182"/>
        <v>0</v>
      </c>
      <c r="AQ137" s="100">
        <f t="shared" si="182"/>
        <v>113300000</v>
      </c>
      <c r="AR137" s="100">
        <f t="shared" si="182"/>
        <v>0</v>
      </c>
      <c r="AS137" s="100">
        <f t="shared" si="182"/>
        <v>0</v>
      </c>
      <c r="AT137" s="100">
        <f t="shared" si="182"/>
        <v>113300000</v>
      </c>
      <c r="AU137" s="102"/>
      <c r="AV137" s="102"/>
      <c r="AW137" s="102"/>
      <c r="AX137" s="102"/>
      <c r="AY137" s="102"/>
      <c r="AZ137" s="102"/>
      <c r="BA137" s="102"/>
      <c r="BB137" s="102"/>
      <c r="BC137" s="102"/>
      <c r="BD137" s="100">
        <f t="shared" ref="BD137" si="183">SUM(BD138)</f>
        <v>116699000</v>
      </c>
      <c r="BE137" s="102"/>
      <c r="BF137" s="102"/>
      <c r="BG137" s="102"/>
      <c r="BH137" s="102"/>
      <c r="BI137" s="102"/>
      <c r="BJ137" s="102"/>
      <c r="BK137" s="102"/>
      <c r="BL137" s="102"/>
      <c r="BM137" s="102"/>
      <c r="BN137" s="100">
        <f t="shared" ref="BN137:BO137" si="184">SUM(BN138)</f>
        <v>120199970</v>
      </c>
      <c r="BO137" s="560">
        <f t="shared" si="184"/>
        <v>460198970</v>
      </c>
    </row>
    <row r="138" spans="1:67" ht="227.25" customHeight="1" x14ac:dyDescent="0.2">
      <c r="A138" s="545">
        <v>99</v>
      </c>
      <c r="B138" s="69">
        <v>3</v>
      </c>
      <c r="C138" s="136"/>
      <c r="D138" s="136"/>
      <c r="E138" s="78" t="s">
        <v>929</v>
      </c>
      <c r="F138" s="473" t="s">
        <v>937</v>
      </c>
      <c r="G138" s="474" t="s">
        <v>938</v>
      </c>
      <c r="H138" s="474" t="s">
        <v>939</v>
      </c>
      <c r="I138" s="549">
        <v>97</v>
      </c>
      <c r="J138" s="440" t="s">
        <v>343</v>
      </c>
      <c r="K138" s="459" t="s">
        <v>344</v>
      </c>
      <c r="L138" s="460" t="s">
        <v>262</v>
      </c>
      <c r="M138" s="580">
        <v>1</v>
      </c>
      <c r="N138" s="581" t="s">
        <v>69</v>
      </c>
      <c r="O138" s="582" t="s">
        <v>49</v>
      </c>
      <c r="P138" s="581">
        <v>52</v>
      </c>
      <c r="Q138" s="486">
        <v>6.5</v>
      </c>
      <c r="R138" s="476">
        <v>26</v>
      </c>
      <c r="S138" s="504">
        <v>33</v>
      </c>
      <c r="T138" s="476">
        <v>46</v>
      </c>
      <c r="U138" s="476"/>
      <c r="V138" s="476">
        <v>52</v>
      </c>
      <c r="W138" s="476"/>
      <c r="X138" s="583">
        <f>AJ138/AJ137</f>
        <v>1</v>
      </c>
      <c r="Y138" s="549">
        <v>4</v>
      </c>
      <c r="Z138" s="549" t="s">
        <v>110</v>
      </c>
      <c r="AA138" s="584"/>
      <c r="AB138" s="584"/>
      <c r="AC138" s="584"/>
      <c r="AD138" s="584"/>
      <c r="AE138" s="584"/>
      <c r="AF138" s="584"/>
      <c r="AG138" s="584">
        <v>110000000</v>
      </c>
      <c r="AH138" s="584"/>
      <c r="AI138" s="584"/>
      <c r="AJ138" s="553">
        <f>+AA138+AB138+AC138+AD138+AE138+AF138+AG138+AH138+AI138</f>
        <v>110000000</v>
      </c>
      <c r="AK138" s="585"/>
      <c r="AL138" s="585"/>
      <c r="AM138" s="585"/>
      <c r="AN138" s="585"/>
      <c r="AO138" s="585"/>
      <c r="AP138" s="585"/>
      <c r="AQ138" s="585">
        <v>113300000</v>
      </c>
      <c r="AR138" s="585"/>
      <c r="AS138" s="585"/>
      <c r="AT138" s="585">
        <f>AK138+AL138+AM138+AN138+AO138+AP138+AQ138+AR138+AS138</f>
        <v>113300000</v>
      </c>
      <c r="AU138" s="585"/>
      <c r="AV138" s="585"/>
      <c r="AW138" s="585"/>
      <c r="AX138" s="558"/>
      <c r="AY138" s="585"/>
      <c r="AZ138" s="585"/>
      <c r="BA138" s="585">
        <v>116699000</v>
      </c>
      <c r="BB138" s="585"/>
      <c r="BC138" s="585"/>
      <c r="BD138" s="585">
        <f>SUM(AU138:BC138)</f>
        <v>116699000</v>
      </c>
      <c r="BE138" s="585"/>
      <c r="BF138" s="585"/>
      <c r="BG138" s="585"/>
      <c r="BH138" s="558"/>
      <c r="BI138" s="585"/>
      <c r="BJ138" s="585"/>
      <c r="BK138" s="585">
        <v>120199970</v>
      </c>
      <c r="BL138" s="585"/>
      <c r="BM138" s="585"/>
      <c r="BN138" s="585">
        <f>SUM(BE138:BM138)</f>
        <v>120199970</v>
      </c>
      <c r="BO138" s="586">
        <f>AJ138+AT138+BD138+BN138</f>
        <v>460198970</v>
      </c>
    </row>
    <row r="139" spans="1:67" ht="24.75" customHeight="1" x14ac:dyDescent="0.2">
      <c r="A139" s="545"/>
      <c r="B139" s="69"/>
      <c r="C139" s="136"/>
      <c r="D139" s="43">
        <v>7</v>
      </c>
      <c r="E139" s="134" t="s">
        <v>345</v>
      </c>
      <c r="F139" s="48"/>
      <c r="G139" s="48"/>
      <c r="H139" s="48"/>
      <c r="I139" s="47"/>
      <c r="J139" s="48"/>
      <c r="K139" s="48"/>
      <c r="L139" s="49"/>
      <c r="M139" s="47"/>
      <c r="N139" s="50"/>
      <c r="O139" s="48"/>
      <c r="P139" s="48"/>
      <c r="Q139" s="51"/>
      <c r="R139" s="48"/>
      <c r="S139" s="498"/>
      <c r="T139" s="48"/>
      <c r="U139" s="48"/>
      <c r="V139" s="47"/>
      <c r="W139" s="47"/>
      <c r="X139" s="135"/>
      <c r="Y139" s="47"/>
      <c r="Z139" s="47"/>
      <c r="AA139" s="53">
        <f t="shared" ref="AA139:AI139" si="185">AA140+AA146</f>
        <v>0</v>
      </c>
      <c r="AB139" s="53">
        <f t="shared" si="185"/>
        <v>0</v>
      </c>
      <c r="AC139" s="53">
        <f t="shared" si="185"/>
        <v>80000000</v>
      </c>
      <c r="AD139" s="53">
        <f t="shared" si="185"/>
        <v>0</v>
      </c>
      <c r="AE139" s="53">
        <f t="shared" si="185"/>
        <v>0</v>
      </c>
      <c r="AF139" s="53">
        <f t="shared" si="185"/>
        <v>0</v>
      </c>
      <c r="AG139" s="53">
        <f t="shared" si="185"/>
        <v>200000000</v>
      </c>
      <c r="AH139" s="53">
        <f t="shared" si="185"/>
        <v>0</v>
      </c>
      <c r="AI139" s="53">
        <f t="shared" si="185"/>
        <v>4000000000</v>
      </c>
      <c r="AJ139" s="54">
        <f>AJ140+AJ146</f>
        <v>4280000000</v>
      </c>
      <c r="AK139" s="53">
        <f t="shared" ref="AK139:AT139" si="186">AK140+AK146</f>
        <v>0</v>
      </c>
      <c r="AL139" s="53">
        <f t="shared" si="186"/>
        <v>0</v>
      </c>
      <c r="AM139" s="53">
        <f t="shared" si="186"/>
        <v>90000000</v>
      </c>
      <c r="AN139" s="53">
        <f t="shared" si="186"/>
        <v>0</v>
      </c>
      <c r="AO139" s="53">
        <f t="shared" si="186"/>
        <v>0</v>
      </c>
      <c r="AP139" s="53">
        <f t="shared" si="186"/>
        <v>0</v>
      </c>
      <c r="AQ139" s="53">
        <f t="shared" si="186"/>
        <v>206000000</v>
      </c>
      <c r="AR139" s="53">
        <f t="shared" si="186"/>
        <v>0</v>
      </c>
      <c r="AS139" s="53">
        <f t="shared" si="186"/>
        <v>4000000000</v>
      </c>
      <c r="AT139" s="53">
        <f t="shared" si="186"/>
        <v>4296000000</v>
      </c>
      <c r="AU139" s="55"/>
      <c r="AV139" s="55"/>
      <c r="AW139" s="55"/>
      <c r="AX139" s="55"/>
      <c r="AY139" s="55"/>
      <c r="AZ139" s="55"/>
      <c r="BA139" s="55"/>
      <c r="BB139" s="55"/>
      <c r="BC139" s="55"/>
      <c r="BD139" s="53">
        <f>BD140+BD146</f>
        <v>4252180000</v>
      </c>
      <c r="BE139" s="55"/>
      <c r="BF139" s="55"/>
      <c r="BG139" s="55"/>
      <c r="BH139" s="55"/>
      <c r="BI139" s="55"/>
      <c r="BJ139" s="55"/>
      <c r="BK139" s="55"/>
      <c r="BL139" s="55"/>
      <c r="BM139" s="55"/>
      <c r="BN139" s="53">
        <f t="shared" ref="BN139:BO139" si="187">BN140+BN146</f>
        <v>5238545400.0033331</v>
      </c>
      <c r="BO139" s="543">
        <f t="shared" si="187"/>
        <v>18066725400.003334</v>
      </c>
    </row>
    <row r="140" spans="1:67" ht="24.75" customHeight="1" x14ac:dyDescent="0.2">
      <c r="A140" s="545"/>
      <c r="B140" s="69"/>
      <c r="C140" s="136"/>
      <c r="D140" s="562"/>
      <c r="E140" s="57">
        <v>23</v>
      </c>
      <c r="F140" s="58" t="s">
        <v>346</v>
      </c>
      <c r="G140" s="95"/>
      <c r="H140" s="61"/>
      <c r="I140" s="60"/>
      <c r="J140" s="61"/>
      <c r="K140" s="61"/>
      <c r="L140" s="60"/>
      <c r="M140" s="62"/>
      <c r="N140" s="63"/>
      <c r="O140" s="61"/>
      <c r="P140" s="61"/>
      <c r="Q140" s="64"/>
      <c r="R140" s="61"/>
      <c r="S140" s="499"/>
      <c r="T140" s="61"/>
      <c r="U140" s="61"/>
      <c r="V140" s="62"/>
      <c r="W140" s="62"/>
      <c r="X140" s="137"/>
      <c r="Y140" s="62"/>
      <c r="Z140" s="62"/>
      <c r="AA140" s="66">
        <f t="shared" ref="AA140:AI140" si="188">SUM(AA141:AA145)</f>
        <v>0</v>
      </c>
      <c r="AB140" s="66">
        <f t="shared" si="188"/>
        <v>0</v>
      </c>
      <c r="AC140" s="66">
        <f t="shared" si="188"/>
        <v>0</v>
      </c>
      <c r="AD140" s="66">
        <f t="shared" si="188"/>
        <v>0</v>
      </c>
      <c r="AE140" s="66">
        <f t="shared" si="188"/>
        <v>0</v>
      </c>
      <c r="AF140" s="66">
        <f t="shared" si="188"/>
        <v>0</v>
      </c>
      <c r="AG140" s="66">
        <f t="shared" si="188"/>
        <v>100000000</v>
      </c>
      <c r="AH140" s="66">
        <f t="shared" si="188"/>
        <v>0</v>
      </c>
      <c r="AI140" s="66">
        <f t="shared" si="188"/>
        <v>4000000000</v>
      </c>
      <c r="AJ140" s="67">
        <f>SUM(AJ141:AJ145)</f>
        <v>4100000000</v>
      </c>
      <c r="AK140" s="66">
        <f t="shared" ref="AK140:AT140" si="189">SUM(AK141:AK145)</f>
        <v>0</v>
      </c>
      <c r="AL140" s="66">
        <f t="shared" si="189"/>
        <v>0</v>
      </c>
      <c r="AM140" s="66">
        <f t="shared" si="189"/>
        <v>0</v>
      </c>
      <c r="AN140" s="66">
        <f t="shared" si="189"/>
        <v>0</v>
      </c>
      <c r="AO140" s="66">
        <f t="shared" si="189"/>
        <v>0</v>
      </c>
      <c r="AP140" s="66">
        <f t="shared" si="189"/>
        <v>0</v>
      </c>
      <c r="AQ140" s="66">
        <f t="shared" si="189"/>
        <v>103000000</v>
      </c>
      <c r="AR140" s="66">
        <f t="shared" si="189"/>
        <v>0</v>
      </c>
      <c r="AS140" s="66">
        <f t="shared" si="189"/>
        <v>4000000000</v>
      </c>
      <c r="AT140" s="66">
        <f t="shared" si="189"/>
        <v>4103000000</v>
      </c>
      <c r="AU140" s="68"/>
      <c r="AV140" s="68"/>
      <c r="AW140" s="68"/>
      <c r="AX140" s="68"/>
      <c r="AY140" s="68"/>
      <c r="AZ140" s="68"/>
      <c r="BA140" s="68"/>
      <c r="BB140" s="68"/>
      <c r="BC140" s="68"/>
      <c r="BD140" s="66">
        <f t="shared" ref="BD140" si="190">SUM(BD141:BD145)</f>
        <v>4106090000</v>
      </c>
      <c r="BE140" s="68"/>
      <c r="BF140" s="68"/>
      <c r="BG140" s="68"/>
      <c r="BH140" s="68"/>
      <c r="BI140" s="68"/>
      <c r="BJ140" s="68"/>
      <c r="BK140" s="68"/>
      <c r="BL140" s="68"/>
      <c r="BM140" s="68"/>
      <c r="BN140" s="66">
        <f t="shared" ref="BN140:BO140" si="191">SUM(BN141:BN145)</f>
        <v>5109272700</v>
      </c>
      <c r="BO140" s="544">
        <f t="shared" si="191"/>
        <v>17418362700</v>
      </c>
    </row>
    <row r="141" spans="1:67" ht="83.25" customHeight="1" x14ac:dyDescent="0.2">
      <c r="A141" s="547">
        <v>100</v>
      </c>
      <c r="B141" s="69">
        <v>3</v>
      </c>
      <c r="C141" s="136"/>
      <c r="D141" s="136"/>
      <c r="E141" s="478">
        <v>16</v>
      </c>
      <c r="F141" s="439" t="s">
        <v>333</v>
      </c>
      <c r="G141" s="480">
        <v>45</v>
      </c>
      <c r="H141" s="480">
        <v>90</v>
      </c>
      <c r="I141" s="72">
        <v>98</v>
      </c>
      <c r="J141" s="73" t="s">
        <v>347</v>
      </c>
      <c r="K141" s="236" t="s">
        <v>348</v>
      </c>
      <c r="L141" s="217" t="s">
        <v>262</v>
      </c>
      <c r="M141" s="217">
        <v>1</v>
      </c>
      <c r="N141" s="222" t="s">
        <v>54</v>
      </c>
      <c r="O141" s="225">
        <v>60</v>
      </c>
      <c r="P141" s="223">
        <v>55</v>
      </c>
      <c r="Q141" s="223">
        <v>55</v>
      </c>
      <c r="R141" s="223">
        <v>55</v>
      </c>
      <c r="S141" s="500"/>
      <c r="T141" s="223">
        <v>55</v>
      </c>
      <c r="U141" s="223"/>
      <c r="V141" s="223">
        <v>55</v>
      </c>
      <c r="W141" s="222"/>
      <c r="X141" s="218">
        <f>AJ141/$AJ$140</f>
        <v>4.8780487804878049E-3</v>
      </c>
      <c r="Y141" s="77">
        <v>4</v>
      </c>
      <c r="Z141" s="138" t="s">
        <v>110</v>
      </c>
      <c r="AA141" s="185"/>
      <c r="AB141" s="185"/>
      <c r="AC141" s="185"/>
      <c r="AD141" s="185"/>
      <c r="AE141" s="185"/>
      <c r="AF141" s="185"/>
      <c r="AG141" s="108">
        <v>20000000</v>
      </c>
      <c r="AH141" s="185"/>
      <c r="AI141" s="185"/>
      <c r="AJ141" s="82">
        <f>+AA141+AB141+AC141+AD141+AE141+AF141+AG141+AH141+AI141</f>
        <v>20000000</v>
      </c>
      <c r="AK141" s="90"/>
      <c r="AL141" s="90"/>
      <c r="AM141" s="90"/>
      <c r="AN141" s="90"/>
      <c r="AO141" s="90"/>
      <c r="AP141" s="90"/>
      <c r="AQ141" s="90">
        <v>20600000</v>
      </c>
      <c r="AR141" s="90"/>
      <c r="AS141" s="90"/>
      <c r="AT141" s="84">
        <f>AK141+AL141+AM141+AN141+AO141+AP141+AQ141+AR141+AS141</f>
        <v>20600000</v>
      </c>
      <c r="AU141" s="90"/>
      <c r="AV141" s="90"/>
      <c r="AW141" s="90"/>
      <c r="AX141" s="90"/>
      <c r="AY141" s="90"/>
      <c r="AZ141" s="90"/>
      <c r="BA141" s="90">
        <v>21200000</v>
      </c>
      <c r="BB141" s="90"/>
      <c r="BC141" s="90"/>
      <c r="BD141" s="90">
        <f>SUM(AU141:BC141)</f>
        <v>21200000</v>
      </c>
      <c r="BE141" s="90"/>
      <c r="BF141" s="90"/>
      <c r="BG141" s="90"/>
      <c r="BH141" s="90"/>
      <c r="BI141" s="90"/>
      <c r="BJ141" s="90"/>
      <c r="BK141" s="90">
        <v>21850000</v>
      </c>
      <c r="BL141" s="90"/>
      <c r="BM141" s="90"/>
      <c r="BN141" s="90">
        <f>SUM(BE141:BM141)</f>
        <v>21850000</v>
      </c>
      <c r="BO141" s="546">
        <f>AJ141+AT141+BD141+BN141</f>
        <v>83650000</v>
      </c>
    </row>
    <row r="142" spans="1:67" ht="78.75" customHeight="1" x14ac:dyDescent="0.2">
      <c r="A142" s="545">
        <v>101</v>
      </c>
      <c r="B142" s="69">
        <v>3</v>
      </c>
      <c r="C142" s="136"/>
      <c r="D142" s="140"/>
      <c r="E142" s="430"/>
      <c r="F142" s="243"/>
      <c r="G142" s="142"/>
      <c r="H142" s="142"/>
      <c r="I142" s="77">
        <v>99</v>
      </c>
      <c r="J142" s="73" t="s">
        <v>349</v>
      </c>
      <c r="K142" s="236" t="s">
        <v>350</v>
      </c>
      <c r="L142" s="217" t="s">
        <v>262</v>
      </c>
      <c r="M142" s="217">
        <v>1</v>
      </c>
      <c r="N142" s="222" t="s">
        <v>54</v>
      </c>
      <c r="O142" s="225">
        <v>76</v>
      </c>
      <c r="P142" s="223">
        <v>150</v>
      </c>
      <c r="Q142" s="223">
        <v>150</v>
      </c>
      <c r="R142" s="223">
        <v>150</v>
      </c>
      <c r="S142" s="500"/>
      <c r="T142" s="223">
        <v>150</v>
      </c>
      <c r="U142" s="223"/>
      <c r="V142" s="223">
        <v>150</v>
      </c>
      <c r="W142" s="222"/>
      <c r="X142" s="218">
        <f>AJ142/$AJ$140</f>
        <v>9.7560975609756097E-3</v>
      </c>
      <c r="Y142" s="77">
        <v>4</v>
      </c>
      <c r="Z142" s="138" t="s">
        <v>110</v>
      </c>
      <c r="AA142" s="185"/>
      <c r="AB142" s="185"/>
      <c r="AC142" s="185"/>
      <c r="AD142" s="185"/>
      <c r="AE142" s="185"/>
      <c r="AF142" s="185"/>
      <c r="AG142" s="108">
        <v>40000000</v>
      </c>
      <c r="AH142" s="185"/>
      <c r="AI142" s="185"/>
      <c r="AJ142" s="82">
        <f>+AA142+AB142+AC142+AD142+AE142+AF142+AG142+AH142+AI142</f>
        <v>40000000</v>
      </c>
      <c r="AK142" s="90"/>
      <c r="AL142" s="90"/>
      <c r="AM142" s="90"/>
      <c r="AN142" s="90"/>
      <c r="AO142" s="90"/>
      <c r="AP142" s="90"/>
      <c r="AQ142" s="90">
        <v>41200000</v>
      </c>
      <c r="AR142" s="90"/>
      <c r="AS142" s="90"/>
      <c r="AT142" s="84">
        <f>AK142+AL142+AM142+AN142+AO142+AP142+AQ142+AR142+AS142</f>
        <v>41200000</v>
      </c>
      <c r="AU142" s="90"/>
      <c r="AV142" s="90"/>
      <c r="AW142" s="90"/>
      <c r="AX142" s="90"/>
      <c r="AY142" s="90"/>
      <c r="AZ142" s="90"/>
      <c r="BA142" s="90">
        <v>42400000</v>
      </c>
      <c r="BB142" s="90"/>
      <c r="BC142" s="90"/>
      <c r="BD142" s="90">
        <f>SUM(AU142:BC142)</f>
        <v>42400000</v>
      </c>
      <c r="BE142" s="90"/>
      <c r="BF142" s="90"/>
      <c r="BG142" s="90"/>
      <c r="BH142" s="90"/>
      <c r="BI142" s="90"/>
      <c r="BJ142" s="90"/>
      <c r="BK142" s="90">
        <v>43700000</v>
      </c>
      <c r="BL142" s="90"/>
      <c r="BM142" s="90"/>
      <c r="BN142" s="90">
        <f>SUM(BE142:BM142)</f>
        <v>43700000</v>
      </c>
      <c r="BO142" s="546">
        <f>AJ142+AT142+BD142+BN142</f>
        <v>167300000</v>
      </c>
    </row>
    <row r="143" spans="1:67" ht="78.75" customHeight="1" x14ac:dyDescent="0.2">
      <c r="A143" s="545"/>
      <c r="B143" s="69">
        <v>3</v>
      </c>
      <c r="C143" s="136"/>
      <c r="D143" s="136"/>
      <c r="E143" s="451">
        <v>17</v>
      </c>
      <c r="F143" s="232" t="s">
        <v>295</v>
      </c>
      <c r="G143" s="233" t="s">
        <v>296</v>
      </c>
      <c r="H143" s="234">
        <v>0.5</v>
      </c>
      <c r="I143" s="72">
        <v>100</v>
      </c>
      <c r="J143" s="73" t="s">
        <v>351</v>
      </c>
      <c r="K143" s="236" t="s">
        <v>352</v>
      </c>
      <c r="L143" s="217" t="s">
        <v>262</v>
      </c>
      <c r="M143" s="217">
        <v>1</v>
      </c>
      <c r="N143" s="222" t="s">
        <v>54</v>
      </c>
      <c r="O143" s="225">
        <v>0</v>
      </c>
      <c r="P143" s="223">
        <v>6</v>
      </c>
      <c r="Q143" s="223">
        <v>6</v>
      </c>
      <c r="R143" s="223">
        <v>6</v>
      </c>
      <c r="S143" s="500"/>
      <c r="T143" s="223">
        <v>6</v>
      </c>
      <c r="U143" s="223"/>
      <c r="V143" s="223">
        <v>6</v>
      </c>
      <c r="W143" s="222"/>
      <c r="X143" s="218">
        <f>AJ143/$AJ$140</f>
        <v>0.97560975609756095</v>
      </c>
      <c r="Y143" s="77">
        <v>4</v>
      </c>
      <c r="Z143" s="138" t="s">
        <v>110</v>
      </c>
      <c r="AA143" s="185"/>
      <c r="AB143" s="185"/>
      <c r="AC143" s="185"/>
      <c r="AD143" s="185"/>
      <c r="AE143" s="185"/>
      <c r="AF143" s="185"/>
      <c r="AG143" s="185"/>
      <c r="AH143" s="185"/>
      <c r="AI143" s="185">
        <v>4000000000</v>
      </c>
      <c r="AJ143" s="82">
        <f>+AA143+AB143+AC143+AD143+AE143+AF143+AG143+AH143+AI143</f>
        <v>4000000000</v>
      </c>
      <c r="AK143" s="90"/>
      <c r="AL143" s="90"/>
      <c r="AM143" s="90"/>
      <c r="AN143" s="90"/>
      <c r="AO143" s="90"/>
      <c r="AP143" s="90"/>
      <c r="AQ143" s="90"/>
      <c r="AR143" s="90"/>
      <c r="AS143" s="90">
        <v>4000000000</v>
      </c>
      <c r="AT143" s="84">
        <f>AK143+AL143+AM143+AN143+AO143+AP143+AQ143+AR143+AS143</f>
        <v>4000000000</v>
      </c>
      <c r="AU143" s="90"/>
      <c r="AV143" s="90"/>
      <c r="AW143" s="90"/>
      <c r="AX143" s="90"/>
      <c r="AY143" s="90"/>
      <c r="AZ143" s="90"/>
      <c r="BA143" s="90"/>
      <c r="BB143" s="90"/>
      <c r="BC143" s="90">
        <v>4000000000</v>
      </c>
      <c r="BD143" s="90">
        <f>SUM(AU143:BC143)</f>
        <v>4000000000</v>
      </c>
      <c r="BE143" s="90"/>
      <c r="BF143" s="90"/>
      <c r="BG143" s="90"/>
      <c r="BH143" s="90"/>
      <c r="BI143" s="90"/>
      <c r="BJ143" s="90"/>
      <c r="BK143" s="90"/>
      <c r="BL143" s="90"/>
      <c r="BM143" s="90">
        <v>5000000000</v>
      </c>
      <c r="BN143" s="90">
        <f>SUM(BE143:BM143)</f>
        <v>5000000000</v>
      </c>
      <c r="BO143" s="546">
        <f>AJ143+AT143+BD143+BN143</f>
        <v>17000000000</v>
      </c>
    </row>
    <row r="144" spans="1:67" ht="78.75" customHeight="1" x14ac:dyDescent="0.2">
      <c r="A144" s="547">
        <v>102</v>
      </c>
      <c r="B144" s="69">
        <v>3</v>
      </c>
      <c r="C144" s="136"/>
      <c r="D144" s="136"/>
      <c r="E144" s="93">
        <v>18</v>
      </c>
      <c r="F144" s="70" t="s">
        <v>299</v>
      </c>
      <c r="G144" s="78">
        <v>6</v>
      </c>
      <c r="H144" s="78">
        <v>12</v>
      </c>
      <c r="I144" s="72">
        <v>101</v>
      </c>
      <c r="J144" s="73" t="s">
        <v>353</v>
      </c>
      <c r="K144" s="236" t="s">
        <v>354</v>
      </c>
      <c r="L144" s="217" t="s">
        <v>262</v>
      </c>
      <c r="M144" s="217">
        <v>1</v>
      </c>
      <c r="N144" s="222" t="s">
        <v>54</v>
      </c>
      <c r="O144" s="225">
        <v>0</v>
      </c>
      <c r="P144" s="223">
        <v>54</v>
      </c>
      <c r="Q144" s="223">
        <v>54</v>
      </c>
      <c r="R144" s="223">
        <v>54</v>
      </c>
      <c r="S144" s="500"/>
      <c r="T144" s="223">
        <v>54</v>
      </c>
      <c r="U144" s="223"/>
      <c r="V144" s="223">
        <v>54</v>
      </c>
      <c r="W144" s="222"/>
      <c r="X144" s="218">
        <f>AJ144/$AJ$140</f>
        <v>8.5365853658536592E-3</v>
      </c>
      <c r="Y144" s="77">
        <v>4</v>
      </c>
      <c r="Z144" s="138" t="s">
        <v>110</v>
      </c>
      <c r="AA144" s="185"/>
      <c r="AB144" s="185"/>
      <c r="AC144" s="185"/>
      <c r="AD144" s="185"/>
      <c r="AE144" s="185"/>
      <c r="AF144" s="185"/>
      <c r="AG144" s="108">
        <v>35000000</v>
      </c>
      <c r="AH144" s="185"/>
      <c r="AI144" s="185"/>
      <c r="AJ144" s="82">
        <f>+AA144+AB144+AC144+AD144+AE144+AF144+AG144+AH144+AI144</f>
        <v>35000000</v>
      </c>
      <c r="AK144" s="90"/>
      <c r="AL144" s="90"/>
      <c r="AM144" s="90"/>
      <c r="AN144" s="90"/>
      <c r="AO144" s="90"/>
      <c r="AP144" s="90"/>
      <c r="AQ144" s="90">
        <v>36050000</v>
      </c>
      <c r="AR144" s="90"/>
      <c r="AS144" s="90"/>
      <c r="AT144" s="84">
        <f>AK144+AL144+AM144+AN144+AO144+AP144+AQ144+AR144+AS144</f>
        <v>36050000</v>
      </c>
      <c r="AU144" s="90"/>
      <c r="AV144" s="90"/>
      <c r="AW144" s="90"/>
      <c r="AX144" s="90"/>
      <c r="AY144" s="90"/>
      <c r="AZ144" s="90"/>
      <c r="BA144" s="90">
        <v>37000000</v>
      </c>
      <c r="BB144" s="90"/>
      <c r="BC144" s="90"/>
      <c r="BD144" s="90">
        <f>SUM(AU144:BC144)</f>
        <v>37000000</v>
      </c>
      <c r="BE144" s="90"/>
      <c r="BF144" s="90"/>
      <c r="BG144" s="90"/>
      <c r="BH144" s="90"/>
      <c r="BI144" s="90"/>
      <c r="BJ144" s="90"/>
      <c r="BK144" s="90">
        <v>38245000</v>
      </c>
      <c r="BL144" s="90"/>
      <c r="BM144" s="90"/>
      <c r="BN144" s="90">
        <f>SUM(BE144:BM144)</f>
        <v>38245000</v>
      </c>
      <c r="BO144" s="546">
        <f>AJ144+AT144+BD144+BN144</f>
        <v>146295000</v>
      </c>
    </row>
    <row r="145" spans="1:82" ht="78.75" customHeight="1" x14ac:dyDescent="0.2">
      <c r="A145" s="545">
        <v>103</v>
      </c>
      <c r="B145" s="69">
        <v>3</v>
      </c>
      <c r="C145" s="136"/>
      <c r="D145" s="136"/>
      <c r="E145" s="451">
        <v>19</v>
      </c>
      <c r="F145" s="119" t="s">
        <v>302</v>
      </c>
      <c r="G145" s="161" t="s">
        <v>303</v>
      </c>
      <c r="H145" s="202" t="s">
        <v>304</v>
      </c>
      <c r="I145" s="72">
        <v>102</v>
      </c>
      <c r="J145" s="73" t="s">
        <v>355</v>
      </c>
      <c r="K145" s="236" t="s">
        <v>356</v>
      </c>
      <c r="L145" s="217" t="s">
        <v>262</v>
      </c>
      <c r="M145" s="217">
        <v>1</v>
      </c>
      <c r="N145" s="424" t="s">
        <v>69</v>
      </c>
      <c r="O145" s="225">
        <v>0</v>
      </c>
      <c r="P145" s="420">
        <v>7</v>
      </c>
      <c r="Q145" s="223">
        <v>1</v>
      </c>
      <c r="R145" s="223">
        <v>4</v>
      </c>
      <c r="S145" s="504">
        <v>3</v>
      </c>
      <c r="T145" s="223">
        <v>6</v>
      </c>
      <c r="U145" s="223">
        <v>2</v>
      </c>
      <c r="V145" s="223">
        <v>7</v>
      </c>
      <c r="W145" s="222">
        <v>1</v>
      </c>
      <c r="X145" s="218">
        <f>AJ145/$AJ$140</f>
        <v>1.2195121951219512E-3</v>
      </c>
      <c r="Y145" s="77">
        <v>4</v>
      </c>
      <c r="Z145" s="138" t="s">
        <v>110</v>
      </c>
      <c r="AA145" s="185"/>
      <c r="AB145" s="185"/>
      <c r="AC145" s="185"/>
      <c r="AD145" s="185"/>
      <c r="AE145" s="185"/>
      <c r="AF145" s="185"/>
      <c r="AG145" s="108">
        <v>5000000</v>
      </c>
      <c r="AH145" s="185"/>
      <c r="AI145" s="185"/>
      <c r="AJ145" s="82">
        <f>+AA145+AB145+AC145+AD145+AE145+AF145+AG145+AH145+AI145</f>
        <v>5000000</v>
      </c>
      <c r="AK145" s="90"/>
      <c r="AL145" s="90"/>
      <c r="AM145" s="90"/>
      <c r="AN145" s="90"/>
      <c r="AO145" s="90"/>
      <c r="AP145" s="90"/>
      <c r="AQ145" s="90">
        <v>5150000</v>
      </c>
      <c r="AR145" s="90"/>
      <c r="AS145" s="90"/>
      <c r="AT145" s="84">
        <f>AK145+AL145+AM145+AN145+AO145+AP145+AQ145+AR145+AS145</f>
        <v>5150000</v>
      </c>
      <c r="AU145" s="90"/>
      <c r="AV145" s="90"/>
      <c r="AW145" s="90"/>
      <c r="AX145" s="90"/>
      <c r="AY145" s="90"/>
      <c r="AZ145" s="90"/>
      <c r="BA145" s="90">
        <v>5490000</v>
      </c>
      <c r="BB145" s="90"/>
      <c r="BC145" s="90"/>
      <c r="BD145" s="90">
        <f>SUM(AU145:BC145)</f>
        <v>5490000</v>
      </c>
      <c r="BE145" s="90"/>
      <c r="BF145" s="90"/>
      <c r="BG145" s="90"/>
      <c r="BH145" s="90"/>
      <c r="BI145" s="90"/>
      <c r="BJ145" s="90"/>
      <c r="BK145" s="90">
        <v>5477700</v>
      </c>
      <c r="BL145" s="90"/>
      <c r="BM145" s="90"/>
      <c r="BN145" s="90">
        <f>SUM(BE145:BM145)</f>
        <v>5477700</v>
      </c>
      <c r="BO145" s="546">
        <f>AJ145+AT145+BD145+BN145</f>
        <v>21117700</v>
      </c>
      <c r="BP145" s="3"/>
    </row>
    <row r="146" spans="1:82" ht="24.75" customHeight="1" x14ac:dyDescent="0.2">
      <c r="A146" s="545"/>
      <c r="B146" s="69"/>
      <c r="C146" s="136"/>
      <c r="D146" s="136"/>
      <c r="E146" s="57">
        <v>24</v>
      </c>
      <c r="F146" s="94" t="s">
        <v>357</v>
      </c>
      <c r="G146" s="120"/>
      <c r="H146" s="96"/>
      <c r="I146" s="60"/>
      <c r="J146" s="96"/>
      <c r="K146" s="96"/>
      <c r="L146" s="60"/>
      <c r="M146" s="60"/>
      <c r="N146" s="97"/>
      <c r="O146" s="96"/>
      <c r="P146" s="96"/>
      <c r="Q146" s="98"/>
      <c r="R146" s="96"/>
      <c r="S146" s="503"/>
      <c r="T146" s="96"/>
      <c r="U146" s="96"/>
      <c r="V146" s="96"/>
      <c r="W146" s="96"/>
      <c r="X146" s="96" t="s">
        <v>61</v>
      </c>
      <c r="Y146" s="96"/>
      <c r="Z146" s="96"/>
      <c r="AA146" s="399">
        <f>SUM(AA147:AA151)</f>
        <v>0</v>
      </c>
      <c r="AB146" s="399">
        <f t="shared" ref="AB146:AQ146" si="192">SUM(AB147:AB151)</f>
        <v>0</v>
      </c>
      <c r="AC146" s="399">
        <f t="shared" si="192"/>
        <v>80000000</v>
      </c>
      <c r="AD146" s="399">
        <f t="shared" si="192"/>
        <v>0</v>
      </c>
      <c r="AE146" s="399">
        <f t="shared" si="192"/>
        <v>0</v>
      </c>
      <c r="AF146" s="399">
        <f t="shared" si="192"/>
        <v>0</v>
      </c>
      <c r="AG146" s="399">
        <f t="shared" si="192"/>
        <v>100000000</v>
      </c>
      <c r="AH146" s="399">
        <f t="shared" si="192"/>
        <v>0</v>
      </c>
      <c r="AI146" s="399">
        <f t="shared" si="192"/>
        <v>0</v>
      </c>
      <c r="AJ146" s="399">
        <f t="shared" si="192"/>
        <v>180000000</v>
      </c>
      <c r="AK146" s="399">
        <f t="shared" si="192"/>
        <v>0</v>
      </c>
      <c r="AL146" s="399">
        <f t="shared" si="192"/>
        <v>0</v>
      </c>
      <c r="AM146" s="399">
        <f t="shared" si="192"/>
        <v>90000000</v>
      </c>
      <c r="AN146" s="399">
        <f t="shared" si="192"/>
        <v>0</v>
      </c>
      <c r="AO146" s="399">
        <f t="shared" si="192"/>
        <v>0</v>
      </c>
      <c r="AP146" s="399">
        <f t="shared" si="192"/>
        <v>0</v>
      </c>
      <c r="AQ146" s="399">
        <f t="shared" si="192"/>
        <v>103000000</v>
      </c>
      <c r="AR146" s="399">
        <f t="shared" ref="AR146:AT146" si="193">SUM(AR147:AR151)</f>
        <v>0</v>
      </c>
      <c r="AS146" s="399">
        <f t="shared" si="193"/>
        <v>0</v>
      </c>
      <c r="AT146" s="399">
        <f t="shared" si="193"/>
        <v>193000000</v>
      </c>
      <c r="AU146" s="96"/>
      <c r="AV146" s="96"/>
      <c r="AW146" s="96"/>
      <c r="AX146" s="96"/>
      <c r="AY146" s="96"/>
      <c r="AZ146" s="96"/>
      <c r="BA146" s="96"/>
      <c r="BB146" s="96"/>
      <c r="BC146" s="96"/>
      <c r="BD146" s="399">
        <f t="shared" ref="BD146" si="194">SUM(BD147:BD151)</f>
        <v>146090000</v>
      </c>
      <c r="BE146" s="96"/>
      <c r="BF146" s="96"/>
      <c r="BG146" s="96"/>
      <c r="BH146" s="96"/>
      <c r="BI146" s="96"/>
      <c r="BJ146" s="96"/>
      <c r="BK146" s="96"/>
      <c r="BL146" s="96"/>
      <c r="BM146" s="96"/>
      <c r="BN146" s="399">
        <f t="shared" ref="BN146:BO146" si="195">SUM(BN147:BN151)</f>
        <v>129272700.0033333</v>
      </c>
      <c r="BO146" s="587">
        <f t="shared" si="195"/>
        <v>648362700.00333333</v>
      </c>
    </row>
    <row r="147" spans="1:82" ht="74.25" customHeight="1" x14ac:dyDescent="0.2">
      <c r="A147" s="547">
        <v>104</v>
      </c>
      <c r="B147" s="69">
        <v>3</v>
      </c>
      <c r="C147" s="136"/>
      <c r="D147" s="136"/>
      <c r="E147" s="93">
        <v>16</v>
      </c>
      <c r="F147" s="70" t="s">
        <v>333</v>
      </c>
      <c r="G147" s="78">
        <v>45</v>
      </c>
      <c r="H147" s="78">
        <v>90</v>
      </c>
      <c r="I147" s="77">
        <v>103</v>
      </c>
      <c r="J147" s="73" t="s">
        <v>358</v>
      </c>
      <c r="K147" s="236" t="s">
        <v>359</v>
      </c>
      <c r="L147" s="217" t="s">
        <v>262</v>
      </c>
      <c r="M147" s="217">
        <v>1</v>
      </c>
      <c r="N147" s="419" t="s">
        <v>69</v>
      </c>
      <c r="O147" s="423">
        <v>3</v>
      </c>
      <c r="P147" s="420">
        <v>12</v>
      </c>
      <c r="Q147" s="420">
        <v>4</v>
      </c>
      <c r="R147" s="433">
        <v>3</v>
      </c>
      <c r="S147" s="500">
        <v>4</v>
      </c>
      <c r="T147" s="223">
        <v>3</v>
      </c>
      <c r="U147" s="223">
        <v>3</v>
      </c>
      <c r="V147" s="223">
        <v>2</v>
      </c>
      <c r="W147" s="222">
        <v>1</v>
      </c>
      <c r="X147" s="218">
        <f t="shared" ref="X147:X150" si="196">AJ147/$AJ$140</f>
        <v>4.8780487804878049E-3</v>
      </c>
      <c r="Y147" s="77">
        <v>4</v>
      </c>
      <c r="Z147" s="138" t="s">
        <v>110</v>
      </c>
      <c r="AA147" s="185"/>
      <c r="AB147" s="185"/>
      <c r="AC147" s="185"/>
      <c r="AD147" s="185"/>
      <c r="AE147" s="185"/>
      <c r="AF147" s="185"/>
      <c r="AG147" s="185">
        <v>20000000</v>
      </c>
      <c r="AH147" s="185"/>
      <c r="AI147" s="185"/>
      <c r="AJ147" s="82">
        <f>+AA147+AB147+AC147+AD147+AE147+AF147+AG147+AH147+AI147</f>
        <v>20000000</v>
      </c>
      <c r="AK147" s="90"/>
      <c r="AL147" s="90"/>
      <c r="AM147" s="90"/>
      <c r="AN147" s="90"/>
      <c r="AO147" s="90"/>
      <c r="AP147" s="90"/>
      <c r="AQ147" s="90">
        <v>21400000</v>
      </c>
      <c r="AR147" s="90"/>
      <c r="AS147" s="90"/>
      <c r="AT147" s="84">
        <f>AK147+AL147+AM147+AN147+AO147+AP147+AQ147+AR147+AS147</f>
        <v>21400000</v>
      </c>
      <c r="AU147" s="90"/>
      <c r="AV147" s="90"/>
      <c r="AW147" s="90"/>
      <c r="AX147" s="90"/>
      <c r="AY147" s="90"/>
      <c r="AZ147" s="90"/>
      <c r="BA147" s="90">
        <v>16200000</v>
      </c>
      <c r="BB147" s="90"/>
      <c r="BC147" s="90"/>
      <c r="BD147" s="90">
        <f>SUM(AU147:BC147)</f>
        <v>16200000</v>
      </c>
      <c r="BE147" s="90"/>
      <c r="BF147" s="90"/>
      <c r="BG147" s="90"/>
      <c r="BH147" s="90"/>
      <c r="BI147" s="90"/>
      <c r="BJ147" s="90"/>
      <c r="BK147" s="90">
        <v>14300000</v>
      </c>
      <c r="BL147" s="90"/>
      <c r="BM147" s="90"/>
      <c r="BN147" s="90">
        <f>SUM(BE147:BM147)</f>
        <v>14300000</v>
      </c>
      <c r="BO147" s="546">
        <f>AJ147+AT147+BD147+BN147</f>
        <v>71900000</v>
      </c>
      <c r="BP147" s="3"/>
    </row>
    <row r="148" spans="1:82" ht="120.75" customHeight="1" x14ac:dyDescent="0.2">
      <c r="A148" s="545">
        <v>105</v>
      </c>
      <c r="B148" s="69">
        <v>3</v>
      </c>
      <c r="C148" s="136"/>
      <c r="D148" s="136"/>
      <c r="E148" s="91"/>
      <c r="F148" s="119"/>
      <c r="G148" s="426"/>
      <c r="H148" s="426"/>
      <c r="I148" s="77">
        <v>104</v>
      </c>
      <c r="J148" s="73" t="s">
        <v>360</v>
      </c>
      <c r="K148" s="236" t="s">
        <v>361</v>
      </c>
      <c r="L148" s="217" t="s">
        <v>262</v>
      </c>
      <c r="M148" s="217">
        <v>1</v>
      </c>
      <c r="N148" s="419" t="s">
        <v>69</v>
      </c>
      <c r="O148" s="423">
        <v>4</v>
      </c>
      <c r="P148" s="420">
        <v>50</v>
      </c>
      <c r="Q148" s="420">
        <v>10</v>
      </c>
      <c r="R148" s="223">
        <v>27</v>
      </c>
      <c r="S148" s="500"/>
      <c r="T148" s="223">
        <v>44</v>
      </c>
      <c r="U148" s="223"/>
      <c r="V148" s="223">
        <v>50</v>
      </c>
      <c r="W148" s="222"/>
      <c r="X148" s="218">
        <f t="shared" si="196"/>
        <v>7.3170731707317077E-3</v>
      </c>
      <c r="Y148" s="77">
        <v>4</v>
      </c>
      <c r="Z148" s="138" t="s">
        <v>110</v>
      </c>
      <c r="AA148" s="185"/>
      <c r="AB148" s="185"/>
      <c r="AC148" s="185"/>
      <c r="AD148" s="185"/>
      <c r="AE148" s="185"/>
      <c r="AF148" s="185"/>
      <c r="AG148" s="185">
        <v>30000000</v>
      </c>
      <c r="AH148" s="185"/>
      <c r="AI148" s="185"/>
      <c r="AJ148" s="82">
        <f>+AA148+AB148+AC148+AD148+AE148+AF148+AG148+AH148+AI148</f>
        <v>30000000</v>
      </c>
      <c r="AK148" s="90"/>
      <c r="AL148" s="90"/>
      <c r="AM148" s="90"/>
      <c r="AN148" s="90"/>
      <c r="AO148" s="90"/>
      <c r="AP148" s="90"/>
      <c r="AQ148" s="90">
        <v>32100000</v>
      </c>
      <c r="AR148" s="90"/>
      <c r="AS148" s="90"/>
      <c r="AT148" s="84">
        <f>AK148+AL148+AM148+AN148+AO148+AP148+AQ148+AR148+AS148</f>
        <v>32100000</v>
      </c>
      <c r="AU148" s="90"/>
      <c r="AV148" s="90"/>
      <c r="AW148" s="90"/>
      <c r="AX148" s="90"/>
      <c r="AY148" s="90"/>
      <c r="AZ148" s="90"/>
      <c r="BA148" s="90">
        <v>24300000</v>
      </c>
      <c r="BB148" s="90"/>
      <c r="BC148" s="90"/>
      <c r="BD148" s="90">
        <f>SUM(AU148:BC148)</f>
        <v>24300000</v>
      </c>
      <c r="BE148" s="90"/>
      <c r="BF148" s="90"/>
      <c r="BG148" s="90"/>
      <c r="BH148" s="90"/>
      <c r="BI148" s="90"/>
      <c r="BJ148" s="90"/>
      <c r="BK148" s="90">
        <v>21500000</v>
      </c>
      <c r="BL148" s="90"/>
      <c r="BM148" s="90"/>
      <c r="BN148" s="90">
        <f>SUM(BE148:BM148)</f>
        <v>21500000</v>
      </c>
      <c r="BO148" s="546">
        <f>AJ148+AT148+BD148+BN148</f>
        <v>107900000</v>
      </c>
    </row>
    <row r="149" spans="1:82" ht="62.25" customHeight="1" x14ac:dyDescent="0.2">
      <c r="A149" s="547">
        <v>106</v>
      </c>
      <c r="B149" s="69">
        <v>3</v>
      </c>
      <c r="C149" s="136"/>
      <c r="D149" s="136"/>
      <c r="E149" s="451">
        <v>17</v>
      </c>
      <c r="F149" s="232" t="s">
        <v>295</v>
      </c>
      <c r="G149" s="233" t="s">
        <v>296</v>
      </c>
      <c r="H149" s="234">
        <v>0.5</v>
      </c>
      <c r="I149" s="77">
        <v>105</v>
      </c>
      <c r="J149" s="73" t="s">
        <v>362</v>
      </c>
      <c r="K149" s="236" t="s">
        <v>361</v>
      </c>
      <c r="L149" s="217" t="s">
        <v>262</v>
      </c>
      <c r="M149" s="217">
        <v>1</v>
      </c>
      <c r="N149" s="222" t="s">
        <v>54</v>
      </c>
      <c r="O149" s="225">
        <v>43</v>
      </c>
      <c r="P149" s="223">
        <v>47</v>
      </c>
      <c r="Q149" s="223">
        <v>47</v>
      </c>
      <c r="R149" s="223">
        <v>47</v>
      </c>
      <c r="S149" s="500"/>
      <c r="T149" s="223">
        <v>47</v>
      </c>
      <c r="U149" s="223"/>
      <c r="V149" s="223">
        <v>47</v>
      </c>
      <c r="W149" s="222"/>
      <c r="X149" s="218">
        <f t="shared" si="196"/>
        <v>7.3170731707317077E-3</v>
      </c>
      <c r="Y149" s="77">
        <v>4</v>
      </c>
      <c r="Z149" s="138" t="s">
        <v>110</v>
      </c>
      <c r="AA149" s="185"/>
      <c r="AB149" s="185"/>
      <c r="AC149" s="185">
        <v>30000000</v>
      </c>
      <c r="AD149" s="185"/>
      <c r="AE149" s="185"/>
      <c r="AF149" s="185"/>
      <c r="AG149" s="185"/>
      <c r="AH149" s="185"/>
      <c r="AI149" s="185"/>
      <c r="AJ149" s="82">
        <f>+AA149+AB149+AC149+AD149+AE149+AF149+AG149+AH149+AI149</f>
        <v>30000000</v>
      </c>
      <c r="AK149" s="90"/>
      <c r="AL149" s="90"/>
      <c r="AM149" s="90">
        <v>32100000</v>
      </c>
      <c r="AN149" s="90"/>
      <c r="AO149" s="90"/>
      <c r="AP149" s="90"/>
      <c r="AQ149" s="90"/>
      <c r="AR149" s="90"/>
      <c r="AS149" s="90"/>
      <c r="AT149" s="84">
        <f>AK149+AL149+AM149+AN149+AO149+AP149+AQ149+AR149+AS149</f>
        <v>32100000</v>
      </c>
      <c r="AU149" s="90"/>
      <c r="AV149" s="90"/>
      <c r="AW149" s="90"/>
      <c r="AX149" s="90"/>
      <c r="AY149" s="90"/>
      <c r="AZ149" s="90"/>
      <c r="BA149" s="90">
        <v>24300000</v>
      </c>
      <c r="BB149" s="90"/>
      <c r="BC149" s="90"/>
      <c r="BD149" s="90">
        <f>SUM(AU149:BC149)</f>
        <v>24300000</v>
      </c>
      <c r="BE149" s="90"/>
      <c r="BF149" s="90"/>
      <c r="BG149" s="90"/>
      <c r="BH149" s="90"/>
      <c r="BI149" s="90"/>
      <c r="BJ149" s="90"/>
      <c r="BK149" s="90">
        <v>21500000</v>
      </c>
      <c r="BL149" s="90"/>
      <c r="BM149" s="90"/>
      <c r="BN149" s="90">
        <f>SUM(BE149:BM149)</f>
        <v>21500000</v>
      </c>
      <c r="BO149" s="546">
        <f>AJ149+AT149+BD149+BN149</f>
        <v>107900000</v>
      </c>
    </row>
    <row r="150" spans="1:82" ht="92.25" customHeight="1" x14ac:dyDescent="0.2">
      <c r="A150" s="547"/>
      <c r="B150" s="69"/>
      <c r="C150" s="136"/>
      <c r="D150" s="136"/>
      <c r="E150" s="93">
        <v>18</v>
      </c>
      <c r="F150" s="70" t="s">
        <v>299</v>
      </c>
      <c r="G150" s="78">
        <v>6</v>
      </c>
      <c r="H150" s="78">
        <v>12</v>
      </c>
      <c r="I150" s="77">
        <v>106</v>
      </c>
      <c r="J150" s="73" t="s">
        <v>363</v>
      </c>
      <c r="K150" s="236" t="s">
        <v>364</v>
      </c>
      <c r="L150" s="217" t="s">
        <v>262</v>
      </c>
      <c r="M150" s="217">
        <v>1</v>
      </c>
      <c r="N150" s="222" t="s">
        <v>54</v>
      </c>
      <c r="O150" s="225">
        <v>0</v>
      </c>
      <c r="P150" s="223">
        <v>1</v>
      </c>
      <c r="Q150" s="223">
        <v>1</v>
      </c>
      <c r="R150" s="223">
        <v>1</v>
      </c>
      <c r="S150" s="500"/>
      <c r="T150" s="223">
        <v>1</v>
      </c>
      <c r="U150" s="223"/>
      <c r="V150" s="223">
        <v>1</v>
      </c>
      <c r="W150" s="222"/>
      <c r="X150" s="218">
        <f t="shared" si="196"/>
        <v>1.2195121951219513E-2</v>
      </c>
      <c r="Y150" s="77">
        <v>4</v>
      </c>
      <c r="Z150" s="138" t="s">
        <v>110</v>
      </c>
      <c r="AA150" s="185"/>
      <c r="AB150" s="185"/>
      <c r="AC150" s="185">
        <v>50000000</v>
      </c>
      <c r="AD150" s="185"/>
      <c r="AE150" s="185"/>
      <c r="AF150" s="185"/>
      <c r="AG150" s="185"/>
      <c r="AH150" s="185"/>
      <c r="AI150" s="185"/>
      <c r="AJ150" s="82">
        <f>+AA150+AB150+AC150+AD150+AE150+AF150+AG150+AH150+AI150</f>
        <v>50000000</v>
      </c>
      <c r="AK150" s="90"/>
      <c r="AL150" s="90"/>
      <c r="AM150" s="90">
        <v>53600000</v>
      </c>
      <c r="AN150" s="90"/>
      <c r="AO150" s="90"/>
      <c r="AP150" s="90"/>
      <c r="AQ150" s="90"/>
      <c r="AR150" s="90"/>
      <c r="AS150" s="90"/>
      <c r="AT150" s="84">
        <f>AK150+AL150+AM150+AN150+AO150+AP150+AQ150+AR150+AS150</f>
        <v>53600000</v>
      </c>
      <c r="AU150" s="90"/>
      <c r="AV150" s="90"/>
      <c r="AW150" s="90"/>
      <c r="AX150" s="90"/>
      <c r="AY150" s="90"/>
      <c r="AZ150" s="90"/>
      <c r="BA150" s="90">
        <v>40500000</v>
      </c>
      <c r="BB150" s="90"/>
      <c r="BC150" s="90"/>
      <c r="BD150" s="90">
        <f>SUM(AU150:BC150)</f>
        <v>40500000</v>
      </c>
      <c r="BE150" s="90"/>
      <c r="BF150" s="90"/>
      <c r="BG150" s="90"/>
      <c r="BH150" s="90"/>
      <c r="BI150" s="90"/>
      <c r="BJ150" s="90"/>
      <c r="BK150" s="90">
        <v>35900000</v>
      </c>
      <c r="BL150" s="90"/>
      <c r="BM150" s="90"/>
      <c r="BN150" s="90">
        <f>SUM(BE150:BM150)</f>
        <v>35900000</v>
      </c>
      <c r="BO150" s="546">
        <f>AJ150+AT150+BD150+BN150</f>
        <v>180000000</v>
      </c>
    </row>
    <row r="151" spans="1:82" ht="92.25" customHeight="1" x14ac:dyDescent="0.2">
      <c r="A151" s="545">
        <v>107</v>
      </c>
      <c r="B151" s="69">
        <v>3</v>
      </c>
      <c r="C151" s="136"/>
      <c r="D151" s="192"/>
      <c r="E151" s="451">
        <v>19</v>
      </c>
      <c r="F151" s="119" t="s">
        <v>302</v>
      </c>
      <c r="G151" s="161" t="s">
        <v>303</v>
      </c>
      <c r="H151" s="202" t="s">
        <v>304</v>
      </c>
      <c r="I151" s="72">
        <v>107</v>
      </c>
      <c r="J151" s="73" t="s">
        <v>365</v>
      </c>
      <c r="K151" s="70" t="s">
        <v>366</v>
      </c>
      <c r="L151" s="217" t="s">
        <v>262</v>
      </c>
      <c r="M151" s="217">
        <v>1</v>
      </c>
      <c r="N151" s="245" t="s">
        <v>54</v>
      </c>
      <c r="O151" s="77">
        <v>1</v>
      </c>
      <c r="P151" s="77">
        <v>1</v>
      </c>
      <c r="Q151" s="196">
        <v>1</v>
      </c>
      <c r="R151" s="196">
        <v>1</v>
      </c>
      <c r="S151" s="500"/>
      <c r="T151" s="196">
        <v>1</v>
      </c>
      <c r="U151" s="196"/>
      <c r="V151" s="196">
        <v>1</v>
      </c>
      <c r="W151" s="245"/>
      <c r="X151" s="244">
        <f>AJ151/$AJ$146</f>
        <v>0.27777777777777779</v>
      </c>
      <c r="Y151" s="77">
        <v>4</v>
      </c>
      <c r="Z151" s="138" t="s">
        <v>110</v>
      </c>
      <c r="AA151" s="185"/>
      <c r="AB151" s="185"/>
      <c r="AC151" s="185"/>
      <c r="AD151" s="185"/>
      <c r="AE151" s="185"/>
      <c r="AF151" s="185"/>
      <c r="AG151" s="185">
        <v>50000000</v>
      </c>
      <c r="AH151" s="185"/>
      <c r="AI151" s="185"/>
      <c r="AJ151" s="82">
        <f>+AA151+AB151+AC151+AD151+AE151+AF151+AG151+AH151+AI151</f>
        <v>50000000</v>
      </c>
      <c r="AK151" s="90"/>
      <c r="AL151" s="90"/>
      <c r="AM151" s="90">
        <v>4300000</v>
      </c>
      <c r="AN151" s="90"/>
      <c r="AO151" s="90"/>
      <c r="AP151" s="90"/>
      <c r="AQ151" s="90">
        <f>53800000-4300000</f>
        <v>49500000</v>
      </c>
      <c r="AR151" s="90"/>
      <c r="AS151" s="90"/>
      <c r="AT151" s="84">
        <f>AK151+AL151+AM151+AN151+AO151+AP151+AQ151+AR151+AS151</f>
        <v>53800000</v>
      </c>
      <c r="AU151" s="90"/>
      <c r="AV151" s="90"/>
      <c r="AW151" s="90">
        <v>40000000</v>
      </c>
      <c r="AX151" s="90"/>
      <c r="AY151" s="90"/>
      <c r="AZ151" s="90"/>
      <c r="BA151" s="90">
        <v>790000</v>
      </c>
      <c r="BB151" s="90"/>
      <c r="BC151" s="90"/>
      <c r="BD151" s="90">
        <f>SUM(AU151:BC151)</f>
        <v>40790000</v>
      </c>
      <c r="BE151" s="90"/>
      <c r="BF151" s="90"/>
      <c r="BG151" s="90">
        <v>20000000</v>
      </c>
      <c r="BH151" s="90"/>
      <c r="BI151" s="90"/>
      <c r="BJ151" s="90"/>
      <c r="BK151" s="90">
        <v>16072700.0033333</v>
      </c>
      <c r="BL151" s="90"/>
      <c r="BM151" s="90"/>
      <c r="BN151" s="90">
        <f>SUM(BE151:BM151)</f>
        <v>36072700.0033333</v>
      </c>
      <c r="BO151" s="546">
        <f>AJ151+AT151+BD151+BN151</f>
        <v>180662700.0033333</v>
      </c>
    </row>
    <row r="152" spans="1:82" ht="24.75" customHeight="1" x14ac:dyDescent="0.2">
      <c r="A152" s="545"/>
      <c r="B152" s="69"/>
      <c r="C152" s="136"/>
      <c r="D152" s="43">
        <v>8</v>
      </c>
      <c r="E152" s="134" t="s">
        <v>367</v>
      </c>
      <c r="F152" s="46"/>
      <c r="G152" s="46"/>
      <c r="H152" s="46"/>
      <c r="I152" s="47"/>
      <c r="J152" s="48"/>
      <c r="K152" s="48"/>
      <c r="L152" s="49"/>
      <c r="M152" s="47"/>
      <c r="N152" s="50"/>
      <c r="O152" s="48"/>
      <c r="P152" s="48"/>
      <c r="Q152" s="51"/>
      <c r="R152" s="48"/>
      <c r="S152" s="498"/>
      <c r="T152" s="48"/>
      <c r="U152" s="48"/>
      <c r="V152" s="48"/>
      <c r="W152" s="48"/>
      <c r="X152" s="48"/>
      <c r="Y152" s="48"/>
      <c r="Z152" s="48"/>
      <c r="AA152" s="400">
        <f>AA153+AA156+AA158+AA160</f>
        <v>0</v>
      </c>
      <c r="AB152" s="400">
        <f t="shared" ref="AB152:AJ152" si="197">AB153+AB156+AB158+AB160</f>
        <v>0</v>
      </c>
      <c r="AC152" s="400">
        <f t="shared" si="197"/>
        <v>110000000</v>
      </c>
      <c r="AD152" s="400">
        <f t="shared" si="197"/>
        <v>0</v>
      </c>
      <c r="AE152" s="400">
        <f t="shared" si="197"/>
        <v>0</v>
      </c>
      <c r="AF152" s="400">
        <f t="shared" si="197"/>
        <v>0</v>
      </c>
      <c r="AG152" s="400">
        <f t="shared" si="197"/>
        <v>13358299770</v>
      </c>
      <c r="AH152" s="400">
        <f t="shared" si="197"/>
        <v>0</v>
      </c>
      <c r="AI152" s="400">
        <f t="shared" si="197"/>
        <v>0</v>
      </c>
      <c r="AJ152" s="400">
        <f t="shared" si="197"/>
        <v>13468299770</v>
      </c>
      <c r="AK152" s="400">
        <f t="shared" ref="AK152:AT152" si="198">AK153+AK156+AK158+AK160</f>
        <v>0</v>
      </c>
      <c r="AL152" s="400">
        <f t="shared" si="198"/>
        <v>0</v>
      </c>
      <c r="AM152" s="400">
        <f t="shared" si="198"/>
        <v>110000000</v>
      </c>
      <c r="AN152" s="400">
        <f t="shared" si="198"/>
        <v>0</v>
      </c>
      <c r="AO152" s="400">
        <f t="shared" si="198"/>
        <v>0</v>
      </c>
      <c r="AP152" s="400">
        <f t="shared" si="198"/>
        <v>0</v>
      </c>
      <c r="AQ152" s="400">
        <f t="shared" si="198"/>
        <v>13708702903.85</v>
      </c>
      <c r="AR152" s="400">
        <f t="shared" si="198"/>
        <v>0</v>
      </c>
      <c r="AS152" s="400">
        <f t="shared" si="198"/>
        <v>0</v>
      </c>
      <c r="AT152" s="400">
        <f t="shared" si="198"/>
        <v>13818702903.85</v>
      </c>
      <c r="AU152" s="48"/>
      <c r="AV152" s="48"/>
      <c r="AW152" s="48"/>
      <c r="AX152" s="48"/>
      <c r="AY152" s="48"/>
      <c r="AZ152" s="48"/>
      <c r="BA152" s="48"/>
      <c r="BB152" s="48"/>
      <c r="BC152" s="48"/>
      <c r="BD152" s="400">
        <f>BD153+BD156+BD158+BD160</f>
        <v>14159963990.9655</v>
      </c>
      <c r="BE152" s="48"/>
      <c r="BF152" s="48"/>
      <c r="BG152" s="48"/>
      <c r="BH152" s="48"/>
      <c r="BI152" s="48"/>
      <c r="BJ152" s="48"/>
      <c r="BK152" s="48"/>
      <c r="BL152" s="48"/>
      <c r="BM152" s="48"/>
      <c r="BN152" s="400">
        <f t="shared" ref="BN152" si="199">BN153+BN156+BN158+BN160</f>
        <v>14573562910.694469</v>
      </c>
      <c r="BO152" s="588">
        <f t="shared" ref="BO152" si="200">BO153+BO156+BO158+BO160</f>
        <v>56020529575.509972</v>
      </c>
    </row>
    <row r="153" spans="1:82" ht="24.75" customHeight="1" x14ac:dyDescent="0.2">
      <c r="A153" s="545"/>
      <c r="B153" s="69"/>
      <c r="C153" s="136"/>
      <c r="D153" s="562"/>
      <c r="E153" s="57">
        <v>25</v>
      </c>
      <c r="F153" s="58" t="s">
        <v>368</v>
      </c>
      <c r="G153" s="589"/>
      <c r="H153" s="481"/>
      <c r="I153" s="60"/>
      <c r="J153" s="61"/>
      <c r="K153" s="61"/>
      <c r="L153" s="60"/>
      <c r="M153" s="62"/>
      <c r="N153" s="63"/>
      <c r="O153" s="61"/>
      <c r="P153" s="61"/>
      <c r="Q153" s="64"/>
      <c r="R153" s="61"/>
      <c r="S153" s="499"/>
      <c r="T153" s="61"/>
      <c r="U153" s="61"/>
      <c r="V153" s="62"/>
      <c r="W153" s="62"/>
      <c r="X153" s="137"/>
      <c r="Y153" s="62"/>
      <c r="Z153" s="62"/>
      <c r="AA153" s="66">
        <f t="shared" ref="AA153:AI153" si="201">SUM(AA154:AA155)</f>
        <v>0</v>
      </c>
      <c r="AB153" s="66">
        <f t="shared" si="201"/>
        <v>0</v>
      </c>
      <c r="AC153" s="66">
        <f t="shared" si="201"/>
        <v>80000000</v>
      </c>
      <c r="AD153" s="66">
        <f t="shared" si="201"/>
        <v>0</v>
      </c>
      <c r="AE153" s="66">
        <f t="shared" si="201"/>
        <v>0</v>
      </c>
      <c r="AF153" s="66">
        <f t="shared" si="201"/>
        <v>0</v>
      </c>
      <c r="AG153" s="66">
        <f t="shared" si="201"/>
        <v>0</v>
      </c>
      <c r="AH153" s="66">
        <f t="shared" si="201"/>
        <v>0</v>
      </c>
      <c r="AI153" s="66">
        <f t="shared" si="201"/>
        <v>0</v>
      </c>
      <c r="AJ153" s="66">
        <f>SUM(AJ154:AJ155)</f>
        <v>80000000</v>
      </c>
      <c r="AK153" s="66">
        <f t="shared" ref="AK153:AT153" si="202">SUM(AK154:AK155)</f>
        <v>0</v>
      </c>
      <c r="AL153" s="66">
        <f t="shared" si="202"/>
        <v>0</v>
      </c>
      <c r="AM153" s="66">
        <f t="shared" si="202"/>
        <v>80000000</v>
      </c>
      <c r="AN153" s="66">
        <f t="shared" si="202"/>
        <v>0</v>
      </c>
      <c r="AO153" s="66">
        <f t="shared" si="202"/>
        <v>0</v>
      </c>
      <c r="AP153" s="66">
        <f t="shared" si="202"/>
        <v>0</v>
      </c>
      <c r="AQ153" s="66">
        <f t="shared" si="202"/>
        <v>0</v>
      </c>
      <c r="AR153" s="66">
        <f t="shared" si="202"/>
        <v>0</v>
      </c>
      <c r="AS153" s="66">
        <f t="shared" si="202"/>
        <v>0</v>
      </c>
      <c r="AT153" s="66">
        <f t="shared" si="202"/>
        <v>80000000</v>
      </c>
      <c r="AU153" s="68"/>
      <c r="AV153" s="68"/>
      <c r="AW153" s="68"/>
      <c r="AX153" s="68"/>
      <c r="AY153" s="68"/>
      <c r="AZ153" s="68"/>
      <c r="BA153" s="68"/>
      <c r="BB153" s="68"/>
      <c r="BC153" s="68"/>
      <c r="BD153" s="66">
        <f t="shared" ref="BD153" si="203">SUM(BD154:BD155)</f>
        <v>30000000</v>
      </c>
      <c r="BE153" s="68"/>
      <c r="BF153" s="68"/>
      <c r="BG153" s="68"/>
      <c r="BH153" s="68"/>
      <c r="BI153" s="68"/>
      <c r="BJ153" s="68"/>
      <c r="BK153" s="68"/>
      <c r="BL153" s="68"/>
      <c r="BM153" s="68"/>
      <c r="BN153" s="66">
        <f t="shared" ref="BN153" si="204">SUM(BN154:BN155)</f>
        <v>20000000</v>
      </c>
      <c r="BO153" s="544">
        <f t="shared" ref="BO153" si="205">SUM(BO154:BO155)</f>
        <v>210000000</v>
      </c>
    </row>
    <row r="154" spans="1:82" s="247" customFormat="1" ht="68.25" customHeight="1" x14ac:dyDescent="0.25">
      <c r="A154" s="545">
        <v>109</v>
      </c>
      <c r="B154" s="69">
        <v>3</v>
      </c>
      <c r="C154" s="136"/>
      <c r="D154" s="136"/>
      <c r="E154" s="93">
        <v>16</v>
      </c>
      <c r="F154" s="70" t="s">
        <v>369</v>
      </c>
      <c r="G154" s="93">
        <v>45</v>
      </c>
      <c r="H154" s="93">
        <v>90</v>
      </c>
      <c r="I154" s="77">
        <v>108</v>
      </c>
      <c r="J154" s="440" t="s">
        <v>370</v>
      </c>
      <c r="K154" s="440" t="s">
        <v>371</v>
      </c>
      <c r="L154" s="580" t="s">
        <v>262</v>
      </c>
      <c r="M154" s="580">
        <v>1</v>
      </c>
      <c r="N154" s="477" t="s">
        <v>54</v>
      </c>
      <c r="O154" s="580">
        <v>4</v>
      </c>
      <c r="P154" s="486">
        <v>4</v>
      </c>
      <c r="Q154" s="477">
        <v>4</v>
      </c>
      <c r="R154" s="477">
        <v>4</v>
      </c>
      <c r="S154" s="500"/>
      <c r="T154" s="477">
        <v>4</v>
      </c>
      <c r="U154" s="477"/>
      <c r="V154" s="477">
        <v>4</v>
      </c>
      <c r="W154" s="477"/>
      <c r="X154" s="583">
        <f>AJ154/$AJ$153</f>
        <v>0.125</v>
      </c>
      <c r="Y154" s="549">
        <v>16</v>
      </c>
      <c r="Z154" s="549" t="s">
        <v>372</v>
      </c>
      <c r="AA154" s="584"/>
      <c r="AB154" s="584"/>
      <c r="AC154" s="584">
        <v>10000000</v>
      </c>
      <c r="AD154" s="584"/>
      <c r="AE154" s="584"/>
      <c r="AF154" s="584"/>
      <c r="AG154" s="584"/>
      <c r="AH154" s="584"/>
      <c r="AI154" s="584"/>
      <c r="AJ154" s="82">
        <f>+AA154+AB154+AC154+AD154+AE154+AF154+AG154+AH154+AI154</f>
        <v>10000000</v>
      </c>
      <c r="AK154" s="558"/>
      <c r="AL154" s="558"/>
      <c r="AM154" s="558">
        <v>10000000</v>
      </c>
      <c r="AN154" s="558"/>
      <c r="AO154" s="558"/>
      <c r="AP154" s="558"/>
      <c r="AQ154" s="558"/>
      <c r="AR154" s="558"/>
      <c r="AS154" s="558"/>
      <c r="AT154" s="84">
        <f>AK154+AL154+AM154+AN154+AO154+AP154+AQ154+AR154+AS154</f>
        <v>10000000</v>
      </c>
      <c r="AU154" s="558"/>
      <c r="AV154" s="558"/>
      <c r="AW154" s="558">
        <v>10000000</v>
      </c>
      <c r="AX154" s="558"/>
      <c r="AY154" s="558"/>
      <c r="AZ154" s="558"/>
      <c r="BA154" s="558"/>
      <c r="BB154" s="558"/>
      <c r="BC154" s="558"/>
      <c r="BD154" s="558">
        <f>SUM(AU154:BC154)</f>
        <v>10000000</v>
      </c>
      <c r="BE154" s="558"/>
      <c r="BF154" s="558"/>
      <c r="BG154" s="558">
        <v>2500000</v>
      </c>
      <c r="BH154" s="558"/>
      <c r="BI154" s="558"/>
      <c r="BJ154" s="558"/>
      <c r="BK154" s="558"/>
      <c r="BL154" s="558"/>
      <c r="BM154" s="558"/>
      <c r="BN154" s="558">
        <f>SUM(BE154:BM154)</f>
        <v>2500000</v>
      </c>
      <c r="BO154" s="546">
        <f>AJ154+AT154+BD154+BN154</f>
        <v>32500000</v>
      </c>
    </row>
    <row r="155" spans="1:82" s="247" customFormat="1" ht="68.25" customHeight="1" x14ac:dyDescent="0.2">
      <c r="A155" s="547">
        <v>110</v>
      </c>
      <c r="B155" s="69">
        <v>3</v>
      </c>
      <c r="C155" s="136"/>
      <c r="D155" s="136"/>
      <c r="E155" s="451">
        <v>16</v>
      </c>
      <c r="F155" s="529" t="s">
        <v>369</v>
      </c>
      <c r="G155" s="451">
        <v>45</v>
      </c>
      <c r="H155" s="451">
        <v>90</v>
      </c>
      <c r="I155" s="242">
        <v>109</v>
      </c>
      <c r="J155" s="73" t="s">
        <v>373</v>
      </c>
      <c r="K155" s="236" t="s">
        <v>374</v>
      </c>
      <c r="L155" s="217" t="s">
        <v>262</v>
      </c>
      <c r="M155" s="217">
        <v>1</v>
      </c>
      <c r="N155" s="486" t="s">
        <v>54</v>
      </c>
      <c r="O155" s="225">
        <v>0</v>
      </c>
      <c r="P155" s="223">
        <v>52</v>
      </c>
      <c r="Q155" s="223">
        <v>52</v>
      </c>
      <c r="R155" s="223">
        <v>52</v>
      </c>
      <c r="S155" s="500"/>
      <c r="T155" s="223">
        <v>52</v>
      </c>
      <c r="U155" s="223"/>
      <c r="V155" s="223">
        <v>52</v>
      </c>
      <c r="W155" s="486"/>
      <c r="X155" s="583">
        <f>AJ155/AJ153</f>
        <v>0.875</v>
      </c>
      <c r="Y155" s="242">
        <v>16</v>
      </c>
      <c r="Z155" s="248" t="s">
        <v>372</v>
      </c>
      <c r="AA155" s="590"/>
      <c r="AB155" s="590"/>
      <c r="AC155" s="118">
        <v>70000000</v>
      </c>
      <c r="AD155" s="591"/>
      <c r="AE155" s="590"/>
      <c r="AF155" s="590"/>
      <c r="AG155" s="590"/>
      <c r="AH155" s="590"/>
      <c r="AI155" s="590"/>
      <c r="AJ155" s="82">
        <f>+AA155+AB155+AC155+AD155+AE155+AF155+AG155+AH155+AI155</f>
        <v>70000000</v>
      </c>
      <c r="AK155" s="84"/>
      <c r="AL155" s="84"/>
      <c r="AM155" s="249">
        <v>70000000</v>
      </c>
      <c r="AN155" s="84"/>
      <c r="AO155" s="84"/>
      <c r="AP155" s="84"/>
      <c r="AQ155" s="84"/>
      <c r="AR155" s="84"/>
      <c r="AS155" s="84"/>
      <c r="AT155" s="84">
        <f>AK155+AL155+AM155+AN155+AO155+AP155+AQ155+AR155+AS155</f>
        <v>70000000</v>
      </c>
      <c r="AU155" s="249"/>
      <c r="AV155" s="249"/>
      <c r="AW155" s="249">
        <v>20000000</v>
      </c>
      <c r="AX155" s="249"/>
      <c r="AY155" s="249"/>
      <c r="AZ155" s="249"/>
      <c r="BA155" s="249"/>
      <c r="BB155" s="249"/>
      <c r="BC155" s="249"/>
      <c r="BD155" s="249">
        <f>SUM(AU155:BC155)</f>
        <v>20000000</v>
      </c>
      <c r="BE155" s="84"/>
      <c r="BF155" s="84"/>
      <c r="BG155" s="84">
        <v>17500000</v>
      </c>
      <c r="BH155" s="84"/>
      <c r="BI155" s="84"/>
      <c r="BJ155" s="84"/>
      <c r="BK155" s="84"/>
      <c r="BL155" s="84"/>
      <c r="BM155" s="84"/>
      <c r="BN155" s="84">
        <f>SUM(BE155:BM155)</f>
        <v>17500000</v>
      </c>
      <c r="BO155" s="546">
        <f>AJ155+AT155+BD155+BN155</f>
        <v>177500000</v>
      </c>
    </row>
    <row r="156" spans="1:82" s="251" customFormat="1" ht="24.75" customHeight="1" x14ac:dyDescent="0.2">
      <c r="A156" s="566"/>
      <c r="B156" s="152"/>
      <c r="C156" s="136"/>
      <c r="D156" s="136"/>
      <c r="E156" s="592">
        <v>26</v>
      </c>
      <c r="F156" s="58" t="s">
        <v>375</v>
      </c>
      <c r="G156" s="95"/>
      <c r="H156" s="61"/>
      <c r="I156" s="60"/>
      <c r="J156" s="61"/>
      <c r="K156" s="481"/>
      <c r="L156" s="593"/>
      <c r="M156" s="487"/>
      <c r="N156" s="594"/>
      <c r="O156" s="481"/>
      <c r="P156" s="481"/>
      <c r="Q156" s="485"/>
      <c r="R156" s="481"/>
      <c r="S156" s="510"/>
      <c r="T156" s="481"/>
      <c r="U156" s="481"/>
      <c r="V156" s="487"/>
      <c r="W156" s="487"/>
      <c r="X156" s="595"/>
      <c r="Y156" s="487"/>
      <c r="Z156" s="487"/>
      <c r="AA156" s="66">
        <f t="shared" ref="AA156:AI156" si="206">SUM(AA157)</f>
        <v>0</v>
      </c>
      <c r="AB156" s="66">
        <f t="shared" si="206"/>
        <v>0</v>
      </c>
      <c r="AC156" s="66">
        <f t="shared" si="206"/>
        <v>0</v>
      </c>
      <c r="AD156" s="66">
        <f t="shared" si="206"/>
        <v>0</v>
      </c>
      <c r="AE156" s="66">
        <f t="shared" si="206"/>
        <v>0</v>
      </c>
      <c r="AF156" s="66">
        <f t="shared" si="206"/>
        <v>0</v>
      </c>
      <c r="AG156" s="66">
        <f t="shared" si="206"/>
        <v>1238299770</v>
      </c>
      <c r="AH156" s="66">
        <f t="shared" si="206"/>
        <v>0</v>
      </c>
      <c r="AI156" s="66">
        <f t="shared" si="206"/>
        <v>0</v>
      </c>
      <c r="AJ156" s="67">
        <f>SUM(AJ157)</f>
        <v>1238299770</v>
      </c>
      <c r="AK156" s="66">
        <f t="shared" ref="AK156:AT156" si="207">SUM(AK157)</f>
        <v>0</v>
      </c>
      <c r="AL156" s="66">
        <f t="shared" si="207"/>
        <v>0</v>
      </c>
      <c r="AM156" s="66">
        <f t="shared" si="207"/>
        <v>0</v>
      </c>
      <c r="AN156" s="66">
        <f t="shared" si="207"/>
        <v>0</v>
      </c>
      <c r="AO156" s="66">
        <f t="shared" si="207"/>
        <v>0</v>
      </c>
      <c r="AP156" s="66">
        <f t="shared" si="207"/>
        <v>0</v>
      </c>
      <c r="AQ156" s="66">
        <f t="shared" si="207"/>
        <v>1225102903.8499999</v>
      </c>
      <c r="AR156" s="66">
        <f t="shared" si="207"/>
        <v>0</v>
      </c>
      <c r="AS156" s="66">
        <f t="shared" si="207"/>
        <v>0</v>
      </c>
      <c r="AT156" s="66">
        <f t="shared" si="207"/>
        <v>1225102903.8499999</v>
      </c>
      <c r="AU156" s="68"/>
      <c r="AV156" s="68"/>
      <c r="AW156" s="68"/>
      <c r="AX156" s="68"/>
      <c r="AY156" s="68"/>
      <c r="AZ156" s="68"/>
      <c r="BA156" s="68"/>
      <c r="BB156" s="68"/>
      <c r="BC156" s="68"/>
      <c r="BD156" s="66">
        <f t="shared" ref="BD156" si="208">SUM(BD157)</f>
        <v>1261855990.9655001</v>
      </c>
      <c r="BE156" s="68"/>
      <c r="BF156" s="68"/>
      <c r="BG156" s="68"/>
      <c r="BH156" s="68"/>
      <c r="BI156" s="68"/>
      <c r="BJ156" s="68"/>
      <c r="BK156" s="68"/>
      <c r="BL156" s="68"/>
      <c r="BM156" s="68"/>
      <c r="BN156" s="66">
        <f t="shared" ref="BN156:BO156" si="209">SUM(BN157)</f>
        <v>1299711670.6944699</v>
      </c>
      <c r="BO156" s="544">
        <f t="shared" si="209"/>
        <v>5024970335.5099697</v>
      </c>
      <c r="BP156" s="250"/>
      <c r="BQ156" s="250"/>
      <c r="BR156" s="250"/>
      <c r="BS156" s="250"/>
      <c r="BT156" s="250"/>
      <c r="BU156" s="250"/>
      <c r="BV156" s="250"/>
      <c r="BW156" s="250"/>
      <c r="BX156" s="250"/>
      <c r="BY156" s="250"/>
      <c r="BZ156" s="250"/>
      <c r="CA156" s="250"/>
      <c r="CB156" s="250"/>
      <c r="CC156" s="250"/>
      <c r="CD156" s="250"/>
    </row>
    <row r="157" spans="1:82" s="247" customFormat="1" ht="51.75" customHeight="1" x14ac:dyDescent="0.25">
      <c r="A157" s="596">
        <v>111</v>
      </c>
      <c r="B157" s="192">
        <v>3</v>
      </c>
      <c r="C157" s="136"/>
      <c r="D157" s="136"/>
      <c r="E157" s="93">
        <v>16</v>
      </c>
      <c r="F157" s="70" t="s">
        <v>369</v>
      </c>
      <c r="G157" s="93">
        <v>45</v>
      </c>
      <c r="H157" s="93">
        <v>90</v>
      </c>
      <c r="I157" s="549">
        <v>110</v>
      </c>
      <c r="J157" s="440" t="s">
        <v>376</v>
      </c>
      <c r="K157" s="441" t="s">
        <v>377</v>
      </c>
      <c r="L157" s="580" t="s">
        <v>262</v>
      </c>
      <c r="M157" s="580">
        <v>1</v>
      </c>
      <c r="N157" s="486" t="s">
        <v>54</v>
      </c>
      <c r="O157" s="597">
        <v>180</v>
      </c>
      <c r="P157" s="476">
        <v>200</v>
      </c>
      <c r="Q157" s="486">
        <v>200</v>
      </c>
      <c r="R157" s="476">
        <v>200</v>
      </c>
      <c r="S157" s="500"/>
      <c r="T157" s="476">
        <v>200</v>
      </c>
      <c r="U157" s="476"/>
      <c r="V157" s="476">
        <v>200</v>
      </c>
      <c r="W157" s="476"/>
      <c r="X157" s="583">
        <f>AJ157/AJ156</f>
        <v>1</v>
      </c>
      <c r="Y157" s="78">
        <v>4</v>
      </c>
      <c r="Z157" s="78" t="s">
        <v>110</v>
      </c>
      <c r="AA157" s="448"/>
      <c r="AB157" s="448"/>
      <c r="AC157" s="448"/>
      <c r="AD157" s="448"/>
      <c r="AE157" s="448"/>
      <c r="AF157" s="448"/>
      <c r="AG157" s="448">
        <v>1238299770</v>
      </c>
      <c r="AH157" s="448"/>
      <c r="AI157" s="448"/>
      <c r="AJ157" s="82">
        <f>+AA157+AB157+AC157+AD157+AE157+AF157+AG157+AH157+AI157</f>
        <v>1238299770</v>
      </c>
      <c r="AK157" s="598"/>
      <c r="AL157" s="598"/>
      <c r="AM157" s="598"/>
      <c r="AN157" s="598"/>
      <c r="AO157" s="598"/>
      <c r="AP157" s="598"/>
      <c r="AQ157" s="558">
        <v>1225102903.8499999</v>
      </c>
      <c r="AR157" s="598"/>
      <c r="AS157" s="598"/>
      <c r="AT157" s="84">
        <f>AK157+AL157+AM157+AN157+AO157+AP157+AQ157+AR157+AS157</f>
        <v>1225102903.8499999</v>
      </c>
      <c r="AU157" s="558"/>
      <c r="AV157" s="558"/>
      <c r="AW157" s="558"/>
      <c r="AX157" s="558"/>
      <c r="AY157" s="558"/>
      <c r="AZ157" s="558"/>
      <c r="BA157" s="558">
        <v>1261855990.9655001</v>
      </c>
      <c r="BB157" s="558"/>
      <c r="BC157" s="558"/>
      <c r="BD157" s="558">
        <f>SUM(AU157:BC157)</f>
        <v>1261855990.9655001</v>
      </c>
      <c r="BE157" s="599"/>
      <c r="BF157" s="558"/>
      <c r="BG157" s="558"/>
      <c r="BH157" s="558"/>
      <c r="BI157" s="558"/>
      <c r="BJ157" s="558"/>
      <c r="BK157" s="558">
        <v>1299711670.6944699</v>
      </c>
      <c r="BL157" s="558"/>
      <c r="BM157" s="558"/>
      <c r="BN157" s="558">
        <f>SUM(BE157:BM157)</f>
        <v>1299711670.6944699</v>
      </c>
      <c r="BO157" s="546">
        <f>AJ157+AT157+BD157+BN157</f>
        <v>5024970335.5099697</v>
      </c>
    </row>
    <row r="158" spans="1:82" s="247" customFormat="1" ht="24.75" customHeight="1" x14ac:dyDescent="0.25">
      <c r="A158" s="545"/>
      <c r="B158" s="69"/>
      <c r="C158" s="136"/>
      <c r="D158" s="136"/>
      <c r="E158" s="57">
        <v>27</v>
      </c>
      <c r="F158" s="58" t="s">
        <v>378</v>
      </c>
      <c r="G158" s="600"/>
      <c r="H158" s="481"/>
      <c r="I158" s="593"/>
      <c r="J158" s="481"/>
      <c r="K158" s="481"/>
      <c r="L158" s="593"/>
      <c r="M158" s="487"/>
      <c r="N158" s="594"/>
      <c r="O158" s="481"/>
      <c r="P158" s="481"/>
      <c r="Q158" s="485"/>
      <c r="R158" s="481"/>
      <c r="S158" s="510"/>
      <c r="T158" s="481"/>
      <c r="U158" s="481"/>
      <c r="V158" s="487"/>
      <c r="W158" s="487"/>
      <c r="X158" s="595"/>
      <c r="Y158" s="487"/>
      <c r="Z158" s="487"/>
      <c r="AA158" s="66">
        <f t="shared" ref="AA158:AI158" si="210">SUM(AA159)</f>
        <v>0</v>
      </c>
      <c r="AB158" s="66">
        <f t="shared" si="210"/>
        <v>0</v>
      </c>
      <c r="AC158" s="66">
        <f t="shared" si="210"/>
        <v>0</v>
      </c>
      <c r="AD158" s="66">
        <f t="shared" si="210"/>
        <v>0</v>
      </c>
      <c r="AE158" s="66">
        <f t="shared" si="210"/>
        <v>0</v>
      </c>
      <c r="AF158" s="66">
        <f t="shared" si="210"/>
        <v>0</v>
      </c>
      <c r="AG158" s="66">
        <f t="shared" si="210"/>
        <v>12000000000</v>
      </c>
      <c r="AH158" s="66">
        <f t="shared" si="210"/>
        <v>0</v>
      </c>
      <c r="AI158" s="66">
        <f t="shared" si="210"/>
        <v>0</v>
      </c>
      <c r="AJ158" s="147">
        <f>SUM(AJ159)</f>
        <v>12000000000</v>
      </c>
      <c r="AK158" s="66">
        <f t="shared" ref="AK158:AT158" si="211">SUM(AK159)</f>
        <v>0</v>
      </c>
      <c r="AL158" s="66">
        <f t="shared" si="211"/>
        <v>0</v>
      </c>
      <c r="AM158" s="66">
        <f t="shared" si="211"/>
        <v>0</v>
      </c>
      <c r="AN158" s="66">
        <f t="shared" si="211"/>
        <v>0</v>
      </c>
      <c r="AO158" s="66">
        <f t="shared" si="211"/>
        <v>0</v>
      </c>
      <c r="AP158" s="66">
        <f t="shared" si="211"/>
        <v>0</v>
      </c>
      <c r="AQ158" s="66">
        <f t="shared" si="211"/>
        <v>12360000000</v>
      </c>
      <c r="AR158" s="66">
        <f t="shared" si="211"/>
        <v>0</v>
      </c>
      <c r="AS158" s="66">
        <f t="shared" si="211"/>
        <v>0</v>
      </c>
      <c r="AT158" s="66">
        <f t="shared" si="211"/>
        <v>12360000000</v>
      </c>
      <c r="AU158" s="148"/>
      <c r="AV158" s="148"/>
      <c r="AW158" s="148"/>
      <c r="AX158" s="148"/>
      <c r="AY158" s="148"/>
      <c r="AZ158" s="148"/>
      <c r="BA158" s="148"/>
      <c r="BB158" s="148"/>
      <c r="BC158" s="148"/>
      <c r="BD158" s="66">
        <f t="shared" ref="BD158" si="212">SUM(BD159)</f>
        <v>12730800000</v>
      </c>
      <c r="BE158" s="148"/>
      <c r="BF158" s="148"/>
      <c r="BG158" s="148"/>
      <c r="BH158" s="148"/>
      <c r="BI158" s="148"/>
      <c r="BJ158" s="148"/>
      <c r="BK158" s="148"/>
      <c r="BL158" s="148"/>
      <c r="BM158" s="148"/>
      <c r="BN158" s="66">
        <f t="shared" ref="BN158:BO158" si="213">SUM(BN159)</f>
        <v>13112724000</v>
      </c>
      <c r="BO158" s="544">
        <f t="shared" si="213"/>
        <v>50203524000</v>
      </c>
    </row>
    <row r="159" spans="1:82" s="247" customFormat="1" ht="86.25" customHeight="1" x14ac:dyDescent="0.2">
      <c r="A159" s="547">
        <v>112</v>
      </c>
      <c r="B159" s="69">
        <v>3</v>
      </c>
      <c r="C159" s="136"/>
      <c r="D159" s="136"/>
      <c r="E159" s="534" t="s">
        <v>379</v>
      </c>
      <c r="F159" s="529" t="s">
        <v>380</v>
      </c>
      <c r="G159" s="534" t="s">
        <v>381</v>
      </c>
      <c r="H159" s="534" t="s">
        <v>382</v>
      </c>
      <c r="I159" s="72">
        <v>111</v>
      </c>
      <c r="J159" s="70" t="s">
        <v>383</v>
      </c>
      <c r="K159" s="252" t="s">
        <v>384</v>
      </c>
      <c r="L159" s="217" t="s">
        <v>262</v>
      </c>
      <c r="M159" s="217">
        <v>1</v>
      </c>
      <c r="N159" s="253" t="s">
        <v>54</v>
      </c>
      <c r="O159" s="122">
        <v>1</v>
      </c>
      <c r="P159" s="122">
        <v>1</v>
      </c>
      <c r="Q159" s="254">
        <v>1</v>
      </c>
      <c r="R159" s="255">
        <v>1</v>
      </c>
      <c r="S159" s="500"/>
      <c r="T159" s="255">
        <v>1</v>
      </c>
      <c r="U159" s="255"/>
      <c r="V159" s="255">
        <v>1</v>
      </c>
      <c r="W159" s="253"/>
      <c r="X159" s="237">
        <f>AJ159/AJ158</f>
        <v>1</v>
      </c>
      <c r="Y159" s="78">
        <v>10</v>
      </c>
      <c r="Z159" s="81" t="s">
        <v>385</v>
      </c>
      <c r="AA159" s="185"/>
      <c r="AB159" s="185"/>
      <c r="AC159" s="185"/>
      <c r="AD159" s="185"/>
      <c r="AE159" s="185"/>
      <c r="AF159" s="185"/>
      <c r="AG159" s="118">
        <v>12000000000</v>
      </c>
      <c r="AH159" s="185"/>
      <c r="AI159" s="185"/>
      <c r="AJ159" s="82">
        <f>+AA159+AB159+AC159+AD159+AE159+AF159+AG159+AH159+AI159</f>
        <v>12000000000</v>
      </c>
      <c r="AK159" s="84"/>
      <c r="AL159" s="84"/>
      <c r="AM159" s="84"/>
      <c r="AN159" s="84"/>
      <c r="AO159" s="84"/>
      <c r="AP159" s="84"/>
      <c r="AQ159" s="249">
        <v>12360000000</v>
      </c>
      <c r="AR159" s="84"/>
      <c r="AS159" s="84"/>
      <c r="AT159" s="84">
        <f>AK159+AL159+AM159+AN159+AO159+AP159+AQ159+AR159+AS159</f>
        <v>12360000000</v>
      </c>
      <c r="AU159" s="249"/>
      <c r="AV159" s="249"/>
      <c r="AW159" s="249"/>
      <c r="AX159" s="249"/>
      <c r="AY159" s="249"/>
      <c r="AZ159" s="249"/>
      <c r="BA159" s="249">
        <v>12730800000</v>
      </c>
      <c r="BB159" s="249"/>
      <c r="BC159" s="249"/>
      <c r="BD159" s="249">
        <f>SUM(AU159:BC159)</f>
        <v>12730800000</v>
      </c>
      <c r="BE159" s="84"/>
      <c r="BF159" s="84"/>
      <c r="BG159" s="84"/>
      <c r="BH159" s="84"/>
      <c r="BI159" s="84"/>
      <c r="BJ159" s="84"/>
      <c r="BK159" s="84">
        <v>13112724000</v>
      </c>
      <c r="BL159" s="84"/>
      <c r="BM159" s="84"/>
      <c r="BN159" s="84">
        <f>SUM(BE159:BM159)</f>
        <v>13112724000</v>
      </c>
      <c r="BO159" s="546">
        <f>AJ159+AT159+BD159+BN159</f>
        <v>50203524000</v>
      </c>
    </row>
    <row r="160" spans="1:82" s="247" customFormat="1" ht="24.75" customHeight="1" x14ac:dyDescent="0.2">
      <c r="A160" s="547"/>
      <c r="B160" s="69"/>
      <c r="C160" s="136"/>
      <c r="D160" s="136"/>
      <c r="E160" s="57">
        <v>28</v>
      </c>
      <c r="F160" s="58" t="s">
        <v>386</v>
      </c>
      <c r="G160" s="95"/>
      <c r="H160" s="61"/>
      <c r="I160" s="593"/>
      <c r="J160" s="481"/>
      <c r="K160" s="481"/>
      <c r="L160" s="593"/>
      <c r="M160" s="487"/>
      <c r="N160" s="594"/>
      <c r="O160" s="481"/>
      <c r="P160" s="481"/>
      <c r="Q160" s="485"/>
      <c r="R160" s="481"/>
      <c r="S160" s="510"/>
      <c r="T160" s="481"/>
      <c r="U160" s="481"/>
      <c r="V160" s="487"/>
      <c r="W160" s="487"/>
      <c r="X160" s="595"/>
      <c r="Y160" s="487"/>
      <c r="Z160" s="487"/>
      <c r="AA160" s="66">
        <f t="shared" ref="AA160:AI160" si="214">SUM(AA161:AA162)</f>
        <v>0</v>
      </c>
      <c r="AB160" s="66">
        <f t="shared" si="214"/>
        <v>0</v>
      </c>
      <c r="AC160" s="66">
        <f t="shared" si="214"/>
        <v>30000000</v>
      </c>
      <c r="AD160" s="66">
        <f t="shared" si="214"/>
        <v>0</v>
      </c>
      <c r="AE160" s="66">
        <f t="shared" si="214"/>
        <v>0</v>
      </c>
      <c r="AF160" s="66">
        <f t="shared" si="214"/>
        <v>0</v>
      </c>
      <c r="AG160" s="66">
        <f t="shared" si="214"/>
        <v>120000000</v>
      </c>
      <c r="AH160" s="66">
        <f t="shared" si="214"/>
        <v>0</v>
      </c>
      <c r="AI160" s="66">
        <f t="shared" si="214"/>
        <v>0</v>
      </c>
      <c r="AJ160" s="67">
        <f>SUM(AJ161:AJ162)</f>
        <v>150000000</v>
      </c>
      <c r="AK160" s="66">
        <f t="shared" ref="AK160:AT160" si="215">SUM(AK161:AK162)</f>
        <v>0</v>
      </c>
      <c r="AL160" s="66">
        <f t="shared" si="215"/>
        <v>0</v>
      </c>
      <c r="AM160" s="66">
        <f t="shared" si="215"/>
        <v>30000000</v>
      </c>
      <c r="AN160" s="66">
        <f t="shared" si="215"/>
        <v>0</v>
      </c>
      <c r="AO160" s="66">
        <f t="shared" si="215"/>
        <v>0</v>
      </c>
      <c r="AP160" s="66">
        <f t="shared" si="215"/>
        <v>0</v>
      </c>
      <c r="AQ160" s="66">
        <f t="shared" si="215"/>
        <v>123600000</v>
      </c>
      <c r="AR160" s="66">
        <f t="shared" si="215"/>
        <v>0</v>
      </c>
      <c r="AS160" s="66">
        <f t="shared" si="215"/>
        <v>0</v>
      </c>
      <c r="AT160" s="66">
        <f t="shared" si="215"/>
        <v>153600000</v>
      </c>
      <c r="AU160" s="68"/>
      <c r="AV160" s="68"/>
      <c r="AW160" s="68"/>
      <c r="AX160" s="68"/>
      <c r="AY160" s="68"/>
      <c r="AZ160" s="68"/>
      <c r="BA160" s="68"/>
      <c r="BB160" s="68"/>
      <c r="BC160" s="68"/>
      <c r="BD160" s="66">
        <f t="shared" ref="BD160" si="216">SUM(BD161:BD162)</f>
        <v>137308000</v>
      </c>
      <c r="BE160" s="68"/>
      <c r="BF160" s="68"/>
      <c r="BG160" s="68"/>
      <c r="BH160" s="68"/>
      <c r="BI160" s="68"/>
      <c r="BJ160" s="68"/>
      <c r="BK160" s="68"/>
      <c r="BL160" s="68"/>
      <c r="BM160" s="68"/>
      <c r="BN160" s="66">
        <f t="shared" ref="BN160:BO160" si="217">SUM(BN161:BN162)</f>
        <v>141127240</v>
      </c>
      <c r="BO160" s="544">
        <f t="shared" si="217"/>
        <v>582035240</v>
      </c>
    </row>
    <row r="161" spans="1:67" s="247" customFormat="1" ht="66" customHeight="1" x14ac:dyDescent="0.25">
      <c r="A161" s="545">
        <v>113</v>
      </c>
      <c r="B161" s="69">
        <v>3</v>
      </c>
      <c r="C161" s="136"/>
      <c r="D161" s="140"/>
      <c r="E161" s="256" t="s">
        <v>379</v>
      </c>
      <c r="F161" s="243" t="s">
        <v>380</v>
      </c>
      <c r="G161" s="426" t="s">
        <v>381</v>
      </c>
      <c r="H161" s="426" t="s">
        <v>387</v>
      </c>
      <c r="I161" s="72">
        <v>112</v>
      </c>
      <c r="J161" s="70" t="s">
        <v>388</v>
      </c>
      <c r="K161" s="236" t="s">
        <v>389</v>
      </c>
      <c r="L161" s="229" t="s">
        <v>262</v>
      </c>
      <c r="M161" s="229">
        <v>1</v>
      </c>
      <c r="N161" s="226" t="s">
        <v>69</v>
      </c>
      <c r="O161" s="172">
        <v>0</v>
      </c>
      <c r="P161" s="227">
        <v>60</v>
      </c>
      <c r="Q161" s="223">
        <v>8</v>
      </c>
      <c r="R161" s="227">
        <v>20</v>
      </c>
      <c r="S161" s="500"/>
      <c r="T161" s="227">
        <v>20</v>
      </c>
      <c r="U161" s="227"/>
      <c r="V161" s="227">
        <v>12</v>
      </c>
      <c r="W161" s="226"/>
      <c r="X161" s="257">
        <f>AJ161/AJ160</f>
        <v>0.2</v>
      </c>
      <c r="Y161" s="78">
        <v>4</v>
      </c>
      <c r="Z161" s="81" t="s">
        <v>110</v>
      </c>
      <c r="AA161" s="108"/>
      <c r="AB161" s="108"/>
      <c r="AC161" s="108">
        <v>30000000</v>
      </c>
      <c r="AD161" s="108"/>
      <c r="AE161" s="108"/>
      <c r="AF161" s="108"/>
      <c r="AG161" s="108"/>
      <c r="AH161" s="108"/>
      <c r="AI161" s="108"/>
      <c r="AJ161" s="82">
        <f>+AA161+AB161+AC161+AD161+AE161+AF161+AG161+AH161+AI161</f>
        <v>30000000</v>
      </c>
      <c r="AK161" s="84"/>
      <c r="AL161" s="84"/>
      <c r="AM161" s="84">
        <v>30000000</v>
      </c>
      <c r="AN161" s="84"/>
      <c r="AO161" s="84"/>
      <c r="AP161" s="84"/>
      <c r="AQ161" s="84">
        <f>123600000-122880000</f>
        <v>720000</v>
      </c>
      <c r="AR161" s="84"/>
      <c r="AS161" s="84"/>
      <c r="AT161" s="84">
        <f>AK161+AL161+AM161+AN161+AO161+AP161+AQ161+AR161+AS161</f>
        <v>30720000</v>
      </c>
      <c r="AU161" s="249"/>
      <c r="AV161" s="249"/>
      <c r="AW161" s="249">
        <v>10000000</v>
      </c>
      <c r="AX161" s="249"/>
      <c r="AY161" s="249"/>
      <c r="AZ161" s="249"/>
      <c r="BA161" s="249">
        <v>17400000</v>
      </c>
      <c r="BB161" s="249"/>
      <c r="BC161" s="249"/>
      <c r="BD161" s="249">
        <f>SUM(AU161:BC161)</f>
        <v>27400000</v>
      </c>
      <c r="BE161" s="84"/>
      <c r="BF161" s="84"/>
      <c r="BG161" s="84">
        <v>10000000</v>
      </c>
      <c r="BH161" s="84"/>
      <c r="BI161" s="84"/>
      <c r="BJ161" s="84"/>
      <c r="BK161" s="84">
        <v>18200000</v>
      </c>
      <c r="BL161" s="84"/>
      <c r="BM161" s="84"/>
      <c r="BN161" s="84">
        <f>SUM(BE161:BM161)</f>
        <v>28200000</v>
      </c>
      <c r="BO161" s="546">
        <f>AJ161+AT161+BD161+BN161</f>
        <v>116320000</v>
      </c>
    </row>
    <row r="162" spans="1:67" s="247" customFormat="1" ht="77.25" customHeight="1" x14ac:dyDescent="0.2">
      <c r="A162" s="547">
        <v>114</v>
      </c>
      <c r="B162" s="69">
        <v>3</v>
      </c>
      <c r="C162" s="136"/>
      <c r="D162" s="258"/>
      <c r="E162" s="91"/>
      <c r="F162" s="140"/>
      <c r="G162" s="136"/>
      <c r="H162" s="136"/>
      <c r="I162" s="72">
        <v>113</v>
      </c>
      <c r="J162" s="70" t="s">
        <v>390</v>
      </c>
      <c r="K162" s="236" t="s">
        <v>391</v>
      </c>
      <c r="L162" s="229" t="s">
        <v>262</v>
      </c>
      <c r="M162" s="229">
        <v>1</v>
      </c>
      <c r="N162" s="226" t="s">
        <v>69</v>
      </c>
      <c r="O162" s="172">
        <v>0</v>
      </c>
      <c r="P162" s="227">
        <v>8</v>
      </c>
      <c r="Q162" s="223">
        <v>1</v>
      </c>
      <c r="R162" s="227">
        <v>3</v>
      </c>
      <c r="S162" s="500"/>
      <c r="T162" s="227">
        <v>3</v>
      </c>
      <c r="U162" s="227"/>
      <c r="V162" s="227">
        <v>1</v>
      </c>
      <c r="W162" s="226"/>
      <c r="X162" s="257">
        <f>AJ162/AJ160</f>
        <v>0.8</v>
      </c>
      <c r="Y162" s="78">
        <v>4</v>
      </c>
      <c r="Z162" s="81" t="s">
        <v>110</v>
      </c>
      <c r="AA162" s="108"/>
      <c r="AB162" s="108"/>
      <c r="AC162" s="108"/>
      <c r="AD162" s="108"/>
      <c r="AE162" s="108"/>
      <c r="AF162" s="108"/>
      <c r="AG162" s="118">
        <v>120000000</v>
      </c>
      <c r="AH162" s="108"/>
      <c r="AI162" s="108"/>
      <c r="AJ162" s="82">
        <f>+AA162+AB162+AC162+AD162+AE162+AF162+AG162+AH162+AI162</f>
        <v>120000000</v>
      </c>
      <c r="AK162" s="84"/>
      <c r="AL162" s="84"/>
      <c r="AM162" s="84"/>
      <c r="AN162" s="84"/>
      <c r="AO162" s="84"/>
      <c r="AP162" s="84"/>
      <c r="AQ162" s="84">
        <v>122880000</v>
      </c>
      <c r="AR162" s="84"/>
      <c r="AS162" s="84"/>
      <c r="AT162" s="84">
        <f>AK162+AL162+AM162+AN162+AO162+AP162+AQ162+AR162+AS162</f>
        <v>122880000</v>
      </c>
      <c r="AU162" s="249"/>
      <c r="AV162" s="249"/>
      <c r="AW162" s="249"/>
      <c r="AX162" s="249"/>
      <c r="AY162" s="249"/>
      <c r="AZ162" s="249"/>
      <c r="BA162" s="249">
        <v>109908000</v>
      </c>
      <c r="BB162" s="249"/>
      <c r="BC162" s="249"/>
      <c r="BD162" s="249">
        <f>SUM(AU162:BC162)</f>
        <v>109908000</v>
      </c>
      <c r="BE162" s="84"/>
      <c r="BF162" s="84"/>
      <c r="BG162" s="84"/>
      <c r="BH162" s="84"/>
      <c r="BI162" s="84"/>
      <c r="BJ162" s="84"/>
      <c r="BK162" s="84">
        <v>112927240</v>
      </c>
      <c r="BL162" s="84"/>
      <c r="BM162" s="84"/>
      <c r="BN162" s="84">
        <f>SUM(BE162:BM162)</f>
        <v>112927240</v>
      </c>
      <c r="BO162" s="546">
        <f>AJ162+AT162+BD162+BN162</f>
        <v>465715240</v>
      </c>
    </row>
    <row r="163" spans="1:67" s="247" customFormat="1" ht="24.75" customHeight="1" x14ac:dyDescent="0.2">
      <c r="A163" s="547"/>
      <c r="B163" s="69"/>
      <c r="C163" s="136"/>
      <c r="D163" s="43">
        <v>9</v>
      </c>
      <c r="E163" s="259" t="s">
        <v>392</v>
      </c>
      <c r="F163" s="260"/>
      <c r="G163" s="261"/>
      <c r="H163" s="261"/>
      <c r="I163" s="47"/>
      <c r="J163" s="48"/>
      <c r="K163" s="48"/>
      <c r="L163" s="49"/>
      <c r="M163" s="47"/>
      <c r="N163" s="50"/>
      <c r="O163" s="48"/>
      <c r="P163" s="48"/>
      <c r="Q163" s="51"/>
      <c r="R163" s="48"/>
      <c r="S163" s="498"/>
      <c r="T163" s="48"/>
      <c r="U163" s="48"/>
      <c r="V163" s="47"/>
      <c r="W163" s="47"/>
      <c r="X163" s="135"/>
      <c r="Y163" s="47"/>
      <c r="Z163" s="47"/>
      <c r="AA163" s="53">
        <f t="shared" ref="AA163:AH163" si="218">AA164+AA168+AA170</f>
        <v>0</v>
      </c>
      <c r="AB163" s="53">
        <f t="shared" si="218"/>
        <v>1232000000</v>
      </c>
      <c r="AC163" s="53">
        <f t="shared" si="218"/>
        <v>170000000</v>
      </c>
      <c r="AD163" s="53">
        <f t="shared" si="218"/>
        <v>0</v>
      </c>
      <c r="AE163" s="53">
        <f t="shared" si="218"/>
        <v>0</v>
      </c>
      <c r="AF163" s="53">
        <f t="shared" si="218"/>
        <v>0</v>
      </c>
      <c r="AG163" s="53">
        <f t="shared" si="218"/>
        <v>0</v>
      </c>
      <c r="AH163" s="53">
        <f t="shared" si="218"/>
        <v>0</v>
      </c>
      <c r="AI163" s="53">
        <f t="shared" ref="AI163:AP163" si="219">AI164+AI168+AI170</f>
        <v>0</v>
      </c>
      <c r="AJ163" s="54">
        <f t="shared" si="219"/>
        <v>1402000000</v>
      </c>
      <c r="AK163" s="53">
        <f t="shared" si="219"/>
        <v>0</v>
      </c>
      <c r="AL163" s="53">
        <f t="shared" si="219"/>
        <v>1268960000</v>
      </c>
      <c r="AM163" s="53">
        <f t="shared" si="219"/>
        <v>175100000</v>
      </c>
      <c r="AN163" s="53">
        <f t="shared" si="219"/>
        <v>0</v>
      </c>
      <c r="AO163" s="53">
        <f t="shared" si="219"/>
        <v>0</v>
      </c>
      <c r="AP163" s="53">
        <f t="shared" si="219"/>
        <v>0</v>
      </c>
      <c r="AQ163" s="53">
        <f t="shared" ref="AQ163:AT163" si="220">AQ164+AQ168+AQ170</f>
        <v>0</v>
      </c>
      <c r="AR163" s="53">
        <f t="shared" si="220"/>
        <v>0</v>
      </c>
      <c r="AS163" s="53">
        <f t="shared" si="220"/>
        <v>0</v>
      </c>
      <c r="AT163" s="53">
        <f t="shared" si="220"/>
        <v>1444060000</v>
      </c>
      <c r="AU163" s="55"/>
      <c r="AV163" s="55"/>
      <c r="AW163" s="55"/>
      <c r="AX163" s="55"/>
      <c r="AY163" s="55"/>
      <c r="AZ163" s="55"/>
      <c r="BA163" s="55"/>
      <c r="BB163" s="55"/>
      <c r="BC163" s="55"/>
      <c r="BD163" s="53">
        <f>BD164+BD168+BD170</f>
        <v>1487381800</v>
      </c>
      <c r="BE163" s="55"/>
      <c r="BF163" s="55"/>
      <c r="BG163" s="55"/>
      <c r="BH163" s="55"/>
      <c r="BI163" s="55"/>
      <c r="BJ163" s="55"/>
      <c r="BK163" s="55"/>
      <c r="BL163" s="55"/>
      <c r="BM163" s="55"/>
      <c r="BN163" s="53">
        <f>BN164+BN168+BN170</f>
        <v>1446239664.001771</v>
      </c>
      <c r="BO163" s="543">
        <f>BO164+BO168+BO170</f>
        <v>5779681464.00177</v>
      </c>
    </row>
    <row r="164" spans="1:67" s="247" customFormat="1" ht="24.75" customHeight="1" x14ac:dyDescent="0.2">
      <c r="A164" s="547"/>
      <c r="B164" s="69"/>
      <c r="C164" s="136"/>
      <c r="D164" s="562"/>
      <c r="E164" s="57">
        <v>29</v>
      </c>
      <c r="F164" s="601" t="s">
        <v>393</v>
      </c>
      <c r="G164" s="600"/>
      <c r="H164" s="481"/>
      <c r="I164" s="60"/>
      <c r="J164" s="61"/>
      <c r="K164" s="61"/>
      <c r="L164" s="60"/>
      <c r="M164" s="62"/>
      <c r="N164" s="63"/>
      <c r="O164" s="61"/>
      <c r="P164" s="61"/>
      <c r="Q164" s="64"/>
      <c r="R164" s="61"/>
      <c r="S164" s="499"/>
      <c r="T164" s="61"/>
      <c r="U164" s="61"/>
      <c r="V164" s="62"/>
      <c r="W164" s="62"/>
      <c r="X164" s="137"/>
      <c r="Y164" s="62"/>
      <c r="Z164" s="62"/>
      <c r="AA164" s="66">
        <f t="shared" ref="AA164:AI164" si="221">SUM(AA165:AA167)</f>
        <v>0</v>
      </c>
      <c r="AB164" s="66">
        <f t="shared" si="221"/>
        <v>1058800000</v>
      </c>
      <c r="AC164" s="66">
        <f t="shared" si="221"/>
        <v>170000000</v>
      </c>
      <c r="AD164" s="66">
        <f t="shared" si="221"/>
        <v>0</v>
      </c>
      <c r="AE164" s="66">
        <f t="shared" si="221"/>
        <v>0</v>
      </c>
      <c r="AF164" s="66">
        <f t="shared" si="221"/>
        <v>0</v>
      </c>
      <c r="AG164" s="66">
        <f t="shared" si="221"/>
        <v>0</v>
      </c>
      <c r="AH164" s="66">
        <f t="shared" si="221"/>
        <v>0</v>
      </c>
      <c r="AI164" s="66">
        <f t="shared" si="221"/>
        <v>0</v>
      </c>
      <c r="AJ164" s="67">
        <f>SUM(AJ165:AJ167)</f>
        <v>1228800000</v>
      </c>
      <c r="AK164" s="66">
        <f t="shared" ref="AK164:AT164" si="222">SUM(AK165:AK167)</f>
        <v>0</v>
      </c>
      <c r="AL164" s="66">
        <f t="shared" si="222"/>
        <v>1090564000</v>
      </c>
      <c r="AM164" s="66">
        <f t="shared" si="222"/>
        <v>175100000</v>
      </c>
      <c r="AN164" s="66">
        <f t="shared" si="222"/>
        <v>0</v>
      </c>
      <c r="AO164" s="66">
        <f t="shared" si="222"/>
        <v>0</v>
      </c>
      <c r="AP164" s="66">
        <f t="shared" si="222"/>
        <v>0</v>
      </c>
      <c r="AQ164" s="66">
        <f t="shared" si="222"/>
        <v>0</v>
      </c>
      <c r="AR164" s="66">
        <f t="shared" si="222"/>
        <v>0</v>
      </c>
      <c r="AS164" s="66">
        <f t="shared" si="222"/>
        <v>0</v>
      </c>
      <c r="AT164" s="66">
        <f t="shared" si="222"/>
        <v>1265664000</v>
      </c>
      <c r="AU164" s="68"/>
      <c r="AV164" s="68"/>
      <c r="AW164" s="68"/>
      <c r="AX164" s="68"/>
      <c r="AY164" s="68"/>
      <c r="AZ164" s="68"/>
      <c r="BA164" s="68"/>
      <c r="BB164" s="68"/>
      <c r="BC164" s="68"/>
      <c r="BD164" s="66">
        <f t="shared" ref="BD164" si="223">SUM(BD165:BD167)</f>
        <v>1303633920</v>
      </c>
      <c r="BE164" s="68"/>
      <c r="BF164" s="68"/>
      <c r="BG164" s="68"/>
      <c r="BH164" s="68"/>
      <c r="BI164" s="68"/>
      <c r="BJ164" s="68"/>
      <c r="BK164" s="68"/>
      <c r="BL164" s="68"/>
      <c r="BM164" s="68"/>
      <c r="BN164" s="66">
        <f t="shared" ref="BN164" si="224">SUM(BN165:BN167)</f>
        <v>1256979347.6017709</v>
      </c>
      <c r="BO164" s="544">
        <f t="shared" ref="BO164" si="225">SUM(BO165:BO167)</f>
        <v>5055077267.6017704</v>
      </c>
    </row>
    <row r="165" spans="1:67" ht="87.75" customHeight="1" x14ac:dyDescent="0.2">
      <c r="A165" s="545">
        <v>115</v>
      </c>
      <c r="B165" s="69">
        <v>3</v>
      </c>
      <c r="C165" s="136"/>
      <c r="D165" s="136"/>
      <c r="E165" s="93">
        <v>22</v>
      </c>
      <c r="F165" s="70" t="s">
        <v>238</v>
      </c>
      <c r="G165" s="87" t="s">
        <v>239</v>
      </c>
      <c r="H165" s="87" t="s">
        <v>394</v>
      </c>
      <c r="I165" s="72">
        <v>114</v>
      </c>
      <c r="J165" s="73" t="s">
        <v>395</v>
      </c>
      <c r="K165" s="262" t="s">
        <v>396</v>
      </c>
      <c r="L165" s="74" t="s">
        <v>397</v>
      </c>
      <c r="M165" s="245">
        <v>5</v>
      </c>
      <c r="N165" s="112" t="s">
        <v>54</v>
      </c>
      <c r="O165" s="93" t="s">
        <v>49</v>
      </c>
      <c r="P165" s="78">
        <v>30</v>
      </c>
      <c r="Q165" s="196">
        <v>30</v>
      </c>
      <c r="R165" s="93">
        <v>30</v>
      </c>
      <c r="S165" s="500"/>
      <c r="T165" s="93">
        <v>30</v>
      </c>
      <c r="U165" s="93"/>
      <c r="V165" s="93">
        <v>30</v>
      </c>
      <c r="W165" s="112"/>
      <c r="X165" s="218">
        <f>AJ165/$AJ$164</f>
        <v>0.23860677083333334</v>
      </c>
      <c r="Y165" s="78">
        <v>11</v>
      </c>
      <c r="Z165" s="81" t="s">
        <v>225</v>
      </c>
      <c r="AA165" s="185"/>
      <c r="AB165" s="185">
        <f>293200000-170000000</f>
        <v>123200000</v>
      </c>
      <c r="AC165" s="448">
        <v>170000000</v>
      </c>
      <c r="AD165" s="185"/>
      <c r="AE165" s="185"/>
      <c r="AF165" s="185"/>
      <c r="AG165" s="185"/>
      <c r="AH165" s="185"/>
      <c r="AI165" s="185"/>
      <c r="AJ165" s="82">
        <f>+AA165+AB165+AC165+AD165+AE165+AF165+AG165+AH165+AI165</f>
        <v>293200000</v>
      </c>
      <c r="AK165" s="90"/>
      <c r="AL165" s="90">
        <v>126896000</v>
      </c>
      <c r="AM165" s="111">
        <f>309000000-133900000</f>
        <v>175100000</v>
      </c>
      <c r="AN165" s="105"/>
      <c r="AO165" s="90"/>
      <c r="AP165" s="90"/>
      <c r="AQ165" s="90"/>
      <c r="AR165" s="90"/>
      <c r="AS165" s="90"/>
      <c r="AT165" s="84">
        <f>AK165+AL165+AM165+AN165+AO165+AP165+AQ165+AR165+AS165</f>
        <v>301996000</v>
      </c>
      <c r="AU165" s="455"/>
      <c r="AV165" s="455">
        <v>130702880</v>
      </c>
      <c r="AW165" s="111">
        <v>180353000</v>
      </c>
      <c r="AX165" s="111"/>
      <c r="AY165" s="455"/>
      <c r="AZ165" s="455"/>
      <c r="BA165" s="455"/>
      <c r="BB165" s="455"/>
      <c r="BC165" s="455"/>
      <c r="BD165" s="455">
        <f>SUM(AU165:BC165)</f>
        <v>311055880</v>
      </c>
      <c r="BE165" s="90"/>
      <c r="BF165" s="90">
        <v>199900000</v>
      </c>
      <c r="BG165" s="90">
        <v>100000000</v>
      </c>
      <c r="BH165" s="90"/>
      <c r="BI165" s="90"/>
      <c r="BJ165" s="90"/>
      <c r="BK165" s="90"/>
      <c r="BL165" s="90"/>
      <c r="BM165" s="90"/>
      <c r="BN165" s="90">
        <f>SUM(BE165:BM165)</f>
        <v>299900000</v>
      </c>
      <c r="BO165" s="546">
        <f>AJ165+AT165+BD165+BN165</f>
        <v>1206151880</v>
      </c>
    </row>
    <row r="166" spans="1:67" ht="54.75" customHeight="1" x14ac:dyDescent="0.2">
      <c r="A166" s="547">
        <v>116</v>
      </c>
      <c r="B166" s="69">
        <v>3</v>
      </c>
      <c r="C166" s="136"/>
      <c r="D166" s="136"/>
      <c r="E166" s="91">
        <v>12</v>
      </c>
      <c r="F166" s="119" t="s">
        <v>398</v>
      </c>
      <c r="G166" s="114">
        <v>3166</v>
      </c>
      <c r="H166" s="91">
        <v>2500</v>
      </c>
      <c r="I166" s="72">
        <v>115</v>
      </c>
      <c r="J166" s="73" t="s">
        <v>399</v>
      </c>
      <c r="K166" s="262" t="s">
        <v>400</v>
      </c>
      <c r="L166" s="74" t="s">
        <v>397</v>
      </c>
      <c r="M166" s="245">
        <v>5</v>
      </c>
      <c r="N166" s="93" t="s">
        <v>69</v>
      </c>
      <c r="O166" s="93">
        <v>0</v>
      </c>
      <c r="P166" s="78">
        <v>120</v>
      </c>
      <c r="Q166" s="196">
        <v>16</v>
      </c>
      <c r="R166" s="204">
        <v>35</v>
      </c>
      <c r="S166" s="500"/>
      <c r="T166" s="204">
        <v>35</v>
      </c>
      <c r="U166" s="204"/>
      <c r="V166" s="204">
        <v>34</v>
      </c>
      <c r="W166" s="488"/>
      <c r="X166" s="218">
        <f>AJ166/$AJ$164</f>
        <v>0.6611328125</v>
      </c>
      <c r="Y166" s="78">
        <v>11</v>
      </c>
      <c r="Z166" s="81" t="s">
        <v>225</v>
      </c>
      <c r="AA166" s="185"/>
      <c r="AB166" s="185">
        <v>812400000</v>
      </c>
      <c r="AC166" s="185"/>
      <c r="AD166" s="185"/>
      <c r="AE166" s="185"/>
      <c r="AF166" s="185"/>
      <c r="AG166" s="185"/>
      <c r="AH166" s="185"/>
      <c r="AI166" s="185"/>
      <c r="AJ166" s="82">
        <f>+AA166+AB166+AC166+AD166+AE166+AF166+AG166+AH166+AI166</f>
        <v>812400000</v>
      </c>
      <c r="AK166" s="90"/>
      <c r="AL166" s="90">
        <v>836772000</v>
      </c>
      <c r="AM166" s="90"/>
      <c r="AN166" s="90"/>
      <c r="AO166" s="90"/>
      <c r="AP166" s="90"/>
      <c r="AQ166" s="90"/>
      <c r="AR166" s="90"/>
      <c r="AS166" s="90"/>
      <c r="AT166" s="84">
        <f>AK166+AL166+AM166+AN166+AO166+AP166+AQ166+AR166+AS166</f>
        <v>836772000</v>
      </c>
      <c r="AU166" s="455"/>
      <c r="AV166" s="455">
        <v>861875160</v>
      </c>
      <c r="AW166" s="455"/>
      <c r="AX166" s="455"/>
      <c r="AY166" s="455"/>
      <c r="AZ166" s="455"/>
      <c r="BA166" s="455"/>
      <c r="BB166" s="455"/>
      <c r="BC166" s="455"/>
      <c r="BD166" s="455">
        <f>SUM(AU166:BC166)</f>
        <v>861875160</v>
      </c>
      <c r="BE166" s="90"/>
      <c r="BF166" s="90">
        <v>831000000</v>
      </c>
      <c r="BG166" s="90"/>
      <c r="BH166" s="90"/>
      <c r="BI166" s="90"/>
      <c r="BJ166" s="90"/>
      <c r="BK166" s="90"/>
      <c r="BL166" s="90"/>
      <c r="BM166" s="90"/>
      <c r="BN166" s="90">
        <f>SUM(BE166:BM166)</f>
        <v>831000000</v>
      </c>
      <c r="BO166" s="546">
        <f>AJ166+AT166+BD166+BN166</f>
        <v>3342047160</v>
      </c>
    </row>
    <row r="167" spans="1:67" ht="54.75" customHeight="1" x14ac:dyDescent="0.2">
      <c r="A167" s="545">
        <v>117</v>
      </c>
      <c r="B167" s="69">
        <v>3</v>
      </c>
      <c r="C167" s="136"/>
      <c r="D167" s="136"/>
      <c r="E167" s="451"/>
      <c r="F167" s="192"/>
      <c r="G167" s="192"/>
      <c r="H167" s="192"/>
      <c r="I167" s="72">
        <v>116</v>
      </c>
      <c r="J167" s="73" t="s">
        <v>401</v>
      </c>
      <c r="K167" s="262" t="s">
        <v>402</v>
      </c>
      <c r="L167" s="74" t="s">
        <v>397</v>
      </c>
      <c r="M167" s="245">
        <v>5</v>
      </c>
      <c r="N167" s="93" t="s">
        <v>69</v>
      </c>
      <c r="O167" s="93" t="s">
        <v>49</v>
      </c>
      <c r="P167" s="78">
        <v>36</v>
      </c>
      <c r="Q167" s="263">
        <v>5</v>
      </c>
      <c r="R167" s="264">
        <v>11</v>
      </c>
      <c r="S167" s="500"/>
      <c r="T167" s="264">
        <v>10</v>
      </c>
      <c r="U167" s="264"/>
      <c r="V167" s="264">
        <v>10</v>
      </c>
      <c r="W167" s="381"/>
      <c r="X167" s="218">
        <f>AJ167/$AJ$164</f>
        <v>0.10026041666666667</v>
      </c>
      <c r="Y167" s="78">
        <v>11</v>
      </c>
      <c r="Z167" s="81" t="s">
        <v>225</v>
      </c>
      <c r="AA167" s="185"/>
      <c r="AB167" s="185">
        <v>123200000</v>
      </c>
      <c r="AC167" s="185"/>
      <c r="AD167" s="185"/>
      <c r="AE167" s="185"/>
      <c r="AF167" s="185"/>
      <c r="AG167" s="185"/>
      <c r="AH167" s="185"/>
      <c r="AI167" s="185"/>
      <c r="AJ167" s="82">
        <f>+AA167+AB167+AC167+AD167+AE167+AF167+AG167+AH167+AI167</f>
        <v>123200000</v>
      </c>
      <c r="AK167" s="90"/>
      <c r="AL167" s="90">
        <v>126896000</v>
      </c>
      <c r="AM167" s="90"/>
      <c r="AN167" s="90"/>
      <c r="AO167" s="90"/>
      <c r="AP167" s="90"/>
      <c r="AQ167" s="90"/>
      <c r="AR167" s="90"/>
      <c r="AS167" s="90"/>
      <c r="AT167" s="84">
        <f>AK167+AL167+AM167+AN167+AO167+AP167+AQ167+AR167+AS167</f>
        <v>126896000</v>
      </c>
      <c r="AU167" s="455"/>
      <c r="AV167" s="455">
        <v>130702880</v>
      </c>
      <c r="AW167" s="455"/>
      <c r="AX167" s="455"/>
      <c r="AY167" s="455"/>
      <c r="AZ167" s="455"/>
      <c r="BA167" s="455"/>
      <c r="BB167" s="455"/>
      <c r="BC167" s="455"/>
      <c r="BD167" s="455">
        <f>SUM(AU167:BC167)</f>
        <v>130702880</v>
      </c>
      <c r="BE167" s="90"/>
      <c r="BF167" s="90">
        <v>126079347.60177085</v>
      </c>
      <c r="BG167" s="90"/>
      <c r="BH167" s="90"/>
      <c r="BI167" s="90"/>
      <c r="BJ167" s="90"/>
      <c r="BK167" s="90"/>
      <c r="BL167" s="90"/>
      <c r="BM167" s="90"/>
      <c r="BN167" s="90">
        <f>SUM(BE167:BM167)</f>
        <v>126079347.60177085</v>
      </c>
      <c r="BO167" s="546">
        <f>AJ167+AT167+BD167+BN167</f>
        <v>506878227.60177088</v>
      </c>
    </row>
    <row r="168" spans="1:67" ht="24.75" customHeight="1" x14ac:dyDescent="0.2">
      <c r="A168" s="545"/>
      <c r="B168" s="69"/>
      <c r="C168" s="136"/>
      <c r="D168" s="136"/>
      <c r="E168" s="57">
        <v>30</v>
      </c>
      <c r="F168" s="144" t="s">
        <v>403</v>
      </c>
      <c r="G168" s="265"/>
      <c r="H168" s="145"/>
      <c r="I168" s="60"/>
      <c r="J168" s="61"/>
      <c r="K168" s="61"/>
      <c r="L168" s="60"/>
      <c r="M168" s="62"/>
      <c r="N168" s="63"/>
      <c r="O168" s="61"/>
      <c r="P168" s="61"/>
      <c r="Q168" s="64"/>
      <c r="R168" s="61"/>
      <c r="S168" s="499"/>
      <c r="T168" s="64"/>
      <c r="U168" s="64"/>
      <c r="V168" s="64"/>
      <c r="W168" s="64"/>
      <c r="X168" s="64"/>
      <c r="Y168" s="64"/>
      <c r="Z168" s="64"/>
      <c r="AA168" s="417">
        <f>SUM(AA169)</f>
        <v>0</v>
      </c>
      <c r="AB168" s="417">
        <f t="shared" ref="AB168:AQ168" si="226">SUM(AB169)</f>
        <v>50000000</v>
      </c>
      <c r="AC168" s="417">
        <f t="shared" si="226"/>
        <v>0</v>
      </c>
      <c r="AD168" s="417">
        <f t="shared" si="226"/>
        <v>0</v>
      </c>
      <c r="AE168" s="417">
        <f t="shared" si="226"/>
        <v>0</v>
      </c>
      <c r="AF168" s="417">
        <f t="shared" si="226"/>
        <v>0</v>
      </c>
      <c r="AG168" s="417">
        <f t="shared" si="226"/>
        <v>0</v>
      </c>
      <c r="AH168" s="417">
        <f t="shared" si="226"/>
        <v>0</v>
      </c>
      <c r="AI168" s="417">
        <f t="shared" si="226"/>
        <v>0</v>
      </c>
      <c r="AJ168" s="417">
        <f t="shared" si="226"/>
        <v>50000000</v>
      </c>
      <c r="AK168" s="417">
        <f t="shared" si="226"/>
        <v>0</v>
      </c>
      <c r="AL168" s="417">
        <f t="shared" si="226"/>
        <v>51500000</v>
      </c>
      <c r="AM168" s="417">
        <f t="shared" si="226"/>
        <v>0</v>
      </c>
      <c r="AN168" s="417">
        <f t="shared" si="226"/>
        <v>0</v>
      </c>
      <c r="AO168" s="417">
        <f t="shared" si="226"/>
        <v>0</v>
      </c>
      <c r="AP168" s="417">
        <f t="shared" si="226"/>
        <v>0</v>
      </c>
      <c r="AQ168" s="417">
        <f t="shared" si="226"/>
        <v>0</v>
      </c>
      <c r="AR168" s="417">
        <f t="shared" ref="AR168:AT168" si="227">SUM(AR169)</f>
        <v>0</v>
      </c>
      <c r="AS168" s="417">
        <f t="shared" si="227"/>
        <v>0</v>
      </c>
      <c r="AT168" s="417">
        <f t="shared" si="227"/>
        <v>51500000</v>
      </c>
      <c r="AU168" s="64"/>
      <c r="AV168" s="64"/>
      <c r="AW168" s="64"/>
      <c r="AX168" s="64"/>
      <c r="AY168" s="64"/>
      <c r="AZ168" s="64"/>
      <c r="BA168" s="64"/>
      <c r="BB168" s="64"/>
      <c r="BC168" s="64"/>
      <c r="BD168" s="417">
        <f t="shared" ref="BD168" si="228">SUM(BD169)</f>
        <v>53045000</v>
      </c>
      <c r="BE168" s="64"/>
      <c r="BF168" s="64"/>
      <c r="BG168" s="64"/>
      <c r="BH168" s="64"/>
      <c r="BI168" s="64"/>
      <c r="BJ168" s="64"/>
      <c r="BK168" s="64"/>
      <c r="BL168" s="64"/>
      <c r="BM168" s="64"/>
      <c r="BN168" s="417">
        <f t="shared" ref="BN168:BO168" si="229">SUM(BN169)</f>
        <v>54636350</v>
      </c>
      <c r="BO168" s="602">
        <f t="shared" si="229"/>
        <v>209181350</v>
      </c>
    </row>
    <row r="169" spans="1:67" ht="59.25" customHeight="1" x14ac:dyDescent="0.2">
      <c r="A169" s="547">
        <v>118</v>
      </c>
      <c r="B169" s="69">
        <v>3</v>
      </c>
      <c r="C169" s="136"/>
      <c r="D169" s="136"/>
      <c r="E169" s="78" t="s">
        <v>933</v>
      </c>
      <c r="F169" s="266" t="s">
        <v>404</v>
      </c>
      <c r="G169" s="71" t="s">
        <v>128</v>
      </c>
      <c r="H169" s="200">
        <v>0.27</v>
      </c>
      <c r="I169" s="549">
        <v>117</v>
      </c>
      <c r="J169" s="440" t="s">
        <v>405</v>
      </c>
      <c r="K169" s="439" t="s">
        <v>406</v>
      </c>
      <c r="L169" s="549" t="s">
        <v>397</v>
      </c>
      <c r="M169" s="477">
        <v>5</v>
      </c>
      <c r="N169" s="478" t="s">
        <v>69</v>
      </c>
      <c r="O169" s="478" t="s">
        <v>49</v>
      </c>
      <c r="P169" s="478">
        <v>5</v>
      </c>
      <c r="Q169" s="477">
        <v>1</v>
      </c>
      <c r="R169" s="478">
        <v>1</v>
      </c>
      <c r="S169" s="500"/>
      <c r="T169" s="478">
        <v>2</v>
      </c>
      <c r="U169" s="478"/>
      <c r="V169" s="478">
        <v>1</v>
      </c>
      <c r="W169" s="478"/>
      <c r="X169" s="583">
        <f>AJ169/AJ168</f>
        <v>1</v>
      </c>
      <c r="Y169" s="480">
        <v>8</v>
      </c>
      <c r="Z169" s="480" t="s">
        <v>131</v>
      </c>
      <c r="AA169" s="584"/>
      <c r="AB169" s="584">
        <v>50000000</v>
      </c>
      <c r="AC169" s="584"/>
      <c r="AD169" s="584"/>
      <c r="AE169" s="584"/>
      <c r="AF169" s="584"/>
      <c r="AG169" s="584"/>
      <c r="AH169" s="584"/>
      <c r="AI169" s="584"/>
      <c r="AJ169" s="554">
        <f>+AA169+AB169+AC169+AD169+AE169+AF169+AG169+AH169+AI169</f>
        <v>50000000</v>
      </c>
      <c r="AK169" s="603"/>
      <c r="AL169" s="603">
        <v>51500000</v>
      </c>
      <c r="AM169" s="603"/>
      <c r="AN169" s="554"/>
      <c r="AO169" s="603"/>
      <c r="AP169" s="603"/>
      <c r="AQ169" s="603"/>
      <c r="AR169" s="603"/>
      <c r="AS169" s="603"/>
      <c r="AT169" s="557">
        <f>AK169+AL169+AM169+AN169+AO169+AP169+AQ169+AR169+AS169</f>
        <v>51500000</v>
      </c>
      <c r="AU169" s="603"/>
      <c r="AV169" s="603">
        <v>53045000</v>
      </c>
      <c r="AW169" s="603"/>
      <c r="AX169" s="603"/>
      <c r="AY169" s="603"/>
      <c r="AZ169" s="603"/>
      <c r="BA169" s="603"/>
      <c r="BB169" s="603"/>
      <c r="BC169" s="603"/>
      <c r="BD169" s="603">
        <f>SUM(AU169:BC169)</f>
        <v>53045000</v>
      </c>
      <c r="BE169" s="558"/>
      <c r="BF169" s="558">
        <v>54636350</v>
      </c>
      <c r="BG169" s="558"/>
      <c r="BH169" s="558"/>
      <c r="BI169" s="558"/>
      <c r="BJ169" s="558"/>
      <c r="BK169" s="558"/>
      <c r="BL169" s="558"/>
      <c r="BM169" s="558"/>
      <c r="BN169" s="558">
        <f>SUM(BE169:BM169)</f>
        <v>54636350</v>
      </c>
      <c r="BO169" s="559">
        <f>AJ169+AT169+BD169+BN169</f>
        <v>209181350</v>
      </c>
    </row>
    <row r="170" spans="1:67" ht="24.75" customHeight="1" x14ac:dyDescent="0.2">
      <c r="A170" s="547"/>
      <c r="B170" s="69"/>
      <c r="C170" s="136"/>
      <c r="D170" s="136"/>
      <c r="E170" s="57">
        <v>31</v>
      </c>
      <c r="F170" s="58" t="s">
        <v>408</v>
      </c>
      <c r="G170" s="95"/>
      <c r="H170" s="61"/>
      <c r="I170" s="60"/>
      <c r="J170" s="61"/>
      <c r="K170" s="61"/>
      <c r="L170" s="60"/>
      <c r="M170" s="62"/>
      <c r="N170" s="63"/>
      <c r="O170" s="61"/>
      <c r="P170" s="61"/>
      <c r="Q170" s="64"/>
      <c r="R170" s="61"/>
      <c r="S170" s="499"/>
      <c r="T170" s="64"/>
      <c r="U170" s="64"/>
      <c r="V170" s="64"/>
      <c r="W170" s="64"/>
      <c r="X170" s="64"/>
      <c r="Y170" s="64"/>
      <c r="Z170" s="64"/>
      <c r="AA170" s="418">
        <f>SUM(AA171)</f>
        <v>0</v>
      </c>
      <c r="AB170" s="417">
        <f t="shared" ref="AB170:AQ170" si="230">SUM(AB171)</f>
        <v>123200000</v>
      </c>
      <c r="AC170" s="417">
        <f t="shared" si="230"/>
        <v>0</v>
      </c>
      <c r="AD170" s="417">
        <f t="shared" si="230"/>
        <v>0</v>
      </c>
      <c r="AE170" s="417">
        <f t="shared" si="230"/>
        <v>0</v>
      </c>
      <c r="AF170" s="417">
        <f t="shared" si="230"/>
        <v>0</v>
      </c>
      <c r="AG170" s="417">
        <f t="shared" si="230"/>
        <v>0</v>
      </c>
      <c r="AH170" s="418">
        <f t="shared" si="230"/>
        <v>0</v>
      </c>
      <c r="AI170" s="418">
        <f t="shared" si="230"/>
        <v>0</v>
      </c>
      <c r="AJ170" s="418">
        <f t="shared" si="230"/>
        <v>123200000</v>
      </c>
      <c r="AK170" s="418">
        <f t="shared" si="230"/>
        <v>0</v>
      </c>
      <c r="AL170" s="418">
        <f t="shared" si="230"/>
        <v>126896000</v>
      </c>
      <c r="AM170" s="418">
        <f t="shared" si="230"/>
        <v>0</v>
      </c>
      <c r="AN170" s="418">
        <f t="shared" si="230"/>
        <v>0</v>
      </c>
      <c r="AO170" s="418">
        <f t="shared" si="230"/>
        <v>0</v>
      </c>
      <c r="AP170" s="418">
        <f t="shared" si="230"/>
        <v>0</v>
      </c>
      <c r="AQ170" s="418">
        <f t="shared" si="230"/>
        <v>0</v>
      </c>
      <c r="AR170" s="418">
        <f t="shared" ref="AR170:AT170" si="231">SUM(AR171)</f>
        <v>0</v>
      </c>
      <c r="AS170" s="418">
        <f t="shared" si="231"/>
        <v>0</v>
      </c>
      <c r="AT170" s="437">
        <f t="shared" si="231"/>
        <v>126896000</v>
      </c>
      <c r="AU170" s="64"/>
      <c r="AV170" s="64"/>
      <c r="AW170" s="64"/>
      <c r="AX170" s="64"/>
      <c r="AY170" s="64"/>
      <c r="AZ170" s="64"/>
      <c r="BA170" s="64"/>
      <c r="BB170" s="64"/>
      <c r="BC170" s="64"/>
      <c r="BD170" s="437">
        <f t="shared" ref="BD170" si="232">SUM(BD171)</f>
        <v>130702880</v>
      </c>
      <c r="BE170" s="64"/>
      <c r="BF170" s="64"/>
      <c r="BG170" s="64"/>
      <c r="BH170" s="64"/>
      <c r="BI170" s="64"/>
      <c r="BJ170" s="64"/>
      <c r="BK170" s="64"/>
      <c r="BL170" s="64"/>
      <c r="BM170" s="64"/>
      <c r="BN170" s="437">
        <f t="shared" ref="BN170:BO170" si="233">SUM(BN171)</f>
        <v>134623966.40000001</v>
      </c>
      <c r="BO170" s="604">
        <f t="shared" si="233"/>
        <v>515422846.39999998</v>
      </c>
    </row>
    <row r="171" spans="1:67" ht="107.25" customHeight="1" x14ac:dyDescent="0.2">
      <c r="A171" s="545">
        <v>119</v>
      </c>
      <c r="B171" s="69">
        <v>3</v>
      </c>
      <c r="C171" s="136"/>
      <c r="D171" s="192"/>
      <c r="E171" s="93">
        <v>14</v>
      </c>
      <c r="F171" s="70" t="s">
        <v>409</v>
      </c>
      <c r="G171" s="71" t="s">
        <v>271</v>
      </c>
      <c r="H171" s="200">
        <v>0.03</v>
      </c>
      <c r="I171" s="77">
        <v>118</v>
      </c>
      <c r="J171" s="73" t="s">
        <v>410</v>
      </c>
      <c r="K171" s="262" t="s">
        <v>411</v>
      </c>
      <c r="L171" s="568" t="s">
        <v>397</v>
      </c>
      <c r="M171" s="605">
        <v>5</v>
      </c>
      <c r="N171" s="489" t="s">
        <v>69</v>
      </c>
      <c r="O171" s="93">
        <v>16</v>
      </c>
      <c r="P171" s="93">
        <v>20</v>
      </c>
      <c r="Q171" s="477">
        <v>4</v>
      </c>
      <c r="R171" s="478">
        <v>6</v>
      </c>
      <c r="S171" s="500"/>
      <c r="T171" s="478">
        <v>6</v>
      </c>
      <c r="U171" s="478"/>
      <c r="V171" s="478">
        <v>4</v>
      </c>
      <c r="W171" s="489"/>
      <c r="X171" s="606">
        <f>AJ171/AJ170</f>
        <v>1</v>
      </c>
      <c r="Y171" s="78">
        <v>4</v>
      </c>
      <c r="Z171" s="564" t="s">
        <v>110</v>
      </c>
      <c r="AA171" s="590"/>
      <c r="AB171" s="108">
        <v>123200000</v>
      </c>
      <c r="AC171" s="590"/>
      <c r="AD171" s="590"/>
      <c r="AE171" s="590"/>
      <c r="AF171" s="590"/>
      <c r="AG171" s="590"/>
      <c r="AH171" s="590"/>
      <c r="AI171" s="590"/>
      <c r="AJ171" s="82">
        <f>+AA171+AB171+AC171+AD171+AE171+AF171+AG171+AH171+AI171</f>
        <v>123200000</v>
      </c>
      <c r="AK171" s="90"/>
      <c r="AL171" s="90">
        <v>126896000</v>
      </c>
      <c r="AM171" s="90"/>
      <c r="AN171" s="90"/>
      <c r="AO171" s="90"/>
      <c r="AP171" s="90"/>
      <c r="AQ171" s="90"/>
      <c r="AR171" s="90"/>
      <c r="AS171" s="90"/>
      <c r="AT171" s="84">
        <f>AK171+AL171+AM171+AN171+AO171+AP171+AQ171+AR171+AS171</f>
        <v>126896000</v>
      </c>
      <c r="AU171" s="455"/>
      <c r="AV171" s="455">
        <v>130702880</v>
      </c>
      <c r="AW171" s="455"/>
      <c r="AX171" s="455"/>
      <c r="AY171" s="455"/>
      <c r="AZ171" s="455"/>
      <c r="BA171" s="455"/>
      <c r="BB171" s="455"/>
      <c r="BC171" s="455"/>
      <c r="BD171" s="455">
        <f>SUM(AU171:BC171)</f>
        <v>130702880</v>
      </c>
      <c r="BE171" s="90"/>
      <c r="BF171" s="90">
        <v>134623966.40000001</v>
      </c>
      <c r="BG171" s="90"/>
      <c r="BH171" s="90"/>
      <c r="BI171" s="90"/>
      <c r="BJ171" s="90"/>
      <c r="BK171" s="90"/>
      <c r="BL171" s="90"/>
      <c r="BM171" s="90"/>
      <c r="BN171" s="90">
        <f>SUM(BE171:BM171)</f>
        <v>134623966.40000001</v>
      </c>
      <c r="BO171" s="546">
        <f>AJ171+AT171+BD171+BN171</f>
        <v>515422846.39999998</v>
      </c>
    </row>
    <row r="172" spans="1:67" ht="24.75" customHeight="1" x14ac:dyDescent="0.2">
      <c r="A172" s="545"/>
      <c r="B172" s="69"/>
      <c r="C172" s="136"/>
      <c r="D172" s="43">
        <v>10</v>
      </c>
      <c r="E172" s="134" t="s">
        <v>412</v>
      </c>
      <c r="F172" s="45"/>
      <c r="G172" s="45"/>
      <c r="H172" s="45"/>
      <c r="I172" s="267"/>
      <c r="J172" s="48"/>
      <c r="K172" s="48"/>
      <c r="L172" s="49"/>
      <c r="M172" s="47"/>
      <c r="N172" s="50"/>
      <c r="O172" s="48"/>
      <c r="P172" s="48"/>
      <c r="Q172" s="51"/>
      <c r="R172" s="48"/>
      <c r="S172" s="498"/>
      <c r="T172" s="48"/>
      <c r="U172" s="48"/>
      <c r="V172" s="47"/>
      <c r="W172" s="47"/>
      <c r="X172" s="135"/>
      <c r="Y172" s="47"/>
      <c r="Z172" s="47"/>
      <c r="AA172" s="53">
        <f t="shared" ref="AA172:AI172" si="234">+AA173+AA175</f>
        <v>0</v>
      </c>
      <c r="AB172" s="53">
        <f t="shared" si="234"/>
        <v>333032525</v>
      </c>
      <c r="AC172" s="53">
        <f t="shared" si="234"/>
        <v>90000000</v>
      </c>
      <c r="AD172" s="53">
        <f t="shared" si="234"/>
        <v>0</v>
      </c>
      <c r="AE172" s="53">
        <f t="shared" si="234"/>
        <v>0</v>
      </c>
      <c r="AF172" s="53">
        <f t="shared" si="234"/>
        <v>0</v>
      </c>
      <c r="AG172" s="53">
        <f t="shared" si="234"/>
        <v>0</v>
      </c>
      <c r="AH172" s="53">
        <f t="shared" si="234"/>
        <v>0</v>
      </c>
      <c r="AI172" s="53">
        <f t="shared" si="234"/>
        <v>0</v>
      </c>
      <c r="AJ172" s="53">
        <f>+AJ173+AJ175</f>
        <v>423032525</v>
      </c>
      <c r="AK172" s="53">
        <f t="shared" ref="AK172:AT172" si="235">+AK173+AK175</f>
        <v>0</v>
      </c>
      <c r="AL172" s="53">
        <f t="shared" si="235"/>
        <v>236949833</v>
      </c>
      <c r="AM172" s="53">
        <f t="shared" si="235"/>
        <v>233900000</v>
      </c>
      <c r="AN172" s="53">
        <f t="shared" si="235"/>
        <v>0</v>
      </c>
      <c r="AO172" s="53">
        <f t="shared" si="235"/>
        <v>0</v>
      </c>
      <c r="AP172" s="53">
        <f t="shared" si="235"/>
        <v>0</v>
      </c>
      <c r="AQ172" s="53">
        <f t="shared" si="235"/>
        <v>0</v>
      </c>
      <c r="AR172" s="53">
        <f t="shared" si="235"/>
        <v>0</v>
      </c>
      <c r="AS172" s="53">
        <f t="shared" si="235"/>
        <v>0</v>
      </c>
      <c r="AT172" s="53">
        <f t="shared" si="235"/>
        <v>470849833</v>
      </c>
      <c r="AU172" s="55"/>
      <c r="AV172" s="55"/>
      <c r="AW172" s="55"/>
      <c r="AX172" s="55"/>
      <c r="AY172" s="55"/>
      <c r="AZ172" s="55"/>
      <c r="BA172" s="55"/>
      <c r="BB172" s="55"/>
      <c r="BC172" s="55"/>
      <c r="BD172" s="53">
        <f t="shared" ref="BD172" si="236">+BD173+BD175</f>
        <v>318705328</v>
      </c>
      <c r="BE172" s="55"/>
      <c r="BF172" s="55"/>
      <c r="BG172" s="55"/>
      <c r="BH172" s="55"/>
      <c r="BI172" s="55"/>
      <c r="BJ172" s="55"/>
      <c r="BK172" s="55"/>
      <c r="BL172" s="55"/>
      <c r="BM172" s="55"/>
      <c r="BN172" s="53">
        <f t="shared" ref="BN172" si="237">+BN173+BN175</f>
        <v>296380078</v>
      </c>
      <c r="BO172" s="543">
        <f t="shared" ref="BO172" si="238">+BO173+BO175</f>
        <v>1508967764</v>
      </c>
    </row>
    <row r="173" spans="1:67" ht="24.75" customHeight="1" x14ac:dyDescent="0.2">
      <c r="A173" s="545"/>
      <c r="B173" s="69"/>
      <c r="C173" s="136"/>
      <c r="D173" s="562"/>
      <c r="E173" s="57">
        <v>32</v>
      </c>
      <c r="F173" s="58" t="s">
        <v>413</v>
      </c>
      <c r="G173" s="61"/>
      <c r="H173" s="61"/>
      <c r="I173" s="60"/>
      <c r="J173" s="61"/>
      <c r="K173" s="61"/>
      <c r="L173" s="60"/>
      <c r="M173" s="62"/>
      <c r="N173" s="63"/>
      <c r="O173" s="61"/>
      <c r="P173" s="61"/>
      <c r="Q173" s="64"/>
      <c r="R173" s="61"/>
      <c r="S173" s="499"/>
      <c r="T173" s="61"/>
      <c r="U173" s="61"/>
      <c r="V173" s="62"/>
      <c r="W173" s="62"/>
      <c r="X173" s="137"/>
      <c r="Y173" s="62"/>
      <c r="Z173" s="62"/>
      <c r="AA173" s="66">
        <f t="shared" ref="AA173:AI173" si="239">SUM(AA174)</f>
        <v>0</v>
      </c>
      <c r="AB173" s="66">
        <f t="shared" si="239"/>
        <v>333032525</v>
      </c>
      <c r="AC173" s="66">
        <f t="shared" si="239"/>
        <v>60000000</v>
      </c>
      <c r="AD173" s="66">
        <f t="shared" si="239"/>
        <v>0</v>
      </c>
      <c r="AE173" s="66">
        <f t="shared" si="239"/>
        <v>0</v>
      </c>
      <c r="AF173" s="66">
        <f t="shared" si="239"/>
        <v>0</v>
      </c>
      <c r="AG173" s="66">
        <f t="shared" si="239"/>
        <v>0</v>
      </c>
      <c r="AH173" s="66">
        <f t="shared" si="239"/>
        <v>0</v>
      </c>
      <c r="AI173" s="66">
        <f t="shared" si="239"/>
        <v>0</v>
      </c>
      <c r="AJ173" s="66">
        <f>SUM(AJ174)</f>
        <v>393032525</v>
      </c>
      <c r="AK173" s="66">
        <f t="shared" ref="AK173:AT173" si="240">SUM(AK174)</f>
        <v>0</v>
      </c>
      <c r="AL173" s="66">
        <f t="shared" si="240"/>
        <v>236949833</v>
      </c>
      <c r="AM173" s="66">
        <f t="shared" si="240"/>
        <v>193900000</v>
      </c>
      <c r="AN173" s="66">
        <f t="shared" si="240"/>
        <v>0</v>
      </c>
      <c r="AO173" s="66">
        <f t="shared" si="240"/>
        <v>0</v>
      </c>
      <c r="AP173" s="66">
        <f t="shared" si="240"/>
        <v>0</v>
      </c>
      <c r="AQ173" s="66">
        <f t="shared" si="240"/>
        <v>0</v>
      </c>
      <c r="AR173" s="66">
        <f t="shared" si="240"/>
        <v>0</v>
      </c>
      <c r="AS173" s="66">
        <f t="shared" si="240"/>
        <v>0</v>
      </c>
      <c r="AT173" s="66">
        <f t="shared" si="240"/>
        <v>430849833</v>
      </c>
      <c r="AU173" s="68"/>
      <c r="AV173" s="68"/>
      <c r="AW173" s="68"/>
      <c r="AX173" s="68"/>
      <c r="AY173" s="68"/>
      <c r="AZ173" s="68"/>
      <c r="BA173" s="68"/>
      <c r="BB173" s="68"/>
      <c r="BC173" s="68"/>
      <c r="BD173" s="66">
        <f t="shared" ref="BD173" si="241">SUM(BD174)</f>
        <v>303705328</v>
      </c>
      <c r="BE173" s="68"/>
      <c r="BF173" s="68"/>
      <c r="BG173" s="68"/>
      <c r="BH173" s="68"/>
      <c r="BI173" s="68"/>
      <c r="BJ173" s="68"/>
      <c r="BK173" s="68"/>
      <c r="BL173" s="68"/>
      <c r="BM173" s="68"/>
      <c r="BN173" s="66">
        <f t="shared" ref="BN173:BO173" si="242">SUM(BN174)</f>
        <v>281380078</v>
      </c>
      <c r="BO173" s="544">
        <f t="shared" si="242"/>
        <v>1408967764</v>
      </c>
    </row>
    <row r="174" spans="1:67" ht="126.75" customHeight="1" x14ac:dyDescent="0.2">
      <c r="A174" s="547">
        <v>120</v>
      </c>
      <c r="B174" s="69">
        <v>3</v>
      </c>
      <c r="C174" s="136"/>
      <c r="D174" s="136"/>
      <c r="E174" s="93">
        <v>6</v>
      </c>
      <c r="F174" s="268" t="s">
        <v>226</v>
      </c>
      <c r="G174" s="78" t="s">
        <v>123</v>
      </c>
      <c r="H174" s="78" t="s">
        <v>124</v>
      </c>
      <c r="I174" s="77">
        <v>119</v>
      </c>
      <c r="J174" s="73" t="s">
        <v>414</v>
      </c>
      <c r="K174" s="262" t="s">
        <v>396</v>
      </c>
      <c r="L174" s="74" t="s">
        <v>397</v>
      </c>
      <c r="M174" s="245">
        <v>5</v>
      </c>
      <c r="N174" s="112" t="s">
        <v>69</v>
      </c>
      <c r="O174" s="93">
        <v>10</v>
      </c>
      <c r="P174" s="93">
        <v>32</v>
      </c>
      <c r="Q174" s="196">
        <v>7</v>
      </c>
      <c r="R174" s="93">
        <v>9</v>
      </c>
      <c r="S174" s="500"/>
      <c r="T174" s="93">
        <v>9</v>
      </c>
      <c r="U174" s="93"/>
      <c r="V174" s="93">
        <v>7</v>
      </c>
      <c r="W174" s="112"/>
      <c r="X174" s="218">
        <f>AJ174/AJ173</f>
        <v>1</v>
      </c>
      <c r="Y174" s="78">
        <v>11</v>
      </c>
      <c r="Z174" s="75" t="s">
        <v>225</v>
      </c>
      <c r="AA174" s="185"/>
      <c r="AB174" s="185">
        <v>333032525</v>
      </c>
      <c r="AC174" s="449">
        <v>60000000</v>
      </c>
      <c r="AD174" s="108"/>
      <c r="AE174" s="185"/>
      <c r="AF174" s="185"/>
      <c r="AG174" s="185"/>
      <c r="AH174" s="185"/>
      <c r="AI174" s="185"/>
      <c r="AJ174" s="82">
        <f>+AA174+AB174+AC174+AD174+AE174+AF174+AG174+AH174+AI174</f>
        <v>393032525</v>
      </c>
      <c r="AK174" s="90"/>
      <c r="AL174" s="90">
        <v>236949833</v>
      </c>
      <c r="AM174" s="158">
        <v>193900000</v>
      </c>
      <c r="AN174" s="158"/>
      <c r="AO174" s="90"/>
      <c r="AP174" s="90"/>
      <c r="AQ174" s="90"/>
      <c r="AR174" s="90"/>
      <c r="AS174" s="90"/>
      <c r="AT174" s="84">
        <f>AK174+AL174+AM174+AN174+AO174+AP174+AQ174+AR174+AS174</f>
        <v>430849833</v>
      </c>
      <c r="AU174" s="455"/>
      <c r="AV174" s="455">
        <v>244058328</v>
      </c>
      <c r="AW174" s="150">
        <v>59647000</v>
      </c>
      <c r="AX174" s="150"/>
      <c r="AY174" s="455"/>
      <c r="AZ174" s="455"/>
      <c r="BA174" s="455"/>
      <c r="BB174" s="455"/>
      <c r="BC174" s="455"/>
      <c r="BD174" s="455">
        <f>SUM(AU174:BC174)</f>
        <v>303705328</v>
      </c>
      <c r="BE174" s="90"/>
      <c r="BF174" s="90">
        <v>251380078</v>
      </c>
      <c r="BG174" s="455">
        <v>30000000</v>
      </c>
      <c r="BH174" s="90"/>
      <c r="BI174" s="90"/>
      <c r="BJ174" s="90"/>
      <c r="BK174" s="90"/>
      <c r="BL174" s="90"/>
      <c r="BM174" s="90"/>
      <c r="BN174" s="90">
        <f>SUM(BE174:BM174)</f>
        <v>281380078</v>
      </c>
      <c r="BO174" s="546">
        <f>AJ174+AT174+BD174+BN174</f>
        <v>1408967764</v>
      </c>
    </row>
    <row r="175" spans="1:67" ht="24.75" customHeight="1" x14ac:dyDescent="0.2">
      <c r="A175" s="547"/>
      <c r="B175" s="69"/>
      <c r="C175" s="136"/>
      <c r="D175" s="136"/>
      <c r="E175" s="57">
        <v>33</v>
      </c>
      <c r="F175" s="58" t="s">
        <v>415</v>
      </c>
      <c r="G175" s="61"/>
      <c r="H175" s="61"/>
      <c r="I175" s="60"/>
      <c r="J175" s="61"/>
      <c r="K175" s="61"/>
      <c r="L175" s="60"/>
      <c r="M175" s="62"/>
      <c r="N175" s="63"/>
      <c r="O175" s="61"/>
      <c r="P175" s="61"/>
      <c r="Q175" s="64"/>
      <c r="R175" s="61"/>
      <c r="S175" s="499"/>
      <c r="T175" s="61"/>
      <c r="U175" s="61"/>
      <c r="V175" s="62"/>
      <c r="W175" s="62"/>
      <c r="X175" s="137"/>
      <c r="Y175" s="62"/>
      <c r="Z175" s="62"/>
      <c r="AA175" s="66">
        <f t="shared" ref="AA175:AI175" si="243">SUM(AA176:AA177)</f>
        <v>0</v>
      </c>
      <c r="AB175" s="66">
        <f t="shared" si="243"/>
        <v>0</v>
      </c>
      <c r="AC175" s="66">
        <f t="shared" si="243"/>
        <v>30000000</v>
      </c>
      <c r="AD175" s="66">
        <f t="shared" si="243"/>
        <v>0</v>
      </c>
      <c r="AE175" s="66">
        <f t="shared" si="243"/>
        <v>0</v>
      </c>
      <c r="AF175" s="66">
        <f t="shared" si="243"/>
        <v>0</v>
      </c>
      <c r="AG175" s="66">
        <f t="shared" si="243"/>
        <v>0</v>
      </c>
      <c r="AH175" s="66">
        <f t="shared" si="243"/>
        <v>0</v>
      </c>
      <c r="AI175" s="66">
        <f t="shared" si="243"/>
        <v>0</v>
      </c>
      <c r="AJ175" s="67">
        <f>SUM(AJ176:AJ177)</f>
        <v>30000000</v>
      </c>
      <c r="AK175" s="66">
        <f t="shared" ref="AK175:AT175" si="244">SUM(AK176:AK177)</f>
        <v>0</v>
      </c>
      <c r="AL175" s="66">
        <f t="shared" si="244"/>
        <v>0</v>
      </c>
      <c r="AM175" s="66">
        <f t="shared" si="244"/>
        <v>40000000</v>
      </c>
      <c r="AN175" s="66">
        <f t="shared" si="244"/>
        <v>0</v>
      </c>
      <c r="AO175" s="66">
        <f t="shared" si="244"/>
        <v>0</v>
      </c>
      <c r="AP175" s="66">
        <f t="shared" si="244"/>
        <v>0</v>
      </c>
      <c r="AQ175" s="66">
        <f t="shared" si="244"/>
        <v>0</v>
      </c>
      <c r="AR175" s="66">
        <f t="shared" si="244"/>
        <v>0</v>
      </c>
      <c r="AS175" s="66">
        <f t="shared" si="244"/>
        <v>0</v>
      </c>
      <c r="AT175" s="66">
        <f t="shared" si="244"/>
        <v>40000000</v>
      </c>
      <c r="AU175" s="68"/>
      <c r="AV175" s="68"/>
      <c r="AW175" s="68"/>
      <c r="AX175" s="68"/>
      <c r="AY175" s="68"/>
      <c r="AZ175" s="68"/>
      <c r="BA175" s="68"/>
      <c r="BB175" s="68"/>
      <c r="BC175" s="68"/>
      <c r="BD175" s="66">
        <f t="shared" ref="BD175" si="245">SUM(BD176:BD177)</f>
        <v>15000000</v>
      </c>
      <c r="BE175" s="68"/>
      <c r="BF175" s="68"/>
      <c r="BG175" s="68"/>
      <c r="BH175" s="68"/>
      <c r="BI175" s="68"/>
      <c r="BJ175" s="68"/>
      <c r="BK175" s="68"/>
      <c r="BL175" s="68"/>
      <c r="BM175" s="68"/>
      <c r="BN175" s="66">
        <f t="shared" ref="BN175:BO175" si="246">SUM(BN176:BN177)</f>
        <v>15000000</v>
      </c>
      <c r="BO175" s="544">
        <f t="shared" si="246"/>
        <v>100000000</v>
      </c>
    </row>
    <row r="176" spans="1:67" ht="50.25" customHeight="1" x14ac:dyDescent="0.2">
      <c r="A176" s="545">
        <v>121</v>
      </c>
      <c r="B176" s="69">
        <v>3</v>
      </c>
      <c r="C176" s="136"/>
      <c r="D176" s="136"/>
      <c r="E176" s="478">
        <v>5</v>
      </c>
      <c r="F176" s="439" t="s">
        <v>407</v>
      </c>
      <c r="G176" s="607" t="s">
        <v>117</v>
      </c>
      <c r="H176" s="608" t="s">
        <v>117</v>
      </c>
      <c r="I176" s="77">
        <v>120</v>
      </c>
      <c r="J176" s="73" t="s">
        <v>416</v>
      </c>
      <c r="K176" s="262" t="s">
        <v>417</v>
      </c>
      <c r="L176" s="74" t="s">
        <v>397</v>
      </c>
      <c r="M176" s="245">
        <v>5</v>
      </c>
      <c r="N176" s="112" t="s">
        <v>69</v>
      </c>
      <c r="O176" s="93">
        <v>0</v>
      </c>
      <c r="P176" s="78">
        <v>10</v>
      </c>
      <c r="Q176" s="196">
        <v>2</v>
      </c>
      <c r="R176" s="93">
        <v>3</v>
      </c>
      <c r="S176" s="500"/>
      <c r="T176" s="93">
        <v>3</v>
      </c>
      <c r="U176" s="93"/>
      <c r="V176" s="93">
        <v>2</v>
      </c>
      <c r="W176" s="112"/>
      <c r="X176" s="257">
        <f>AJ176/AJ175</f>
        <v>0.5</v>
      </c>
      <c r="Y176" s="78">
        <v>11</v>
      </c>
      <c r="Z176" s="75" t="s">
        <v>225</v>
      </c>
      <c r="AA176" s="108"/>
      <c r="AB176" s="108"/>
      <c r="AC176" s="108">
        <v>15000000</v>
      </c>
      <c r="AD176" s="108"/>
      <c r="AE176" s="108"/>
      <c r="AF176" s="108"/>
      <c r="AG176" s="108"/>
      <c r="AH176" s="108"/>
      <c r="AI176" s="108"/>
      <c r="AJ176" s="82">
        <f>+AA176+AB176+AC176+AD176+AE176+AF176+AG176+AH176+AI176</f>
        <v>15000000</v>
      </c>
      <c r="AK176" s="90"/>
      <c r="AL176" s="90"/>
      <c r="AM176" s="90">
        <v>20000000</v>
      </c>
      <c r="AN176" s="90"/>
      <c r="AO176" s="90"/>
      <c r="AP176" s="90"/>
      <c r="AQ176" s="90"/>
      <c r="AR176" s="90"/>
      <c r="AS176" s="90"/>
      <c r="AT176" s="84">
        <f>AK176+AL176+AM176+AN176+AO176+AP176+AQ176+AR176+AS176</f>
        <v>20000000</v>
      </c>
      <c r="AU176" s="455"/>
      <c r="AV176" s="455"/>
      <c r="AW176" s="455">
        <v>7500000</v>
      </c>
      <c r="AX176" s="455"/>
      <c r="AY176" s="455"/>
      <c r="AZ176" s="455"/>
      <c r="BA176" s="455"/>
      <c r="BB176" s="455"/>
      <c r="BC176" s="455"/>
      <c r="BD176" s="455">
        <f>SUM(AU176:BC176)</f>
        <v>7500000</v>
      </c>
      <c r="BE176" s="90"/>
      <c r="BF176" s="90"/>
      <c r="BG176" s="90">
        <v>7500000</v>
      </c>
      <c r="BH176" s="90"/>
      <c r="BI176" s="90"/>
      <c r="BJ176" s="90"/>
      <c r="BK176" s="90"/>
      <c r="BL176" s="90"/>
      <c r="BM176" s="90"/>
      <c r="BN176" s="90">
        <f>SUM(BE176:BM176)</f>
        <v>7500000</v>
      </c>
      <c r="BO176" s="546">
        <f>AJ176+AT176+BD176+BN176</f>
        <v>50000000</v>
      </c>
    </row>
    <row r="177" spans="1:67" ht="78.75" customHeight="1" x14ac:dyDescent="0.2">
      <c r="A177" s="547">
        <v>122</v>
      </c>
      <c r="B177" s="69">
        <v>3</v>
      </c>
      <c r="C177" s="136"/>
      <c r="D177" s="192"/>
      <c r="E177" s="451"/>
      <c r="F177" s="529"/>
      <c r="G177" s="161"/>
      <c r="H177" s="202"/>
      <c r="I177" s="77">
        <v>121</v>
      </c>
      <c r="J177" s="73" t="s">
        <v>418</v>
      </c>
      <c r="K177" s="262" t="s">
        <v>419</v>
      </c>
      <c r="L177" s="74" t="s">
        <v>397</v>
      </c>
      <c r="M177" s="245">
        <v>5</v>
      </c>
      <c r="N177" s="269" t="s">
        <v>69</v>
      </c>
      <c r="O177" s="93">
        <v>9</v>
      </c>
      <c r="P177" s="78">
        <v>16</v>
      </c>
      <c r="Q177" s="270">
        <v>4</v>
      </c>
      <c r="R177" s="271">
        <v>4</v>
      </c>
      <c r="S177" s="500"/>
      <c r="T177" s="271">
        <v>4</v>
      </c>
      <c r="U177" s="271"/>
      <c r="V177" s="271">
        <v>4</v>
      </c>
      <c r="W177" s="269"/>
      <c r="X177" s="257">
        <f>AJ177/AJ175</f>
        <v>0.5</v>
      </c>
      <c r="Y177" s="78">
        <v>11</v>
      </c>
      <c r="Z177" s="75" t="s">
        <v>225</v>
      </c>
      <c r="AA177" s="108"/>
      <c r="AB177" s="108"/>
      <c r="AC177" s="108">
        <v>15000000</v>
      </c>
      <c r="AD177" s="108"/>
      <c r="AE177" s="108"/>
      <c r="AF177" s="108"/>
      <c r="AG177" s="108"/>
      <c r="AH177" s="108"/>
      <c r="AI177" s="108"/>
      <c r="AJ177" s="82">
        <f>+AA177+AB177+AC177+AD177+AE177+AF177+AG177+AH177+AI177</f>
        <v>15000000</v>
      </c>
      <c r="AK177" s="90"/>
      <c r="AL177" s="90"/>
      <c r="AM177" s="90">
        <v>20000000</v>
      </c>
      <c r="AN177" s="90"/>
      <c r="AO177" s="90"/>
      <c r="AP177" s="90"/>
      <c r="AQ177" s="90"/>
      <c r="AR177" s="90"/>
      <c r="AS177" s="90"/>
      <c r="AT177" s="84">
        <f>AK177+AL177+AM177+AN177+AO177+AP177+AQ177+AR177+AS177</f>
        <v>20000000</v>
      </c>
      <c r="AU177" s="455"/>
      <c r="AV177" s="455"/>
      <c r="AW177" s="455">
        <v>7500000</v>
      </c>
      <c r="AX177" s="455"/>
      <c r="AY177" s="455"/>
      <c r="AZ177" s="455"/>
      <c r="BA177" s="455"/>
      <c r="BB177" s="455"/>
      <c r="BC177" s="455"/>
      <c r="BD177" s="455">
        <f>SUM(AU177:BC177)</f>
        <v>7500000</v>
      </c>
      <c r="BE177" s="90"/>
      <c r="BF177" s="90"/>
      <c r="BG177" s="90">
        <v>7500000</v>
      </c>
      <c r="BH177" s="90"/>
      <c r="BI177" s="90"/>
      <c r="BJ177" s="90"/>
      <c r="BK177" s="90"/>
      <c r="BL177" s="90"/>
      <c r="BM177" s="90"/>
      <c r="BN177" s="90">
        <f>SUM(BE177:BM177)</f>
        <v>7500000</v>
      </c>
      <c r="BO177" s="546">
        <f>AJ177+AT177+BD177+BN177</f>
        <v>50000000</v>
      </c>
    </row>
    <row r="178" spans="1:67" s="410" customFormat="1" ht="24.75" customHeight="1" x14ac:dyDescent="0.2">
      <c r="A178" s="609"/>
      <c r="B178" s="403"/>
      <c r="C178" s="404"/>
      <c r="D178" s="405">
        <v>11</v>
      </c>
      <c r="E178" s="406" t="s">
        <v>420</v>
      </c>
      <c r="F178" s="407"/>
      <c r="G178" s="407"/>
      <c r="H178" s="407"/>
      <c r="I178" s="408"/>
      <c r="J178" s="407"/>
      <c r="K178" s="407"/>
      <c r="L178" s="409"/>
      <c r="M178" s="408"/>
      <c r="N178" s="408"/>
      <c r="O178" s="407"/>
      <c r="P178" s="407"/>
      <c r="Q178" s="407"/>
      <c r="R178" s="407"/>
      <c r="S178" s="498"/>
      <c r="T178" s="407"/>
      <c r="U178" s="407"/>
      <c r="V178" s="407"/>
      <c r="W178" s="407"/>
      <c r="X178" s="407"/>
      <c r="Y178" s="407"/>
      <c r="Z178" s="407"/>
      <c r="AA178" s="401">
        <f>AA179+AA185</f>
        <v>0</v>
      </c>
      <c r="AB178" s="401">
        <f t="shared" ref="AB178" si="247">AB179+AB185</f>
        <v>0</v>
      </c>
      <c r="AC178" s="401">
        <f t="shared" ref="AC178" si="248">AC179+AC185</f>
        <v>50000000</v>
      </c>
      <c r="AD178" s="401">
        <f t="shared" ref="AD178" si="249">AD179+AD185</f>
        <v>0</v>
      </c>
      <c r="AE178" s="401">
        <f t="shared" ref="AE178" si="250">AE179+AE185</f>
        <v>0</v>
      </c>
      <c r="AF178" s="401">
        <f t="shared" ref="AF178" si="251">AF179+AF185</f>
        <v>0</v>
      </c>
      <c r="AG178" s="401">
        <f t="shared" ref="AG178" si="252">AG179+AG185</f>
        <v>0</v>
      </c>
      <c r="AH178" s="401">
        <f t="shared" ref="AH178" si="253">AH179+AH185</f>
        <v>100000000</v>
      </c>
      <c r="AI178" s="401">
        <f t="shared" ref="AI178" si="254">AI179+AI185</f>
        <v>1250000000</v>
      </c>
      <c r="AJ178" s="401">
        <f t="shared" ref="AJ178" si="255">AJ179+AJ185</f>
        <v>1400000000</v>
      </c>
      <c r="AK178" s="401">
        <f t="shared" ref="AK178:AT178" si="256">AK179+AK185</f>
        <v>0</v>
      </c>
      <c r="AL178" s="401">
        <f t="shared" si="256"/>
        <v>0</v>
      </c>
      <c r="AM178" s="401">
        <f t="shared" si="256"/>
        <v>50000000</v>
      </c>
      <c r="AN178" s="401">
        <f t="shared" si="256"/>
        <v>0</v>
      </c>
      <c r="AO178" s="401">
        <f t="shared" si="256"/>
        <v>0</v>
      </c>
      <c r="AP178" s="401">
        <f t="shared" si="256"/>
        <v>0</v>
      </c>
      <c r="AQ178" s="401">
        <f t="shared" si="256"/>
        <v>0</v>
      </c>
      <c r="AR178" s="401">
        <f t="shared" si="256"/>
        <v>103000000</v>
      </c>
      <c r="AS178" s="401">
        <f t="shared" si="256"/>
        <v>1250000000</v>
      </c>
      <c r="AT178" s="401">
        <f t="shared" si="256"/>
        <v>1403000000</v>
      </c>
      <c r="AU178" s="407"/>
      <c r="AV178" s="407"/>
      <c r="AW178" s="407"/>
      <c r="AX178" s="407"/>
      <c r="AY178" s="407"/>
      <c r="AZ178" s="407"/>
      <c r="BA178" s="407"/>
      <c r="BB178" s="407"/>
      <c r="BC178" s="407"/>
      <c r="BD178" s="401">
        <f>BD179+BD185</f>
        <v>1371090000</v>
      </c>
      <c r="BE178" s="407"/>
      <c r="BF178" s="407"/>
      <c r="BG178" s="407"/>
      <c r="BH178" s="407"/>
      <c r="BI178" s="407"/>
      <c r="BJ178" s="407"/>
      <c r="BK178" s="407"/>
      <c r="BL178" s="407"/>
      <c r="BM178" s="407"/>
      <c r="BN178" s="401">
        <f t="shared" ref="BN178" si="257">BN179+BN185</f>
        <v>2369272700</v>
      </c>
      <c r="BO178" s="610">
        <f t="shared" ref="BO178" si="258">BO179+BO185</f>
        <v>6543362700</v>
      </c>
    </row>
    <row r="179" spans="1:67" s="410" customFormat="1" ht="24.75" customHeight="1" x14ac:dyDescent="0.2">
      <c r="A179" s="609"/>
      <c r="B179" s="403"/>
      <c r="C179" s="404"/>
      <c r="D179" s="611"/>
      <c r="E179" s="411">
        <v>34</v>
      </c>
      <c r="F179" s="412" t="s">
        <v>421</v>
      </c>
      <c r="G179" s="413"/>
      <c r="H179" s="413"/>
      <c r="I179" s="411"/>
      <c r="J179" s="414"/>
      <c r="K179" s="413"/>
      <c r="L179" s="415"/>
      <c r="M179" s="415"/>
      <c r="N179" s="415"/>
      <c r="O179" s="413"/>
      <c r="P179" s="413"/>
      <c r="Q179" s="413"/>
      <c r="R179" s="413"/>
      <c r="S179" s="503"/>
      <c r="T179" s="413"/>
      <c r="U179" s="413"/>
      <c r="V179" s="413"/>
      <c r="W179" s="413"/>
      <c r="X179" s="413"/>
      <c r="Y179" s="413"/>
      <c r="Z179" s="413"/>
      <c r="AA179" s="402">
        <f>SUM(AA180:AA184)</f>
        <v>0</v>
      </c>
      <c r="AB179" s="402">
        <f t="shared" ref="AB179" si="259">SUM(AB180:AB184)</f>
        <v>0</v>
      </c>
      <c r="AC179" s="402">
        <f t="shared" ref="AC179" si="260">SUM(AC180:AC184)</f>
        <v>50000000</v>
      </c>
      <c r="AD179" s="402">
        <f t="shared" ref="AD179" si="261">SUM(AD180:AD184)</f>
        <v>0</v>
      </c>
      <c r="AE179" s="402">
        <f t="shared" ref="AE179" si="262">SUM(AE180:AE184)</f>
        <v>0</v>
      </c>
      <c r="AF179" s="402">
        <f t="shared" ref="AF179" si="263">SUM(AF180:AF184)</f>
        <v>0</v>
      </c>
      <c r="AG179" s="402">
        <f t="shared" ref="AG179" si="264">SUM(AG180:AG184)</f>
        <v>0</v>
      </c>
      <c r="AH179" s="402">
        <f t="shared" ref="AH179" si="265">SUM(AH180:AH184)</f>
        <v>0</v>
      </c>
      <c r="AI179" s="402">
        <f t="shared" ref="AI179" si="266">SUM(AI180:AI184)</f>
        <v>1250000000</v>
      </c>
      <c r="AJ179" s="402">
        <f t="shared" ref="AJ179" si="267">SUM(AJ180:AJ184)</f>
        <v>1300000000</v>
      </c>
      <c r="AK179" s="402">
        <f t="shared" ref="AK179:AT179" si="268">SUM(AK180:AK184)</f>
        <v>0</v>
      </c>
      <c r="AL179" s="402">
        <f t="shared" si="268"/>
        <v>0</v>
      </c>
      <c r="AM179" s="402">
        <f t="shared" si="268"/>
        <v>50000000</v>
      </c>
      <c r="AN179" s="402">
        <f t="shared" si="268"/>
        <v>0</v>
      </c>
      <c r="AO179" s="402">
        <f t="shared" si="268"/>
        <v>0</v>
      </c>
      <c r="AP179" s="402">
        <f t="shared" si="268"/>
        <v>0</v>
      </c>
      <c r="AQ179" s="402">
        <f t="shared" si="268"/>
        <v>0</v>
      </c>
      <c r="AR179" s="402">
        <f t="shared" si="268"/>
        <v>0</v>
      </c>
      <c r="AS179" s="402">
        <f t="shared" si="268"/>
        <v>1250000000</v>
      </c>
      <c r="AT179" s="402">
        <f t="shared" si="268"/>
        <v>1300000000</v>
      </c>
      <c r="AU179" s="413"/>
      <c r="AV179" s="413"/>
      <c r="AW179" s="413"/>
      <c r="AX179" s="413"/>
      <c r="AY179" s="413"/>
      <c r="AZ179" s="413"/>
      <c r="BA179" s="413"/>
      <c r="BB179" s="413"/>
      <c r="BC179" s="413"/>
      <c r="BD179" s="402">
        <f t="shared" ref="BD179" si="269">SUM(BD180:BD184)</f>
        <v>1265000000</v>
      </c>
      <c r="BE179" s="413"/>
      <c r="BF179" s="413"/>
      <c r="BG179" s="413"/>
      <c r="BH179" s="413"/>
      <c r="BI179" s="413"/>
      <c r="BJ179" s="413"/>
      <c r="BK179" s="413"/>
      <c r="BL179" s="413"/>
      <c r="BM179" s="413"/>
      <c r="BN179" s="402">
        <f t="shared" ref="BN179" si="270">SUM(BN180:BN184)</f>
        <v>2260000000</v>
      </c>
      <c r="BO179" s="612">
        <f t="shared" ref="BO179" si="271">SUM(BO180:BO184)</f>
        <v>6125000000</v>
      </c>
    </row>
    <row r="180" spans="1:67" ht="90.75" customHeight="1" x14ac:dyDescent="0.2">
      <c r="A180" s="545">
        <v>123</v>
      </c>
      <c r="B180" s="69">
        <v>3</v>
      </c>
      <c r="C180" s="136"/>
      <c r="D180" s="136"/>
      <c r="E180" s="478"/>
      <c r="F180" s="461"/>
      <c r="G180" s="562"/>
      <c r="H180" s="562"/>
      <c r="I180" s="77">
        <v>122</v>
      </c>
      <c r="J180" s="73" t="s">
        <v>422</v>
      </c>
      <c r="K180" s="70" t="s">
        <v>423</v>
      </c>
      <c r="L180" s="74" t="s">
        <v>424</v>
      </c>
      <c r="M180" s="74">
        <v>8</v>
      </c>
      <c r="N180" s="88" t="s">
        <v>54</v>
      </c>
      <c r="O180" s="76">
        <v>0</v>
      </c>
      <c r="P180" s="76">
        <v>1</v>
      </c>
      <c r="Q180" s="89">
        <v>1</v>
      </c>
      <c r="R180" s="76">
        <v>1</v>
      </c>
      <c r="S180" s="500"/>
      <c r="T180" s="76">
        <v>1</v>
      </c>
      <c r="U180" s="76"/>
      <c r="V180" s="76">
        <v>1</v>
      </c>
      <c r="W180" s="88"/>
      <c r="X180" s="121">
        <f>AJ180/$AJ$179</f>
        <v>0.99615384615384617</v>
      </c>
      <c r="Y180" s="77">
        <v>2</v>
      </c>
      <c r="Z180" s="74" t="s">
        <v>137</v>
      </c>
      <c r="AA180" s="82"/>
      <c r="AB180" s="82"/>
      <c r="AC180" s="82">
        <v>45000000</v>
      </c>
      <c r="AD180" s="82"/>
      <c r="AE180" s="82"/>
      <c r="AF180" s="82"/>
      <c r="AG180" s="82"/>
      <c r="AH180" s="82"/>
      <c r="AI180" s="82">
        <v>1250000000</v>
      </c>
      <c r="AJ180" s="82">
        <f>+AA180+AB180+AC180+AD180+AE180+AF180+AG180+AH180+AI180</f>
        <v>1295000000</v>
      </c>
      <c r="AK180" s="90"/>
      <c r="AL180" s="90"/>
      <c r="AM180" s="90">
        <v>10000000</v>
      </c>
      <c r="AN180" s="90"/>
      <c r="AO180" s="90"/>
      <c r="AP180" s="90"/>
      <c r="AQ180" s="90"/>
      <c r="AR180" s="90"/>
      <c r="AS180" s="90">
        <v>390000000</v>
      </c>
      <c r="AT180" s="84">
        <f>AK180+AL180+AM180+AN180+AO180+AP180+AQ180+AR180+AS180</f>
        <v>400000000</v>
      </c>
      <c r="AU180" s="455"/>
      <c r="AV180" s="455"/>
      <c r="AW180" s="455">
        <v>3000000</v>
      </c>
      <c r="AX180" s="455"/>
      <c r="AY180" s="455"/>
      <c r="AZ180" s="455"/>
      <c r="BA180" s="455"/>
      <c r="BB180" s="455"/>
      <c r="BC180" s="455">
        <v>410500000</v>
      </c>
      <c r="BD180" s="455">
        <f>SUM(AU180:BC180)</f>
        <v>413500000</v>
      </c>
      <c r="BE180" s="90"/>
      <c r="BF180" s="90"/>
      <c r="BG180" s="90">
        <v>2500000</v>
      </c>
      <c r="BH180" s="90"/>
      <c r="BI180" s="90"/>
      <c r="BJ180" s="90"/>
      <c r="BK180" s="90"/>
      <c r="BL180" s="90"/>
      <c r="BM180" s="90">
        <v>506500000</v>
      </c>
      <c r="BN180" s="90">
        <f>SUM(BE180:BM180)</f>
        <v>509000000</v>
      </c>
      <c r="BO180" s="546">
        <f>AJ180+AT180+BD180+BN180</f>
        <v>2617500000</v>
      </c>
    </row>
    <row r="181" spans="1:67" ht="90.75" customHeight="1" x14ac:dyDescent="0.2">
      <c r="A181" s="547">
        <v>124</v>
      </c>
      <c r="B181" s="69">
        <v>3</v>
      </c>
      <c r="C181" s="136"/>
      <c r="D181" s="136"/>
      <c r="E181" s="451">
        <v>23</v>
      </c>
      <c r="F181" s="273" t="s">
        <v>425</v>
      </c>
      <c r="G181" s="198">
        <v>0.92</v>
      </c>
      <c r="H181" s="274">
        <v>0.85</v>
      </c>
      <c r="I181" s="77">
        <v>123</v>
      </c>
      <c r="J181" s="73" t="s">
        <v>426</v>
      </c>
      <c r="K181" s="70" t="s">
        <v>427</v>
      </c>
      <c r="L181" s="74" t="s">
        <v>424</v>
      </c>
      <c r="M181" s="74">
        <v>8</v>
      </c>
      <c r="N181" s="88" t="s">
        <v>54</v>
      </c>
      <c r="O181" s="76" t="s">
        <v>49</v>
      </c>
      <c r="P181" s="76">
        <v>4</v>
      </c>
      <c r="Q181" s="89">
        <v>4</v>
      </c>
      <c r="R181" s="76">
        <v>4</v>
      </c>
      <c r="S181" s="500"/>
      <c r="T181" s="76">
        <v>4</v>
      </c>
      <c r="U181" s="76"/>
      <c r="V181" s="76">
        <v>4</v>
      </c>
      <c r="W181" s="88"/>
      <c r="X181" s="121">
        <f>AJ181/$AJ$179</f>
        <v>0</v>
      </c>
      <c r="Y181" s="77">
        <v>2</v>
      </c>
      <c r="Z181" s="74" t="s">
        <v>137</v>
      </c>
      <c r="AA181" s="82"/>
      <c r="AB181" s="82"/>
      <c r="AC181" s="82"/>
      <c r="AD181" s="82"/>
      <c r="AE181" s="82"/>
      <c r="AF181" s="82"/>
      <c r="AG181" s="82"/>
      <c r="AH181" s="82"/>
      <c r="AI181" s="82"/>
      <c r="AJ181" s="82">
        <f>+AA181+AB181+AC181+AD181+AE181+AF181+AG181+AH181+AI181</f>
        <v>0</v>
      </c>
      <c r="AK181" s="90"/>
      <c r="AL181" s="90"/>
      <c r="AM181" s="90">
        <v>10000000</v>
      </c>
      <c r="AN181" s="90"/>
      <c r="AO181" s="90"/>
      <c r="AP181" s="90"/>
      <c r="AQ181" s="90"/>
      <c r="AR181" s="90"/>
      <c r="AS181" s="90">
        <v>85000000</v>
      </c>
      <c r="AT181" s="84">
        <f>AK181+AL181+AM181+AN181+AO181+AP181+AQ181+AR181+AS181</f>
        <v>95000000</v>
      </c>
      <c r="AU181" s="455"/>
      <c r="AV181" s="455"/>
      <c r="AW181" s="455">
        <v>3000000</v>
      </c>
      <c r="AX181" s="455"/>
      <c r="AY181" s="455"/>
      <c r="AZ181" s="455"/>
      <c r="BA181" s="455"/>
      <c r="BB181" s="455"/>
      <c r="BC181" s="455">
        <v>42000000</v>
      </c>
      <c r="BD181" s="455">
        <f>SUM(AU181:BC181)</f>
        <v>45000000</v>
      </c>
      <c r="BE181" s="90"/>
      <c r="BF181" s="90"/>
      <c r="BG181" s="90">
        <v>2500000</v>
      </c>
      <c r="BH181" s="90"/>
      <c r="BI181" s="90"/>
      <c r="BJ181" s="90"/>
      <c r="BK181" s="90"/>
      <c r="BL181" s="90"/>
      <c r="BM181" s="90">
        <v>247500000</v>
      </c>
      <c r="BN181" s="90">
        <f>SUM(BE181:BM181)</f>
        <v>250000000</v>
      </c>
      <c r="BO181" s="546">
        <f>AJ181+AT181+BD181+BN181</f>
        <v>390000000</v>
      </c>
    </row>
    <row r="182" spans="1:67" ht="134.25" customHeight="1" x14ac:dyDescent="0.2">
      <c r="A182" s="545">
        <v>125</v>
      </c>
      <c r="B182" s="69">
        <v>3</v>
      </c>
      <c r="C182" s="136"/>
      <c r="D182" s="136"/>
      <c r="E182" s="91">
        <v>24</v>
      </c>
      <c r="F182" s="119" t="s">
        <v>428</v>
      </c>
      <c r="G182" s="114" t="s">
        <v>429</v>
      </c>
      <c r="H182" s="113" t="s">
        <v>429</v>
      </c>
      <c r="I182" s="77">
        <v>124</v>
      </c>
      <c r="J182" s="73" t="s">
        <v>430</v>
      </c>
      <c r="K182" s="70" t="s">
        <v>431</v>
      </c>
      <c r="L182" s="74" t="s">
        <v>424</v>
      </c>
      <c r="M182" s="74">
        <v>8</v>
      </c>
      <c r="N182" s="88" t="s">
        <v>69</v>
      </c>
      <c r="O182" s="76">
        <v>40</v>
      </c>
      <c r="P182" s="76">
        <v>500</v>
      </c>
      <c r="Q182" s="76">
        <v>0</v>
      </c>
      <c r="R182" s="76">
        <v>150</v>
      </c>
      <c r="S182" s="500"/>
      <c r="T182" s="76">
        <v>200</v>
      </c>
      <c r="U182" s="76"/>
      <c r="V182" s="76">
        <v>150</v>
      </c>
      <c r="W182" s="88"/>
      <c r="X182" s="121">
        <f>AJ182/$AJ$179</f>
        <v>0</v>
      </c>
      <c r="Y182" s="77">
        <v>2</v>
      </c>
      <c r="Z182" s="74" t="s">
        <v>137</v>
      </c>
      <c r="AA182" s="82"/>
      <c r="AB182" s="82"/>
      <c r="AC182" s="82"/>
      <c r="AD182" s="82"/>
      <c r="AE182" s="82"/>
      <c r="AF182" s="82"/>
      <c r="AG182" s="82"/>
      <c r="AH182" s="82"/>
      <c r="AI182" s="82"/>
      <c r="AJ182" s="82">
        <f>+AA182+AB182+AC182+AD182+AE182+AF182+AG182+AH182+AI182</f>
        <v>0</v>
      </c>
      <c r="AK182" s="90"/>
      <c r="AL182" s="90"/>
      <c r="AM182" s="90">
        <v>10000000</v>
      </c>
      <c r="AN182" s="90"/>
      <c r="AO182" s="90"/>
      <c r="AP182" s="90"/>
      <c r="AQ182" s="90"/>
      <c r="AR182" s="90"/>
      <c r="AS182" s="90">
        <v>390000000</v>
      </c>
      <c r="AT182" s="84">
        <f>AK182+AL182+AM182+AN182+AO182+AP182+AQ182+AR182+AS182</f>
        <v>400000000</v>
      </c>
      <c r="AU182" s="455"/>
      <c r="AV182" s="455"/>
      <c r="AW182" s="455">
        <v>3000000</v>
      </c>
      <c r="AX182" s="455"/>
      <c r="AY182" s="455"/>
      <c r="AZ182" s="455"/>
      <c r="BA182" s="455"/>
      <c r="BB182" s="455"/>
      <c r="BC182" s="455">
        <v>397000000</v>
      </c>
      <c r="BD182" s="455">
        <f>SUM(AU182:BC182)</f>
        <v>400000000</v>
      </c>
      <c r="BE182" s="90"/>
      <c r="BF182" s="90"/>
      <c r="BG182" s="90">
        <v>2500000</v>
      </c>
      <c r="BH182" s="90"/>
      <c r="BI182" s="90"/>
      <c r="BJ182" s="90"/>
      <c r="BK182" s="90"/>
      <c r="BL182" s="90"/>
      <c r="BM182" s="90">
        <v>497500000</v>
      </c>
      <c r="BN182" s="90">
        <f>SUM(BE182:BM182)</f>
        <v>500000000</v>
      </c>
      <c r="BO182" s="546">
        <f>AJ182+AT182+BD182+BN182</f>
        <v>1300000000</v>
      </c>
    </row>
    <row r="183" spans="1:67" ht="171.75" customHeight="1" x14ac:dyDescent="0.2">
      <c r="A183" s="547">
        <v>126</v>
      </c>
      <c r="B183" s="69">
        <v>3</v>
      </c>
      <c r="C183" s="136"/>
      <c r="D183" s="136"/>
      <c r="E183" s="91"/>
      <c r="F183" s="106"/>
      <c r="G183" s="136"/>
      <c r="H183" s="136"/>
      <c r="I183" s="77">
        <v>125</v>
      </c>
      <c r="J183" s="73" t="s">
        <v>432</v>
      </c>
      <c r="K183" s="262" t="s">
        <v>433</v>
      </c>
      <c r="L183" s="74" t="s">
        <v>424</v>
      </c>
      <c r="M183" s="74">
        <v>8</v>
      </c>
      <c r="N183" s="275" t="s">
        <v>69</v>
      </c>
      <c r="O183" s="276">
        <v>1200</v>
      </c>
      <c r="P183" s="276">
        <v>2400</v>
      </c>
      <c r="Q183" s="276">
        <v>150</v>
      </c>
      <c r="R183" s="276">
        <v>750</v>
      </c>
      <c r="S183" s="500"/>
      <c r="T183" s="276">
        <v>750</v>
      </c>
      <c r="U183" s="276">
        <v>761</v>
      </c>
      <c r="V183" s="276">
        <v>750</v>
      </c>
      <c r="W183" s="275">
        <v>760</v>
      </c>
      <c r="X183" s="121">
        <f>AJ183/$AJ$179</f>
        <v>3.8461538461538464E-3</v>
      </c>
      <c r="Y183" s="77">
        <v>2</v>
      </c>
      <c r="Z183" s="74" t="s">
        <v>137</v>
      </c>
      <c r="AA183" s="82"/>
      <c r="AB183" s="82"/>
      <c r="AC183" s="82">
        <v>5000000</v>
      </c>
      <c r="AD183" s="82"/>
      <c r="AE183" s="82"/>
      <c r="AF183" s="82"/>
      <c r="AG183" s="82"/>
      <c r="AH183" s="82"/>
      <c r="AI183" s="82"/>
      <c r="AJ183" s="82">
        <f>+AA183+AB183+AC183+AD183+AE183+AF183+AG183+AH183+AI183</f>
        <v>5000000</v>
      </c>
      <c r="AK183" s="90"/>
      <c r="AL183" s="90"/>
      <c r="AM183" s="90">
        <v>10000000</v>
      </c>
      <c r="AN183" s="90"/>
      <c r="AO183" s="90"/>
      <c r="AP183" s="90"/>
      <c r="AQ183" s="90"/>
      <c r="AR183" s="90"/>
      <c r="AS183" s="90">
        <v>195000000</v>
      </c>
      <c r="AT183" s="84">
        <f>AK183+AL183+AM183+AN183+AO183+AP183+AQ183+AR183+AS183</f>
        <v>205000000</v>
      </c>
      <c r="AU183" s="455"/>
      <c r="AV183" s="455"/>
      <c r="AW183" s="455">
        <v>3000000</v>
      </c>
      <c r="AX183" s="455"/>
      <c r="AY183" s="455"/>
      <c r="AZ183" s="455"/>
      <c r="BA183" s="455"/>
      <c r="BB183" s="455"/>
      <c r="BC183" s="455">
        <v>203500000</v>
      </c>
      <c r="BD183" s="455">
        <f>SUM(AU183:BC183)</f>
        <v>206500000</v>
      </c>
      <c r="BE183" s="90"/>
      <c r="BF183" s="90"/>
      <c r="BG183" s="90">
        <v>2500000</v>
      </c>
      <c r="BH183" s="90"/>
      <c r="BI183" s="90"/>
      <c r="BJ183" s="90"/>
      <c r="BK183" s="90"/>
      <c r="BL183" s="90"/>
      <c r="BM183" s="90">
        <v>498500000</v>
      </c>
      <c r="BN183" s="90">
        <f>SUM(BE183:BM183)</f>
        <v>501000000</v>
      </c>
      <c r="BO183" s="546">
        <f>AJ183+AT183+BD183+BN183</f>
        <v>917500000</v>
      </c>
    </row>
    <row r="184" spans="1:67" ht="140.25" customHeight="1" x14ac:dyDescent="0.2">
      <c r="A184" s="545">
        <v>127</v>
      </c>
      <c r="B184" s="69">
        <v>3</v>
      </c>
      <c r="C184" s="136"/>
      <c r="D184" s="136"/>
      <c r="E184" s="451"/>
      <c r="F184" s="109"/>
      <c r="G184" s="192"/>
      <c r="H184" s="192"/>
      <c r="I184" s="78">
        <v>126</v>
      </c>
      <c r="J184" s="70" t="s">
        <v>434</v>
      </c>
      <c r="K184" s="70" t="s">
        <v>435</v>
      </c>
      <c r="L184" s="75" t="s">
        <v>424</v>
      </c>
      <c r="M184" s="75">
        <v>8</v>
      </c>
      <c r="N184" s="88" t="s">
        <v>54</v>
      </c>
      <c r="O184" s="76" t="s">
        <v>49</v>
      </c>
      <c r="P184" s="76" t="s">
        <v>436</v>
      </c>
      <c r="Q184" s="76">
        <v>0</v>
      </c>
      <c r="R184" s="76">
        <f>1795 +  1531</f>
        <v>3326</v>
      </c>
      <c r="S184" s="500"/>
      <c r="T184" s="76" t="s">
        <v>436</v>
      </c>
      <c r="U184" s="76"/>
      <c r="V184" s="76" t="s">
        <v>436</v>
      </c>
      <c r="W184" s="88"/>
      <c r="X184" s="191">
        <f>AJ184/$AJ$179</f>
        <v>0</v>
      </c>
      <c r="Y184" s="78">
        <v>2</v>
      </c>
      <c r="Z184" s="75" t="s">
        <v>137</v>
      </c>
      <c r="AA184" s="118"/>
      <c r="AB184" s="118"/>
      <c r="AC184" s="118"/>
      <c r="AD184" s="118"/>
      <c r="AE184" s="118"/>
      <c r="AF184" s="118"/>
      <c r="AG184" s="118"/>
      <c r="AH184" s="118"/>
      <c r="AI184" s="118"/>
      <c r="AJ184" s="118">
        <f>+AA184+AB184+AC184+AD184+AE184+AF184+AG184+AH184+AI184</f>
        <v>0</v>
      </c>
      <c r="AK184" s="90"/>
      <c r="AL184" s="90"/>
      <c r="AM184" s="90">
        <v>10000000</v>
      </c>
      <c r="AN184" s="90"/>
      <c r="AO184" s="90"/>
      <c r="AP184" s="90"/>
      <c r="AQ184" s="90"/>
      <c r="AR184" s="90"/>
      <c r="AS184" s="90">
        <v>190000000</v>
      </c>
      <c r="AT184" s="84">
        <f>AK184+AL184+AM184+AN184+AO184+AP184+AQ184+AR184+AS184</f>
        <v>200000000</v>
      </c>
      <c r="AU184" s="455"/>
      <c r="AV184" s="455"/>
      <c r="AW184" s="455">
        <v>3000000</v>
      </c>
      <c r="AX184" s="455"/>
      <c r="AY184" s="455"/>
      <c r="AZ184" s="455"/>
      <c r="BA184" s="455"/>
      <c r="BB184" s="455"/>
      <c r="BC184" s="455">
        <v>197000000</v>
      </c>
      <c r="BD184" s="455">
        <f>SUM(AU184:BC184)</f>
        <v>200000000</v>
      </c>
      <c r="BE184" s="90"/>
      <c r="BF184" s="90"/>
      <c r="BG184" s="90">
        <v>2500000</v>
      </c>
      <c r="BH184" s="90"/>
      <c r="BI184" s="90"/>
      <c r="BJ184" s="90"/>
      <c r="BK184" s="90"/>
      <c r="BL184" s="90"/>
      <c r="BM184" s="90">
        <v>497500000</v>
      </c>
      <c r="BN184" s="90">
        <f>SUM(BE184:BM184)</f>
        <v>500000000</v>
      </c>
      <c r="BO184" s="546">
        <f>AJ184+AT184+BD184+BN184</f>
        <v>900000000</v>
      </c>
    </row>
    <row r="185" spans="1:67" ht="24.75" customHeight="1" x14ac:dyDescent="0.2">
      <c r="A185" s="545"/>
      <c r="B185" s="69"/>
      <c r="C185" s="136"/>
      <c r="D185" s="136"/>
      <c r="E185" s="57">
        <v>35</v>
      </c>
      <c r="F185" s="58" t="s">
        <v>437</v>
      </c>
      <c r="G185" s="59"/>
      <c r="H185" s="184"/>
      <c r="I185" s="57"/>
      <c r="J185" s="184"/>
      <c r="K185" s="96"/>
      <c r="L185" s="60"/>
      <c r="M185" s="60"/>
      <c r="N185" s="97"/>
      <c r="O185" s="96"/>
      <c r="P185" s="96"/>
      <c r="Q185" s="98"/>
      <c r="R185" s="96"/>
      <c r="S185" s="503"/>
      <c r="T185" s="96"/>
      <c r="U185" s="96"/>
      <c r="V185" s="60"/>
      <c r="W185" s="60"/>
      <c r="X185" s="99"/>
      <c r="Y185" s="60"/>
      <c r="Z185" s="60"/>
      <c r="AA185" s="100">
        <f t="shared" ref="AA185:AI185" si="272">SUM(AA186:AA188)</f>
        <v>0</v>
      </c>
      <c r="AB185" s="100">
        <f t="shared" si="272"/>
        <v>0</v>
      </c>
      <c r="AC185" s="100">
        <f t="shared" si="272"/>
        <v>0</v>
      </c>
      <c r="AD185" s="100">
        <f t="shared" si="272"/>
        <v>0</v>
      </c>
      <c r="AE185" s="100">
        <f t="shared" si="272"/>
        <v>0</v>
      </c>
      <c r="AF185" s="100">
        <f t="shared" si="272"/>
        <v>0</v>
      </c>
      <c r="AG185" s="100">
        <f t="shared" si="272"/>
        <v>0</v>
      </c>
      <c r="AH185" s="100">
        <f t="shared" si="272"/>
        <v>100000000</v>
      </c>
      <c r="AI185" s="100">
        <f t="shared" si="272"/>
        <v>0</v>
      </c>
      <c r="AJ185" s="101">
        <f>SUM(AJ186:AJ188)</f>
        <v>100000000</v>
      </c>
      <c r="AK185" s="100">
        <f t="shared" ref="AK185:AT185" si="273">SUM(AK186:AK188)</f>
        <v>0</v>
      </c>
      <c r="AL185" s="100">
        <f t="shared" si="273"/>
        <v>0</v>
      </c>
      <c r="AM185" s="100">
        <f t="shared" si="273"/>
        <v>0</v>
      </c>
      <c r="AN185" s="100">
        <f t="shared" si="273"/>
        <v>0</v>
      </c>
      <c r="AO185" s="100">
        <f t="shared" si="273"/>
        <v>0</v>
      </c>
      <c r="AP185" s="100">
        <f t="shared" si="273"/>
        <v>0</v>
      </c>
      <c r="AQ185" s="100">
        <f t="shared" si="273"/>
        <v>0</v>
      </c>
      <c r="AR185" s="100">
        <f t="shared" si="273"/>
        <v>103000000</v>
      </c>
      <c r="AS185" s="100">
        <f t="shared" si="273"/>
        <v>0</v>
      </c>
      <c r="AT185" s="100">
        <f t="shared" si="273"/>
        <v>103000000</v>
      </c>
      <c r="AU185" s="102"/>
      <c r="AV185" s="102"/>
      <c r="AW185" s="102"/>
      <c r="AX185" s="102"/>
      <c r="AY185" s="102"/>
      <c r="AZ185" s="102"/>
      <c r="BA185" s="102"/>
      <c r="BB185" s="102"/>
      <c r="BC185" s="102"/>
      <c r="BD185" s="100">
        <f t="shared" ref="BD185" si="274">SUM(BD186:BD188)</f>
        <v>106090000</v>
      </c>
      <c r="BE185" s="102"/>
      <c r="BF185" s="102"/>
      <c r="BG185" s="102"/>
      <c r="BH185" s="102"/>
      <c r="BI185" s="102"/>
      <c r="BJ185" s="102"/>
      <c r="BK185" s="102"/>
      <c r="BL185" s="102"/>
      <c r="BM185" s="102"/>
      <c r="BN185" s="100">
        <f t="shared" ref="BN185:BO185" si="275">SUM(BN186:BN188)</f>
        <v>109272700</v>
      </c>
      <c r="BO185" s="560">
        <f t="shared" si="275"/>
        <v>418362700</v>
      </c>
    </row>
    <row r="186" spans="1:67" ht="278.25" customHeight="1" x14ac:dyDescent="0.2">
      <c r="A186" s="547">
        <v>128</v>
      </c>
      <c r="B186" s="69">
        <v>3</v>
      </c>
      <c r="C186" s="136"/>
      <c r="D186" s="136"/>
      <c r="E186" s="478">
        <v>24</v>
      </c>
      <c r="F186" s="439" t="s">
        <v>438</v>
      </c>
      <c r="G186" s="613" t="s">
        <v>429</v>
      </c>
      <c r="H186" s="563" t="s">
        <v>429</v>
      </c>
      <c r="I186" s="77">
        <v>127</v>
      </c>
      <c r="J186" s="73" t="s">
        <v>439</v>
      </c>
      <c r="K186" s="262" t="s">
        <v>440</v>
      </c>
      <c r="L186" s="74" t="s">
        <v>441</v>
      </c>
      <c r="M186" s="245">
        <v>2</v>
      </c>
      <c r="N186" s="277" t="s">
        <v>54</v>
      </c>
      <c r="O186" s="78" t="s">
        <v>49</v>
      </c>
      <c r="P186" s="78">
        <v>1</v>
      </c>
      <c r="Q186" s="278">
        <v>1</v>
      </c>
      <c r="R186" s="279">
        <v>1</v>
      </c>
      <c r="S186" s="500"/>
      <c r="T186" s="279">
        <v>1</v>
      </c>
      <c r="U186" s="279"/>
      <c r="V186" s="280">
        <v>1</v>
      </c>
      <c r="W186" s="277"/>
      <c r="X186" s="218">
        <f>AJ186/$AJ$185</f>
        <v>0.18</v>
      </c>
      <c r="Y186" s="77">
        <v>2</v>
      </c>
      <c r="Z186" s="74" t="s">
        <v>137</v>
      </c>
      <c r="AA186" s="185"/>
      <c r="AB186" s="185"/>
      <c r="AC186" s="185"/>
      <c r="AD186" s="185"/>
      <c r="AE186" s="185"/>
      <c r="AF186" s="185"/>
      <c r="AG186" s="185"/>
      <c r="AH186" s="108">
        <v>18000000</v>
      </c>
      <c r="AI186" s="108"/>
      <c r="AJ186" s="82">
        <f>+AA186+AB186+AC186+AD186+AE186+AF186+AG186+AH186+AI186</f>
        <v>18000000</v>
      </c>
      <c r="AK186" s="90"/>
      <c r="AL186" s="90"/>
      <c r="AM186" s="90"/>
      <c r="AN186" s="90"/>
      <c r="AO186" s="90"/>
      <c r="AP186" s="90"/>
      <c r="AQ186" s="90"/>
      <c r="AR186" s="455">
        <v>18540000</v>
      </c>
      <c r="AS186" s="90"/>
      <c r="AT186" s="84">
        <f>AK186+AL186+AM186+AN186+AO186+AP186+AQ186+AR186+AS186</f>
        <v>18540000</v>
      </c>
      <c r="AU186" s="455"/>
      <c r="AV186" s="455"/>
      <c r="AW186" s="455"/>
      <c r="AX186" s="455"/>
      <c r="AY186" s="455"/>
      <c r="AZ186" s="455"/>
      <c r="BA186" s="455"/>
      <c r="BB186" s="455">
        <v>19000000</v>
      </c>
      <c r="BC186" s="455"/>
      <c r="BD186" s="455">
        <f>SUM(AU186:BC186)</f>
        <v>19000000</v>
      </c>
      <c r="BE186" s="90"/>
      <c r="BF186" s="90"/>
      <c r="BG186" s="90"/>
      <c r="BH186" s="90"/>
      <c r="BI186" s="90"/>
      <c r="BJ186" s="90"/>
      <c r="BK186" s="90"/>
      <c r="BL186" s="90">
        <v>19600000</v>
      </c>
      <c r="BM186" s="90"/>
      <c r="BN186" s="90">
        <f>SUM(BE186:BM186)</f>
        <v>19600000</v>
      </c>
      <c r="BO186" s="546">
        <f>AJ186+AT186+BD186+BN186</f>
        <v>75140000</v>
      </c>
    </row>
    <row r="187" spans="1:67" ht="147.75" customHeight="1" x14ac:dyDescent="0.2">
      <c r="A187" s="545">
        <v>129</v>
      </c>
      <c r="B187" s="69">
        <v>3</v>
      </c>
      <c r="C187" s="136"/>
      <c r="D187" s="136"/>
      <c r="E187" s="91"/>
      <c r="F187" s="426"/>
      <c r="G187" s="281"/>
      <c r="H187" s="173"/>
      <c r="I187" s="77">
        <v>128</v>
      </c>
      <c r="J187" s="73" t="s">
        <v>442</v>
      </c>
      <c r="K187" s="262" t="s">
        <v>443</v>
      </c>
      <c r="L187" s="74" t="s">
        <v>441</v>
      </c>
      <c r="M187" s="245">
        <v>2</v>
      </c>
      <c r="N187" s="277" t="s">
        <v>54</v>
      </c>
      <c r="O187" s="78">
        <v>1</v>
      </c>
      <c r="P187" s="78">
        <v>1</v>
      </c>
      <c r="Q187" s="282">
        <v>1</v>
      </c>
      <c r="R187" s="280">
        <v>1</v>
      </c>
      <c r="S187" s="500"/>
      <c r="T187" s="280">
        <v>1</v>
      </c>
      <c r="U187" s="280"/>
      <c r="V187" s="280">
        <v>1</v>
      </c>
      <c r="W187" s="277"/>
      <c r="X187" s="218">
        <f>AJ187/$AJ$185</f>
        <v>0.25</v>
      </c>
      <c r="Y187" s="77">
        <v>2</v>
      </c>
      <c r="Z187" s="74" t="s">
        <v>137</v>
      </c>
      <c r="AA187" s="185"/>
      <c r="AB187" s="185"/>
      <c r="AC187" s="185"/>
      <c r="AD187" s="185"/>
      <c r="AE187" s="185"/>
      <c r="AF187" s="185"/>
      <c r="AG187" s="185"/>
      <c r="AH187" s="108">
        <v>25000000</v>
      </c>
      <c r="AI187" s="108"/>
      <c r="AJ187" s="82">
        <f>+AA187+AB187+AC187+AD187+AE187+AF187+AG187+AH187+AI187</f>
        <v>25000000</v>
      </c>
      <c r="AK187" s="90"/>
      <c r="AL187" s="90"/>
      <c r="AM187" s="90"/>
      <c r="AN187" s="90"/>
      <c r="AO187" s="90"/>
      <c r="AP187" s="90"/>
      <c r="AQ187" s="90"/>
      <c r="AR187" s="455">
        <v>25750000</v>
      </c>
      <c r="AS187" s="90"/>
      <c r="AT187" s="84">
        <f>AK187+AL187+AM187+AN187+AO187+AP187+AQ187+AR187+AS187</f>
        <v>25750000</v>
      </c>
      <c r="AU187" s="455"/>
      <c r="AV187" s="455"/>
      <c r="AW187" s="455"/>
      <c r="AX187" s="455"/>
      <c r="AY187" s="455"/>
      <c r="AZ187" s="455"/>
      <c r="BA187" s="455"/>
      <c r="BB187" s="455">
        <v>26530000</v>
      </c>
      <c r="BC187" s="455"/>
      <c r="BD187" s="455">
        <f>SUM(AU187:BC187)</f>
        <v>26530000</v>
      </c>
      <c r="BE187" s="90"/>
      <c r="BF187" s="90"/>
      <c r="BG187" s="90"/>
      <c r="BH187" s="90"/>
      <c r="BI187" s="90"/>
      <c r="BJ187" s="90"/>
      <c r="BK187" s="90"/>
      <c r="BL187" s="90">
        <v>27300000</v>
      </c>
      <c r="BM187" s="90"/>
      <c r="BN187" s="90">
        <f>SUM(BE187:BM187)</f>
        <v>27300000</v>
      </c>
      <c r="BO187" s="546">
        <f>AJ187+AT187+BD187+BN187</f>
        <v>104580000</v>
      </c>
    </row>
    <row r="188" spans="1:67" ht="252.75" customHeight="1" x14ac:dyDescent="0.2">
      <c r="A188" s="547">
        <v>130</v>
      </c>
      <c r="B188" s="69">
        <v>3</v>
      </c>
      <c r="C188" s="136"/>
      <c r="D188" s="192"/>
      <c r="E188" s="451"/>
      <c r="F188" s="534"/>
      <c r="G188" s="206"/>
      <c r="H188" s="198"/>
      <c r="I188" s="77">
        <v>129</v>
      </c>
      <c r="J188" s="73" t="s">
        <v>444</v>
      </c>
      <c r="K188" s="262" t="s">
        <v>445</v>
      </c>
      <c r="L188" s="74" t="s">
        <v>441</v>
      </c>
      <c r="M188" s="245">
        <v>2</v>
      </c>
      <c r="N188" s="277" t="s">
        <v>54</v>
      </c>
      <c r="O188" s="78" t="s">
        <v>49</v>
      </c>
      <c r="P188" s="78">
        <v>6</v>
      </c>
      <c r="Q188" s="282">
        <v>6</v>
      </c>
      <c r="R188" s="280">
        <v>6</v>
      </c>
      <c r="S188" s="500"/>
      <c r="T188" s="280">
        <v>6</v>
      </c>
      <c r="U188" s="280"/>
      <c r="V188" s="280">
        <v>6</v>
      </c>
      <c r="W188" s="277"/>
      <c r="X188" s="218">
        <f>AJ188/$AJ$185</f>
        <v>0.56999999999999995</v>
      </c>
      <c r="Y188" s="77">
        <v>2</v>
      </c>
      <c r="Z188" s="74" t="s">
        <v>137</v>
      </c>
      <c r="AA188" s="185"/>
      <c r="AB188" s="185"/>
      <c r="AC188" s="185"/>
      <c r="AD188" s="185"/>
      <c r="AE188" s="185"/>
      <c r="AF188" s="185"/>
      <c r="AG188" s="185"/>
      <c r="AH188" s="108">
        <v>57000000</v>
      </c>
      <c r="AI188" s="108"/>
      <c r="AJ188" s="82">
        <f>+AA188+AB188+AC188+AD188+AE188+AF188+AG188+AH188+AI188</f>
        <v>57000000</v>
      </c>
      <c r="AK188" s="90"/>
      <c r="AL188" s="90"/>
      <c r="AM188" s="90"/>
      <c r="AN188" s="90"/>
      <c r="AO188" s="90"/>
      <c r="AP188" s="90"/>
      <c r="AQ188" s="90"/>
      <c r="AR188" s="455">
        <v>58709999.999999993</v>
      </c>
      <c r="AS188" s="90"/>
      <c r="AT188" s="84">
        <f>AK188+AL188+AM188+AN188+AO188+AP188+AQ188+AR188+AS188</f>
        <v>58709999.999999993</v>
      </c>
      <c r="AU188" s="455"/>
      <c r="AV188" s="455"/>
      <c r="AW188" s="455"/>
      <c r="AX188" s="455"/>
      <c r="AY188" s="455"/>
      <c r="AZ188" s="455"/>
      <c r="BA188" s="455"/>
      <c r="BB188" s="455">
        <v>60559999.999999993</v>
      </c>
      <c r="BC188" s="455"/>
      <c r="BD188" s="455">
        <f>SUM(AU188:BC188)</f>
        <v>60559999.999999993</v>
      </c>
      <c r="BE188" s="90"/>
      <c r="BF188" s="90"/>
      <c r="BG188" s="90"/>
      <c r="BH188" s="90"/>
      <c r="BI188" s="90"/>
      <c r="BJ188" s="90"/>
      <c r="BK188" s="90"/>
      <c r="BL188" s="90">
        <v>62372700</v>
      </c>
      <c r="BM188" s="90"/>
      <c r="BN188" s="90">
        <f>SUM(BE188:BM188)</f>
        <v>62372700</v>
      </c>
      <c r="BO188" s="546">
        <f>AJ188+AT188+BD188+BN188</f>
        <v>238642700</v>
      </c>
    </row>
    <row r="189" spans="1:67" ht="24.75" customHeight="1" x14ac:dyDescent="0.2">
      <c r="A189" s="547"/>
      <c r="B189" s="69"/>
      <c r="C189" s="136"/>
      <c r="D189" s="43">
        <v>12</v>
      </c>
      <c r="E189" s="134" t="s">
        <v>446</v>
      </c>
      <c r="F189" s="45"/>
      <c r="G189" s="46"/>
      <c r="H189" s="46"/>
      <c r="I189" s="47"/>
      <c r="J189" s="48"/>
      <c r="K189" s="48"/>
      <c r="L189" s="49"/>
      <c r="M189" s="47"/>
      <c r="N189" s="50"/>
      <c r="O189" s="48"/>
      <c r="P189" s="48"/>
      <c r="Q189" s="51"/>
      <c r="R189" s="48"/>
      <c r="S189" s="498"/>
      <c r="T189" s="51"/>
      <c r="U189" s="51"/>
      <c r="V189" s="51"/>
      <c r="W189" s="51"/>
      <c r="X189" s="51"/>
      <c r="Y189" s="51"/>
      <c r="Z189" s="51"/>
      <c r="AA189" s="401">
        <f t="shared" ref="AA189:AH189" si="276">AA190+AA193+AA198+AA202+AA206+AA212+AA215+AA218+AA222+AA227+AA230</f>
        <v>0</v>
      </c>
      <c r="AB189" s="401">
        <f t="shared" si="276"/>
        <v>1159435758</v>
      </c>
      <c r="AC189" s="401">
        <f t="shared" si="276"/>
        <v>190000000</v>
      </c>
      <c r="AD189" s="401">
        <f t="shared" si="276"/>
        <v>7383</v>
      </c>
      <c r="AE189" s="401">
        <f t="shared" si="276"/>
        <v>0</v>
      </c>
      <c r="AF189" s="401">
        <f t="shared" si="276"/>
        <v>0</v>
      </c>
      <c r="AG189" s="401">
        <f t="shared" si="276"/>
        <v>0</v>
      </c>
      <c r="AH189" s="401">
        <f t="shared" si="276"/>
        <v>3383279853</v>
      </c>
      <c r="AI189" s="401">
        <f t="shared" ref="AI189:AP189" si="277">AI190+AI193+AI198+AI202+AI206+AI212+AI215+AI218+AI222+AI227+AI230</f>
        <v>0</v>
      </c>
      <c r="AJ189" s="401">
        <f t="shared" si="277"/>
        <v>4732722994</v>
      </c>
      <c r="AK189" s="401">
        <f t="shared" si="277"/>
        <v>0</v>
      </c>
      <c r="AL189" s="401">
        <f t="shared" si="277"/>
        <v>717874879</v>
      </c>
      <c r="AM189" s="401">
        <f t="shared" si="277"/>
        <v>130000000</v>
      </c>
      <c r="AN189" s="401">
        <f t="shared" si="277"/>
        <v>0</v>
      </c>
      <c r="AO189" s="401">
        <f t="shared" si="277"/>
        <v>0</v>
      </c>
      <c r="AP189" s="401">
        <f t="shared" si="277"/>
        <v>0</v>
      </c>
      <c r="AQ189" s="401">
        <f t="shared" ref="AQ189:AT189" si="278">AQ190+AQ193+AQ198+AQ202+AQ206+AQ212+AQ215+AQ218+AQ222+AQ227+AQ230</f>
        <v>0</v>
      </c>
      <c r="AR189" s="401">
        <f t="shared" si="278"/>
        <v>3362150103.7801847</v>
      </c>
      <c r="AS189" s="401">
        <f t="shared" si="278"/>
        <v>0</v>
      </c>
      <c r="AT189" s="401">
        <f t="shared" si="278"/>
        <v>4210024982.4200001</v>
      </c>
      <c r="AU189" s="51"/>
      <c r="AV189" s="51"/>
      <c r="AW189" s="51"/>
      <c r="AX189" s="51"/>
      <c r="AY189" s="51"/>
      <c r="AZ189" s="51"/>
      <c r="BA189" s="51"/>
      <c r="BB189" s="51"/>
      <c r="BC189" s="51"/>
      <c r="BD189" s="401">
        <f>BD190+BD193+BD198+BD202+BD206+BD212+BD215+BD218+BD222+BD227+BD230</f>
        <v>4232425732.0269175</v>
      </c>
      <c r="BE189" s="51"/>
      <c r="BF189" s="51"/>
      <c r="BG189" s="51"/>
      <c r="BH189" s="51"/>
      <c r="BI189" s="51"/>
      <c r="BJ189" s="51"/>
      <c r="BK189" s="51"/>
      <c r="BL189" s="51"/>
      <c r="BM189" s="51"/>
      <c r="BN189" s="401">
        <f>BN190+BN193+BN198+BN202+BN206+BN212+BN215+BN218+BN222+BN227+BN230</f>
        <v>4348498504.0244284</v>
      </c>
      <c r="BO189" s="610">
        <f>BO190+BO193+BO198+BO202+BO206+BO212+BO215+BO218+BO222+BO227+BO230</f>
        <v>17523672212.471348</v>
      </c>
    </row>
    <row r="190" spans="1:67" ht="24.75" customHeight="1" x14ac:dyDescent="0.2">
      <c r="A190" s="547"/>
      <c r="B190" s="69"/>
      <c r="C190" s="136"/>
      <c r="D190" s="562"/>
      <c r="E190" s="57">
        <v>36</v>
      </c>
      <c r="F190" s="184" t="s">
        <v>447</v>
      </c>
      <c r="G190" s="95"/>
      <c r="H190" s="96"/>
      <c r="I190" s="60"/>
      <c r="J190" s="96"/>
      <c r="K190" s="96"/>
      <c r="L190" s="60"/>
      <c r="M190" s="60"/>
      <c r="N190" s="97"/>
      <c r="O190" s="96"/>
      <c r="P190" s="96"/>
      <c r="Q190" s="98"/>
      <c r="R190" s="96"/>
      <c r="S190" s="503"/>
      <c r="T190" s="96"/>
      <c r="U190" s="96"/>
      <c r="V190" s="60"/>
      <c r="W190" s="60"/>
      <c r="X190" s="99"/>
      <c r="Y190" s="60"/>
      <c r="Z190" s="60"/>
      <c r="AA190" s="100">
        <f t="shared" ref="AA190:AI190" si="279">SUM(AA191:AA192)</f>
        <v>0</v>
      </c>
      <c r="AB190" s="100">
        <f t="shared" si="279"/>
        <v>0</v>
      </c>
      <c r="AC190" s="100">
        <f t="shared" si="279"/>
        <v>0</v>
      </c>
      <c r="AD190" s="100">
        <f t="shared" si="279"/>
        <v>0</v>
      </c>
      <c r="AE190" s="100">
        <f t="shared" si="279"/>
        <v>0</v>
      </c>
      <c r="AF190" s="100">
        <f t="shared" si="279"/>
        <v>0</v>
      </c>
      <c r="AG190" s="100">
        <f t="shared" si="279"/>
        <v>0</v>
      </c>
      <c r="AH190" s="100">
        <f t="shared" si="279"/>
        <v>150000000</v>
      </c>
      <c r="AI190" s="100">
        <f t="shared" si="279"/>
        <v>0</v>
      </c>
      <c r="AJ190" s="100">
        <f>SUM(AJ191:AJ192)</f>
        <v>150000000</v>
      </c>
      <c r="AK190" s="100">
        <f t="shared" ref="AK190:AT190" si="280">SUM(AK191:AK192)</f>
        <v>0</v>
      </c>
      <c r="AL190" s="100">
        <f t="shared" si="280"/>
        <v>0</v>
      </c>
      <c r="AM190" s="100">
        <f t="shared" si="280"/>
        <v>0</v>
      </c>
      <c r="AN190" s="100">
        <f t="shared" si="280"/>
        <v>0</v>
      </c>
      <c r="AO190" s="100">
        <f t="shared" si="280"/>
        <v>0</v>
      </c>
      <c r="AP190" s="100">
        <f t="shared" si="280"/>
        <v>0</v>
      </c>
      <c r="AQ190" s="100">
        <f t="shared" si="280"/>
        <v>0</v>
      </c>
      <c r="AR190" s="100">
        <f t="shared" si="280"/>
        <v>154500000</v>
      </c>
      <c r="AS190" s="100">
        <f t="shared" si="280"/>
        <v>0</v>
      </c>
      <c r="AT190" s="100">
        <f t="shared" si="280"/>
        <v>154500000</v>
      </c>
      <c r="AU190" s="102"/>
      <c r="AV190" s="102"/>
      <c r="AW190" s="102"/>
      <c r="AX190" s="102"/>
      <c r="AY190" s="102"/>
      <c r="AZ190" s="102"/>
      <c r="BA190" s="102"/>
      <c r="BB190" s="102"/>
      <c r="BC190" s="102"/>
      <c r="BD190" s="100">
        <f t="shared" ref="BD190" si="281">SUM(BD191:BD192)</f>
        <v>159135000</v>
      </c>
      <c r="BE190" s="102"/>
      <c r="BF190" s="102"/>
      <c r="BG190" s="102"/>
      <c r="BH190" s="102"/>
      <c r="BI190" s="102"/>
      <c r="BJ190" s="102"/>
      <c r="BK190" s="102"/>
      <c r="BL190" s="102"/>
      <c r="BM190" s="102"/>
      <c r="BN190" s="100">
        <f t="shared" ref="BN190" si="282">SUM(BN191:BN192)</f>
        <v>163909050</v>
      </c>
      <c r="BO190" s="560">
        <f t="shared" ref="BO190" si="283">SUM(BO191:BO192)</f>
        <v>627544050</v>
      </c>
    </row>
    <row r="191" spans="1:67" ht="147.75" customHeight="1" x14ac:dyDescent="0.2">
      <c r="A191" s="545">
        <v>131</v>
      </c>
      <c r="B191" s="69">
        <v>3</v>
      </c>
      <c r="C191" s="136"/>
      <c r="D191" s="136"/>
      <c r="E191" s="478">
        <v>3</v>
      </c>
      <c r="F191" s="439" t="s">
        <v>448</v>
      </c>
      <c r="G191" s="548" t="s">
        <v>449</v>
      </c>
      <c r="H191" s="548" t="s">
        <v>89</v>
      </c>
      <c r="I191" s="549">
        <v>130</v>
      </c>
      <c r="J191" s="440" t="s">
        <v>450</v>
      </c>
      <c r="K191" s="439" t="s">
        <v>451</v>
      </c>
      <c r="L191" s="549" t="s">
        <v>441</v>
      </c>
      <c r="M191" s="477">
        <v>2</v>
      </c>
      <c r="N191" s="479" t="s">
        <v>54</v>
      </c>
      <c r="O191" s="480">
        <v>0</v>
      </c>
      <c r="P191" s="480">
        <v>1</v>
      </c>
      <c r="Q191" s="614">
        <v>1</v>
      </c>
      <c r="R191" s="479">
        <v>1</v>
      </c>
      <c r="S191" s="500"/>
      <c r="T191" s="479">
        <v>1</v>
      </c>
      <c r="U191" s="479"/>
      <c r="V191" s="479">
        <v>1</v>
      </c>
      <c r="W191" s="479"/>
      <c r="X191" s="615">
        <f>AJ191/$AJ$190</f>
        <v>0.2</v>
      </c>
      <c r="Y191" s="549">
        <v>3</v>
      </c>
      <c r="Z191" s="549" t="s">
        <v>452</v>
      </c>
      <c r="AA191" s="616"/>
      <c r="AB191" s="616"/>
      <c r="AC191" s="616"/>
      <c r="AD191" s="616"/>
      <c r="AE191" s="616"/>
      <c r="AF191" s="616"/>
      <c r="AG191" s="616"/>
      <c r="AH191" s="616">
        <v>30000000</v>
      </c>
      <c r="AI191" s="616"/>
      <c r="AJ191" s="82">
        <f>+AA191+AB191+AC191+AD191+AE191+AF191+AG191+AH191+AI191</f>
        <v>30000000</v>
      </c>
      <c r="AK191" s="555"/>
      <c r="AL191" s="555"/>
      <c r="AM191" s="555"/>
      <c r="AN191" s="555"/>
      <c r="AO191" s="555"/>
      <c r="AP191" s="555"/>
      <c r="AQ191" s="555"/>
      <c r="AR191" s="555">
        <v>30900000</v>
      </c>
      <c r="AS191" s="555"/>
      <c r="AT191" s="84">
        <f>AK191+AL191+AM191+AN191+AO191+AP191+AQ191+AR191+AS191</f>
        <v>30900000</v>
      </c>
      <c r="AU191" s="555"/>
      <c r="AV191" s="555"/>
      <c r="AW191" s="555"/>
      <c r="AX191" s="555"/>
      <c r="AY191" s="555"/>
      <c r="AZ191" s="555"/>
      <c r="BA191" s="555"/>
      <c r="BB191" s="555">
        <v>31827000</v>
      </c>
      <c r="BC191" s="555"/>
      <c r="BD191" s="555">
        <f>SUM(AU191:BC191)</f>
        <v>31827000</v>
      </c>
      <c r="BE191" s="555"/>
      <c r="BF191" s="555"/>
      <c r="BG191" s="555"/>
      <c r="BH191" s="555"/>
      <c r="BI191" s="555"/>
      <c r="BJ191" s="555"/>
      <c r="BK191" s="555"/>
      <c r="BL191" s="555">
        <v>32781810</v>
      </c>
      <c r="BM191" s="555"/>
      <c r="BN191" s="555">
        <f>SUM(BE191:BM191)</f>
        <v>32781810</v>
      </c>
      <c r="BO191" s="546">
        <f>AJ191+AT191+BD191+BN191</f>
        <v>125508810</v>
      </c>
    </row>
    <row r="192" spans="1:67" ht="408.75" customHeight="1" x14ac:dyDescent="0.2">
      <c r="A192" s="547">
        <v>132</v>
      </c>
      <c r="B192" s="69">
        <v>3</v>
      </c>
      <c r="C192" s="136"/>
      <c r="D192" s="136"/>
      <c r="E192" s="451"/>
      <c r="F192" s="529"/>
      <c r="G192" s="92"/>
      <c r="H192" s="92"/>
      <c r="I192" s="77">
        <v>131</v>
      </c>
      <c r="J192" s="73" t="s">
        <v>453</v>
      </c>
      <c r="K192" s="70" t="s">
        <v>454</v>
      </c>
      <c r="L192" s="549" t="s">
        <v>441</v>
      </c>
      <c r="M192" s="549">
        <v>2</v>
      </c>
      <c r="N192" s="479" t="s">
        <v>69</v>
      </c>
      <c r="O192" s="78">
        <v>0</v>
      </c>
      <c r="P192" s="78">
        <v>12</v>
      </c>
      <c r="Q192" s="282">
        <v>3</v>
      </c>
      <c r="R192" s="280">
        <v>3</v>
      </c>
      <c r="S192" s="504">
        <v>2</v>
      </c>
      <c r="T192" s="280">
        <v>3</v>
      </c>
      <c r="U192" s="280">
        <v>5</v>
      </c>
      <c r="V192" s="280">
        <v>3</v>
      </c>
      <c r="W192" s="479">
        <v>5</v>
      </c>
      <c r="X192" s="615">
        <f>AJ192/AJ190</f>
        <v>0.8</v>
      </c>
      <c r="Y192" s="77">
        <v>3</v>
      </c>
      <c r="Z192" s="568" t="s">
        <v>452</v>
      </c>
      <c r="AA192" s="617"/>
      <c r="AB192" s="617"/>
      <c r="AC192" s="617"/>
      <c r="AD192" s="617"/>
      <c r="AE192" s="617"/>
      <c r="AF192" s="617"/>
      <c r="AG192" s="617"/>
      <c r="AH192" s="108">
        <v>120000000</v>
      </c>
      <c r="AI192" s="617"/>
      <c r="AJ192" s="82">
        <f>+AA192+AB192+AC192+AD192+AE192+AF192+AG192+AH192+AI192</f>
        <v>120000000</v>
      </c>
      <c r="AK192" s="90"/>
      <c r="AL192" s="90"/>
      <c r="AM192" s="90"/>
      <c r="AN192" s="90"/>
      <c r="AO192" s="90"/>
      <c r="AP192" s="90"/>
      <c r="AQ192" s="90"/>
      <c r="AR192" s="455">
        <v>123600000</v>
      </c>
      <c r="AS192" s="90"/>
      <c r="AT192" s="84">
        <f>AK192+AL192+AM192+AN192+AO192+AP192+AQ192+AR192+AS192</f>
        <v>123600000</v>
      </c>
      <c r="AU192" s="455"/>
      <c r="AV192" s="455"/>
      <c r="AW192" s="455"/>
      <c r="AX192" s="455"/>
      <c r="AY192" s="455"/>
      <c r="AZ192" s="455"/>
      <c r="BA192" s="455"/>
      <c r="BB192" s="455">
        <v>127308000</v>
      </c>
      <c r="BC192" s="455"/>
      <c r="BD192" s="455">
        <f>SUM(AU192:BC192)</f>
        <v>127308000</v>
      </c>
      <c r="BE192" s="90"/>
      <c r="BF192" s="90"/>
      <c r="BG192" s="90"/>
      <c r="BH192" s="90"/>
      <c r="BI192" s="90"/>
      <c r="BJ192" s="90"/>
      <c r="BK192" s="90"/>
      <c r="BL192" s="90">
        <v>131127240</v>
      </c>
      <c r="BM192" s="90"/>
      <c r="BN192" s="90">
        <f>SUM(BE192:BM192)</f>
        <v>131127240</v>
      </c>
      <c r="BO192" s="546">
        <f>AJ192+AT192+BD192+BN192</f>
        <v>502035240</v>
      </c>
    </row>
    <row r="193" spans="1:67" ht="24.75" customHeight="1" x14ac:dyDescent="0.2">
      <c r="A193" s="547"/>
      <c r="B193" s="69"/>
      <c r="C193" s="136"/>
      <c r="D193" s="136"/>
      <c r="E193" s="57">
        <v>37</v>
      </c>
      <c r="F193" s="58" t="s">
        <v>455</v>
      </c>
      <c r="G193" s="96"/>
      <c r="H193" s="96"/>
      <c r="I193" s="57"/>
      <c r="J193" s="184"/>
      <c r="K193" s="96"/>
      <c r="L193" s="60"/>
      <c r="M193" s="60"/>
      <c r="N193" s="97"/>
      <c r="O193" s="96"/>
      <c r="P193" s="96"/>
      <c r="Q193" s="98"/>
      <c r="R193" s="96"/>
      <c r="S193" s="503"/>
      <c r="T193" s="96"/>
      <c r="U193" s="96"/>
      <c r="V193" s="60"/>
      <c r="W193" s="60"/>
      <c r="X193" s="99"/>
      <c r="Y193" s="60"/>
      <c r="Z193" s="60"/>
      <c r="AA193" s="100">
        <f t="shared" ref="AA193:AI193" si="284">SUM(AA194:AA197)</f>
        <v>0</v>
      </c>
      <c r="AB193" s="100">
        <f t="shared" si="284"/>
        <v>0</v>
      </c>
      <c r="AC193" s="100">
        <f t="shared" si="284"/>
        <v>0</v>
      </c>
      <c r="AD193" s="100">
        <f t="shared" si="284"/>
        <v>0</v>
      </c>
      <c r="AE193" s="100">
        <f t="shared" si="284"/>
        <v>0</v>
      </c>
      <c r="AF193" s="100">
        <f t="shared" si="284"/>
        <v>0</v>
      </c>
      <c r="AG193" s="100">
        <f t="shared" si="284"/>
        <v>0</v>
      </c>
      <c r="AH193" s="100">
        <f t="shared" si="284"/>
        <v>120000000</v>
      </c>
      <c r="AI193" s="100">
        <f t="shared" si="284"/>
        <v>0</v>
      </c>
      <c r="AJ193" s="101">
        <f>SUM(AJ194:AJ197)</f>
        <v>120000000</v>
      </c>
      <c r="AK193" s="100">
        <f t="shared" ref="AK193:AT193" si="285">SUM(AK194:AK197)</f>
        <v>0</v>
      </c>
      <c r="AL193" s="100">
        <f t="shared" si="285"/>
        <v>0</v>
      </c>
      <c r="AM193" s="100">
        <f t="shared" si="285"/>
        <v>0</v>
      </c>
      <c r="AN193" s="100">
        <f t="shared" si="285"/>
        <v>0</v>
      </c>
      <c r="AO193" s="100">
        <f t="shared" si="285"/>
        <v>0</v>
      </c>
      <c r="AP193" s="100">
        <f t="shared" si="285"/>
        <v>0</v>
      </c>
      <c r="AQ193" s="100">
        <f t="shared" si="285"/>
        <v>0</v>
      </c>
      <c r="AR193" s="100">
        <f t="shared" si="285"/>
        <v>123600000</v>
      </c>
      <c r="AS193" s="100">
        <f t="shared" si="285"/>
        <v>0</v>
      </c>
      <c r="AT193" s="100">
        <f t="shared" si="285"/>
        <v>123600000</v>
      </c>
      <c r="AU193" s="102"/>
      <c r="AV193" s="102"/>
      <c r="AW193" s="102"/>
      <c r="AX193" s="102"/>
      <c r="AY193" s="102"/>
      <c r="AZ193" s="102"/>
      <c r="BA193" s="102"/>
      <c r="BB193" s="102"/>
      <c r="BC193" s="102"/>
      <c r="BD193" s="100">
        <f t="shared" ref="BD193" si="286">SUM(BD194:BD197)</f>
        <v>127308000</v>
      </c>
      <c r="BE193" s="102"/>
      <c r="BF193" s="102"/>
      <c r="BG193" s="102"/>
      <c r="BH193" s="102"/>
      <c r="BI193" s="102"/>
      <c r="BJ193" s="102"/>
      <c r="BK193" s="102"/>
      <c r="BL193" s="102"/>
      <c r="BM193" s="102"/>
      <c r="BN193" s="100">
        <f t="shared" ref="BN193:BO193" si="287">SUM(BN194:BN197)</f>
        <v>131127240</v>
      </c>
      <c r="BO193" s="560">
        <f t="shared" si="287"/>
        <v>502035240</v>
      </c>
    </row>
    <row r="194" spans="1:67" ht="147.75" customHeight="1" x14ac:dyDescent="0.2">
      <c r="A194" s="545">
        <v>133</v>
      </c>
      <c r="B194" s="69">
        <v>3</v>
      </c>
      <c r="C194" s="136"/>
      <c r="D194" s="136"/>
      <c r="E194" s="478">
        <v>31</v>
      </c>
      <c r="F194" s="268" t="s">
        <v>456</v>
      </c>
      <c r="G194" s="71" t="s">
        <v>457</v>
      </c>
      <c r="H194" s="618">
        <v>0.2</v>
      </c>
      <c r="I194" s="77">
        <v>132</v>
      </c>
      <c r="J194" s="73" t="s">
        <v>458</v>
      </c>
      <c r="K194" s="70" t="s">
        <v>459</v>
      </c>
      <c r="L194" s="549" t="s">
        <v>441</v>
      </c>
      <c r="M194" s="549">
        <v>2</v>
      </c>
      <c r="N194" s="283" t="s">
        <v>54</v>
      </c>
      <c r="O194" s="77" t="s">
        <v>49</v>
      </c>
      <c r="P194" s="77">
        <v>8</v>
      </c>
      <c r="Q194" s="282">
        <v>8</v>
      </c>
      <c r="R194" s="282">
        <v>8</v>
      </c>
      <c r="S194" s="500"/>
      <c r="T194" s="282">
        <v>8</v>
      </c>
      <c r="U194" s="282"/>
      <c r="V194" s="282">
        <v>8</v>
      </c>
      <c r="W194" s="283"/>
      <c r="X194" s="218">
        <f>AJ194/$AJ$193</f>
        <v>0.20833333333333334</v>
      </c>
      <c r="Y194" s="78">
        <v>3</v>
      </c>
      <c r="Z194" s="75" t="s">
        <v>452</v>
      </c>
      <c r="AA194" s="185"/>
      <c r="AB194" s="185"/>
      <c r="AC194" s="185"/>
      <c r="AD194" s="185"/>
      <c r="AE194" s="185"/>
      <c r="AF194" s="185"/>
      <c r="AG194" s="185"/>
      <c r="AH194" s="108">
        <v>25000000</v>
      </c>
      <c r="AI194" s="108"/>
      <c r="AJ194" s="82">
        <f>+AA194+AB194+AC194+AD194+AE194+AF194+AG194+AH194+AI194</f>
        <v>25000000</v>
      </c>
      <c r="AK194" s="90"/>
      <c r="AL194" s="90"/>
      <c r="AM194" s="90"/>
      <c r="AN194" s="90"/>
      <c r="AO194" s="90"/>
      <c r="AP194" s="90"/>
      <c r="AQ194" s="90"/>
      <c r="AR194" s="455">
        <v>25750000</v>
      </c>
      <c r="AS194" s="90"/>
      <c r="AT194" s="84">
        <f>AK194+AL194+AM194+AN194+AO194+AP194+AQ194+AR194+AS194</f>
        <v>25750000</v>
      </c>
      <c r="AU194" s="455"/>
      <c r="AV194" s="455"/>
      <c r="AW194" s="455"/>
      <c r="AX194" s="455"/>
      <c r="AY194" s="455"/>
      <c r="AZ194" s="455"/>
      <c r="BA194" s="455"/>
      <c r="BB194" s="455">
        <v>26500000</v>
      </c>
      <c r="BC194" s="455"/>
      <c r="BD194" s="455">
        <f>SUM(AU194:BC194)</f>
        <v>26500000</v>
      </c>
      <c r="BE194" s="90"/>
      <c r="BF194" s="90"/>
      <c r="BG194" s="90"/>
      <c r="BH194" s="90"/>
      <c r="BI194" s="90"/>
      <c r="BJ194" s="90"/>
      <c r="BK194" s="90"/>
      <c r="BL194" s="90">
        <v>27300000</v>
      </c>
      <c r="BM194" s="90"/>
      <c r="BN194" s="90">
        <f>SUM(BE194:BM194)</f>
        <v>27300000</v>
      </c>
      <c r="BO194" s="546">
        <f>AJ194+AT194+BD194+BN194</f>
        <v>104550000</v>
      </c>
    </row>
    <row r="195" spans="1:67" ht="147.75" customHeight="1" x14ac:dyDescent="0.2">
      <c r="A195" s="547">
        <v>134</v>
      </c>
      <c r="B195" s="69">
        <v>3</v>
      </c>
      <c r="C195" s="136"/>
      <c r="D195" s="136"/>
      <c r="E195" s="91">
        <v>33</v>
      </c>
      <c r="F195" s="70" t="s">
        <v>460</v>
      </c>
      <c r="G195" s="78">
        <v>0</v>
      </c>
      <c r="H195" s="78">
        <v>0</v>
      </c>
      <c r="I195" s="77">
        <v>133</v>
      </c>
      <c r="J195" s="73" t="s">
        <v>461</v>
      </c>
      <c r="K195" s="70" t="s">
        <v>462</v>
      </c>
      <c r="L195" s="549" t="s">
        <v>441</v>
      </c>
      <c r="M195" s="549">
        <v>2</v>
      </c>
      <c r="N195" s="283" t="s">
        <v>54</v>
      </c>
      <c r="O195" s="77">
        <v>0</v>
      </c>
      <c r="P195" s="77">
        <v>12</v>
      </c>
      <c r="Q195" s="282">
        <v>12</v>
      </c>
      <c r="R195" s="282">
        <v>12</v>
      </c>
      <c r="S195" s="500"/>
      <c r="T195" s="282">
        <v>12</v>
      </c>
      <c r="U195" s="282"/>
      <c r="V195" s="282">
        <v>12</v>
      </c>
      <c r="W195" s="283"/>
      <c r="X195" s="218">
        <f>AJ195/$AJ$193</f>
        <v>0.20833333333333334</v>
      </c>
      <c r="Y195" s="78">
        <v>3</v>
      </c>
      <c r="Z195" s="75" t="s">
        <v>452</v>
      </c>
      <c r="AA195" s="185"/>
      <c r="AB195" s="185"/>
      <c r="AC195" s="185"/>
      <c r="AD195" s="185"/>
      <c r="AE195" s="185"/>
      <c r="AF195" s="185"/>
      <c r="AG195" s="185"/>
      <c r="AH195" s="108">
        <v>25000000</v>
      </c>
      <c r="AI195" s="108"/>
      <c r="AJ195" s="82">
        <f>+AA195+AB195+AC195+AD195+AE195+AF195+AG195+AH195+AI195</f>
        <v>25000000</v>
      </c>
      <c r="AK195" s="90"/>
      <c r="AL195" s="90"/>
      <c r="AM195" s="90"/>
      <c r="AN195" s="90"/>
      <c r="AO195" s="90"/>
      <c r="AP195" s="90"/>
      <c r="AQ195" s="90"/>
      <c r="AR195" s="455">
        <v>25750000</v>
      </c>
      <c r="AS195" s="90"/>
      <c r="AT195" s="84">
        <f>AK195+AL195+AM195+AN195+AO195+AP195+AQ195+AR195+AS195</f>
        <v>25750000</v>
      </c>
      <c r="AU195" s="455"/>
      <c r="AV195" s="455"/>
      <c r="AW195" s="455"/>
      <c r="AX195" s="455"/>
      <c r="AY195" s="455"/>
      <c r="AZ195" s="455"/>
      <c r="BA195" s="455"/>
      <c r="BB195" s="455">
        <v>26500000</v>
      </c>
      <c r="BC195" s="455"/>
      <c r="BD195" s="455">
        <f>SUM(AU195:BC195)</f>
        <v>26500000</v>
      </c>
      <c r="BE195" s="90"/>
      <c r="BF195" s="90"/>
      <c r="BG195" s="90"/>
      <c r="BH195" s="90"/>
      <c r="BI195" s="90"/>
      <c r="BJ195" s="90"/>
      <c r="BK195" s="90"/>
      <c r="BL195" s="90">
        <v>27300000</v>
      </c>
      <c r="BM195" s="90"/>
      <c r="BN195" s="90">
        <f>SUM(BE195:BM195)</f>
        <v>27300000</v>
      </c>
      <c r="BO195" s="546">
        <f>AJ195+AT195+BD195+BN195</f>
        <v>104550000</v>
      </c>
    </row>
    <row r="196" spans="1:67" ht="293.25" customHeight="1" x14ac:dyDescent="0.2">
      <c r="A196" s="547"/>
      <c r="B196" s="69"/>
      <c r="C196" s="136"/>
      <c r="D196" s="136"/>
      <c r="E196" s="91"/>
      <c r="F196" s="78"/>
      <c r="G196" s="78"/>
      <c r="H196" s="78"/>
      <c r="I196" s="77">
        <v>134</v>
      </c>
      <c r="J196" s="73" t="s">
        <v>463</v>
      </c>
      <c r="K196" s="70" t="s">
        <v>464</v>
      </c>
      <c r="L196" s="549" t="s">
        <v>441</v>
      </c>
      <c r="M196" s="549">
        <v>2</v>
      </c>
      <c r="N196" s="283" t="s">
        <v>54</v>
      </c>
      <c r="O196" s="117">
        <v>3600</v>
      </c>
      <c r="P196" s="117">
        <v>4800</v>
      </c>
      <c r="Q196" s="282">
        <v>4800</v>
      </c>
      <c r="R196" s="282">
        <v>4800</v>
      </c>
      <c r="S196" s="500"/>
      <c r="T196" s="282">
        <v>4800</v>
      </c>
      <c r="U196" s="282"/>
      <c r="V196" s="282">
        <v>4800</v>
      </c>
      <c r="W196" s="283"/>
      <c r="X196" s="218">
        <f>AJ196/$AJ$193</f>
        <v>0.375</v>
      </c>
      <c r="Y196" s="78">
        <v>3</v>
      </c>
      <c r="Z196" s="75" t="s">
        <v>452</v>
      </c>
      <c r="AA196" s="185"/>
      <c r="AB196" s="185"/>
      <c r="AC196" s="185"/>
      <c r="AD196" s="185"/>
      <c r="AE196" s="185"/>
      <c r="AF196" s="185"/>
      <c r="AG196" s="185"/>
      <c r="AH196" s="108">
        <v>45000000</v>
      </c>
      <c r="AI196" s="108"/>
      <c r="AJ196" s="82">
        <f>+AA196+AB196+AC196+AD196+AE196+AF196+AG196+AH196+AI196</f>
        <v>45000000</v>
      </c>
      <c r="AK196" s="90"/>
      <c r="AL196" s="90"/>
      <c r="AM196" s="90"/>
      <c r="AN196" s="90"/>
      <c r="AO196" s="90"/>
      <c r="AP196" s="90"/>
      <c r="AQ196" s="90"/>
      <c r="AR196" s="455">
        <v>46350000</v>
      </c>
      <c r="AS196" s="90"/>
      <c r="AT196" s="84">
        <f>AK196+AL196+AM196+AN196+AO196+AP196+AQ196+AR196+AS196</f>
        <v>46350000</v>
      </c>
      <c r="AU196" s="455"/>
      <c r="AV196" s="455"/>
      <c r="AW196" s="455"/>
      <c r="AX196" s="455"/>
      <c r="AY196" s="455"/>
      <c r="AZ196" s="455"/>
      <c r="BA196" s="455"/>
      <c r="BB196" s="455">
        <v>47800000</v>
      </c>
      <c r="BC196" s="455"/>
      <c r="BD196" s="455">
        <f>SUM(AU196:BC196)</f>
        <v>47800000</v>
      </c>
      <c r="BE196" s="90"/>
      <c r="BF196" s="90"/>
      <c r="BG196" s="90"/>
      <c r="BH196" s="90"/>
      <c r="BI196" s="90"/>
      <c r="BJ196" s="90"/>
      <c r="BK196" s="90"/>
      <c r="BL196" s="90">
        <v>49200000</v>
      </c>
      <c r="BM196" s="90"/>
      <c r="BN196" s="90">
        <f>SUM(BE196:BM196)</f>
        <v>49200000</v>
      </c>
      <c r="BO196" s="546">
        <f>AJ196+AT196+BD196+BN196</f>
        <v>188350000</v>
      </c>
    </row>
    <row r="197" spans="1:67" ht="267.75" customHeight="1" x14ac:dyDescent="0.2">
      <c r="A197" s="545">
        <v>135</v>
      </c>
      <c r="B197" s="69">
        <v>3</v>
      </c>
      <c r="C197" s="136"/>
      <c r="D197" s="136"/>
      <c r="E197" s="451">
        <v>31</v>
      </c>
      <c r="F197" s="163" t="s">
        <v>465</v>
      </c>
      <c r="G197" s="139">
        <v>0.249</v>
      </c>
      <c r="H197" s="284">
        <v>0.2</v>
      </c>
      <c r="I197" s="77">
        <v>135</v>
      </c>
      <c r="J197" s="73" t="s">
        <v>466</v>
      </c>
      <c r="K197" s="70" t="s">
        <v>467</v>
      </c>
      <c r="L197" s="549" t="s">
        <v>441</v>
      </c>
      <c r="M197" s="549">
        <v>2</v>
      </c>
      <c r="N197" s="283" t="s">
        <v>54</v>
      </c>
      <c r="O197" s="117">
        <v>12</v>
      </c>
      <c r="P197" s="117">
        <v>12</v>
      </c>
      <c r="Q197" s="282">
        <v>12</v>
      </c>
      <c r="R197" s="282">
        <v>12</v>
      </c>
      <c r="S197" s="500"/>
      <c r="T197" s="282">
        <v>12</v>
      </c>
      <c r="U197" s="282"/>
      <c r="V197" s="282">
        <v>12</v>
      </c>
      <c r="W197" s="283"/>
      <c r="X197" s="218">
        <f>AJ197/$AJ$193</f>
        <v>0.20833333333333334</v>
      </c>
      <c r="Y197" s="78">
        <v>3</v>
      </c>
      <c r="Z197" s="75" t="s">
        <v>452</v>
      </c>
      <c r="AA197" s="185"/>
      <c r="AB197" s="185"/>
      <c r="AC197" s="185"/>
      <c r="AD197" s="185"/>
      <c r="AE197" s="185"/>
      <c r="AF197" s="185"/>
      <c r="AG197" s="185"/>
      <c r="AH197" s="108">
        <v>25000000</v>
      </c>
      <c r="AI197" s="108"/>
      <c r="AJ197" s="82">
        <f>+AA197+AB197+AC197+AD197+AE197+AF197+AG197+AH197+AI197</f>
        <v>25000000</v>
      </c>
      <c r="AK197" s="90"/>
      <c r="AL197" s="90"/>
      <c r="AM197" s="90"/>
      <c r="AN197" s="90"/>
      <c r="AO197" s="90"/>
      <c r="AP197" s="90"/>
      <c r="AQ197" s="90"/>
      <c r="AR197" s="455">
        <v>25750000</v>
      </c>
      <c r="AS197" s="90"/>
      <c r="AT197" s="84">
        <f>AK197+AL197+AM197+AN197+AO197+AP197+AQ197+AR197+AS197</f>
        <v>25750000</v>
      </c>
      <c r="AU197" s="455"/>
      <c r="AV197" s="455"/>
      <c r="AW197" s="455"/>
      <c r="AX197" s="455"/>
      <c r="AY197" s="455"/>
      <c r="AZ197" s="455"/>
      <c r="BA197" s="455"/>
      <c r="BB197" s="455">
        <v>26508000</v>
      </c>
      <c r="BC197" s="455"/>
      <c r="BD197" s="455">
        <f>SUM(AU197:BC197)</f>
        <v>26508000</v>
      </c>
      <c r="BE197" s="90"/>
      <c r="BF197" s="90"/>
      <c r="BG197" s="90"/>
      <c r="BH197" s="90"/>
      <c r="BI197" s="90"/>
      <c r="BJ197" s="90"/>
      <c r="BK197" s="90"/>
      <c r="BL197" s="90">
        <v>27327240</v>
      </c>
      <c r="BM197" s="90"/>
      <c r="BN197" s="90">
        <f>SUM(BE197:BM197)</f>
        <v>27327240</v>
      </c>
      <c r="BO197" s="546">
        <f>AJ197+AT197+BD197+BN197</f>
        <v>104585240</v>
      </c>
    </row>
    <row r="198" spans="1:67" ht="24.75" customHeight="1" x14ac:dyDescent="0.2">
      <c r="A198" s="545"/>
      <c r="B198" s="69"/>
      <c r="C198" s="136"/>
      <c r="D198" s="136"/>
      <c r="E198" s="57">
        <v>38</v>
      </c>
      <c r="F198" s="58" t="s">
        <v>468</v>
      </c>
      <c r="G198" s="96"/>
      <c r="H198" s="96"/>
      <c r="I198" s="60"/>
      <c r="J198" s="96"/>
      <c r="K198" s="96"/>
      <c r="L198" s="593"/>
      <c r="M198" s="593"/>
      <c r="N198" s="619"/>
      <c r="O198" s="96"/>
      <c r="P198" s="96"/>
      <c r="Q198" s="484"/>
      <c r="R198" s="620"/>
      <c r="S198" s="511"/>
      <c r="T198" s="484"/>
      <c r="U198" s="484"/>
      <c r="V198" s="484"/>
      <c r="W198" s="484"/>
      <c r="X198" s="98"/>
      <c r="Y198" s="98"/>
      <c r="Z198" s="98"/>
      <c r="AA198" s="402">
        <f>SUM(AA199:AA201)</f>
        <v>0</v>
      </c>
      <c r="AB198" s="402">
        <f t="shared" ref="AB198:AQ198" si="288">SUM(AB199:AB201)</f>
        <v>0</v>
      </c>
      <c r="AC198" s="402">
        <f t="shared" si="288"/>
        <v>0</v>
      </c>
      <c r="AD198" s="402">
        <f t="shared" si="288"/>
        <v>0</v>
      </c>
      <c r="AE198" s="402">
        <f t="shared" si="288"/>
        <v>0</v>
      </c>
      <c r="AF198" s="402">
        <f t="shared" si="288"/>
        <v>0</v>
      </c>
      <c r="AG198" s="402">
        <f t="shared" si="288"/>
        <v>0</v>
      </c>
      <c r="AH198" s="402">
        <f t="shared" si="288"/>
        <v>90000000</v>
      </c>
      <c r="AI198" s="402">
        <f t="shared" si="288"/>
        <v>0</v>
      </c>
      <c r="AJ198" s="402">
        <f t="shared" si="288"/>
        <v>90000000</v>
      </c>
      <c r="AK198" s="402">
        <f t="shared" si="288"/>
        <v>0</v>
      </c>
      <c r="AL198" s="402">
        <f t="shared" si="288"/>
        <v>0</v>
      </c>
      <c r="AM198" s="402">
        <f t="shared" si="288"/>
        <v>0</v>
      </c>
      <c r="AN198" s="402">
        <f t="shared" si="288"/>
        <v>0</v>
      </c>
      <c r="AO198" s="402">
        <f t="shared" si="288"/>
        <v>0</v>
      </c>
      <c r="AP198" s="402">
        <f t="shared" si="288"/>
        <v>0</v>
      </c>
      <c r="AQ198" s="402">
        <f t="shared" si="288"/>
        <v>0</v>
      </c>
      <c r="AR198" s="402">
        <f t="shared" ref="AR198:AT198" si="289">SUM(AR199:AR201)</f>
        <v>92700000</v>
      </c>
      <c r="AS198" s="402">
        <f t="shared" si="289"/>
        <v>0</v>
      </c>
      <c r="AT198" s="402">
        <f t="shared" si="289"/>
        <v>92700000</v>
      </c>
      <c r="AU198" s="484"/>
      <c r="AV198" s="484"/>
      <c r="AW198" s="484"/>
      <c r="AX198" s="484"/>
      <c r="AY198" s="484"/>
      <c r="AZ198" s="484"/>
      <c r="BA198" s="484"/>
      <c r="BB198" s="484"/>
      <c r="BC198" s="484"/>
      <c r="BD198" s="402">
        <f t="shared" ref="BD198" si="290">SUM(BD199:BD201)</f>
        <v>95481000</v>
      </c>
      <c r="BE198" s="484"/>
      <c r="BF198" s="484"/>
      <c r="BG198" s="484"/>
      <c r="BH198" s="484"/>
      <c r="BI198" s="484"/>
      <c r="BJ198" s="484"/>
      <c r="BK198" s="484"/>
      <c r="BL198" s="484"/>
      <c r="BM198" s="484"/>
      <c r="BN198" s="402">
        <f t="shared" ref="BN198:BO198" si="291">SUM(BN199:BN201)</f>
        <v>98345430</v>
      </c>
      <c r="BO198" s="612">
        <f t="shared" si="291"/>
        <v>376526430</v>
      </c>
    </row>
    <row r="199" spans="1:67" ht="249.75" customHeight="1" x14ac:dyDescent="0.2">
      <c r="A199" s="547">
        <v>136</v>
      </c>
      <c r="B199" s="69">
        <v>3</v>
      </c>
      <c r="C199" s="136"/>
      <c r="D199" s="136"/>
      <c r="E199" s="93">
        <v>22</v>
      </c>
      <c r="F199" s="70" t="s">
        <v>238</v>
      </c>
      <c r="G199" s="607" t="s">
        <v>239</v>
      </c>
      <c r="H199" s="576" t="s">
        <v>243</v>
      </c>
      <c r="I199" s="77">
        <v>136</v>
      </c>
      <c r="J199" s="73" t="s">
        <v>469</v>
      </c>
      <c r="K199" s="70" t="s">
        <v>470</v>
      </c>
      <c r="L199" s="549" t="s">
        <v>441</v>
      </c>
      <c r="M199" s="549">
        <v>2</v>
      </c>
      <c r="N199" s="280" t="s">
        <v>54</v>
      </c>
      <c r="O199" s="78" t="s">
        <v>49</v>
      </c>
      <c r="P199" s="285">
        <v>12</v>
      </c>
      <c r="Q199" s="282">
        <v>12</v>
      </c>
      <c r="R199" s="280">
        <v>12</v>
      </c>
      <c r="S199" s="500"/>
      <c r="T199" s="280">
        <v>12</v>
      </c>
      <c r="U199" s="280"/>
      <c r="V199" s="280">
        <v>12</v>
      </c>
      <c r="W199" s="289"/>
      <c r="X199" s="286">
        <f>AJ199/$AJ$198</f>
        <v>0.27777777777777779</v>
      </c>
      <c r="Y199" s="534">
        <v>3</v>
      </c>
      <c r="Z199" s="166" t="s">
        <v>452</v>
      </c>
      <c r="AA199" s="287"/>
      <c r="AB199" s="287"/>
      <c r="AC199" s="287"/>
      <c r="AD199" s="287"/>
      <c r="AE199" s="287"/>
      <c r="AF199" s="287"/>
      <c r="AG199" s="287"/>
      <c r="AH199" s="108">
        <v>25000000</v>
      </c>
      <c r="AI199" s="170"/>
      <c r="AJ199" s="82">
        <f>+AA199+AB199+AC199+AD199+AE199+AF199+AG199+AH199+AI199</f>
        <v>25000000</v>
      </c>
      <c r="AK199" s="90"/>
      <c r="AL199" s="90"/>
      <c r="AM199" s="90"/>
      <c r="AN199" s="90"/>
      <c r="AO199" s="90"/>
      <c r="AP199" s="90"/>
      <c r="AQ199" s="90"/>
      <c r="AR199" s="455">
        <v>25750000</v>
      </c>
      <c r="AS199" s="90"/>
      <c r="AT199" s="84">
        <f>AK199+AL199+AM199+AN199+AO199+AP199+AQ199+AR199+AS199</f>
        <v>25750000</v>
      </c>
      <c r="AU199" s="455"/>
      <c r="AV199" s="455"/>
      <c r="AW199" s="455"/>
      <c r="AX199" s="455"/>
      <c r="AY199" s="455"/>
      <c r="AZ199" s="455"/>
      <c r="BA199" s="455"/>
      <c r="BB199" s="455">
        <v>26522500</v>
      </c>
      <c r="BC199" s="455"/>
      <c r="BD199" s="455">
        <f>SUM(AU199:BC199)</f>
        <v>26522500</v>
      </c>
      <c r="BE199" s="90"/>
      <c r="BF199" s="90"/>
      <c r="BG199" s="90"/>
      <c r="BH199" s="90"/>
      <c r="BI199" s="90"/>
      <c r="BJ199" s="90"/>
      <c r="BK199" s="90"/>
      <c r="BL199" s="90">
        <v>27300000</v>
      </c>
      <c r="BM199" s="90"/>
      <c r="BN199" s="90">
        <f>SUM(BE199:BM199)</f>
        <v>27300000</v>
      </c>
      <c r="BO199" s="546">
        <f>AJ199+AT199+BD199+BN199</f>
        <v>104572500</v>
      </c>
    </row>
    <row r="200" spans="1:67" ht="330.75" customHeight="1" x14ac:dyDescent="0.2">
      <c r="A200" s="545">
        <v>137</v>
      </c>
      <c r="B200" s="69">
        <v>3</v>
      </c>
      <c r="C200" s="136"/>
      <c r="D200" s="136"/>
      <c r="E200" s="93">
        <v>10</v>
      </c>
      <c r="F200" s="70" t="s">
        <v>233</v>
      </c>
      <c r="G200" s="71" t="s">
        <v>234</v>
      </c>
      <c r="H200" s="220" t="s">
        <v>235</v>
      </c>
      <c r="I200" s="77">
        <v>137</v>
      </c>
      <c r="J200" s="73" t="s">
        <v>471</v>
      </c>
      <c r="K200" s="70" t="s">
        <v>472</v>
      </c>
      <c r="L200" s="549" t="s">
        <v>441</v>
      </c>
      <c r="M200" s="549">
        <v>2</v>
      </c>
      <c r="N200" s="280" t="s">
        <v>54</v>
      </c>
      <c r="O200" s="78">
        <v>0</v>
      </c>
      <c r="P200" s="285">
        <v>12</v>
      </c>
      <c r="Q200" s="282">
        <v>12</v>
      </c>
      <c r="R200" s="280">
        <v>12</v>
      </c>
      <c r="S200" s="500"/>
      <c r="T200" s="280">
        <v>12</v>
      </c>
      <c r="U200" s="280"/>
      <c r="V200" s="280">
        <v>12</v>
      </c>
      <c r="W200" s="289"/>
      <c r="X200" s="286">
        <f>AJ200/$AJ$198</f>
        <v>0.44444444444444442</v>
      </c>
      <c r="Y200" s="78">
        <v>3</v>
      </c>
      <c r="Z200" s="166" t="s">
        <v>452</v>
      </c>
      <c r="AA200" s="287"/>
      <c r="AB200" s="287"/>
      <c r="AC200" s="287"/>
      <c r="AD200" s="287"/>
      <c r="AE200" s="287"/>
      <c r="AF200" s="287"/>
      <c r="AG200" s="287"/>
      <c r="AH200" s="108">
        <v>40000000</v>
      </c>
      <c r="AI200" s="170"/>
      <c r="AJ200" s="82">
        <f>+AA200+AB200+AC200+AD200+AE200+AF200+AG200+AH200+AI200</f>
        <v>40000000</v>
      </c>
      <c r="AK200" s="90"/>
      <c r="AL200" s="90"/>
      <c r="AM200" s="90"/>
      <c r="AN200" s="90"/>
      <c r="AO200" s="90"/>
      <c r="AP200" s="90"/>
      <c r="AQ200" s="90"/>
      <c r="AR200" s="455">
        <v>41200000</v>
      </c>
      <c r="AS200" s="90"/>
      <c r="AT200" s="84">
        <f>AK200+AL200+AM200+AN200+AO200+AP200+AQ200+AR200+AS200</f>
        <v>41200000</v>
      </c>
      <c r="AU200" s="455"/>
      <c r="AV200" s="455"/>
      <c r="AW200" s="455"/>
      <c r="AX200" s="455"/>
      <c r="AY200" s="455"/>
      <c r="AZ200" s="455"/>
      <c r="BA200" s="455"/>
      <c r="BB200" s="455">
        <v>42436000</v>
      </c>
      <c r="BC200" s="455"/>
      <c r="BD200" s="455">
        <f>SUM(AU200:BC200)</f>
        <v>42436000</v>
      </c>
      <c r="BE200" s="90"/>
      <c r="BF200" s="90"/>
      <c r="BG200" s="90"/>
      <c r="BH200" s="90"/>
      <c r="BI200" s="90"/>
      <c r="BJ200" s="90"/>
      <c r="BK200" s="90"/>
      <c r="BL200" s="90">
        <v>43700000</v>
      </c>
      <c r="BM200" s="90"/>
      <c r="BN200" s="90">
        <f>SUM(BE200:BM200)</f>
        <v>43700000</v>
      </c>
      <c r="BO200" s="546">
        <f>AJ200+AT200+BD200+BN200</f>
        <v>167336000</v>
      </c>
    </row>
    <row r="201" spans="1:67" ht="270.75" customHeight="1" x14ac:dyDescent="0.2">
      <c r="A201" s="547">
        <v>138</v>
      </c>
      <c r="B201" s="69">
        <v>3</v>
      </c>
      <c r="C201" s="136"/>
      <c r="D201" s="136"/>
      <c r="E201" s="451">
        <v>11</v>
      </c>
      <c r="F201" s="70" t="s">
        <v>473</v>
      </c>
      <c r="G201" s="92" t="s">
        <v>474</v>
      </c>
      <c r="H201" s="621" t="s">
        <v>475</v>
      </c>
      <c r="I201" s="77">
        <v>138</v>
      </c>
      <c r="J201" s="73" t="s">
        <v>476</v>
      </c>
      <c r="K201" s="70" t="s">
        <v>477</v>
      </c>
      <c r="L201" s="549" t="s">
        <v>441</v>
      </c>
      <c r="M201" s="549">
        <v>2</v>
      </c>
      <c r="N201" s="280" t="s">
        <v>54</v>
      </c>
      <c r="O201" s="78" t="s">
        <v>49</v>
      </c>
      <c r="P201" s="93">
        <v>12</v>
      </c>
      <c r="Q201" s="282">
        <v>12</v>
      </c>
      <c r="R201" s="280">
        <v>12</v>
      </c>
      <c r="S201" s="500"/>
      <c r="T201" s="280">
        <v>12</v>
      </c>
      <c r="U201" s="280"/>
      <c r="V201" s="280">
        <v>12</v>
      </c>
      <c r="W201" s="289"/>
      <c r="X201" s="286">
        <f>AJ201/$AJ$198</f>
        <v>0.27777777777777779</v>
      </c>
      <c r="Y201" s="78">
        <v>3</v>
      </c>
      <c r="Z201" s="166" t="s">
        <v>452</v>
      </c>
      <c r="AA201" s="287"/>
      <c r="AB201" s="287"/>
      <c r="AC201" s="287"/>
      <c r="AD201" s="287"/>
      <c r="AE201" s="287"/>
      <c r="AF201" s="287"/>
      <c r="AG201" s="287"/>
      <c r="AH201" s="108">
        <f>13400000+11600000</f>
        <v>25000000</v>
      </c>
      <c r="AI201" s="170"/>
      <c r="AJ201" s="82">
        <f>+AA201+AB201+AC201+AD201+AE201+AF201+AG201+AH201+AI201</f>
        <v>25000000</v>
      </c>
      <c r="AK201" s="90"/>
      <c r="AL201" s="90"/>
      <c r="AM201" s="90"/>
      <c r="AN201" s="90"/>
      <c r="AO201" s="90"/>
      <c r="AP201" s="90"/>
      <c r="AQ201" s="90"/>
      <c r="AR201" s="455">
        <v>25750000</v>
      </c>
      <c r="AS201" s="90"/>
      <c r="AT201" s="84">
        <f>AK201+AL201+AM201+AN201+AO201+AP201+AQ201+AR201+AS201</f>
        <v>25750000</v>
      </c>
      <c r="AU201" s="455"/>
      <c r="AV201" s="455"/>
      <c r="AW201" s="455"/>
      <c r="AX201" s="455"/>
      <c r="AY201" s="455"/>
      <c r="AZ201" s="455"/>
      <c r="BA201" s="455"/>
      <c r="BB201" s="455">
        <v>26522500</v>
      </c>
      <c r="BC201" s="455"/>
      <c r="BD201" s="455">
        <f>SUM(AU201:BC201)</f>
        <v>26522500</v>
      </c>
      <c r="BE201" s="90"/>
      <c r="BF201" s="90"/>
      <c r="BG201" s="90"/>
      <c r="BH201" s="90"/>
      <c r="BI201" s="90"/>
      <c r="BJ201" s="90"/>
      <c r="BK201" s="90"/>
      <c r="BL201" s="90">
        <v>27345430</v>
      </c>
      <c r="BM201" s="90"/>
      <c r="BN201" s="90">
        <f>SUM(BE201:BM201)</f>
        <v>27345430</v>
      </c>
      <c r="BO201" s="546">
        <f>AJ201+AT201+BD201+BN201</f>
        <v>104617930</v>
      </c>
    </row>
    <row r="202" spans="1:67" ht="24.75" customHeight="1" thickBot="1" x14ac:dyDescent="0.25">
      <c r="A202" s="547"/>
      <c r="B202" s="69"/>
      <c r="C202" s="136"/>
      <c r="D202" s="136"/>
      <c r="E202" s="57">
        <v>39</v>
      </c>
      <c r="F202" s="58" t="s">
        <v>478</v>
      </c>
      <c r="G202" s="96"/>
      <c r="H202" s="96"/>
      <c r="I202" s="60"/>
      <c r="J202" s="96"/>
      <c r="K202" s="96"/>
      <c r="L202" s="60"/>
      <c r="M202" s="60"/>
      <c r="N202" s="97"/>
      <c r="O202" s="96"/>
      <c r="P202" s="96"/>
      <c r="Q202" s="98"/>
      <c r="R202" s="96"/>
      <c r="S202" s="503"/>
      <c r="T202" s="96"/>
      <c r="U202" s="96"/>
      <c r="V202" s="60"/>
      <c r="W202" s="60"/>
      <c r="X202" s="99"/>
      <c r="Y202" s="60"/>
      <c r="Z202" s="60"/>
      <c r="AA202" s="100">
        <f t="shared" ref="AA202:AI202" si="292">SUM(AA203:AA205)</f>
        <v>0</v>
      </c>
      <c r="AB202" s="100">
        <f t="shared" si="292"/>
        <v>0</v>
      </c>
      <c r="AC202" s="100">
        <f t="shared" si="292"/>
        <v>0</v>
      </c>
      <c r="AD202" s="100">
        <f t="shared" si="292"/>
        <v>0</v>
      </c>
      <c r="AE202" s="100">
        <f t="shared" si="292"/>
        <v>0</v>
      </c>
      <c r="AF202" s="100">
        <f t="shared" si="292"/>
        <v>0</v>
      </c>
      <c r="AG202" s="100">
        <f t="shared" si="292"/>
        <v>0</v>
      </c>
      <c r="AH202" s="100">
        <f t="shared" si="292"/>
        <v>140000000</v>
      </c>
      <c r="AI202" s="100">
        <f t="shared" si="292"/>
        <v>0</v>
      </c>
      <c r="AJ202" s="101">
        <f>SUM(AJ203:AJ205)</f>
        <v>140000000</v>
      </c>
      <c r="AK202" s="100">
        <f t="shared" ref="AK202:AT202" si="293">SUM(AK203:AK205)</f>
        <v>0</v>
      </c>
      <c r="AL202" s="100">
        <f t="shared" si="293"/>
        <v>0</v>
      </c>
      <c r="AM202" s="100">
        <f t="shared" si="293"/>
        <v>0</v>
      </c>
      <c r="AN202" s="100">
        <f t="shared" si="293"/>
        <v>0</v>
      </c>
      <c r="AO202" s="100">
        <f t="shared" si="293"/>
        <v>0</v>
      </c>
      <c r="AP202" s="100">
        <f t="shared" si="293"/>
        <v>0</v>
      </c>
      <c r="AQ202" s="100">
        <f t="shared" si="293"/>
        <v>0</v>
      </c>
      <c r="AR202" s="100">
        <f t="shared" si="293"/>
        <v>144200000</v>
      </c>
      <c r="AS202" s="100">
        <f t="shared" si="293"/>
        <v>0</v>
      </c>
      <c r="AT202" s="100">
        <f t="shared" si="293"/>
        <v>144200000</v>
      </c>
      <c r="AU202" s="102"/>
      <c r="AV202" s="102"/>
      <c r="AW202" s="102"/>
      <c r="AX202" s="102"/>
      <c r="AY202" s="102"/>
      <c r="AZ202" s="102"/>
      <c r="BA202" s="102"/>
      <c r="BB202" s="102"/>
      <c r="BC202" s="102"/>
      <c r="BD202" s="100">
        <f t="shared" ref="BD202" si="294">SUM(BD203:BD205)</f>
        <v>148526000</v>
      </c>
      <c r="BE202" s="102"/>
      <c r="BF202" s="102"/>
      <c r="BG202" s="102"/>
      <c r="BH202" s="102"/>
      <c r="BI202" s="102"/>
      <c r="BJ202" s="102"/>
      <c r="BK202" s="102"/>
      <c r="BL202" s="102"/>
      <c r="BM202" s="102"/>
      <c r="BN202" s="100">
        <f t="shared" ref="BN202:BO202" si="295">SUM(BN203:BN205)</f>
        <v>152981780</v>
      </c>
      <c r="BO202" s="560">
        <f t="shared" si="295"/>
        <v>585707780</v>
      </c>
    </row>
    <row r="203" spans="1:67" ht="171.75" customHeight="1" x14ac:dyDescent="0.2">
      <c r="A203" s="545">
        <v>139</v>
      </c>
      <c r="B203" s="69">
        <v>3</v>
      </c>
      <c r="C203" s="136"/>
      <c r="D203" s="136"/>
      <c r="E203" s="93">
        <v>24</v>
      </c>
      <c r="F203" s="288" t="s">
        <v>428</v>
      </c>
      <c r="G203" s="71" t="s">
        <v>429</v>
      </c>
      <c r="H203" s="621" t="s">
        <v>429</v>
      </c>
      <c r="I203" s="77">
        <v>139</v>
      </c>
      <c r="J203" s="73" t="s">
        <v>479</v>
      </c>
      <c r="K203" s="262" t="s">
        <v>480</v>
      </c>
      <c r="L203" s="549" t="s">
        <v>441</v>
      </c>
      <c r="M203" s="549">
        <v>2</v>
      </c>
      <c r="N203" s="289" t="s">
        <v>54</v>
      </c>
      <c r="O203" s="78">
        <v>0</v>
      </c>
      <c r="P203" s="78">
        <v>1</v>
      </c>
      <c r="Q203" s="290">
        <v>1</v>
      </c>
      <c r="R203" s="291">
        <v>1</v>
      </c>
      <c r="S203" s="500"/>
      <c r="T203" s="291">
        <v>1</v>
      </c>
      <c r="U203" s="291"/>
      <c r="V203" s="291">
        <v>1</v>
      </c>
      <c r="W203" s="289"/>
      <c r="X203" s="286">
        <f>AJ203/$AJ$202</f>
        <v>0.6428571428571429</v>
      </c>
      <c r="Y203" s="78">
        <v>2</v>
      </c>
      <c r="Z203" s="166" t="s">
        <v>137</v>
      </c>
      <c r="AA203" s="287"/>
      <c r="AB203" s="287"/>
      <c r="AC203" s="287"/>
      <c r="AD203" s="287"/>
      <c r="AE203" s="287"/>
      <c r="AF203" s="287"/>
      <c r="AG203" s="287"/>
      <c r="AH203" s="108">
        <f>30000000+60000000</f>
        <v>90000000</v>
      </c>
      <c r="AI203" s="170"/>
      <c r="AJ203" s="82">
        <f>+AA203+AB203+AC203+AD203+AE203+AF203+AG203+AH203+AI203</f>
        <v>90000000</v>
      </c>
      <c r="AK203" s="90"/>
      <c r="AL203" s="90"/>
      <c r="AM203" s="90"/>
      <c r="AN203" s="90"/>
      <c r="AO203" s="90"/>
      <c r="AP203" s="90"/>
      <c r="AQ203" s="90"/>
      <c r="AR203" s="455">
        <v>92700000</v>
      </c>
      <c r="AS203" s="90"/>
      <c r="AT203" s="84">
        <f>AK203+AL203+AM203+AN203+AO203+AP203+AQ203+AR203+AS203</f>
        <v>92700000</v>
      </c>
      <c r="AU203" s="455"/>
      <c r="AV203" s="455"/>
      <c r="AW203" s="455"/>
      <c r="AX203" s="455"/>
      <c r="AY203" s="455"/>
      <c r="AZ203" s="455"/>
      <c r="BA203" s="455"/>
      <c r="BB203" s="455">
        <v>95481000</v>
      </c>
      <c r="BC203" s="455"/>
      <c r="BD203" s="455">
        <f>SUM(AU203:BC203)</f>
        <v>95481000</v>
      </c>
      <c r="BE203" s="90"/>
      <c r="BF203" s="90"/>
      <c r="BG203" s="90"/>
      <c r="BH203" s="90"/>
      <c r="BI203" s="90"/>
      <c r="BJ203" s="90"/>
      <c r="BK203" s="90"/>
      <c r="BL203" s="90">
        <v>98300000</v>
      </c>
      <c r="BM203" s="90"/>
      <c r="BN203" s="90">
        <f>SUM(BE203:BM203)</f>
        <v>98300000</v>
      </c>
      <c r="BO203" s="546">
        <f>AJ203+AT203+BD203+BN203</f>
        <v>376481000</v>
      </c>
    </row>
    <row r="204" spans="1:67" ht="114.75" customHeight="1" x14ac:dyDescent="0.2">
      <c r="A204" s="547">
        <v>140</v>
      </c>
      <c r="B204" s="69">
        <v>3</v>
      </c>
      <c r="C204" s="136"/>
      <c r="D204" s="136"/>
      <c r="E204" s="91" t="s">
        <v>481</v>
      </c>
      <c r="F204" s="439" t="s">
        <v>482</v>
      </c>
      <c r="G204" s="622">
        <v>1</v>
      </c>
      <c r="H204" s="622">
        <v>1</v>
      </c>
      <c r="I204" s="77">
        <v>140</v>
      </c>
      <c r="J204" s="73" t="s">
        <v>483</v>
      </c>
      <c r="K204" s="262" t="s">
        <v>440</v>
      </c>
      <c r="L204" s="549" t="s">
        <v>441</v>
      </c>
      <c r="M204" s="549">
        <v>2</v>
      </c>
      <c r="N204" s="289" t="s">
        <v>54</v>
      </c>
      <c r="O204" s="31">
        <v>1</v>
      </c>
      <c r="P204" s="78">
        <v>1</v>
      </c>
      <c r="Q204" s="282">
        <v>1</v>
      </c>
      <c r="R204" s="280">
        <v>1</v>
      </c>
      <c r="S204" s="500"/>
      <c r="T204" s="280">
        <v>1</v>
      </c>
      <c r="U204" s="280"/>
      <c r="V204" s="280">
        <v>1</v>
      </c>
      <c r="W204" s="289"/>
      <c r="X204" s="286">
        <f>AJ204/$AJ$202</f>
        <v>0.17857142857142858</v>
      </c>
      <c r="Y204" s="78">
        <v>3</v>
      </c>
      <c r="Z204" s="166" t="s">
        <v>452</v>
      </c>
      <c r="AA204" s="287"/>
      <c r="AB204" s="287"/>
      <c r="AC204" s="287"/>
      <c r="AD204" s="287"/>
      <c r="AE204" s="287"/>
      <c r="AF204" s="287"/>
      <c r="AG204" s="287"/>
      <c r="AH204" s="82">
        <v>25000000</v>
      </c>
      <c r="AI204" s="169"/>
      <c r="AJ204" s="82">
        <f>+AA204+AB204+AC204+AD204+AE204+AF204+AG204+AH204+AI204</f>
        <v>25000000</v>
      </c>
      <c r="AK204" s="85"/>
      <c r="AL204" s="85"/>
      <c r="AM204" s="85"/>
      <c r="AN204" s="85"/>
      <c r="AO204" s="85"/>
      <c r="AP204" s="85"/>
      <c r="AQ204" s="85"/>
      <c r="AR204" s="455">
        <v>25750000</v>
      </c>
      <c r="AS204" s="85"/>
      <c r="AT204" s="84">
        <f>AK204+AL204+AM204+AN204+AO204+AP204+AQ204+AR204+AS204</f>
        <v>25750000</v>
      </c>
      <c r="AU204" s="455"/>
      <c r="AV204" s="455"/>
      <c r="AW204" s="455"/>
      <c r="AX204" s="455"/>
      <c r="AY204" s="455"/>
      <c r="AZ204" s="455"/>
      <c r="BA204" s="455"/>
      <c r="BB204" s="455">
        <v>26522500</v>
      </c>
      <c r="BC204" s="455"/>
      <c r="BD204" s="455">
        <f>SUM(AU204:BC204)</f>
        <v>26522500</v>
      </c>
      <c r="BE204" s="90"/>
      <c r="BF204" s="90"/>
      <c r="BG204" s="90"/>
      <c r="BH204" s="90"/>
      <c r="BI204" s="90"/>
      <c r="BJ204" s="90"/>
      <c r="BK204" s="90"/>
      <c r="BL204" s="90">
        <v>27300000</v>
      </c>
      <c r="BM204" s="90"/>
      <c r="BN204" s="90">
        <f>SUM(BE204:BM204)</f>
        <v>27300000</v>
      </c>
      <c r="BO204" s="546">
        <f>AJ204+AT204+BD204+BN204</f>
        <v>104572500</v>
      </c>
    </row>
    <row r="205" spans="1:67" ht="114.75" customHeight="1" x14ac:dyDescent="0.2">
      <c r="A205" s="545">
        <v>141</v>
      </c>
      <c r="B205" s="69">
        <v>3</v>
      </c>
      <c r="C205" s="136"/>
      <c r="D205" s="136"/>
      <c r="E205" s="451"/>
      <c r="F205" s="442"/>
      <c r="G205" s="292"/>
      <c r="H205" s="292"/>
      <c r="I205" s="77">
        <v>141</v>
      </c>
      <c r="J205" s="73" t="s">
        <v>484</v>
      </c>
      <c r="K205" s="262" t="s">
        <v>440</v>
      </c>
      <c r="L205" s="549" t="s">
        <v>441</v>
      </c>
      <c r="M205" s="549">
        <v>2</v>
      </c>
      <c r="N205" s="293" t="s">
        <v>54</v>
      </c>
      <c r="O205" s="78" t="s">
        <v>49</v>
      </c>
      <c r="P205" s="78">
        <v>1</v>
      </c>
      <c r="Q205" s="614">
        <v>1</v>
      </c>
      <c r="R205" s="479">
        <v>1</v>
      </c>
      <c r="S205" s="500"/>
      <c r="T205" s="479">
        <v>1</v>
      </c>
      <c r="U205" s="479"/>
      <c r="V205" s="479">
        <v>1</v>
      </c>
      <c r="W205" s="293"/>
      <c r="X205" s="286">
        <f>AJ205/$AJ$202</f>
        <v>0.17857142857142858</v>
      </c>
      <c r="Y205" s="78">
        <v>3</v>
      </c>
      <c r="Z205" s="166" t="s">
        <v>452</v>
      </c>
      <c r="AA205" s="287"/>
      <c r="AB205" s="287"/>
      <c r="AC205" s="287"/>
      <c r="AD205" s="287"/>
      <c r="AE205" s="287"/>
      <c r="AF205" s="287"/>
      <c r="AG205" s="287"/>
      <c r="AH205" s="82">
        <v>25000000</v>
      </c>
      <c r="AI205" s="169"/>
      <c r="AJ205" s="82">
        <f>+AA205+AB205+AC205+AD205+AE205+AF205+AG205+AH205+AI205</f>
        <v>25000000</v>
      </c>
      <c r="AK205" s="85"/>
      <c r="AL205" s="85"/>
      <c r="AM205" s="85"/>
      <c r="AN205" s="85"/>
      <c r="AO205" s="85"/>
      <c r="AP205" s="85"/>
      <c r="AQ205" s="85"/>
      <c r="AR205" s="455">
        <v>25750000</v>
      </c>
      <c r="AS205" s="85"/>
      <c r="AT205" s="84">
        <f>AK205+AL205+AM205+AN205+AO205+AP205+AQ205+AR205+AS205</f>
        <v>25750000</v>
      </c>
      <c r="AU205" s="455"/>
      <c r="AV205" s="455"/>
      <c r="AW205" s="455"/>
      <c r="AX205" s="455"/>
      <c r="AY205" s="455"/>
      <c r="AZ205" s="455"/>
      <c r="BA205" s="455"/>
      <c r="BB205" s="455">
        <v>26522500</v>
      </c>
      <c r="BC205" s="455"/>
      <c r="BD205" s="455">
        <f>SUM(AU205:BC205)</f>
        <v>26522500</v>
      </c>
      <c r="BE205" s="90"/>
      <c r="BF205" s="90"/>
      <c r="BG205" s="90"/>
      <c r="BH205" s="90"/>
      <c r="BI205" s="90"/>
      <c r="BJ205" s="90"/>
      <c r="BK205" s="90"/>
      <c r="BL205" s="90">
        <v>27381780</v>
      </c>
      <c r="BM205" s="90"/>
      <c r="BN205" s="90">
        <f>SUM(BE205:BM205)</f>
        <v>27381780</v>
      </c>
      <c r="BO205" s="546">
        <f>AJ205+AT205+BD205+BN205</f>
        <v>104654280</v>
      </c>
    </row>
    <row r="206" spans="1:67" ht="24.75" customHeight="1" thickBot="1" x14ac:dyDescent="0.25">
      <c r="A206" s="545"/>
      <c r="B206" s="69"/>
      <c r="C206" s="136"/>
      <c r="D206" s="136"/>
      <c r="E206" s="57">
        <v>40</v>
      </c>
      <c r="F206" s="58" t="s">
        <v>485</v>
      </c>
      <c r="G206" s="96"/>
      <c r="H206" s="96"/>
      <c r="I206" s="60"/>
      <c r="J206" s="96"/>
      <c r="K206" s="96"/>
      <c r="L206" s="60"/>
      <c r="M206" s="60"/>
      <c r="N206" s="97"/>
      <c r="O206" s="96"/>
      <c r="P206" s="96"/>
      <c r="Q206" s="98"/>
      <c r="R206" s="96"/>
      <c r="S206" s="503"/>
      <c r="T206" s="96"/>
      <c r="U206" s="96"/>
      <c r="V206" s="60"/>
      <c r="W206" s="60"/>
      <c r="X206" s="99"/>
      <c r="Y206" s="60"/>
      <c r="Z206" s="60"/>
      <c r="AA206" s="101">
        <f t="shared" ref="AA206:AI206" si="296">SUM(AA207:AA211)</f>
        <v>0</v>
      </c>
      <c r="AB206" s="101">
        <f t="shared" si="296"/>
        <v>0</v>
      </c>
      <c r="AC206" s="101">
        <f t="shared" si="296"/>
        <v>0</v>
      </c>
      <c r="AD206" s="101">
        <f t="shared" si="296"/>
        <v>7383</v>
      </c>
      <c r="AE206" s="101">
        <f t="shared" si="296"/>
        <v>0</v>
      </c>
      <c r="AF206" s="101">
        <f t="shared" si="296"/>
        <v>0</v>
      </c>
      <c r="AG206" s="101">
        <f t="shared" si="296"/>
        <v>0</v>
      </c>
      <c r="AH206" s="101">
        <f t="shared" si="296"/>
        <v>307812279</v>
      </c>
      <c r="AI206" s="101">
        <f t="shared" si="296"/>
        <v>0</v>
      </c>
      <c r="AJ206" s="101">
        <f>SUM(AJ207:AJ211)</f>
        <v>307819662</v>
      </c>
      <c r="AK206" s="101">
        <f t="shared" ref="AK206:AT206" si="297">SUM(AK207:AK211)</f>
        <v>0</v>
      </c>
      <c r="AL206" s="101">
        <f t="shared" si="297"/>
        <v>0</v>
      </c>
      <c r="AM206" s="101">
        <f t="shared" si="297"/>
        <v>0</v>
      </c>
      <c r="AN206" s="101">
        <f t="shared" si="297"/>
        <v>0</v>
      </c>
      <c r="AO206" s="101">
        <f t="shared" si="297"/>
        <v>0</v>
      </c>
      <c r="AP206" s="101">
        <f t="shared" si="297"/>
        <v>0</v>
      </c>
      <c r="AQ206" s="101">
        <f t="shared" si="297"/>
        <v>0</v>
      </c>
      <c r="AR206" s="101">
        <f t="shared" si="297"/>
        <v>189234597.36018443</v>
      </c>
      <c r="AS206" s="101">
        <f t="shared" si="297"/>
        <v>0</v>
      </c>
      <c r="AT206" s="101">
        <f t="shared" si="297"/>
        <v>189234597.00000003</v>
      </c>
      <c r="AU206" s="102"/>
      <c r="AV206" s="102"/>
      <c r="AW206" s="102"/>
      <c r="AX206" s="102"/>
      <c r="AY206" s="102"/>
      <c r="AZ206" s="102"/>
      <c r="BA206" s="102"/>
      <c r="BB206" s="102"/>
      <c r="BC206" s="102"/>
      <c r="BD206" s="101">
        <f t="shared" ref="BD206" si="298">SUM(BD207:BD211)</f>
        <v>194911635</v>
      </c>
      <c r="BE206" s="102"/>
      <c r="BF206" s="102"/>
      <c r="BG206" s="102"/>
      <c r="BH206" s="102"/>
      <c r="BI206" s="102"/>
      <c r="BJ206" s="102"/>
      <c r="BK206" s="102"/>
      <c r="BL206" s="102"/>
      <c r="BM206" s="102"/>
      <c r="BN206" s="101">
        <f t="shared" ref="BN206:BO206" si="299">SUM(BN207:BN211)</f>
        <v>200758984.00142908</v>
      </c>
      <c r="BO206" s="570">
        <f t="shared" si="299"/>
        <v>892724878.00142908</v>
      </c>
    </row>
    <row r="207" spans="1:67" ht="95.25" customHeight="1" x14ac:dyDescent="0.2">
      <c r="A207" s="547">
        <v>142</v>
      </c>
      <c r="B207" s="69">
        <v>3</v>
      </c>
      <c r="C207" s="136"/>
      <c r="D207" s="136"/>
      <c r="E207" s="478">
        <v>25</v>
      </c>
      <c r="F207" s="439" t="s">
        <v>486</v>
      </c>
      <c r="G207" s="607" t="s">
        <v>487</v>
      </c>
      <c r="H207" s="621" t="s">
        <v>488</v>
      </c>
      <c r="I207" s="77">
        <v>142</v>
      </c>
      <c r="J207" s="73" t="s">
        <v>489</v>
      </c>
      <c r="K207" s="70" t="s">
        <v>490</v>
      </c>
      <c r="L207" s="549" t="s">
        <v>441</v>
      </c>
      <c r="M207" s="549">
        <v>2</v>
      </c>
      <c r="N207" s="289" t="s">
        <v>54</v>
      </c>
      <c r="O207" s="78" t="s">
        <v>49</v>
      </c>
      <c r="P207" s="78">
        <v>12</v>
      </c>
      <c r="Q207" s="456">
        <v>12</v>
      </c>
      <c r="R207" s="450">
        <v>12</v>
      </c>
      <c r="S207" s="500"/>
      <c r="T207" s="291">
        <v>12</v>
      </c>
      <c r="U207" s="291"/>
      <c r="V207" s="291">
        <v>12</v>
      </c>
      <c r="W207" s="289"/>
      <c r="X207" s="286">
        <f>AJ207/$AJ$206</f>
        <v>3.2486553766666149E-2</v>
      </c>
      <c r="Y207" s="77">
        <v>3</v>
      </c>
      <c r="Z207" s="164" t="s">
        <v>452</v>
      </c>
      <c r="AA207" s="287"/>
      <c r="AB207" s="287"/>
      <c r="AC207" s="287"/>
      <c r="AD207" s="287"/>
      <c r="AE207" s="287"/>
      <c r="AF207" s="287"/>
      <c r="AG207" s="287"/>
      <c r="AH207" s="287">
        <v>10000000</v>
      </c>
      <c r="AI207" s="287"/>
      <c r="AJ207" s="82">
        <f>+AA207+AB207+AC207+AD207+AE207+AF207+AG207+AH207+AI207</f>
        <v>10000000</v>
      </c>
      <c r="AK207" s="90"/>
      <c r="AL207" s="90"/>
      <c r="AM207" s="90"/>
      <c r="AN207" s="90"/>
      <c r="AO207" s="90"/>
      <c r="AP207" s="90"/>
      <c r="AQ207" s="90"/>
      <c r="AR207" s="455">
        <v>6147579.9099539006</v>
      </c>
      <c r="AS207" s="90"/>
      <c r="AT207" s="84">
        <f>AK207+AL207+AM207+AN207+AO207+AP207+AQ207+AR207+AS207</f>
        <v>6147579.9099539006</v>
      </c>
      <c r="AU207" s="455"/>
      <c r="AV207" s="455"/>
      <c r="AW207" s="455"/>
      <c r="AX207" s="455"/>
      <c r="AY207" s="455"/>
      <c r="AZ207" s="455"/>
      <c r="BA207" s="455"/>
      <c r="BB207" s="455">
        <v>6300000</v>
      </c>
      <c r="BC207" s="455"/>
      <c r="BD207" s="455">
        <f>SUM(AU207:BC207)</f>
        <v>6300000</v>
      </c>
      <c r="BE207" s="90"/>
      <c r="BF207" s="90"/>
      <c r="BG207" s="90"/>
      <c r="BH207" s="90"/>
      <c r="BI207" s="90"/>
      <c r="BJ207" s="90"/>
      <c r="BK207" s="90"/>
      <c r="BL207" s="90">
        <v>6500000</v>
      </c>
      <c r="BM207" s="455"/>
      <c r="BN207" s="90">
        <f>SUM(BE207:BL207)</f>
        <v>6500000</v>
      </c>
      <c r="BO207" s="546">
        <f>AJ207+AT207+BD207+BN207</f>
        <v>28947579.9099539</v>
      </c>
    </row>
    <row r="208" spans="1:67" ht="217.5" customHeight="1" x14ac:dyDescent="0.2">
      <c r="A208" s="545">
        <v>143</v>
      </c>
      <c r="B208" s="69">
        <v>3</v>
      </c>
      <c r="C208" s="136"/>
      <c r="D208" s="136"/>
      <c r="E208" s="93" t="s">
        <v>491</v>
      </c>
      <c r="F208" s="70" t="s">
        <v>492</v>
      </c>
      <c r="G208" s="77">
        <v>10</v>
      </c>
      <c r="H208" s="77" t="s">
        <v>493</v>
      </c>
      <c r="I208" s="77">
        <v>143</v>
      </c>
      <c r="J208" s="73" t="s">
        <v>494</v>
      </c>
      <c r="K208" s="70" t="s">
        <v>495</v>
      </c>
      <c r="L208" s="549" t="s">
        <v>441</v>
      </c>
      <c r="M208" s="549">
        <v>2</v>
      </c>
      <c r="N208" s="289" t="s">
        <v>54</v>
      </c>
      <c r="O208" s="78">
        <v>1</v>
      </c>
      <c r="P208" s="78">
        <v>1</v>
      </c>
      <c r="Q208" s="282">
        <v>1</v>
      </c>
      <c r="R208" s="280">
        <v>1</v>
      </c>
      <c r="S208" s="500"/>
      <c r="T208" s="280">
        <v>1</v>
      </c>
      <c r="U208" s="280"/>
      <c r="V208" s="280">
        <v>1</v>
      </c>
      <c r="W208" s="289"/>
      <c r="X208" s="286">
        <f>AJ208/$AJ$206</f>
        <v>0</v>
      </c>
      <c r="Y208" s="77">
        <v>3</v>
      </c>
      <c r="Z208" s="164" t="s">
        <v>452</v>
      </c>
      <c r="AA208" s="287"/>
      <c r="AB208" s="287"/>
      <c r="AC208" s="287"/>
      <c r="AD208" s="287"/>
      <c r="AE208" s="287"/>
      <c r="AF208" s="287"/>
      <c r="AG208" s="287"/>
      <c r="AH208" s="287"/>
      <c r="AI208" s="287"/>
      <c r="AJ208" s="82">
        <f>+AA208+AB208+AC208+AD208+AE208+AF208+AG208+AH208+AI208</f>
        <v>0</v>
      </c>
      <c r="AK208" s="90"/>
      <c r="AL208" s="90"/>
      <c r="AM208" s="90"/>
      <c r="AN208" s="90"/>
      <c r="AO208" s="90"/>
      <c r="AP208" s="90"/>
      <c r="AQ208" s="90"/>
      <c r="AR208" s="455">
        <v>0</v>
      </c>
      <c r="AS208" s="90"/>
      <c r="AT208" s="84">
        <f>AK208+AL208+AM208+AN208+AO208+AP208+AQ208+AR208+AS208</f>
        <v>0</v>
      </c>
      <c r="AU208" s="455"/>
      <c r="AV208" s="455"/>
      <c r="AW208" s="455"/>
      <c r="AX208" s="455"/>
      <c r="AY208" s="455"/>
      <c r="AZ208" s="455"/>
      <c r="BA208" s="455"/>
      <c r="BB208" s="455">
        <v>0</v>
      </c>
      <c r="BC208" s="455"/>
      <c r="BD208" s="455">
        <f>SUM(AU208:BC208)</f>
        <v>0</v>
      </c>
      <c r="BE208" s="90"/>
      <c r="BF208" s="90"/>
      <c r="BG208" s="90"/>
      <c r="BH208" s="90"/>
      <c r="BI208" s="90"/>
      <c r="BJ208" s="90"/>
      <c r="BK208" s="90"/>
      <c r="BL208" s="90">
        <v>0</v>
      </c>
      <c r="BM208" s="455"/>
      <c r="BN208" s="90">
        <f>SUM(BE208:BL208)</f>
        <v>0</v>
      </c>
      <c r="BO208" s="546">
        <f>AJ208+AT208+BD208+BN208</f>
        <v>0</v>
      </c>
    </row>
    <row r="209" spans="1:67" ht="343.5" customHeight="1" x14ac:dyDescent="0.2">
      <c r="A209" s="547">
        <v>144</v>
      </c>
      <c r="B209" s="69">
        <v>3</v>
      </c>
      <c r="C209" s="136"/>
      <c r="D209" s="136"/>
      <c r="E209" s="93">
        <v>25</v>
      </c>
      <c r="F209" s="268" t="s">
        <v>486</v>
      </c>
      <c r="G209" s="87" t="s">
        <v>487</v>
      </c>
      <c r="H209" s="621" t="s">
        <v>488</v>
      </c>
      <c r="I209" s="77">
        <v>144</v>
      </c>
      <c r="J209" s="73" t="s">
        <v>496</v>
      </c>
      <c r="K209" s="70" t="s">
        <v>497</v>
      </c>
      <c r="L209" s="549" t="s">
        <v>441</v>
      </c>
      <c r="M209" s="549">
        <v>2</v>
      </c>
      <c r="N209" s="289" t="s">
        <v>54</v>
      </c>
      <c r="O209" s="31">
        <v>5</v>
      </c>
      <c r="P209" s="78">
        <v>5</v>
      </c>
      <c r="Q209" s="282">
        <v>5</v>
      </c>
      <c r="R209" s="280">
        <v>5</v>
      </c>
      <c r="S209" s="500"/>
      <c r="T209" s="280">
        <v>5</v>
      </c>
      <c r="U209" s="280"/>
      <c r="V209" s="280">
        <v>5</v>
      </c>
      <c r="W209" s="289"/>
      <c r="X209" s="286">
        <f>AJ209/$AJ$206</f>
        <v>0.58182362632832729</v>
      </c>
      <c r="Y209" s="77">
        <v>3</v>
      </c>
      <c r="Z209" s="164" t="s">
        <v>452</v>
      </c>
      <c r="AA209" s="287"/>
      <c r="AB209" s="287"/>
      <c r="AC209" s="287"/>
      <c r="AD209" s="108">
        <v>7383</v>
      </c>
      <c r="AE209" s="287"/>
      <c r="AF209" s="287"/>
      <c r="AG209" s="287"/>
      <c r="AH209" s="287">
        <f>77600000+101489369</f>
        <v>179089369</v>
      </c>
      <c r="AI209" s="287"/>
      <c r="AJ209" s="82">
        <f>+AA209+AB209+AC209+AD209+AE209+AF209+AG209+AH209+AI209</f>
        <v>179096752</v>
      </c>
      <c r="AK209" s="90"/>
      <c r="AL209" s="90"/>
      <c r="AM209" s="90"/>
      <c r="AN209" s="90"/>
      <c r="AO209" s="90"/>
      <c r="AP209" s="90"/>
      <c r="AQ209" s="90"/>
      <c r="AR209" s="455">
        <v>110101159.45331961</v>
      </c>
      <c r="AS209" s="90"/>
      <c r="AT209" s="84">
        <f>AK209+AL209+AM209+AN209+AO209+AP209+AQ209+AR209+AS209</f>
        <v>110101159.45331961</v>
      </c>
      <c r="AU209" s="455"/>
      <c r="AV209" s="455"/>
      <c r="AW209" s="455"/>
      <c r="AX209" s="455"/>
      <c r="AY209" s="455"/>
      <c r="AZ209" s="455"/>
      <c r="BA209" s="455"/>
      <c r="BB209" s="455">
        <v>113400000</v>
      </c>
      <c r="BC209" s="455"/>
      <c r="BD209" s="455">
        <f>SUM(AU209:BC209)</f>
        <v>113400000</v>
      </c>
      <c r="BE209" s="90"/>
      <c r="BF209" s="90"/>
      <c r="BG209" s="90"/>
      <c r="BH209" s="90"/>
      <c r="BI209" s="90"/>
      <c r="BJ209" s="90"/>
      <c r="BK209" s="90"/>
      <c r="BL209" s="90">
        <v>116800000</v>
      </c>
      <c r="BM209" s="455"/>
      <c r="BN209" s="90">
        <f>SUM(BE209:BL209)</f>
        <v>116800000</v>
      </c>
      <c r="BO209" s="546">
        <f>AJ209+AT209+BD209+BN209</f>
        <v>519397911.45331961</v>
      </c>
    </row>
    <row r="210" spans="1:67" ht="95.25" customHeight="1" x14ac:dyDescent="0.2">
      <c r="A210" s="545">
        <v>145</v>
      </c>
      <c r="B210" s="69">
        <v>3</v>
      </c>
      <c r="C210" s="136"/>
      <c r="D210" s="136"/>
      <c r="E210" s="93" t="s">
        <v>498</v>
      </c>
      <c r="F210" s="70" t="s">
        <v>499</v>
      </c>
      <c r="G210" s="77" t="s">
        <v>500</v>
      </c>
      <c r="H210" s="284">
        <v>0.8</v>
      </c>
      <c r="I210" s="77">
        <v>145</v>
      </c>
      <c r="J210" s="73" t="s">
        <v>501</v>
      </c>
      <c r="K210" s="70" t="s">
        <v>440</v>
      </c>
      <c r="L210" s="549" t="s">
        <v>441</v>
      </c>
      <c r="M210" s="549">
        <v>2</v>
      </c>
      <c r="N210" s="289" t="s">
        <v>54</v>
      </c>
      <c r="O210" s="294" t="s">
        <v>49</v>
      </c>
      <c r="P210" s="295">
        <v>1</v>
      </c>
      <c r="Q210" s="282">
        <v>1</v>
      </c>
      <c r="R210" s="280">
        <v>1</v>
      </c>
      <c r="S210" s="500"/>
      <c r="T210" s="280">
        <v>1</v>
      </c>
      <c r="U210" s="280"/>
      <c r="V210" s="280">
        <v>1</v>
      </c>
      <c r="W210" s="289"/>
      <c r="X210" s="286">
        <f>AJ210/$AJ$206</f>
        <v>0.25574360483834202</v>
      </c>
      <c r="Y210" s="77">
        <v>3</v>
      </c>
      <c r="Z210" s="164" t="s">
        <v>452</v>
      </c>
      <c r="AA210" s="287"/>
      <c r="AB210" s="287"/>
      <c r="AC210" s="287"/>
      <c r="AD210" s="287"/>
      <c r="AE210" s="287"/>
      <c r="AF210" s="287"/>
      <c r="AG210" s="287"/>
      <c r="AH210" s="287">
        <v>78722910</v>
      </c>
      <c r="AI210" s="287"/>
      <c r="AJ210" s="82">
        <f>+AA210+AB210+AC210+AD210+AE210+AF210+AG210+AH210+AI210</f>
        <v>78722910</v>
      </c>
      <c r="AK210" s="90"/>
      <c r="AL210" s="90"/>
      <c r="AM210" s="90"/>
      <c r="AN210" s="90"/>
      <c r="AO210" s="90"/>
      <c r="AP210" s="90"/>
      <c r="AQ210" s="90"/>
      <c r="AR210" s="296">
        <v>48395537.9969109</v>
      </c>
      <c r="AS210" s="90"/>
      <c r="AT210" s="84">
        <f>AK210+AL210+AM210+AN210+AO210+AP210+AQ210+AR210+AS210</f>
        <v>48395537.9969109</v>
      </c>
      <c r="AU210" s="455"/>
      <c r="AV210" s="455"/>
      <c r="AW210" s="455"/>
      <c r="AX210" s="455"/>
      <c r="AY210" s="455"/>
      <c r="AZ210" s="455"/>
      <c r="BA210" s="455"/>
      <c r="BB210" s="455">
        <v>49800000</v>
      </c>
      <c r="BC210" s="455"/>
      <c r="BD210" s="455">
        <f>SUM(AU210:BC210)</f>
        <v>49800000</v>
      </c>
      <c r="BE210" s="90"/>
      <c r="BF210" s="90"/>
      <c r="BG210" s="90"/>
      <c r="BH210" s="90"/>
      <c r="BI210" s="90"/>
      <c r="BJ210" s="90"/>
      <c r="BK210" s="90"/>
      <c r="BL210" s="90">
        <v>51300000</v>
      </c>
      <c r="BM210" s="455"/>
      <c r="BN210" s="90">
        <f>SUM(BE210:BL210)</f>
        <v>51300000</v>
      </c>
      <c r="BO210" s="546">
        <f>AJ210+AT210+BD210+BN210</f>
        <v>228218447.9969109</v>
      </c>
    </row>
    <row r="211" spans="1:67" ht="408.75" customHeight="1" x14ac:dyDescent="0.2">
      <c r="A211" s="547">
        <v>146</v>
      </c>
      <c r="B211" s="69">
        <v>3</v>
      </c>
      <c r="C211" s="136"/>
      <c r="D211" s="136"/>
      <c r="E211" s="451" t="s">
        <v>502</v>
      </c>
      <c r="F211" s="70" t="s">
        <v>503</v>
      </c>
      <c r="G211" s="284">
        <v>0.68</v>
      </c>
      <c r="H211" s="284">
        <v>0.73</v>
      </c>
      <c r="I211" s="77">
        <v>146</v>
      </c>
      <c r="J211" s="73" t="s">
        <v>504</v>
      </c>
      <c r="K211" s="70" t="s">
        <v>505</v>
      </c>
      <c r="L211" s="549" t="s">
        <v>441</v>
      </c>
      <c r="M211" s="549">
        <v>2</v>
      </c>
      <c r="N211" s="289" t="s">
        <v>54</v>
      </c>
      <c r="O211" s="78" t="s">
        <v>49</v>
      </c>
      <c r="P211" s="78">
        <v>1</v>
      </c>
      <c r="Q211" s="282">
        <v>1</v>
      </c>
      <c r="R211" s="280">
        <v>1</v>
      </c>
      <c r="S211" s="500"/>
      <c r="T211" s="280">
        <v>1</v>
      </c>
      <c r="U211" s="280"/>
      <c r="V211" s="280">
        <v>1</v>
      </c>
      <c r="W211" s="289"/>
      <c r="X211" s="286">
        <f>AJ211/$AJ$206</f>
        <v>0.12994621506666459</v>
      </c>
      <c r="Y211" s="77">
        <v>3</v>
      </c>
      <c r="Z211" s="164" t="s">
        <v>452</v>
      </c>
      <c r="AA211" s="287"/>
      <c r="AB211" s="287"/>
      <c r="AC211" s="287"/>
      <c r="AD211" s="104"/>
      <c r="AE211" s="287"/>
      <c r="AF211" s="287"/>
      <c r="AG211" s="287"/>
      <c r="AH211" s="448">
        <v>40000000</v>
      </c>
      <c r="AI211" s="287"/>
      <c r="AJ211" s="82">
        <f>+AA211+AB211+AC211+AD211+AE211+AF211+AG211+AH211+AI211</f>
        <v>40000000</v>
      </c>
      <c r="AK211" s="90">
        <v>0</v>
      </c>
      <c r="AL211" s="90">
        <v>0</v>
      </c>
      <c r="AM211" s="90"/>
      <c r="AN211" s="90"/>
      <c r="AO211" s="90"/>
      <c r="AP211" s="90"/>
      <c r="AQ211" s="90"/>
      <c r="AR211" s="455">
        <v>24590320</v>
      </c>
      <c r="AS211" s="90"/>
      <c r="AT211" s="84">
        <v>24590319.639815602</v>
      </c>
      <c r="AU211" s="455"/>
      <c r="AV211" s="455"/>
      <c r="AW211" s="455"/>
      <c r="AX211" s="455"/>
      <c r="AY211" s="455"/>
      <c r="AZ211" s="455"/>
      <c r="BA211" s="455"/>
      <c r="BB211" s="455">
        <v>25411635</v>
      </c>
      <c r="BC211" s="455"/>
      <c r="BD211" s="455">
        <f>SUM(AU211:BC211)</f>
        <v>25411635</v>
      </c>
      <c r="BE211" s="90"/>
      <c r="BF211" s="90"/>
      <c r="BG211" s="90"/>
      <c r="BH211" s="90"/>
      <c r="BI211" s="90"/>
      <c r="BJ211" s="90"/>
      <c r="BK211" s="90"/>
      <c r="BL211" s="90">
        <v>26158984.001429077</v>
      </c>
      <c r="BM211" s="455"/>
      <c r="BN211" s="90">
        <f>SUM(BE211:BL211)</f>
        <v>26158984.001429077</v>
      </c>
      <c r="BO211" s="546">
        <f>AJ211+AT211+BD211+BN211</f>
        <v>116160938.64124468</v>
      </c>
    </row>
    <row r="212" spans="1:67" ht="24.75" customHeight="1" x14ac:dyDescent="0.2">
      <c r="A212" s="547"/>
      <c r="B212" s="69"/>
      <c r="C212" s="136"/>
      <c r="D212" s="136"/>
      <c r="E212" s="57">
        <v>41</v>
      </c>
      <c r="F212" s="58" t="s">
        <v>506</v>
      </c>
      <c r="G212" s="95"/>
      <c r="H212" s="96"/>
      <c r="I212" s="60"/>
      <c r="J212" s="96"/>
      <c r="K212" s="96"/>
      <c r="L212" s="60"/>
      <c r="M212" s="60"/>
      <c r="N212" s="98"/>
      <c r="O212" s="96"/>
      <c r="P212" s="96"/>
      <c r="Q212" s="98"/>
      <c r="R212" s="96"/>
      <c r="S212" s="503"/>
      <c r="T212" s="98"/>
      <c r="U212" s="98"/>
      <c r="V212" s="98"/>
      <c r="W212" s="98"/>
      <c r="X212" s="98"/>
      <c r="Y212" s="98"/>
      <c r="Z212" s="98"/>
      <c r="AA212" s="98"/>
      <c r="AB212" s="402">
        <f t="shared" ref="AB212:AQ212" si="300">SUM(AB213:AB214)</f>
        <v>0</v>
      </c>
      <c r="AC212" s="402">
        <f t="shared" si="300"/>
        <v>0</v>
      </c>
      <c r="AD212" s="402">
        <f t="shared" si="300"/>
        <v>0</v>
      </c>
      <c r="AE212" s="402">
        <f t="shared" si="300"/>
        <v>0</v>
      </c>
      <c r="AF212" s="402">
        <f t="shared" si="300"/>
        <v>0</v>
      </c>
      <c r="AG212" s="402">
        <f t="shared" si="300"/>
        <v>0</v>
      </c>
      <c r="AH212" s="402">
        <f t="shared" si="300"/>
        <v>10000000</v>
      </c>
      <c r="AI212" s="402">
        <f t="shared" si="300"/>
        <v>0</v>
      </c>
      <c r="AJ212" s="402">
        <f t="shared" si="300"/>
        <v>10000000</v>
      </c>
      <c r="AK212" s="402">
        <f t="shared" si="300"/>
        <v>0</v>
      </c>
      <c r="AL212" s="402">
        <f t="shared" si="300"/>
        <v>0</v>
      </c>
      <c r="AM212" s="402">
        <f t="shared" si="300"/>
        <v>0</v>
      </c>
      <c r="AN212" s="402">
        <f t="shared" si="300"/>
        <v>0</v>
      </c>
      <c r="AO212" s="402">
        <f t="shared" si="300"/>
        <v>0</v>
      </c>
      <c r="AP212" s="402">
        <f t="shared" si="300"/>
        <v>0</v>
      </c>
      <c r="AQ212" s="402">
        <f t="shared" si="300"/>
        <v>0</v>
      </c>
      <c r="AR212" s="402">
        <f t="shared" ref="AR212:AT212" si="301">SUM(AR213:AR214)</f>
        <v>10300000</v>
      </c>
      <c r="AS212" s="402">
        <f t="shared" si="301"/>
        <v>0</v>
      </c>
      <c r="AT212" s="402">
        <f t="shared" si="301"/>
        <v>10300000</v>
      </c>
      <c r="AU212" s="98"/>
      <c r="AV212" s="98"/>
      <c r="AW212" s="98"/>
      <c r="AX212" s="98"/>
      <c r="AY212" s="98"/>
      <c r="AZ212" s="98"/>
      <c r="BA212" s="98"/>
      <c r="BB212" s="98"/>
      <c r="BC212" s="98"/>
      <c r="BD212" s="402">
        <f t="shared" ref="BD212" si="302">SUM(BD213:BD214)</f>
        <v>10609000</v>
      </c>
      <c r="BE212" s="98"/>
      <c r="BF212" s="98"/>
      <c r="BG212" s="98"/>
      <c r="BH212" s="98"/>
      <c r="BI212" s="98"/>
      <c r="BJ212" s="98"/>
      <c r="BK212" s="98"/>
      <c r="BL212" s="98"/>
      <c r="BM212" s="98"/>
      <c r="BN212" s="402">
        <f t="shared" ref="BN212:BO212" si="303">SUM(BN213:BN214)</f>
        <v>10927270</v>
      </c>
      <c r="BO212" s="612">
        <f t="shared" si="303"/>
        <v>41836270</v>
      </c>
    </row>
    <row r="213" spans="1:67" ht="102.75" customHeight="1" x14ac:dyDescent="0.2">
      <c r="A213" s="545">
        <v>147</v>
      </c>
      <c r="B213" s="69">
        <v>3</v>
      </c>
      <c r="C213" s="136"/>
      <c r="D213" s="136"/>
      <c r="E213" s="478">
        <v>28</v>
      </c>
      <c r="F213" s="480" t="s">
        <v>507</v>
      </c>
      <c r="G213" s="623">
        <v>0.5</v>
      </c>
      <c r="H213" s="623">
        <v>1</v>
      </c>
      <c r="I213" s="77">
        <v>147</v>
      </c>
      <c r="J213" s="73" t="s">
        <v>508</v>
      </c>
      <c r="K213" s="262" t="s">
        <v>509</v>
      </c>
      <c r="L213" s="549" t="s">
        <v>441</v>
      </c>
      <c r="M213" s="549">
        <v>2</v>
      </c>
      <c r="N213" s="277" t="s">
        <v>54</v>
      </c>
      <c r="O213" s="78">
        <v>14</v>
      </c>
      <c r="P213" s="78">
        <v>14</v>
      </c>
      <c r="Q213" s="282">
        <v>14</v>
      </c>
      <c r="R213" s="280">
        <v>14</v>
      </c>
      <c r="S213" s="500"/>
      <c r="T213" s="280">
        <v>14</v>
      </c>
      <c r="U213" s="280"/>
      <c r="V213" s="280">
        <v>14</v>
      </c>
      <c r="W213" s="277"/>
      <c r="X213" s="218">
        <f>AJ213/AJ212</f>
        <v>0.5</v>
      </c>
      <c r="Y213" s="78">
        <v>3</v>
      </c>
      <c r="Z213" s="75" t="s">
        <v>452</v>
      </c>
      <c r="AA213" s="185"/>
      <c r="AB213" s="185"/>
      <c r="AC213" s="185"/>
      <c r="AD213" s="185"/>
      <c r="AE213" s="185"/>
      <c r="AF213" s="185"/>
      <c r="AG213" s="185"/>
      <c r="AH213" s="185">
        <v>5000000</v>
      </c>
      <c r="AI213" s="185"/>
      <c r="AJ213" s="82">
        <f>+AA213+AB213+AC213+AD213+AE213+AF213+AG213+AH213+AI213</f>
        <v>5000000</v>
      </c>
      <c r="AK213" s="90"/>
      <c r="AL213" s="90"/>
      <c r="AM213" s="90"/>
      <c r="AN213" s="90"/>
      <c r="AO213" s="90"/>
      <c r="AP213" s="90"/>
      <c r="AQ213" s="90"/>
      <c r="AR213" s="455">
        <v>5150000</v>
      </c>
      <c r="AS213" s="90"/>
      <c r="AT213" s="84">
        <f>AK213+AL213+AM213+AN213+AO213+AP213+AQ213+AR213+AS213</f>
        <v>5150000</v>
      </c>
      <c r="AU213" s="455"/>
      <c r="AV213" s="455"/>
      <c r="AW213" s="455"/>
      <c r="AX213" s="455"/>
      <c r="AY213" s="455"/>
      <c r="AZ213" s="455"/>
      <c r="BA213" s="455"/>
      <c r="BB213" s="455">
        <v>5304500</v>
      </c>
      <c r="BC213" s="455"/>
      <c r="BD213" s="455">
        <f>SUM(AU213:BC213)</f>
        <v>5304500</v>
      </c>
      <c r="BE213" s="90"/>
      <c r="BF213" s="90"/>
      <c r="BG213" s="90"/>
      <c r="BH213" s="90"/>
      <c r="BI213" s="90"/>
      <c r="BJ213" s="90"/>
      <c r="BK213" s="90"/>
      <c r="BL213" s="455">
        <v>5500000</v>
      </c>
      <c r="BM213" s="455"/>
      <c r="BN213" s="455">
        <f>SUM(BE213:BL213)</f>
        <v>5500000</v>
      </c>
      <c r="BO213" s="546">
        <f>AJ213+AT213+BD213+BN213</f>
        <v>20954500</v>
      </c>
    </row>
    <row r="214" spans="1:67" ht="71.25" customHeight="1" x14ac:dyDescent="0.2">
      <c r="A214" s="547">
        <v>148</v>
      </c>
      <c r="B214" s="69">
        <v>3</v>
      </c>
      <c r="C214" s="136"/>
      <c r="D214" s="136"/>
      <c r="E214" s="451"/>
      <c r="F214" s="534"/>
      <c r="G214" s="203"/>
      <c r="H214" s="203"/>
      <c r="I214" s="77">
        <v>148</v>
      </c>
      <c r="J214" s="73" t="s">
        <v>510</v>
      </c>
      <c r="K214" s="262" t="s">
        <v>511</v>
      </c>
      <c r="L214" s="549" t="s">
        <v>441</v>
      </c>
      <c r="M214" s="549">
        <v>2</v>
      </c>
      <c r="N214" s="490" t="s">
        <v>54</v>
      </c>
      <c r="O214" s="78" t="s">
        <v>49</v>
      </c>
      <c r="P214" s="78">
        <v>11</v>
      </c>
      <c r="Q214" s="614">
        <v>11</v>
      </c>
      <c r="R214" s="479">
        <v>11</v>
      </c>
      <c r="S214" s="500"/>
      <c r="T214" s="479">
        <v>11</v>
      </c>
      <c r="U214" s="479"/>
      <c r="V214" s="479">
        <v>11</v>
      </c>
      <c r="W214" s="490"/>
      <c r="X214" s="218">
        <f>AJ214/AJ212</f>
        <v>0.5</v>
      </c>
      <c r="Y214" s="78">
        <v>3</v>
      </c>
      <c r="Z214" s="75" t="s">
        <v>452</v>
      </c>
      <c r="AA214" s="185"/>
      <c r="AB214" s="185"/>
      <c r="AC214" s="185"/>
      <c r="AD214" s="185"/>
      <c r="AE214" s="185"/>
      <c r="AF214" s="185"/>
      <c r="AG214" s="185"/>
      <c r="AH214" s="185">
        <v>5000000</v>
      </c>
      <c r="AI214" s="185"/>
      <c r="AJ214" s="82">
        <f>+AA214+AB214+AC214+AD214+AE214+AF214+AG214+AH214+AI214</f>
        <v>5000000</v>
      </c>
      <c r="AK214" s="90"/>
      <c r="AL214" s="90"/>
      <c r="AM214" s="90"/>
      <c r="AN214" s="90"/>
      <c r="AO214" s="90"/>
      <c r="AP214" s="90"/>
      <c r="AQ214" s="90"/>
      <c r="AR214" s="455">
        <v>5150000</v>
      </c>
      <c r="AS214" s="90"/>
      <c r="AT214" s="84">
        <f>AK214+AL214+AM214+AN214+AO214+AP214+AQ214+AR214+AS214</f>
        <v>5150000</v>
      </c>
      <c r="AU214" s="455"/>
      <c r="AV214" s="455"/>
      <c r="AW214" s="455"/>
      <c r="AX214" s="455"/>
      <c r="AY214" s="455"/>
      <c r="AZ214" s="455"/>
      <c r="BA214" s="455"/>
      <c r="BB214" s="455">
        <v>5304500</v>
      </c>
      <c r="BC214" s="455"/>
      <c r="BD214" s="455">
        <f>SUM(AU214:BC214)</f>
        <v>5304500</v>
      </c>
      <c r="BE214" s="90"/>
      <c r="BF214" s="90"/>
      <c r="BG214" s="90"/>
      <c r="BH214" s="90"/>
      <c r="BI214" s="90"/>
      <c r="BJ214" s="90"/>
      <c r="BK214" s="90"/>
      <c r="BL214" s="455">
        <v>5427270</v>
      </c>
      <c r="BM214" s="455"/>
      <c r="BN214" s="455">
        <f>SUM(BE214:BL214)</f>
        <v>5427270</v>
      </c>
      <c r="BO214" s="546">
        <f>AJ214+AT214+BD214+BN214</f>
        <v>20881770</v>
      </c>
    </row>
    <row r="215" spans="1:67" ht="24.75" customHeight="1" thickBot="1" x14ac:dyDescent="0.25">
      <c r="A215" s="547"/>
      <c r="B215" s="69"/>
      <c r="C215" s="136"/>
      <c r="D215" s="136"/>
      <c r="E215" s="57">
        <v>42</v>
      </c>
      <c r="F215" s="58" t="s">
        <v>512</v>
      </c>
      <c r="G215" s="96"/>
      <c r="H215" s="96"/>
      <c r="I215" s="60"/>
      <c r="J215" s="96"/>
      <c r="K215" s="96"/>
      <c r="L215" s="60"/>
      <c r="M215" s="60"/>
      <c r="N215" s="97"/>
      <c r="O215" s="96"/>
      <c r="P215" s="96"/>
      <c r="Q215" s="98"/>
      <c r="R215" s="96"/>
      <c r="S215" s="503"/>
      <c r="T215" s="96"/>
      <c r="U215" s="96"/>
      <c r="V215" s="60"/>
      <c r="W215" s="60"/>
      <c r="X215" s="99"/>
      <c r="Y215" s="60"/>
      <c r="Z215" s="60"/>
      <c r="AA215" s="100">
        <f t="shared" ref="AA215:AI215" si="304">SUM(AA216:AA217)</f>
        <v>0</v>
      </c>
      <c r="AB215" s="100">
        <f t="shared" si="304"/>
        <v>0</v>
      </c>
      <c r="AC215" s="100">
        <f t="shared" si="304"/>
        <v>0</v>
      </c>
      <c r="AD215" s="100">
        <f t="shared" si="304"/>
        <v>0</v>
      </c>
      <c r="AE215" s="100">
        <f t="shared" si="304"/>
        <v>0</v>
      </c>
      <c r="AF215" s="100">
        <f t="shared" si="304"/>
        <v>0</v>
      </c>
      <c r="AG215" s="100">
        <f t="shared" si="304"/>
        <v>0</v>
      </c>
      <c r="AH215" s="100">
        <f t="shared" si="304"/>
        <v>50000000</v>
      </c>
      <c r="AI215" s="100">
        <f t="shared" si="304"/>
        <v>0</v>
      </c>
      <c r="AJ215" s="101">
        <f>SUM(AJ216:AJ217)</f>
        <v>50000000</v>
      </c>
      <c r="AK215" s="100">
        <f t="shared" ref="AK215:AT215" si="305">SUM(AK216:AK217)</f>
        <v>0</v>
      </c>
      <c r="AL215" s="100">
        <f t="shared" si="305"/>
        <v>0</v>
      </c>
      <c r="AM215" s="100">
        <f t="shared" si="305"/>
        <v>0</v>
      </c>
      <c r="AN215" s="100">
        <f t="shared" si="305"/>
        <v>0</v>
      </c>
      <c r="AO215" s="100">
        <f t="shared" si="305"/>
        <v>0</v>
      </c>
      <c r="AP215" s="100">
        <f t="shared" si="305"/>
        <v>0</v>
      </c>
      <c r="AQ215" s="100">
        <f t="shared" si="305"/>
        <v>0</v>
      </c>
      <c r="AR215" s="100">
        <f t="shared" si="305"/>
        <v>51500000</v>
      </c>
      <c r="AS215" s="100">
        <f t="shared" si="305"/>
        <v>0</v>
      </c>
      <c r="AT215" s="100">
        <f t="shared" si="305"/>
        <v>51500000</v>
      </c>
      <c r="AU215" s="102"/>
      <c r="AV215" s="102"/>
      <c r="AW215" s="102"/>
      <c r="AX215" s="102"/>
      <c r="AY215" s="102"/>
      <c r="AZ215" s="102"/>
      <c r="BA215" s="102"/>
      <c r="BB215" s="102"/>
      <c r="BC215" s="102"/>
      <c r="BD215" s="100">
        <f t="shared" ref="BD215" si="306">SUM(BD216:BD217)</f>
        <v>53045000</v>
      </c>
      <c r="BE215" s="102"/>
      <c r="BF215" s="102"/>
      <c r="BG215" s="102"/>
      <c r="BH215" s="102"/>
      <c r="BI215" s="102"/>
      <c r="BJ215" s="102"/>
      <c r="BK215" s="102"/>
      <c r="BL215" s="102"/>
      <c r="BM215" s="102"/>
      <c r="BN215" s="100">
        <f t="shared" ref="BN215:BO215" si="307">SUM(BN216:BN217)</f>
        <v>54636350</v>
      </c>
      <c r="BO215" s="560">
        <f t="shared" si="307"/>
        <v>209181350</v>
      </c>
    </row>
    <row r="216" spans="1:67" ht="164.25" customHeight="1" x14ac:dyDescent="0.2">
      <c r="A216" s="545">
        <v>149</v>
      </c>
      <c r="B216" s="69">
        <v>3</v>
      </c>
      <c r="C216" s="136"/>
      <c r="D216" s="136"/>
      <c r="E216" s="93" t="s">
        <v>513</v>
      </c>
      <c r="F216" s="268" t="s">
        <v>514</v>
      </c>
      <c r="G216" s="77" t="s">
        <v>515</v>
      </c>
      <c r="H216" s="77" t="s">
        <v>516</v>
      </c>
      <c r="I216" s="77">
        <v>149</v>
      </c>
      <c r="J216" s="73" t="s">
        <v>517</v>
      </c>
      <c r="K216" s="262" t="s">
        <v>518</v>
      </c>
      <c r="L216" s="164" t="s">
        <v>441</v>
      </c>
      <c r="M216" s="297">
        <v>2</v>
      </c>
      <c r="N216" s="289" t="s">
        <v>54</v>
      </c>
      <c r="O216" s="78" t="s">
        <v>49</v>
      </c>
      <c r="P216" s="78">
        <v>8</v>
      </c>
      <c r="Q216" s="290">
        <v>8</v>
      </c>
      <c r="R216" s="291">
        <v>8</v>
      </c>
      <c r="S216" s="500"/>
      <c r="T216" s="291">
        <v>8</v>
      </c>
      <c r="U216" s="291"/>
      <c r="V216" s="291">
        <v>8</v>
      </c>
      <c r="W216" s="289"/>
      <c r="X216" s="298">
        <f>AJ216/AJ215</f>
        <v>0.75</v>
      </c>
      <c r="Y216" s="78">
        <v>8</v>
      </c>
      <c r="Z216" s="166" t="s">
        <v>131</v>
      </c>
      <c r="AA216" s="170"/>
      <c r="AB216" s="170"/>
      <c r="AC216" s="170"/>
      <c r="AD216" s="170"/>
      <c r="AE216" s="170"/>
      <c r="AF216" s="170"/>
      <c r="AG216" s="170"/>
      <c r="AH216" s="108">
        <f>10000000+27500000</f>
        <v>37500000</v>
      </c>
      <c r="AI216" s="170"/>
      <c r="AJ216" s="82">
        <f>+AA216+AB216+AC216+AD216+AE216+AF216+AG216+AH216+AI216</f>
        <v>37500000</v>
      </c>
      <c r="AK216" s="90"/>
      <c r="AL216" s="90"/>
      <c r="AM216" s="90"/>
      <c r="AN216" s="90"/>
      <c r="AO216" s="90"/>
      <c r="AP216" s="90"/>
      <c r="AQ216" s="90"/>
      <c r="AR216" s="455">
        <v>38625000</v>
      </c>
      <c r="AS216" s="90"/>
      <c r="AT216" s="84">
        <f>AK216+AL216+AM216+AN216+AO216+AP216+AQ216+AR216+AS216</f>
        <v>38625000</v>
      </c>
      <c r="AU216" s="455"/>
      <c r="AV216" s="455"/>
      <c r="AW216" s="455"/>
      <c r="AX216" s="455"/>
      <c r="AY216" s="455"/>
      <c r="AZ216" s="455"/>
      <c r="BA216" s="455"/>
      <c r="BB216" s="455">
        <v>39783750</v>
      </c>
      <c r="BC216" s="455"/>
      <c r="BD216" s="455">
        <f>SUM(AU216:BC216)</f>
        <v>39783750</v>
      </c>
      <c r="BE216" s="90"/>
      <c r="BF216" s="90"/>
      <c r="BG216" s="90"/>
      <c r="BH216" s="90"/>
      <c r="BI216" s="90"/>
      <c r="BJ216" s="90"/>
      <c r="BK216" s="90"/>
      <c r="BL216" s="455">
        <v>40900000</v>
      </c>
      <c r="BM216" s="455"/>
      <c r="BN216" s="90">
        <f>SUM(BE216:BM216)</f>
        <v>40900000</v>
      </c>
      <c r="BO216" s="546">
        <f>AJ216+AT216+BD216+BN216</f>
        <v>156808750</v>
      </c>
    </row>
    <row r="217" spans="1:67" ht="162" customHeight="1" x14ac:dyDescent="0.2">
      <c r="A217" s="547">
        <v>150</v>
      </c>
      <c r="B217" s="69">
        <v>3</v>
      </c>
      <c r="C217" s="136"/>
      <c r="D217" s="136"/>
      <c r="E217" s="451">
        <v>28</v>
      </c>
      <c r="F217" s="221" t="s">
        <v>519</v>
      </c>
      <c r="G217" s="284">
        <v>0.5</v>
      </c>
      <c r="H217" s="284">
        <v>1</v>
      </c>
      <c r="I217" s="77">
        <v>150</v>
      </c>
      <c r="J217" s="73" t="s">
        <v>520</v>
      </c>
      <c r="K217" s="262" t="s">
        <v>521</v>
      </c>
      <c r="L217" s="164" t="s">
        <v>441</v>
      </c>
      <c r="M217" s="297">
        <v>2</v>
      </c>
      <c r="N217" s="289" t="s">
        <v>54</v>
      </c>
      <c r="O217" s="78">
        <v>0</v>
      </c>
      <c r="P217" s="78">
        <v>14</v>
      </c>
      <c r="Q217" s="282">
        <v>14</v>
      </c>
      <c r="R217" s="280">
        <v>14</v>
      </c>
      <c r="S217" s="500"/>
      <c r="T217" s="280">
        <v>14</v>
      </c>
      <c r="U217" s="280"/>
      <c r="V217" s="280">
        <v>14</v>
      </c>
      <c r="W217" s="289"/>
      <c r="X217" s="298">
        <f>AJ217/AJ215</f>
        <v>0.25</v>
      </c>
      <c r="Y217" s="78">
        <v>3</v>
      </c>
      <c r="Z217" s="166" t="s">
        <v>452</v>
      </c>
      <c r="AA217" s="170"/>
      <c r="AB217" s="170"/>
      <c r="AC217" s="170"/>
      <c r="AD217" s="170"/>
      <c r="AE217" s="170"/>
      <c r="AF217" s="170"/>
      <c r="AG217" s="170"/>
      <c r="AH217" s="108">
        <v>12500000</v>
      </c>
      <c r="AI217" s="170"/>
      <c r="AJ217" s="82">
        <f>+AA217+AB217+AC217+AD217+AE217+AF217+AG217+AH217+AI217</f>
        <v>12500000</v>
      </c>
      <c r="AK217" s="90"/>
      <c r="AL217" s="90"/>
      <c r="AM217" s="90"/>
      <c r="AN217" s="90"/>
      <c r="AO217" s="90"/>
      <c r="AP217" s="90"/>
      <c r="AQ217" s="90"/>
      <c r="AR217" s="455">
        <v>12875000</v>
      </c>
      <c r="AS217" s="90"/>
      <c r="AT217" s="84">
        <f>AK217+AL217+AM217+AN217+AO217+AP217+AQ217+AR217+AS217</f>
        <v>12875000</v>
      </c>
      <c r="AU217" s="455"/>
      <c r="AV217" s="455"/>
      <c r="AW217" s="455"/>
      <c r="AX217" s="455"/>
      <c r="AY217" s="455"/>
      <c r="AZ217" s="455"/>
      <c r="BA217" s="455"/>
      <c r="BB217" s="455">
        <v>13261250</v>
      </c>
      <c r="BC217" s="455"/>
      <c r="BD217" s="455">
        <f>SUM(AU217:BC217)</f>
        <v>13261250</v>
      </c>
      <c r="BE217" s="90"/>
      <c r="BF217" s="90"/>
      <c r="BG217" s="90"/>
      <c r="BH217" s="90"/>
      <c r="BI217" s="90"/>
      <c r="BJ217" s="90"/>
      <c r="BK217" s="90"/>
      <c r="BL217" s="455">
        <v>13736350</v>
      </c>
      <c r="BM217" s="455"/>
      <c r="BN217" s="90">
        <f>SUM(BE217:BM217)</f>
        <v>13736350</v>
      </c>
      <c r="BO217" s="546">
        <f>AJ217+AT217+BD217+BN217</f>
        <v>52372600</v>
      </c>
    </row>
    <row r="218" spans="1:67" ht="24.75" customHeight="1" x14ac:dyDescent="0.2">
      <c r="A218" s="547"/>
      <c r="B218" s="69"/>
      <c r="C218" s="136"/>
      <c r="D218" s="136"/>
      <c r="E218" s="57">
        <v>43</v>
      </c>
      <c r="F218" s="58" t="s">
        <v>522</v>
      </c>
      <c r="G218" s="61"/>
      <c r="H218" s="61"/>
      <c r="I218" s="60"/>
      <c r="J218" s="61"/>
      <c r="K218" s="61"/>
      <c r="L218" s="593"/>
      <c r="M218" s="487"/>
      <c r="N218" s="594"/>
      <c r="O218" s="61"/>
      <c r="P218" s="61"/>
      <c r="Q218" s="485"/>
      <c r="R218" s="481"/>
      <c r="S218" s="510"/>
      <c r="T218" s="481"/>
      <c r="U218" s="481"/>
      <c r="V218" s="487"/>
      <c r="W218" s="487"/>
      <c r="X218" s="137"/>
      <c r="Y218" s="62"/>
      <c r="Z218" s="62"/>
      <c r="AA218" s="66">
        <f t="shared" ref="AA218:AI218" si="308">SUM(AA219:AA221)</f>
        <v>0</v>
      </c>
      <c r="AB218" s="66">
        <f t="shared" si="308"/>
        <v>1159435758</v>
      </c>
      <c r="AC218" s="66">
        <f t="shared" si="308"/>
        <v>150000000</v>
      </c>
      <c r="AD218" s="66">
        <f t="shared" si="308"/>
        <v>0</v>
      </c>
      <c r="AE218" s="66">
        <f t="shared" si="308"/>
        <v>0</v>
      </c>
      <c r="AF218" s="66">
        <f t="shared" si="308"/>
        <v>0</v>
      </c>
      <c r="AG218" s="66">
        <f t="shared" si="308"/>
        <v>0</v>
      </c>
      <c r="AH218" s="66">
        <f t="shared" si="308"/>
        <v>76771008</v>
      </c>
      <c r="AI218" s="66">
        <f t="shared" si="308"/>
        <v>0</v>
      </c>
      <c r="AJ218" s="67">
        <f>SUM(AJ219:AJ221)</f>
        <v>1386206766</v>
      </c>
      <c r="AK218" s="66">
        <f t="shared" ref="AK218:AT218" si="309">SUM(AK219:AK221)</f>
        <v>0</v>
      </c>
      <c r="AL218" s="66">
        <f t="shared" si="309"/>
        <v>717874879</v>
      </c>
      <c r="AM218" s="66">
        <f t="shared" si="309"/>
        <v>100000000</v>
      </c>
      <c r="AN218" s="66">
        <f t="shared" si="309"/>
        <v>0</v>
      </c>
      <c r="AO218" s="66">
        <f t="shared" si="309"/>
        <v>0</v>
      </c>
      <c r="AP218" s="66">
        <f t="shared" si="309"/>
        <v>0</v>
      </c>
      <c r="AQ218" s="66">
        <f t="shared" si="309"/>
        <v>0</v>
      </c>
      <c r="AR218" s="66">
        <f t="shared" si="309"/>
        <v>84258044</v>
      </c>
      <c r="AS218" s="66">
        <f t="shared" si="309"/>
        <v>0</v>
      </c>
      <c r="AT218" s="66">
        <f t="shared" si="309"/>
        <v>902132923</v>
      </c>
      <c r="AU218" s="68"/>
      <c r="AV218" s="68"/>
      <c r="AW218" s="68"/>
      <c r="AX218" s="68"/>
      <c r="AY218" s="68"/>
      <c r="AZ218" s="68"/>
      <c r="BA218" s="68"/>
      <c r="BB218" s="68"/>
      <c r="BC218" s="68"/>
      <c r="BD218" s="66">
        <f t="shared" ref="BD218" si="310">SUM(BD219:BD221)</f>
        <v>826196910</v>
      </c>
      <c r="BE218" s="102"/>
      <c r="BF218" s="102"/>
      <c r="BG218" s="102"/>
      <c r="BH218" s="102"/>
      <c r="BI218" s="102"/>
      <c r="BJ218" s="102"/>
      <c r="BK218" s="102"/>
      <c r="BL218" s="102"/>
      <c r="BM218" s="102"/>
      <c r="BN218" s="66">
        <f t="shared" ref="BN218:BO218" si="311">SUM(BN219:BN221)</f>
        <v>850982817</v>
      </c>
      <c r="BO218" s="544">
        <f t="shared" si="311"/>
        <v>3965519416</v>
      </c>
    </row>
    <row r="219" spans="1:67" ht="408.75" customHeight="1" x14ac:dyDescent="0.2">
      <c r="A219" s="545">
        <v>151</v>
      </c>
      <c r="B219" s="69">
        <v>3</v>
      </c>
      <c r="C219" s="136"/>
      <c r="D219" s="136"/>
      <c r="E219" s="478" t="s">
        <v>523</v>
      </c>
      <c r="F219" s="691" t="s">
        <v>524</v>
      </c>
      <c r="G219" s="685">
        <v>0</v>
      </c>
      <c r="H219" s="685">
        <v>1</v>
      </c>
      <c r="I219" s="77">
        <v>151</v>
      </c>
      <c r="J219" s="73" t="s">
        <v>525</v>
      </c>
      <c r="K219" s="262" t="s">
        <v>526</v>
      </c>
      <c r="L219" s="164" t="s">
        <v>441</v>
      </c>
      <c r="M219" s="297">
        <v>2</v>
      </c>
      <c r="N219" s="280" t="s">
        <v>54</v>
      </c>
      <c r="O219" s="78" t="s">
        <v>49</v>
      </c>
      <c r="P219" s="78">
        <v>12</v>
      </c>
      <c r="Q219" s="282">
        <v>12</v>
      </c>
      <c r="R219" s="280">
        <v>12</v>
      </c>
      <c r="S219" s="500"/>
      <c r="T219" s="280">
        <v>12</v>
      </c>
      <c r="U219" s="280"/>
      <c r="V219" s="280">
        <v>12</v>
      </c>
      <c r="W219" s="289"/>
      <c r="X219" s="298">
        <f>AJ219/$AJ$218</f>
        <v>0.10820896541490406</v>
      </c>
      <c r="Y219" s="78">
        <v>3</v>
      </c>
      <c r="Z219" s="166" t="s">
        <v>452</v>
      </c>
      <c r="AA219" s="170"/>
      <c r="AB219" s="170"/>
      <c r="AC219" s="108">
        <v>150000000</v>
      </c>
      <c r="AD219" s="170"/>
      <c r="AE219" s="170"/>
      <c r="AF219" s="170"/>
      <c r="AG219" s="170"/>
      <c r="AH219" s="170"/>
      <c r="AI219" s="170"/>
      <c r="AJ219" s="82">
        <f>+AA219+AB219+AC219+AD219+AE219+AF219+AG219+AH219+AI219</f>
        <v>150000000</v>
      </c>
      <c r="AK219" s="90"/>
      <c r="AL219" s="455"/>
      <c r="AM219" s="455"/>
      <c r="AN219" s="90"/>
      <c r="AO219" s="90"/>
      <c r="AP219" s="90"/>
      <c r="AQ219" s="90"/>
      <c r="AR219" s="90"/>
      <c r="AS219" s="90"/>
      <c r="AT219" s="84">
        <f>AK219+AL219+AM219+AN219+AO219+AP219+AQ219+AR219+AS219</f>
        <v>0</v>
      </c>
      <c r="AU219" s="455"/>
      <c r="AV219" s="455">
        <v>48314215.431800008</v>
      </c>
      <c r="AW219" s="455"/>
      <c r="AX219" s="455"/>
      <c r="AY219" s="455"/>
      <c r="AZ219" s="455"/>
      <c r="BA219" s="455"/>
      <c r="BB219" s="455">
        <v>41085784.568199992</v>
      </c>
      <c r="BC219" s="455"/>
      <c r="BD219" s="455">
        <f>SUM(AU219:BC219)</f>
        <v>89400000</v>
      </c>
      <c r="BE219" s="90"/>
      <c r="BF219" s="111">
        <v>49710642</v>
      </c>
      <c r="BG219" s="90"/>
      <c r="BH219" s="90"/>
      <c r="BI219" s="90"/>
      <c r="BJ219" s="90"/>
      <c r="BK219" s="90"/>
      <c r="BL219" s="90">
        <v>42289358</v>
      </c>
      <c r="BM219" s="90"/>
      <c r="BN219" s="90">
        <f>SUM(BE219:BM219)</f>
        <v>92000000</v>
      </c>
      <c r="BO219" s="546">
        <f>AJ219+AT219+BD219+BN219</f>
        <v>331400000</v>
      </c>
    </row>
    <row r="220" spans="1:67" ht="98.25" customHeight="1" x14ac:dyDescent="0.2">
      <c r="A220" s="547">
        <v>152</v>
      </c>
      <c r="B220" s="69">
        <v>3</v>
      </c>
      <c r="C220" s="136"/>
      <c r="D220" s="136"/>
      <c r="E220" s="91"/>
      <c r="F220" s="692"/>
      <c r="G220" s="686"/>
      <c r="H220" s="686"/>
      <c r="I220" s="77">
        <v>152</v>
      </c>
      <c r="J220" s="73" t="s">
        <v>527</v>
      </c>
      <c r="K220" s="262" t="s">
        <v>440</v>
      </c>
      <c r="L220" s="164" t="s">
        <v>441</v>
      </c>
      <c r="M220" s="297">
        <v>2</v>
      </c>
      <c r="N220" s="280" t="s">
        <v>54</v>
      </c>
      <c r="O220" s="78" t="s">
        <v>49</v>
      </c>
      <c r="P220" s="78">
        <v>1</v>
      </c>
      <c r="Q220" s="614">
        <v>1</v>
      </c>
      <c r="R220" s="479">
        <v>1</v>
      </c>
      <c r="S220" s="500"/>
      <c r="T220" s="479">
        <v>1</v>
      </c>
      <c r="U220" s="479"/>
      <c r="V220" s="479">
        <v>1</v>
      </c>
      <c r="W220" s="293"/>
      <c r="X220" s="298">
        <f>AJ220/$AJ$218</f>
        <v>5.5382075663595487E-2</v>
      </c>
      <c r="Y220" s="78">
        <v>3</v>
      </c>
      <c r="Z220" s="166" t="s">
        <v>452</v>
      </c>
      <c r="AA220" s="170"/>
      <c r="AB220" s="170"/>
      <c r="AC220" s="170"/>
      <c r="AD220" s="170"/>
      <c r="AE220" s="170"/>
      <c r="AF220" s="170"/>
      <c r="AG220" s="170"/>
      <c r="AH220" s="108">
        <v>76771008</v>
      </c>
      <c r="AI220" s="170"/>
      <c r="AJ220" s="82">
        <f>+AA220+AB220+AC220+AD220+AE220+AF220+AG220+AH220+AI220</f>
        <v>76771008</v>
      </c>
      <c r="AK220" s="90"/>
      <c r="AL220" s="455"/>
      <c r="AM220" s="90">
        <f>100000000-AM219</f>
        <v>100000000</v>
      </c>
      <c r="AN220" s="90"/>
      <c r="AO220" s="90"/>
      <c r="AP220" s="90"/>
      <c r="AQ220" s="90"/>
      <c r="AR220" s="90">
        <v>84258044</v>
      </c>
      <c r="AS220" s="90"/>
      <c r="AT220" s="84">
        <f>AK220+AL220+AM220+AN220+AO220+AP220+AQ220+AR220+AS220</f>
        <v>184258044</v>
      </c>
      <c r="AU220" s="455"/>
      <c r="AV220" s="299" t="s">
        <v>61</v>
      </c>
      <c r="AW220" s="455"/>
      <c r="AX220" s="455"/>
      <c r="AY220" s="455"/>
      <c r="AZ220" s="455"/>
      <c r="BA220" s="455"/>
      <c r="BB220" s="455">
        <v>45700000</v>
      </c>
      <c r="BC220" s="455"/>
      <c r="BD220" s="455">
        <f>SUM(AU220:BC220)</f>
        <v>45700000</v>
      </c>
      <c r="BE220" s="90"/>
      <c r="BF220" s="90"/>
      <c r="BG220" s="90"/>
      <c r="BH220" s="90"/>
      <c r="BI220" s="90"/>
      <c r="BJ220" s="90"/>
      <c r="BK220" s="90"/>
      <c r="BL220" s="90">
        <v>47100000</v>
      </c>
      <c r="BM220" s="90"/>
      <c r="BN220" s="90">
        <f>SUM(BE220:BM220)</f>
        <v>47100000</v>
      </c>
      <c r="BO220" s="546">
        <f>AJ220+AT220+BD220+BN220</f>
        <v>353829052</v>
      </c>
    </row>
    <row r="221" spans="1:67" ht="233.25" customHeight="1" x14ac:dyDescent="0.2">
      <c r="A221" s="545">
        <v>153</v>
      </c>
      <c r="B221" s="69">
        <v>3</v>
      </c>
      <c r="C221" s="136"/>
      <c r="D221" s="136"/>
      <c r="E221" s="451" t="s">
        <v>528</v>
      </c>
      <c r="F221" s="529" t="s">
        <v>529</v>
      </c>
      <c r="G221" s="234">
        <v>0</v>
      </c>
      <c r="H221" s="234">
        <v>1</v>
      </c>
      <c r="I221" s="77">
        <v>153</v>
      </c>
      <c r="J221" s="73" t="s">
        <v>530</v>
      </c>
      <c r="K221" s="262" t="s">
        <v>531</v>
      </c>
      <c r="L221" s="164" t="s">
        <v>441</v>
      </c>
      <c r="M221" s="297">
        <v>2</v>
      </c>
      <c r="N221" s="280" t="s">
        <v>54</v>
      </c>
      <c r="O221" s="78" t="s">
        <v>49</v>
      </c>
      <c r="P221" s="93">
        <v>150</v>
      </c>
      <c r="Q221" s="282">
        <v>150</v>
      </c>
      <c r="R221" s="280">
        <v>150</v>
      </c>
      <c r="S221" s="500"/>
      <c r="T221" s="280">
        <v>150</v>
      </c>
      <c r="U221" s="280"/>
      <c r="V221" s="280">
        <v>150</v>
      </c>
      <c r="W221" s="289"/>
      <c r="X221" s="298">
        <f>AJ221/$AJ$218</f>
        <v>0.83640895892150047</v>
      </c>
      <c r="Y221" s="78">
        <v>3</v>
      </c>
      <c r="Z221" s="166" t="s">
        <v>452</v>
      </c>
      <c r="AA221" s="170"/>
      <c r="AB221" s="448">
        <v>1159435758</v>
      </c>
      <c r="AC221" s="170"/>
      <c r="AD221" s="170"/>
      <c r="AE221" s="170"/>
      <c r="AF221" s="170"/>
      <c r="AG221" s="170"/>
      <c r="AH221" s="170"/>
      <c r="AI221" s="170"/>
      <c r="AJ221" s="82">
        <f>+AA221+AB221+AC221+AD221+AE221+AF221+AG221+AH221+AI221</f>
        <v>1159435758</v>
      </c>
      <c r="AK221" s="90"/>
      <c r="AL221" s="111">
        <v>717874879</v>
      </c>
      <c r="AM221" s="90"/>
      <c r="AN221" s="90"/>
      <c r="AO221" s="90"/>
      <c r="AP221" s="90"/>
      <c r="AQ221" s="90"/>
      <c r="AR221" s="90"/>
      <c r="AS221" s="90"/>
      <c r="AT221" s="84">
        <f>AK221+AL221+AM221+AN221+AO221+AP221+AQ221+AR221+AS221</f>
        <v>717874879</v>
      </c>
      <c r="AU221" s="455"/>
      <c r="AV221" s="455">
        <v>691096910</v>
      </c>
      <c r="AW221" s="455"/>
      <c r="AX221" s="455"/>
      <c r="AY221" s="455"/>
      <c r="AZ221" s="455"/>
      <c r="BA221" s="455"/>
      <c r="BB221" s="455"/>
      <c r="BC221" s="455"/>
      <c r="BD221" s="455">
        <f>SUM(AU221:BC221)</f>
        <v>691096910</v>
      </c>
      <c r="BE221" s="90"/>
      <c r="BF221" s="90">
        <v>711882817</v>
      </c>
      <c r="BG221" s="90"/>
      <c r="BH221" s="90"/>
      <c r="BI221" s="90"/>
      <c r="BJ221" s="90"/>
      <c r="BK221" s="90"/>
      <c r="BL221" s="90" t="s">
        <v>61</v>
      </c>
      <c r="BM221" s="90"/>
      <c r="BN221" s="90">
        <f>SUM(BE221:BM221)</f>
        <v>711882817</v>
      </c>
      <c r="BO221" s="546">
        <f>AJ221+AT221+BD221+BN221</f>
        <v>3280290364</v>
      </c>
    </row>
    <row r="222" spans="1:67" ht="24.75" customHeight="1" x14ac:dyDescent="0.2">
      <c r="A222" s="545"/>
      <c r="B222" s="69"/>
      <c r="C222" s="136"/>
      <c r="D222" s="136"/>
      <c r="E222" s="57">
        <v>44</v>
      </c>
      <c r="F222" s="58" t="s">
        <v>532</v>
      </c>
      <c r="G222" s="61"/>
      <c r="H222" s="61"/>
      <c r="I222" s="60"/>
      <c r="J222" s="61"/>
      <c r="K222" s="61"/>
      <c r="L222" s="57"/>
      <c r="M222" s="228"/>
      <c r="N222" s="594"/>
      <c r="O222" s="61"/>
      <c r="P222" s="61"/>
      <c r="Q222" s="485"/>
      <c r="R222" s="481"/>
      <c r="S222" s="510"/>
      <c r="T222" s="481"/>
      <c r="U222" s="481"/>
      <c r="V222" s="487"/>
      <c r="W222" s="487"/>
      <c r="X222" s="137"/>
      <c r="Y222" s="62"/>
      <c r="Z222" s="62"/>
      <c r="AA222" s="67">
        <f t="shared" ref="AA222:AH222" si="312">SUM(AA223:AA226)</f>
        <v>0</v>
      </c>
      <c r="AB222" s="67">
        <f t="shared" si="312"/>
        <v>0</v>
      </c>
      <c r="AC222" s="67">
        <f t="shared" si="312"/>
        <v>40000000</v>
      </c>
      <c r="AD222" s="67">
        <f t="shared" si="312"/>
        <v>0</v>
      </c>
      <c r="AE222" s="67">
        <f t="shared" si="312"/>
        <v>0</v>
      </c>
      <c r="AF222" s="67">
        <f t="shared" si="312"/>
        <v>0</v>
      </c>
      <c r="AG222" s="67">
        <f t="shared" si="312"/>
        <v>0</v>
      </c>
      <c r="AH222" s="67">
        <f t="shared" si="312"/>
        <v>210007383</v>
      </c>
      <c r="AI222" s="67">
        <f t="shared" ref="AI222:AP222" si="313">SUM(AI223:AI226)</f>
        <v>0</v>
      </c>
      <c r="AJ222" s="67">
        <f t="shared" si="313"/>
        <v>250007383</v>
      </c>
      <c r="AK222" s="67">
        <f t="shared" si="313"/>
        <v>0</v>
      </c>
      <c r="AL222" s="67">
        <f t="shared" si="313"/>
        <v>0</v>
      </c>
      <c r="AM222" s="67">
        <f t="shared" si="313"/>
        <v>30000000</v>
      </c>
      <c r="AN222" s="67">
        <f t="shared" si="313"/>
        <v>0</v>
      </c>
      <c r="AO222" s="67">
        <f t="shared" si="313"/>
        <v>0</v>
      </c>
      <c r="AP222" s="67">
        <f t="shared" si="313"/>
        <v>0</v>
      </c>
      <c r="AQ222" s="67">
        <f t="shared" ref="AQ222:AT222" si="314">SUM(AQ223:AQ226)</f>
        <v>0</v>
      </c>
      <c r="AR222" s="67">
        <f t="shared" si="314"/>
        <v>216307604</v>
      </c>
      <c r="AS222" s="67">
        <f t="shared" si="314"/>
        <v>0</v>
      </c>
      <c r="AT222" s="67">
        <f t="shared" si="314"/>
        <v>246307604</v>
      </c>
      <c r="AU222" s="68"/>
      <c r="AV222" s="68"/>
      <c r="AW222" s="68"/>
      <c r="AX222" s="68"/>
      <c r="AY222" s="68"/>
      <c r="AZ222" s="68"/>
      <c r="BA222" s="68"/>
      <c r="BB222" s="68"/>
      <c r="BC222" s="68"/>
      <c r="BD222" s="67">
        <f>SUM(BD223:BD226)</f>
        <v>252796832.99691775</v>
      </c>
      <c r="BE222" s="102"/>
      <c r="BF222" s="102"/>
      <c r="BG222" s="102"/>
      <c r="BH222" s="102"/>
      <c r="BI222" s="102"/>
      <c r="BJ222" s="102"/>
      <c r="BK222" s="102"/>
      <c r="BL222" s="102"/>
      <c r="BM222" s="102"/>
      <c r="BN222" s="67">
        <f>SUM(BN223:BN226)</f>
        <v>249480737.99512923</v>
      </c>
      <c r="BO222" s="573">
        <f>SUM(BO223:BO226)</f>
        <v>998592557.99204695</v>
      </c>
    </row>
    <row r="223" spans="1:67" ht="275.25" customHeight="1" x14ac:dyDescent="0.2">
      <c r="A223" s="547">
        <v>154</v>
      </c>
      <c r="B223" s="69">
        <v>3</v>
      </c>
      <c r="C223" s="136"/>
      <c r="D223" s="136"/>
      <c r="E223" s="93">
        <v>37</v>
      </c>
      <c r="F223" s="73" t="s">
        <v>533</v>
      </c>
      <c r="G223" s="77" t="s">
        <v>534</v>
      </c>
      <c r="H223" s="284">
        <v>0.6</v>
      </c>
      <c r="I223" s="77">
        <v>154</v>
      </c>
      <c r="J223" s="73" t="s">
        <v>535</v>
      </c>
      <c r="K223" s="262" t="s">
        <v>536</v>
      </c>
      <c r="L223" s="164" t="s">
        <v>441</v>
      </c>
      <c r="M223" s="297">
        <v>2</v>
      </c>
      <c r="N223" s="280" t="s">
        <v>54</v>
      </c>
      <c r="O223" s="78" t="s">
        <v>49</v>
      </c>
      <c r="P223" s="93">
        <v>5</v>
      </c>
      <c r="Q223" s="282">
        <v>5</v>
      </c>
      <c r="R223" s="280">
        <v>5</v>
      </c>
      <c r="S223" s="500"/>
      <c r="T223" s="280">
        <v>5</v>
      </c>
      <c r="U223" s="280"/>
      <c r="V223" s="280">
        <v>5</v>
      </c>
      <c r="W223" s="289"/>
      <c r="X223" s="298">
        <f>AJ223/AJ222</f>
        <v>0.11999645626465359</v>
      </c>
      <c r="Y223" s="78">
        <v>3</v>
      </c>
      <c r="Z223" s="166" t="s">
        <v>452</v>
      </c>
      <c r="AA223" s="170"/>
      <c r="AB223" s="170"/>
      <c r="AC223" s="170"/>
      <c r="AD223" s="170"/>
      <c r="AE223" s="170"/>
      <c r="AF223" s="170"/>
      <c r="AG223" s="170"/>
      <c r="AH223" s="108">
        <v>30000000</v>
      </c>
      <c r="AI223" s="170"/>
      <c r="AJ223" s="82">
        <f>+AA223+AB223+AC223+AD223+AE223+AF223+AG223+AH223+AI223</f>
        <v>30000000</v>
      </c>
      <c r="AK223" s="90"/>
      <c r="AL223" s="90"/>
      <c r="AM223" s="90"/>
      <c r="AN223" s="90"/>
      <c r="AO223" s="90"/>
      <c r="AP223" s="90"/>
      <c r="AQ223" s="90"/>
      <c r="AR223" s="455">
        <v>29500000</v>
      </c>
      <c r="AS223" s="90"/>
      <c r="AT223" s="84">
        <f>AK223+AL223+AM223+AN223+AO223+AP223+AQ223+AR223+AS223</f>
        <v>29500000</v>
      </c>
      <c r="AU223" s="455"/>
      <c r="AV223" s="455"/>
      <c r="AW223" s="455"/>
      <c r="AX223" s="455"/>
      <c r="AY223" s="455"/>
      <c r="AZ223" s="455"/>
      <c r="BA223" s="455"/>
      <c r="BB223" s="150">
        <v>30300000</v>
      </c>
      <c r="BC223" s="455"/>
      <c r="BD223" s="150">
        <f>SUM(AU223:BC223)</f>
        <v>30300000</v>
      </c>
      <c r="BE223" s="90"/>
      <c r="BF223" s="90"/>
      <c r="BG223" s="90"/>
      <c r="BH223" s="90"/>
      <c r="BI223" s="90"/>
      <c r="BJ223" s="90"/>
      <c r="BK223" s="90"/>
      <c r="BL223" s="90">
        <v>29900000</v>
      </c>
      <c r="BM223" s="90"/>
      <c r="BN223" s="90">
        <f>SUM(BE223:BM223)</f>
        <v>29900000</v>
      </c>
      <c r="BO223" s="546">
        <f>AJ223+AT223+BD223+BN223</f>
        <v>119700000</v>
      </c>
    </row>
    <row r="224" spans="1:67" ht="323.25" customHeight="1" x14ac:dyDescent="0.2">
      <c r="A224" s="545">
        <v>155</v>
      </c>
      <c r="B224" s="69">
        <v>3</v>
      </c>
      <c r="C224" s="136"/>
      <c r="D224" s="136"/>
      <c r="E224" s="93">
        <v>13</v>
      </c>
      <c r="F224" s="300" t="s">
        <v>537</v>
      </c>
      <c r="G224" s="220" t="s">
        <v>538</v>
      </c>
      <c r="H224" s="71" t="s">
        <v>539</v>
      </c>
      <c r="I224" s="77">
        <v>155</v>
      </c>
      <c r="J224" s="73" t="s">
        <v>540</v>
      </c>
      <c r="K224" s="262" t="s">
        <v>541</v>
      </c>
      <c r="L224" s="164" t="s">
        <v>441</v>
      </c>
      <c r="M224" s="297">
        <v>2</v>
      </c>
      <c r="N224" s="289" t="s">
        <v>54</v>
      </c>
      <c r="O224" s="78">
        <v>0</v>
      </c>
      <c r="P224" s="93">
        <v>1</v>
      </c>
      <c r="Q224" s="282">
        <v>1</v>
      </c>
      <c r="R224" s="280">
        <v>1</v>
      </c>
      <c r="S224" s="500"/>
      <c r="T224" s="280">
        <v>1</v>
      </c>
      <c r="U224" s="280"/>
      <c r="V224" s="280">
        <v>1</v>
      </c>
      <c r="W224" s="289"/>
      <c r="X224" s="298">
        <f>AJ224/AJ222</f>
        <v>0.25999232190674942</v>
      </c>
      <c r="Y224" s="78">
        <v>16</v>
      </c>
      <c r="Z224" s="166" t="s">
        <v>372</v>
      </c>
      <c r="AA224" s="170"/>
      <c r="AB224" s="170"/>
      <c r="AC224" s="170">
        <v>40000000</v>
      </c>
      <c r="AD224" s="170"/>
      <c r="AE224" s="170"/>
      <c r="AF224" s="170"/>
      <c r="AG224" s="170"/>
      <c r="AH224" s="108">
        <v>25000000</v>
      </c>
      <c r="AI224" s="170"/>
      <c r="AJ224" s="82">
        <f>+AA224+AB224+AC224+AD224+AE224+AF224+AG224+AH224+AI224</f>
        <v>65000000</v>
      </c>
      <c r="AK224" s="90"/>
      <c r="AL224" s="90"/>
      <c r="AM224" s="90">
        <v>30000000</v>
      </c>
      <c r="AN224" s="90"/>
      <c r="AO224" s="90"/>
      <c r="AP224" s="90"/>
      <c r="AQ224" s="90"/>
      <c r="AR224" s="455">
        <v>34000000</v>
      </c>
      <c r="AS224" s="90"/>
      <c r="AT224" s="84">
        <f>AK224+AL224+AM224+AN224+AO224+AP224+AQ224+AR224+AS224</f>
        <v>64000000</v>
      </c>
      <c r="AU224" s="455"/>
      <c r="AV224" s="455"/>
      <c r="AW224" s="455">
        <v>30000000</v>
      </c>
      <c r="AX224" s="455"/>
      <c r="AY224" s="455"/>
      <c r="AZ224" s="455"/>
      <c r="BA224" s="455"/>
      <c r="BB224" s="150">
        <v>35700000</v>
      </c>
      <c r="BC224" s="455"/>
      <c r="BD224" s="150">
        <f>SUM(AU224:BC224)</f>
        <v>65700000</v>
      </c>
      <c r="BE224" s="90"/>
      <c r="BF224" s="90"/>
      <c r="BG224" s="90">
        <v>20000000</v>
      </c>
      <c r="BH224" s="90"/>
      <c r="BI224" s="90"/>
      <c r="BJ224" s="90"/>
      <c r="BK224" s="90"/>
      <c r="BL224" s="90">
        <v>44800000</v>
      </c>
      <c r="BM224" s="90"/>
      <c r="BN224" s="90">
        <f>SUM(BE224:BM224)</f>
        <v>64800000</v>
      </c>
      <c r="BO224" s="546">
        <f>AJ224+AT224+BD224+BN224</f>
        <v>259500000</v>
      </c>
    </row>
    <row r="225" spans="1:67" ht="117" customHeight="1" x14ac:dyDescent="0.2">
      <c r="A225" s="547">
        <v>156</v>
      </c>
      <c r="B225" s="69">
        <v>3</v>
      </c>
      <c r="C225" s="136"/>
      <c r="D225" s="136"/>
      <c r="E225" s="78" t="s">
        <v>930</v>
      </c>
      <c r="F225" s="300" t="s">
        <v>542</v>
      </c>
      <c r="G225" s="220" t="s">
        <v>543</v>
      </c>
      <c r="H225" s="608" t="s">
        <v>543</v>
      </c>
      <c r="I225" s="549">
        <v>156</v>
      </c>
      <c r="J225" s="461" t="s">
        <v>544</v>
      </c>
      <c r="K225" s="70" t="s">
        <v>545</v>
      </c>
      <c r="L225" s="77" t="s">
        <v>441</v>
      </c>
      <c r="M225" s="196">
        <v>2</v>
      </c>
      <c r="N225" s="280" t="s">
        <v>54</v>
      </c>
      <c r="O225" s="78">
        <v>12</v>
      </c>
      <c r="P225" s="93">
        <v>12</v>
      </c>
      <c r="Q225" s="282">
        <v>12</v>
      </c>
      <c r="R225" s="280">
        <v>12</v>
      </c>
      <c r="S225" s="512"/>
      <c r="T225" s="280">
        <v>12</v>
      </c>
      <c r="U225" s="280"/>
      <c r="V225" s="280">
        <v>12</v>
      </c>
      <c r="W225" s="280"/>
      <c r="X225" s="303">
        <f>AJ225/AJ222</f>
        <v>0.48401523806198954</v>
      </c>
      <c r="Y225" s="78">
        <v>3</v>
      </c>
      <c r="Z225" s="75" t="s">
        <v>452</v>
      </c>
      <c r="AA225" s="464"/>
      <c r="AB225" s="464"/>
      <c r="AC225" s="464"/>
      <c r="AD225" s="464"/>
      <c r="AE225" s="464"/>
      <c r="AF225" s="464"/>
      <c r="AG225" s="464"/>
      <c r="AH225" s="464">
        <f>17462943+103544440</f>
        <v>121007383</v>
      </c>
      <c r="AI225" s="464"/>
      <c r="AJ225" s="466">
        <f>+AA225+AB225+AC225+AD225+AE225+AF225+AG225+AH225+AI225</f>
        <v>121007383</v>
      </c>
      <c r="AK225" s="464"/>
      <c r="AL225" s="464"/>
      <c r="AM225" s="464"/>
      <c r="AN225" s="464"/>
      <c r="AO225" s="464"/>
      <c r="AP225" s="464"/>
      <c r="AQ225" s="464"/>
      <c r="AR225" s="464">
        <v>119200000</v>
      </c>
      <c r="AS225" s="464"/>
      <c r="AT225" s="465">
        <f>AK225+AL225+AM225+AN225+AO225+AP225+AQ225+AR225+AS225</f>
        <v>119200000</v>
      </c>
      <c r="AU225" s="464"/>
      <c r="AV225" s="464"/>
      <c r="AW225" s="464"/>
      <c r="AX225" s="464"/>
      <c r="AY225" s="464"/>
      <c r="AZ225" s="464"/>
      <c r="BA225" s="464"/>
      <c r="BB225" s="466">
        <v>122300000</v>
      </c>
      <c r="BC225" s="464"/>
      <c r="BD225" s="466">
        <f>SUM(AU225:BC225)</f>
        <v>122300000</v>
      </c>
      <c r="BE225" s="467"/>
      <c r="BF225" s="467"/>
      <c r="BG225" s="467"/>
      <c r="BH225" s="467"/>
      <c r="BI225" s="467"/>
      <c r="BJ225" s="467"/>
      <c r="BK225" s="467"/>
      <c r="BL225" s="219">
        <v>120750000</v>
      </c>
      <c r="BM225" s="467"/>
      <c r="BN225" s="219">
        <f>SUM(BE225:BM225)</f>
        <v>120750000</v>
      </c>
      <c r="BO225" s="624">
        <f>AJ225+AT225+BN225+BD225</f>
        <v>483257383</v>
      </c>
    </row>
    <row r="226" spans="1:67" ht="409.6" customHeight="1" x14ac:dyDescent="0.2">
      <c r="A226" s="545">
        <v>157</v>
      </c>
      <c r="B226" s="69">
        <v>3</v>
      </c>
      <c r="C226" s="136"/>
      <c r="D226" s="136"/>
      <c r="E226" s="451">
        <v>34</v>
      </c>
      <c r="F226" s="302" t="s">
        <v>548</v>
      </c>
      <c r="G226" s="204" t="s">
        <v>49</v>
      </c>
      <c r="H226" s="255">
        <v>0.4</v>
      </c>
      <c r="I226" s="77">
        <v>157</v>
      </c>
      <c r="J226" s="73" t="s">
        <v>549</v>
      </c>
      <c r="K226" s="444" t="s">
        <v>550</v>
      </c>
      <c r="L226" s="164" t="s">
        <v>441</v>
      </c>
      <c r="M226" s="297">
        <v>2</v>
      </c>
      <c r="N226" s="289" t="s">
        <v>54</v>
      </c>
      <c r="O226" s="534">
        <v>12</v>
      </c>
      <c r="P226" s="451">
        <v>12</v>
      </c>
      <c r="Q226" s="456">
        <v>12</v>
      </c>
      <c r="R226" s="450">
        <v>12</v>
      </c>
      <c r="S226" s="513"/>
      <c r="T226" s="450">
        <v>12</v>
      </c>
      <c r="U226" s="450"/>
      <c r="V226" s="450">
        <v>12</v>
      </c>
      <c r="W226" s="289"/>
      <c r="X226" s="298">
        <f>AJ226/AJ222</f>
        <v>0.1359959837666074</v>
      </c>
      <c r="Y226" s="534">
        <v>10</v>
      </c>
      <c r="Z226" s="166" t="s">
        <v>385</v>
      </c>
      <c r="AA226" s="170"/>
      <c r="AB226" s="170"/>
      <c r="AC226" s="170"/>
      <c r="AD226" s="170"/>
      <c r="AE226" s="170"/>
      <c r="AF226" s="170"/>
      <c r="AG226" s="170"/>
      <c r="AH226" s="170">
        <v>34000000</v>
      </c>
      <c r="AI226" s="170"/>
      <c r="AJ226" s="169">
        <f>+AA226+AB226+AC226+AD226+AE226+AF226+AG226+AH226+AI226</f>
        <v>34000000</v>
      </c>
      <c r="AK226" s="457"/>
      <c r="AL226" s="457"/>
      <c r="AM226" s="457"/>
      <c r="AN226" s="457"/>
      <c r="AO226" s="457"/>
      <c r="AP226" s="457"/>
      <c r="AQ226" s="457"/>
      <c r="AR226" s="454">
        <v>33607604</v>
      </c>
      <c r="AS226" s="457"/>
      <c r="AT226" s="301">
        <f>AK226+AL226+AM226+AN226+AO226+AP226+AQ226+AR226+AS226</f>
        <v>33607604</v>
      </c>
      <c r="AU226" s="454"/>
      <c r="AV226" s="454"/>
      <c r="AW226" s="454"/>
      <c r="AX226" s="454"/>
      <c r="AY226" s="454"/>
      <c r="AZ226" s="454"/>
      <c r="BA226" s="454"/>
      <c r="BB226" s="463">
        <v>34496832.996917762</v>
      </c>
      <c r="BC226" s="454"/>
      <c r="BD226" s="463">
        <f>SUM(AU226:BC226)</f>
        <v>34496832.996917762</v>
      </c>
      <c r="BE226" s="457"/>
      <c r="BF226" s="457"/>
      <c r="BG226" s="457"/>
      <c r="BH226" s="457"/>
      <c r="BI226" s="457"/>
      <c r="BJ226" s="457"/>
      <c r="BK226" s="457"/>
      <c r="BL226" s="457">
        <v>34030737.995129235</v>
      </c>
      <c r="BM226" s="457"/>
      <c r="BN226" s="457">
        <f>SUM(BE226:BM226)</f>
        <v>34030737.995129235</v>
      </c>
      <c r="BO226" s="625">
        <f>AJ226+AT226+BD226+BN226</f>
        <v>136135174.99204698</v>
      </c>
    </row>
    <row r="227" spans="1:67" ht="24.75" customHeight="1" x14ac:dyDescent="0.2">
      <c r="A227" s="545"/>
      <c r="B227" s="69"/>
      <c r="C227" s="136"/>
      <c r="D227" s="136"/>
      <c r="E227" s="57">
        <v>45</v>
      </c>
      <c r="F227" s="58" t="s">
        <v>551</v>
      </c>
      <c r="G227" s="61"/>
      <c r="H227" s="61"/>
      <c r="I227" s="60"/>
      <c r="J227" s="61"/>
      <c r="K227" s="61"/>
      <c r="L227" s="60"/>
      <c r="M227" s="62"/>
      <c r="N227" s="63"/>
      <c r="O227" s="61"/>
      <c r="P227" s="61"/>
      <c r="Q227" s="64"/>
      <c r="R227" s="60"/>
      <c r="S227" s="514"/>
      <c r="T227" s="64"/>
      <c r="U227" s="64"/>
      <c r="V227" s="64"/>
      <c r="W227" s="64"/>
      <c r="X227" s="137"/>
      <c r="Y227" s="62"/>
      <c r="Z227" s="62"/>
      <c r="AA227" s="66">
        <f t="shared" ref="AA227:AI227" si="315">SUM(AA228:AA229)</f>
        <v>0</v>
      </c>
      <c r="AB227" s="66">
        <f t="shared" si="315"/>
        <v>0</v>
      </c>
      <c r="AC227" s="66">
        <f t="shared" si="315"/>
        <v>0</v>
      </c>
      <c r="AD227" s="66">
        <f t="shared" si="315"/>
        <v>0</v>
      </c>
      <c r="AE227" s="66">
        <f t="shared" si="315"/>
        <v>0</v>
      </c>
      <c r="AF227" s="66">
        <f t="shared" si="315"/>
        <v>0</v>
      </c>
      <c r="AG227" s="66">
        <f t="shared" si="315"/>
        <v>0</v>
      </c>
      <c r="AH227" s="66">
        <f t="shared" si="315"/>
        <v>1023348969</v>
      </c>
      <c r="AI227" s="66">
        <f t="shared" si="315"/>
        <v>0</v>
      </c>
      <c r="AJ227" s="67">
        <f>SUM(AJ228:AJ229)</f>
        <v>1023348969</v>
      </c>
      <c r="AK227" s="66">
        <f t="shared" ref="AK227:AT227" si="316">SUM(AK228:AK229)</f>
        <v>0</v>
      </c>
      <c r="AL227" s="66">
        <f t="shared" si="316"/>
        <v>0</v>
      </c>
      <c r="AM227" s="66">
        <f t="shared" si="316"/>
        <v>0</v>
      </c>
      <c r="AN227" s="66">
        <f t="shared" si="316"/>
        <v>0</v>
      </c>
      <c r="AO227" s="66">
        <f t="shared" si="316"/>
        <v>0</v>
      </c>
      <c r="AP227" s="66">
        <f t="shared" si="316"/>
        <v>0</v>
      </c>
      <c r="AQ227" s="66">
        <f t="shared" si="316"/>
        <v>0</v>
      </c>
      <c r="AR227" s="66">
        <f t="shared" si="316"/>
        <v>1054049438</v>
      </c>
      <c r="AS227" s="66">
        <f t="shared" si="316"/>
        <v>0</v>
      </c>
      <c r="AT227" s="66">
        <f t="shared" si="316"/>
        <v>1054049438</v>
      </c>
      <c r="AU227" s="68"/>
      <c r="AV227" s="68"/>
      <c r="AW227" s="68"/>
      <c r="AX227" s="68"/>
      <c r="AY227" s="68"/>
      <c r="AZ227" s="68"/>
      <c r="BA227" s="68"/>
      <c r="BB227" s="68"/>
      <c r="BC227" s="68"/>
      <c r="BD227" s="66">
        <f t="shared" ref="BD227" si="317">SUM(BD228:BD229)</f>
        <v>1085670921</v>
      </c>
      <c r="BE227" s="102"/>
      <c r="BF227" s="102"/>
      <c r="BG227" s="102"/>
      <c r="BH227" s="102"/>
      <c r="BI227" s="102"/>
      <c r="BJ227" s="102"/>
      <c r="BK227" s="102"/>
      <c r="BL227" s="102"/>
      <c r="BM227" s="102"/>
      <c r="BN227" s="66">
        <f t="shared" ref="BN227:BO227" si="318">SUM(BN228:BN229)</f>
        <v>1118241049</v>
      </c>
      <c r="BO227" s="544">
        <f t="shared" si="318"/>
        <v>4281310377</v>
      </c>
    </row>
    <row r="228" spans="1:67" ht="200.25" customHeight="1" x14ac:dyDescent="0.2">
      <c r="A228" s="547">
        <v>158</v>
      </c>
      <c r="B228" s="69">
        <v>3</v>
      </c>
      <c r="C228" s="136"/>
      <c r="D228" s="136"/>
      <c r="E228" s="478">
        <v>24</v>
      </c>
      <c r="F228" s="689" t="s">
        <v>552</v>
      </c>
      <c r="G228" s="689" t="s">
        <v>553</v>
      </c>
      <c r="H228" s="689" t="s">
        <v>554</v>
      </c>
      <c r="I228" s="77">
        <v>158</v>
      </c>
      <c r="J228" s="73" t="s">
        <v>555</v>
      </c>
      <c r="K228" s="262" t="s">
        <v>556</v>
      </c>
      <c r="L228" s="74" t="s">
        <v>441</v>
      </c>
      <c r="M228" s="245">
        <v>2</v>
      </c>
      <c r="N228" s="277" t="s">
        <v>54</v>
      </c>
      <c r="O228" s="93" t="s">
        <v>49</v>
      </c>
      <c r="P228" s="78">
        <v>11</v>
      </c>
      <c r="Q228" s="282">
        <v>11</v>
      </c>
      <c r="R228" s="280">
        <v>11</v>
      </c>
      <c r="S228" s="500"/>
      <c r="T228" s="280">
        <v>11</v>
      </c>
      <c r="U228" s="280"/>
      <c r="V228" s="280">
        <v>11</v>
      </c>
      <c r="W228" s="277"/>
      <c r="X228" s="218">
        <f>AJ228/AJ227</f>
        <v>1</v>
      </c>
      <c r="Y228" s="77">
        <v>3</v>
      </c>
      <c r="Z228" s="74" t="s">
        <v>452</v>
      </c>
      <c r="AA228" s="185"/>
      <c r="AB228" s="185"/>
      <c r="AC228" s="185"/>
      <c r="AD228" s="185"/>
      <c r="AE228" s="185"/>
      <c r="AF228" s="185"/>
      <c r="AG228" s="185"/>
      <c r="AH228" s="108">
        <v>1023348969</v>
      </c>
      <c r="AI228" s="108"/>
      <c r="AJ228" s="82">
        <f>+AA228+AB228+AC228+AD228+AE228+AF228+AG228+AH228+AI228</f>
        <v>1023348969</v>
      </c>
      <c r="AK228" s="90"/>
      <c r="AL228" s="90"/>
      <c r="AM228" s="90"/>
      <c r="AN228" s="90"/>
      <c r="AO228" s="90"/>
      <c r="AP228" s="90"/>
      <c r="AQ228" s="90"/>
      <c r="AR228" s="455">
        <v>1054049438</v>
      </c>
      <c r="AS228" s="90"/>
      <c r="AT228" s="84">
        <f>AK228+AL228+AM228+AN228+AO228+AP228+AQ228+AR228+AS228</f>
        <v>1054049438</v>
      </c>
      <c r="AU228" s="455"/>
      <c r="AV228" s="455"/>
      <c r="AW228" s="455"/>
      <c r="AX228" s="455"/>
      <c r="AY228" s="455"/>
      <c r="AZ228" s="455"/>
      <c r="BA228" s="455"/>
      <c r="BB228" s="455">
        <v>1085670921</v>
      </c>
      <c r="BC228" s="455"/>
      <c r="BD228" s="455">
        <f>SUM(AU228:BC228)</f>
        <v>1085670921</v>
      </c>
      <c r="BE228" s="90"/>
      <c r="BF228" s="90"/>
      <c r="BG228" s="90"/>
      <c r="BH228" s="90"/>
      <c r="BI228" s="90"/>
      <c r="BJ228" s="90"/>
      <c r="BK228" s="90"/>
      <c r="BL228" s="90">
        <v>1118241049</v>
      </c>
      <c r="BM228" s="90"/>
      <c r="BN228" s="90">
        <f>SUM(BE228:BM228)</f>
        <v>1118241049</v>
      </c>
      <c r="BO228" s="546">
        <f>AJ228+AT228+BD228+BN228</f>
        <v>4281310377</v>
      </c>
    </row>
    <row r="229" spans="1:67" ht="63.75" customHeight="1" x14ac:dyDescent="0.2">
      <c r="A229" s="545">
        <v>159</v>
      </c>
      <c r="B229" s="69">
        <v>3</v>
      </c>
      <c r="C229" s="136"/>
      <c r="D229" s="136"/>
      <c r="E229" s="534" t="s">
        <v>934</v>
      </c>
      <c r="F229" s="690"/>
      <c r="G229" s="690"/>
      <c r="H229" s="690"/>
      <c r="I229" s="77">
        <v>159</v>
      </c>
      <c r="J229" s="73" t="s">
        <v>557</v>
      </c>
      <c r="K229" s="262" t="s">
        <v>558</v>
      </c>
      <c r="L229" s="74" t="s">
        <v>441</v>
      </c>
      <c r="M229" s="245">
        <v>2</v>
      </c>
      <c r="N229" s="277" t="s">
        <v>54</v>
      </c>
      <c r="O229" s="93" t="s">
        <v>49</v>
      </c>
      <c r="P229" s="78">
        <v>8</v>
      </c>
      <c r="Q229" s="282">
        <v>8</v>
      </c>
      <c r="R229" s="280">
        <v>8</v>
      </c>
      <c r="S229" s="500"/>
      <c r="T229" s="280">
        <v>8</v>
      </c>
      <c r="U229" s="280"/>
      <c r="V229" s="280">
        <v>8</v>
      </c>
      <c r="W229" s="277"/>
      <c r="X229" s="218">
        <v>0</v>
      </c>
      <c r="Y229" s="77">
        <v>3</v>
      </c>
      <c r="Z229" s="74" t="s">
        <v>452</v>
      </c>
      <c r="AA229" s="185"/>
      <c r="AB229" s="185"/>
      <c r="AC229" s="185"/>
      <c r="AD229" s="185"/>
      <c r="AE229" s="185"/>
      <c r="AF229" s="185"/>
      <c r="AG229" s="185"/>
      <c r="AH229" s="185"/>
      <c r="AI229" s="185"/>
      <c r="AJ229" s="82">
        <f>+AA229+AB229+AC229+AD229+AE229+AF229+AG229+AH229+AI229</f>
        <v>0</v>
      </c>
      <c r="AK229" s="90"/>
      <c r="AL229" s="90"/>
      <c r="AM229" s="90"/>
      <c r="AN229" s="90"/>
      <c r="AO229" s="90"/>
      <c r="AP229" s="90"/>
      <c r="AQ229" s="90"/>
      <c r="AR229" s="90"/>
      <c r="AS229" s="90"/>
      <c r="AT229" s="84">
        <f>AK229+AL229+AM229+AN229+AO229+AP229+AQ229+AR229+AS229</f>
        <v>0</v>
      </c>
      <c r="AU229" s="455"/>
      <c r="AV229" s="455"/>
      <c r="AW229" s="455"/>
      <c r="AX229" s="455"/>
      <c r="AY229" s="455"/>
      <c r="AZ229" s="455"/>
      <c r="BA229" s="455"/>
      <c r="BB229" s="455"/>
      <c r="BC229" s="455"/>
      <c r="BD229" s="455">
        <f>SUM(AU229:BC229)</f>
        <v>0</v>
      </c>
      <c r="BE229" s="90"/>
      <c r="BF229" s="90"/>
      <c r="BG229" s="90"/>
      <c r="BH229" s="90"/>
      <c r="BI229" s="90"/>
      <c r="BJ229" s="90"/>
      <c r="BK229" s="90"/>
      <c r="BL229" s="90"/>
      <c r="BM229" s="90"/>
      <c r="BN229" s="90">
        <f>SUM(BE229:BM229)</f>
        <v>0</v>
      </c>
      <c r="BO229" s="546">
        <f>AJ229+AT229+BD229+BN229</f>
        <v>0</v>
      </c>
    </row>
    <row r="230" spans="1:67" ht="24.75" customHeight="1" x14ac:dyDescent="0.2">
      <c r="A230" s="545"/>
      <c r="B230" s="69"/>
      <c r="C230" s="136"/>
      <c r="D230" s="136"/>
      <c r="E230" s="57">
        <v>46</v>
      </c>
      <c r="F230" s="58" t="s">
        <v>559</v>
      </c>
      <c r="G230" s="61"/>
      <c r="H230" s="61"/>
      <c r="I230" s="60"/>
      <c r="J230" s="61"/>
      <c r="K230" s="61"/>
      <c r="L230" s="60"/>
      <c r="M230" s="62"/>
      <c r="N230" s="63"/>
      <c r="O230" s="61"/>
      <c r="P230" s="61"/>
      <c r="Q230" s="485"/>
      <c r="R230" s="485"/>
      <c r="S230" s="510"/>
      <c r="T230" s="485"/>
      <c r="U230" s="485"/>
      <c r="V230" s="485"/>
      <c r="W230" s="485"/>
      <c r="X230" s="485"/>
      <c r="Y230" s="485"/>
      <c r="Z230" s="485"/>
      <c r="AA230" s="626">
        <f>SUM(AA231:AA233)</f>
        <v>0</v>
      </c>
      <c r="AB230" s="626">
        <f t="shared" ref="AB230:AQ230" si="319">SUM(AB231:AB233)</f>
        <v>0</v>
      </c>
      <c r="AC230" s="626">
        <f t="shared" si="319"/>
        <v>0</v>
      </c>
      <c r="AD230" s="626">
        <f t="shared" si="319"/>
        <v>0</v>
      </c>
      <c r="AE230" s="626">
        <f t="shared" si="319"/>
        <v>0</v>
      </c>
      <c r="AF230" s="626">
        <f t="shared" si="319"/>
        <v>0</v>
      </c>
      <c r="AG230" s="626">
        <f t="shared" si="319"/>
        <v>0</v>
      </c>
      <c r="AH230" s="626">
        <f t="shared" si="319"/>
        <v>1205340214</v>
      </c>
      <c r="AI230" s="626">
        <f t="shared" si="319"/>
        <v>0</v>
      </c>
      <c r="AJ230" s="626">
        <f t="shared" si="319"/>
        <v>1205340214</v>
      </c>
      <c r="AK230" s="626">
        <f t="shared" si="319"/>
        <v>0</v>
      </c>
      <c r="AL230" s="626">
        <f t="shared" si="319"/>
        <v>0</v>
      </c>
      <c r="AM230" s="626">
        <f t="shared" si="319"/>
        <v>0</v>
      </c>
      <c r="AN230" s="626">
        <f t="shared" si="319"/>
        <v>0</v>
      </c>
      <c r="AO230" s="626">
        <f t="shared" si="319"/>
        <v>0</v>
      </c>
      <c r="AP230" s="626">
        <f t="shared" si="319"/>
        <v>0</v>
      </c>
      <c r="AQ230" s="626">
        <f t="shared" si="319"/>
        <v>0</v>
      </c>
      <c r="AR230" s="626">
        <f t="shared" ref="AR230:AT230" si="320">SUM(AR231:AR233)</f>
        <v>1241500420.4200001</v>
      </c>
      <c r="AS230" s="626">
        <f t="shared" si="320"/>
        <v>0</v>
      </c>
      <c r="AT230" s="626">
        <f t="shared" si="320"/>
        <v>1241500420.4200001</v>
      </c>
      <c r="AU230" s="485"/>
      <c r="AV230" s="485"/>
      <c r="AW230" s="485"/>
      <c r="AX230" s="485"/>
      <c r="AY230" s="485"/>
      <c r="AZ230" s="485"/>
      <c r="BA230" s="485"/>
      <c r="BB230" s="485"/>
      <c r="BC230" s="485"/>
      <c r="BD230" s="626">
        <f t="shared" ref="BD230" si="321">SUM(BD231:BD233)</f>
        <v>1278745433.03</v>
      </c>
      <c r="BE230" s="485"/>
      <c r="BF230" s="485"/>
      <c r="BG230" s="485"/>
      <c r="BH230" s="485"/>
      <c r="BI230" s="485"/>
      <c r="BJ230" s="485"/>
      <c r="BK230" s="485"/>
      <c r="BL230" s="485"/>
      <c r="BM230" s="485"/>
      <c r="BN230" s="626">
        <f t="shared" ref="BN230:BO230" si="322">SUM(BN231:BN233)</f>
        <v>1317107796.0278702</v>
      </c>
      <c r="BO230" s="627">
        <f t="shared" si="322"/>
        <v>5042693863.47787</v>
      </c>
    </row>
    <row r="231" spans="1:67" ht="93.75" customHeight="1" x14ac:dyDescent="0.2">
      <c r="A231" s="547">
        <v>160</v>
      </c>
      <c r="B231" s="69">
        <v>3</v>
      </c>
      <c r="C231" s="136"/>
      <c r="D231" s="136"/>
      <c r="E231" s="93">
        <v>26</v>
      </c>
      <c r="F231" s="442" t="s">
        <v>560</v>
      </c>
      <c r="G231" s="532" t="s">
        <v>561</v>
      </c>
      <c r="H231" s="532" t="s">
        <v>562</v>
      </c>
      <c r="I231" s="77">
        <v>160</v>
      </c>
      <c r="J231" s="195" t="s">
        <v>563</v>
      </c>
      <c r="K231" s="262" t="s">
        <v>564</v>
      </c>
      <c r="L231" s="77" t="s">
        <v>441</v>
      </c>
      <c r="M231" s="196">
        <v>2</v>
      </c>
      <c r="N231" s="280" t="s">
        <v>54</v>
      </c>
      <c r="O231" s="78">
        <v>250</v>
      </c>
      <c r="P231" s="78">
        <v>300</v>
      </c>
      <c r="Q231" s="282">
        <v>300</v>
      </c>
      <c r="R231" s="280">
        <v>300</v>
      </c>
      <c r="S231" s="500"/>
      <c r="T231" s="280">
        <v>300</v>
      </c>
      <c r="U231" s="280"/>
      <c r="V231" s="280">
        <v>300</v>
      </c>
      <c r="W231" s="280"/>
      <c r="X231" s="303">
        <f>AJ231/$AJ$230</f>
        <v>0.77759987853520662</v>
      </c>
      <c r="Y231" s="78">
        <v>3</v>
      </c>
      <c r="Z231" s="78" t="s">
        <v>452</v>
      </c>
      <c r="AA231" s="449"/>
      <c r="AB231" s="449"/>
      <c r="AC231" s="449"/>
      <c r="AD231" s="449"/>
      <c r="AE231" s="449"/>
      <c r="AF231" s="449"/>
      <c r="AG231" s="449"/>
      <c r="AH231" s="108">
        <v>937272404</v>
      </c>
      <c r="AI231" s="108"/>
      <c r="AJ231" s="82">
        <f>+AA231+AB231+AC231+AD231+AE231+AF231+AG231+AH231+AI231</f>
        <v>937272404</v>
      </c>
      <c r="AK231" s="90"/>
      <c r="AL231" s="90"/>
      <c r="AM231" s="90"/>
      <c r="AN231" s="90"/>
      <c r="AO231" s="90"/>
      <c r="AP231" s="90"/>
      <c r="AQ231" s="90"/>
      <c r="AR231" s="455">
        <v>965390576.12</v>
      </c>
      <c r="AS231" s="90"/>
      <c r="AT231" s="84">
        <f>AK231+AL231+AM231+AN231+AO231+AP231+AQ231+AR231+AS231</f>
        <v>965390576.12</v>
      </c>
      <c r="AU231" s="455"/>
      <c r="AV231" s="455"/>
      <c r="AW231" s="455"/>
      <c r="AX231" s="455"/>
      <c r="AY231" s="455"/>
      <c r="AZ231" s="455"/>
      <c r="BA231" s="455"/>
      <c r="BB231" s="455">
        <v>994350000</v>
      </c>
      <c r="BC231" s="455"/>
      <c r="BD231" s="455">
        <f>SUM(AU231:BC231)</f>
        <v>994350000</v>
      </c>
      <c r="BE231" s="90"/>
      <c r="BF231" s="90"/>
      <c r="BG231" s="90"/>
      <c r="BH231" s="90"/>
      <c r="BI231" s="90"/>
      <c r="BJ231" s="90"/>
      <c r="BK231" s="90"/>
      <c r="BL231" s="90">
        <v>1024000000</v>
      </c>
      <c r="BM231" s="90"/>
      <c r="BN231" s="90">
        <f>SUM(BE231:BM231)</f>
        <v>1024000000</v>
      </c>
      <c r="BO231" s="546">
        <f>AJ231+AT231+BD231+BN231</f>
        <v>3921012980.1199999</v>
      </c>
    </row>
    <row r="232" spans="1:67" ht="141.75" customHeight="1" x14ac:dyDescent="0.2">
      <c r="A232" s="545">
        <v>161</v>
      </c>
      <c r="B232" s="69">
        <v>3</v>
      </c>
      <c r="C232" s="136"/>
      <c r="D232" s="136"/>
      <c r="E232" s="480" t="s">
        <v>935</v>
      </c>
      <c r="F232" s="628" t="s">
        <v>565</v>
      </c>
      <c r="G232" s="549" t="s">
        <v>566</v>
      </c>
      <c r="H232" s="549" t="s">
        <v>567</v>
      </c>
      <c r="I232" s="77">
        <v>161</v>
      </c>
      <c r="J232" s="73" t="s">
        <v>568</v>
      </c>
      <c r="K232" s="262" t="s">
        <v>569</v>
      </c>
      <c r="L232" s="77" t="s">
        <v>441</v>
      </c>
      <c r="M232" s="196">
        <v>2</v>
      </c>
      <c r="N232" s="280" t="s">
        <v>54</v>
      </c>
      <c r="O232" s="78">
        <v>90</v>
      </c>
      <c r="P232" s="78">
        <v>100</v>
      </c>
      <c r="Q232" s="282">
        <v>100</v>
      </c>
      <c r="R232" s="280">
        <v>100</v>
      </c>
      <c r="S232" s="500"/>
      <c r="T232" s="280">
        <v>100</v>
      </c>
      <c r="U232" s="280"/>
      <c r="V232" s="280">
        <v>100</v>
      </c>
      <c r="W232" s="280"/>
      <c r="X232" s="303">
        <f>AJ232/$AJ$230</f>
        <v>4.9778476900630482E-2</v>
      </c>
      <c r="Y232" s="78">
        <v>3</v>
      </c>
      <c r="Z232" s="78" t="s">
        <v>452</v>
      </c>
      <c r="AA232" s="449"/>
      <c r="AB232" s="449"/>
      <c r="AC232" s="449"/>
      <c r="AD232" s="449"/>
      <c r="AE232" s="449"/>
      <c r="AF232" s="449"/>
      <c r="AG232" s="449"/>
      <c r="AH232" s="108">
        <v>60000000</v>
      </c>
      <c r="AI232" s="108"/>
      <c r="AJ232" s="82">
        <f>+AA232+AB232+AC232+AD232+AE232+AF232+AG232+AH232+AI232</f>
        <v>60000000</v>
      </c>
      <c r="AK232" s="90"/>
      <c r="AL232" s="90"/>
      <c r="AM232" s="90"/>
      <c r="AN232" s="90"/>
      <c r="AO232" s="90"/>
      <c r="AP232" s="90"/>
      <c r="AQ232" s="90"/>
      <c r="AR232" s="455">
        <v>61800000.000000007</v>
      </c>
      <c r="AS232" s="90"/>
      <c r="AT232" s="84">
        <f>AK232+AL232+AM232+AN232+AO232+AP232+AQ232+AR232+AS232</f>
        <v>61800000.000000007</v>
      </c>
      <c r="AU232" s="455"/>
      <c r="AV232" s="455"/>
      <c r="AW232" s="455"/>
      <c r="AX232" s="455"/>
      <c r="AY232" s="455"/>
      <c r="AZ232" s="455"/>
      <c r="BA232" s="455"/>
      <c r="BB232" s="455">
        <v>63650000</v>
      </c>
      <c r="BC232" s="455"/>
      <c r="BD232" s="455">
        <f>SUM(AU232:BC232)</f>
        <v>63650000</v>
      </c>
      <c r="BE232" s="90"/>
      <c r="BF232" s="90"/>
      <c r="BG232" s="90"/>
      <c r="BH232" s="90"/>
      <c r="BI232" s="90"/>
      <c r="BJ232" s="90"/>
      <c r="BK232" s="90"/>
      <c r="BL232" s="90">
        <v>65500000</v>
      </c>
      <c r="BM232" s="90"/>
      <c r="BN232" s="90">
        <f>SUM(BE232:BM232)</f>
        <v>65500000</v>
      </c>
      <c r="BO232" s="546">
        <f>AJ232+AT232+BD232+BN232</f>
        <v>250950000</v>
      </c>
    </row>
    <row r="233" spans="1:67" ht="171.75" customHeight="1" x14ac:dyDescent="0.2">
      <c r="A233" s="547">
        <v>162</v>
      </c>
      <c r="B233" s="69">
        <v>3</v>
      </c>
      <c r="C233" s="136"/>
      <c r="D233" s="258"/>
      <c r="E233" s="430"/>
      <c r="F233" s="304"/>
      <c r="G233" s="304"/>
      <c r="H233" s="304"/>
      <c r="I233" s="77">
        <v>162</v>
      </c>
      <c r="J233" s="73" t="s">
        <v>570</v>
      </c>
      <c r="K233" s="252" t="s">
        <v>571</v>
      </c>
      <c r="L233" s="284" t="s">
        <v>441</v>
      </c>
      <c r="M233" s="270">
        <v>2</v>
      </c>
      <c r="N233" s="280" t="s">
        <v>54</v>
      </c>
      <c r="O233" s="78">
        <v>83</v>
      </c>
      <c r="P233" s="78">
        <v>83</v>
      </c>
      <c r="Q233" s="282">
        <v>83</v>
      </c>
      <c r="R233" s="280">
        <v>83</v>
      </c>
      <c r="S233" s="500"/>
      <c r="T233" s="280">
        <v>83</v>
      </c>
      <c r="U233" s="280"/>
      <c r="V233" s="280">
        <v>83</v>
      </c>
      <c r="W233" s="280"/>
      <c r="X233" s="303">
        <f>AJ233/$AJ$230</f>
        <v>0.17262164456416287</v>
      </c>
      <c r="Y233" s="78">
        <v>3</v>
      </c>
      <c r="Z233" s="78" t="s">
        <v>452</v>
      </c>
      <c r="AA233" s="449"/>
      <c r="AB233" s="449"/>
      <c r="AC233" s="449"/>
      <c r="AD233" s="449"/>
      <c r="AE233" s="449"/>
      <c r="AF233" s="449"/>
      <c r="AG233" s="449"/>
      <c r="AH233" s="108">
        <v>208067810</v>
      </c>
      <c r="AI233" s="108"/>
      <c r="AJ233" s="82">
        <f>+AA233+AB233+AC233+AD233+AE233+AF233+AG233+AH233+AI233</f>
        <v>208067810</v>
      </c>
      <c r="AK233" s="90"/>
      <c r="AL233" s="90"/>
      <c r="AM233" s="90"/>
      <c r="AN233" s="90"/>
      <c r="AO233" s="90"/>
      <c r="AP233" s="90"/>
      <c r="AQ233" s="90"/>
      <c r="AR233" s="455">
        <v>214309844.30000004</v>
      </c>
      <c r="AS233" s="90"/>
      <c r="AT233" s="84">
        <f>AK233+AL233+AM233+AN233+AO233+AP233+AQ233+AR233+AS233</f>
        <v>214309844.30000004</v>
      </c>
      <c r="AU233" s="455"/>
      <c r="AV233" s="455"/>
      <c r="AW233" s="455"/>
      <c r="AX233" s="455"/>
      <c r="AY233" s="455"/>
      <c r="AZ233" s="455"/>
      <c r="BA233" s="455"/>
      <c r="BB233" s="455">
        <v>220745433.03</v>
      </c>
      <c r="BC233" s="455"/>
      <c r="BD233" s="455">
        <f>SUM(AU233:BC233)</f>
        <v>220745433.03</v>
      </c>
      <c r="BE233" s="90"/>
      <c r="BF233" s="90"/>
      <c r="BG233" s="90"/>
      <c r="BH233" s="90"/>
      <c r="BI233" s="90"/>
      <c r="BJ233" s="90"/>
      <c r="BK233" s="90"/>
      <c r="BL233" s="90">
        <v>227607796.02787006</v>
      </c>
      <c r="BM233" s="90"/>
      <c r="BN233" s="90">
        <f>SUM(BE233:BM233)</f>
        <v>227607796.02787006</v>
      </c>
      <c r="BO233" s="546">
        <f>AJ233+AT233+BD233+BN233</f>
        <v>870730883.3578701</v>
      </c>
    </row>
    <row r="234" spans="1:67" ht="24.75" customHeight="1" x14ac:dyDescent="0.2">
      <c r="A234" s="547"/>
      <c r="B234" s="69"/>
      <c r="C234" s="136"/>
      <c r="D234" s="43">
        <v>13</v>
      </c>
      <c r="E234" s="259" t="s">
        <v>572</v>
      </c>
      <c r="F234" s="260"/>
      <c r="G234" s="260"/>
      <c r="H234" s="260"/>
      <c r="I234" s="47"/>
      <c r="J234" s="48"/>
      <c r="K234" s="48"/>
      <c r="L234" s="49"/>
      <c r="M234" s="47"/>
      <c r="N234" s="50"/>
      <c r="O234" s="48"/>
      <c r="P234" s="48"/>
      <c r="Q234" s="51"/>
      <c r="R234" s="48"/>
      <c r="S234" s="498"/>
      <c r="T234" s="51"/>
      <c r="U234" s="51"/>
      <c r="V234" s="51"/>
      <c r="W234" s="51"/>
      <c r="X234" s="51"/>
      <c r="Y234" s="51"/>
      <c r="Z234" s="51"/>
      <c r="AA234" s="401">
        <f>AA235+AA237+AA239</f>
        <v>0</v>
      </c>
      <c r="AB234" s="401">
        <f t="shared" ref="AB234:AJ234" si="323">AB235+AB237+AB239</f>
        <v>18910075816</v>
      </c>
      <c r="AC234" s="401">
        <f t="shared" si="323"/>
        <v>0</v>
      </c>
      <c r="AD234" s="401">
        <f t="shared" si="323"/>
        <v>0</v>
      </c>
      <c r="AE234" s="401">
        <f t="shared" si="323"/>
        <v>0</v>
      </c>
      <c r="AF234" s="401">
        <f t="shared" si="323"/>
        <v>0</v>
      </c>
      <c r="AG234" s="401">
        <f t="shared" si="323"/>
        <v>0</v>
      </c>
      <c r="AH234" s="401">
        <f t="shared" si="323"/>
        <v>0</v>
      </c>
      <c r="AI234" s="401">
        <f t="shared" si="323"/>
        <v>0</v>
      </c>
      <c r="AJ234" s="401">
        <f t="shared" si="323"/>
        <v>18910075816</v>
      </c>
      <c r="AK234" s="401">
        <f t="shared" ref="AK234:AT234" si="324">AK235+AK237+AK239</f>
        <v>0</v>
      </c>
      <c r="AL234" s="401">
        <f t="shared" si="324"/>
        <v>14820887397.66</v>
      </c>
      <c r="AM234" s="401">
        <f t="shared" si="324"/>
        <v>0</v>
      </c>
      <c r="AN234" s="401">
        <f t="shared" si="324"/>
        <v>0</v>
      </c>
      <c r="AO234" s="401">
        <f t="shared" si="324"/>
        <v>0</v>
      </c>
      <c r="AP234" s="401">
        <f t="shared" si="324"/>
        <v>0</v>
      </c>
      <c r="AQ234" s="401">
        <f t="shared" si="324"/>
        <v>0</v>
      </c>
      <c r="AR234" s="401">
        <f t="shared" si="324"/>
        <v>0</v>
      </c>
      <c r="AS234" s="401">
        <f t="shared" si="324"/>
        <v>0</v>
      </c>
      <c r="AT234" s="401">
        <f t="shared" si="324"/>
        <v>14820887397.66</v>
      </c>
      <c r="AU234" s="51"/>
      <c r="AV234" s="51"/>
      <c r="AW234" s="51"/>
      <c r="AX234" s="51"/>
      <c r="AY234" s="51"/>
      <c r="AZ234" s="51"/>
      <c r="BA234" s="51"/>
      <c r="BB234" s="51"/>
      <c r="BC234" s="51"/>
      <c r="BD234" s="401">
        <f>BD235+BD237+BD239</f>
        <v>15265514018.5298</v>
      </c>
      <c r="BE234" s="51"/>
      <c r="BF234" s="51"/>
      <c r="BG234" s="51"/>
      <c r="BH234" s="51"/>
      <c r="BI234" s="51"/>
      <c r="BJ234" s="51"/>
      <c r="BK234" s="51"/>
      <c r="BL234" s="51"/>
      <c r="BM234" s="51"/>
      <c r="BN234" s="401">
        <f t="shared" ref="BN234" si="325">BN235+BN237+BN239</f>
        <v>15723479438.675694</v>
      </c>
      <c r="BO234" s="610">
        <f t="shared" ref="BO234" si="326">BO235+BO237+BO239</f>
        <v>64719956670.865494</v>
      </c>
    </row>
    <row r="235" spans="1:67" ht="24.75" customHeight="1" x14ac:dyDescent="0.2">
      <c r="A235" s="547"/>
      <c r="B235" s="69"/>
      <c r="C235" s="136"/>
      <c r="D235" s="562"/>
      <c r="E235" s="57">
        <v>47</v>
      </c>
      <c r="F235" s="58" t="s">
        <v>573</v>
      </c>
      <c r="G235" s="61"/>
      <c r="H235" s="61"/>
      <c r="I235" s="57"/>
      <c r="J235" s="58"/>
      <c r="K235" s="61"/>
      <c r="L235" s="60"/>
      <c r="M235" s="62"/>
      <c r="N235" s="63"/>
      <c r="O235" s="61"/>
      <c r="P235" s="61"/>
      <c r="Q235" s="64"/>
      <c r="R235" s="61"/>
      <c r="S235" s="499"/>
      <c r="T235" s="61"/>
      <c r="U235" s="61"/>
      <c r="V235" s="62"/>
      <c r="W235" s="62"/>
      <c r="X235" s="137"/>
      <c r="Y235" s="62"/>
      <c r="Z235" s="62"/>
      <c r="AA235" s="66">
        <f t="shared" ref="AA235:AI235" si="327">SUM(AA236)</f>
        <v>0</v>
      </c>
      <c r="AB235" s="66">
        <f t="shared" si="327"/>
        <v>28200000</v>
      </c>
      <c r="AC235" s="66">
        <f t="shared" si="327"/>
        <v>0</v>
      </c>
      <c r="AD235" s="66">
        <f t="shared" si="327"/>
        <v>0</v>
      </c>
      <c r="AE235" s="66">
        <f t="shared" si="327"/>
        <v>0</v>
      </c>
      <c r="AF235" s="66">
        <f t="shared" si="327"/>
        <v>0</v>
      </c>
      <c r="AG235" s="66">
        <f t="shared" si="327"/>
        <v>0</v>
      </c>
      <c r="AH235" s="66">
        <f t="shared" si="327"/>
        <v>0</v>
      </c>
      <c r="AI235" s="66">
        <f t="shared" si="327"/>
        <v>0</v>
      </c>
      <c r="AJ235" s="67">
        <f>SUM(AJ236)</f>
        <v>28200000</v>
      </c>
      <c r="AK235" s="66">
        <f t="shared" ref="AK235:AT235" si="328">SUM(AK236)</f>
        <v>0</v>
      </c>
      <c r="AL235" s="66">
        <f t="shared" si="328"/>
        <v>29046000</v>
      </c>
      <c r="AM235" s="66">
        <f t="shared" si="328"/>
        <v>0</v>
      </c>
      <c r="AN235" s="66">
        <f t="shared" si="328"/>
        <v>0</v>
      </c>
      <c r="AO235" s="66">
        <f t="shared" si="328"/>
        <v>0</v>
      </c>
      <c r="AP235" s="66">
        <f t="shared" si="328"/>
        <v>0</v>
      </c>
      <c r="AQ235" s="66">
        <f t="shared" si="328"/>
        <v>0</v>
      </c>
      <c r="AR235" s="66">
        <f t="shared" si="328"/>
        <v>0</v>
      </c>
      <c r="AS235" s="66">
        <f t="shared" si="328"/>
        <v>0</v>
      </c>
      <c r="AT235" s="66">
        <f t="shared" si="328"/>
        <v>29046000</v>
      </c>
      <c r="AU235" s="68"/>
      <c r="AV235" s="68"/>
      <c r="AW235" s="68"/>
      <c r="AX235" s="68"/>
      <c r="AY235" s="68"/>
      <c r="AZ235" s="68"/>
      <c r="BA235" s="68"/>
      <c r="BB235" s="68"/>
      <c r="BC235" s="68"/>
      <c r="BD235" s="66">
        <f t="shared" ref="BD235" si="329">SUM(BD236)</f>
        <v>29917380</v>
      </c>
      <c r="BE235" s="68"/>
      <c r="BF235" s="68"/>
      <c r="BG235" s="68"/>
      <c r="BH235" s="68"/>
      <c r="BI235" s="68"/>
      <c r="BJ235" s="68"/>
      <c r="BK235" s="68"/>
      <c r="BL235" s="68"/>
      <c r="BM235" s="68"/>
      <c r="BN235" s="66">
        <f t="shared" ref="BN235:BO235" si="330">SUM(BN236)</f>
        <v>30814901.400000002</v>
      </c>
      <c r="BO235" s="544">
        <f t="shared" si="330"/>
        <v>117978281.40000001</v>
      </c>
    </row>
    <row r="236" spans="1:67" ht="93.75" customHeight="1" x14ac:dyDescent="0.2">
      <c r="A236" s="545">
        <v>163</v>
      </c>
      <c r="B236" s="69">
        <v>3</v>
      </c>
      <c r="C236" s="136"/>
      <c r="D236" s="136"/>
      <c r="E236" s="478">
        <v>27</v>
      </c>
      <c r="F236" s="439" t="s">
        <v>574</v>
      </c>
      <c r="G236" s="71" t="s">
        <v>575</v>
      </c>
      <c r="H236" s="618">
        <v>0.92</v>
      </c>
      <c r="I236" s="77">
        <v>163</v>
      </c>
      <c r="J236" s="73" t="s">
        <v>576</v>
      </c>
      <c r="K236" s="252" t="s">
        <v>577</v>
      </c>
      <c r="L236" s="305" t="s">
        <v>441</v>
      </c>
      <c r="M236" s="270">
        <v>2</v>
      </c>
      <c r="N236" s="277" t="s">
        <v>54</v>
      </c>
      <c r="O236" s="78">
        <v>12</v>
      </c>
      <c r="P236" s="78">
        <v>12</v>
      </c>
      <c r="Q236" s="282">
        <v>12</v>
      </c>
      <c r="R236" s="280">
        <v>12</v>
      </c>
      <c r="S236" s="500"/>
      <c r="T236" s="280">
        <v>12</v>
      </c>
      <c r="U236" s="280"/>
      <c r="V236" s="280">
        <v>12</v>
      </c>
      <c r="W236" s="293"/>
      <c r="X236" s="306">
        <f>AJ236/AJ235</f>
        <v>1</v>
      </c>
      <c r="Y236" s="78">
        <v>3</v>
      </c>
      <c r="Z236" s="142" t="s">
        <v>452</v>
      </c>
      <c r="AA236" s="307"/>
      <c r="AB236" s="108">
        <v>28200000</v>
      </c>
      <c r="AC236" s="307"/>
      <c r="AD236" s="307"/>
      <c r="AE236" s="307"/>
      <c r="AF236" s="307"/>
      <c r="AG236" s="307"/>
      <c r="AH236" s="307"/>
      <c r="AI236" s="307"/>
      <c r="AJ236" s="82">
        <f>+AA236+AB236+AC236+AD236+AE236+AF236+AG236+AH236+AI236</f>
        <v>28200000</v>
      </c>
      <c r="AK236" s="90"/>
      <c r="AL236" s="455">
        <v>29046000</v>
      </c>
      <c r="AM236" s="90"/>
      <c r="AN236" s="90"/>
      <c r="AO236" s="90"/>
      <c r="AP236" s="90"/>
      <c r="AQ236" s="90"/>
      <c r="AR236" s="90"/>
      <c r="AS236" s="90"/>
      <c r="AT236" s="84">
        <f>AK236+AL236+AM236+AN236+AO236+AP236+AQ236+AR236+AS236</f>
        <v>29046000</v>
      </c>
      <c r="AU236" s="455"/>
      <c r="AV236" s="455">
        <v>29917380</v>
      </c>
      <c r="AW236" s="455"/>
      <c r="AX236" s="455"/>
      <c r="AY236" s="455"/>
      <c r="AZ236" s="455"/>
      <c r="BA236" s="455"/>
      <c r="BB236" s="455"/>
      <c r="BC236" s="455"/>
      <c r="BD236" s="455">
        <f>SUM(AU236:BC236)</f>
        <v>29917380</v>
      </c>
      <c r="BE236" s="90"/>
      <c r="BF236" s="90">
        <v>30814901.400000002</v>
      </c>
      <c r="BG236" s="90"/>
      <c r="BH236" s="90"/>
      <c r="BI236" s="90"/>
      <c r="BJ236" s="90"/>
      <c r="BK236" s="90"/>
      <c r="BL236" s="90"/>
      <c r="BM236" s="90"/>
      <c r="BN236" s="90">
        <f>SUM(BE236:BM236)</f>
        <v>30814901.400000002</v>
      </c>
      <c r="BO236" s="546">
        <f>AJ236+AT236+BD236+BN236</f>
        <v>117978281.40000001</v>
      </c>
    </row>
    <row r="237" spans="1:67" ht="24.75" customHeight="1" x14ac:dyDescent="0.2">
      <c r="A237" s="545"/>
      <c r="B237" s="69"/>
      <c r="C237" s="136"/>
      <c r="D237" s="136"/>
      <c r="E237" s="57">
        <v>48</v>
      </c>
      <c r="F237" s="58" t="s">
        <v>578</v>
      </c>
      <c r="G237" s="61"/>
      <c r="H237" s="61"/>
      <c r="I237" s="57"/>
      <c r="J237" s="58"/>
      <c r="K237" s="61"/>
      <c r="L237" s="60"/>
      <c r="M237" s="62"/>
      <c r="N237" s="62"/>
      <c r="O237" s="61"/>
      <c r="P237" s="61"/>
      <c r="Q237" s="61"/>
      <c r="R237" s="60"/>
      <c r="S237" s="514"/>
      <c r="T237" s="61"/>
      <c r="U237" s="61"/>
      <c r="V237" s="64"/>
      <c r="W237" s="64"/>
      <c r="X237" s="137"/>
      <c r="Y237" s="62"/>
      <c r="Z237" s="62"/>
      <c r="AA237" s="66">
        <f t="shared" ref="AA237:AI237" si="331">SUM(AA238)</f>
        <v>0</v>
      </c>
      <c r="AB237" s="66">
        <f t="shared" si="331"/>
        <v>18861571816</v>
      </c>
      <c r="AC237" s="66">
        <f t="shared" si="331"/>
        <v>0</v>
      </c>
      <c r="AD237" s="66">
        <f t="shared" si="331"/>
        <v>0</v>
      </c>
      <c r="AE237" s="66">
        <f t="shared" si="331"/>
        <v>0</v>
      </c>
      <c r="AF237" s="66">
        <f t="shared" si="331"/>
        <v>0</v>
      </c>
      <c r="AG237" s="66">
        <f t="shared" si="331"/>
        <v>0</v>
      </c>
      <c r="AH237" s="66">
        <f t="shared" si="331"/>
        <v>0</v>
      </c>
      <c r="AI237" s="66">
        <f t="shared" si="331"/>
        <v>0</v>
      </c>
      <c r="AJ237" s="67">
        <f>SUM(AJ238)</f>
        <v>18861571816</v>
      </c>
      <c r="AK237" s="66">
        <f t="shared" ref="AK237:AT237" si="332">SUM(AK238)</f>
        <v>0</v>
      </c>
      <c r="AL237" s="66">
        <f t="shared" si="332"/>
        <v>14770928277.66</v>
      </c>
      <c r="AM237" s="66">
        <f t="shared" si="332"/>
        <v>0</v>
      </c>
      <c r="AN237" s="66">
        <f t="shared" si="332"/>
        <v>0</v>
      </c>
      <c r="AO237" s="66">
        <f t="shared" si="332"/>
        <v>0</v>
      </c>
      <c r="AP237" s="66">
        <f t="shared" si="332"/>
        <v>0</v>
      </c>
      <c r="AQ237" s="66">
        <f t="shared" si="332"/>
        <v>0</v>
      </c>
      <c r="AR237" s="66">
        <f t="shared" si="332"/>
        <v>0</v>
      </c>
      <c r="AS237" s="66">
        <f t="shared" si="332"/>
        <v>0</v>
      </c>
      <c r="AT237" s="66">
        <f t="shared" si="332"/>
        <v>14770928277.66</v>
      </c>
      <c r="AU237" s="68"/>
      <c r="AV237" s="68"/>
      <c r="AW237" s="68"/>
      <c r="AX237" s="68"/>
      <c r="AY237" s="68"/>
      <c r="AZ237" s="68"/>
      <c r="BA237" s="68"/>
      <c r="BB237" s="68"/>
      <c r="BC237" s="68"/>
      <c r="BD237" s="66">
        <f t="shared" ref="BD237" si="333">SUM(BD238)</f>
        <v>15214056124.9298</v>
      </c>
      <c r="BE237" s="68"/>
      <c r="BF237" s="68"/>
      <c r="BG237" s="68"/>
      <c r="BH237" s="68"/>
      <c r="BI237" s="68"/>
      <c r="BJ237" s="68"/>
      <c r="BK237" s="68"/>
      <c r="BL237" s="68"/>
      <c r="BM237" s="68"/>
      <c r="BN237" s="66">
        <f t="shared" ref="BN237:BO237" si="334">SUM(BN238)</f>
        <v>15670477808.267694</v>
      </c>
      <c r="BO237" s="544">
        <f t="shared" si="334"/>
        <v>64517034026.857491</v>
      </c>
    </row>
    <row r="238" spans="1:67" ht="93.75" customHeight="1" x14ac:dyDescent="0.2">
      <c r="A238" s="547">
        <v>164</v>
      </c>
      <c r="B238" s="69">
        <v>3</v>
      </c>
      <c r="C238" s="136"/>
      <c r="D238" s="136"/>
      <c r="E238" s="91">
        <v>27</v>
      </c>
      <c r="F238" s="439" t="s">
        <v>574</v>
      </c>
      <c r="G238" s="93" t="s">
        <v>575</v>
      </c>
      <c r="H238" s="575">
        <v>0.92</v>
      </c>
      <c r="I238" s="77">
        <v>164</v>
      </c>
      <c r="J238" s="70" t="s">
        <v>579</v>
      </c>
      <c r="K238" s="252" t="s">
        <v>580</v>
      </c>
      <c r="L238" s="308" t="s">
        <v>441</v>
      </c>
      <c r="M238" s="271">
        <v>2</v>
      </c>
      <c r="N238" s="277" t="s">
        <v>54</v>
      </c>
      <c r="O238" s="78">
        <v>12</v>
      </c>
      <c r="P238" s="78">
        <v>12</v>
      </c>
      <c r="Q238" s="282">
        <v>12</v>
      </c>
      <c r="R238" s="280">
        <v>12</v>
      </c>
      <c r="S238" s="500"/>
      <c r="T238" s="280">
        <v>12</v>
      </c>
      <c r="U238" s="280"/>
      <c r="V238" s="280">
        <v>12</v>
      </c>
      <c r="W238" s="293"/>
      <c r="X238" s="306">
        <f>AJ238/AJ237</f>
        <v>1</v>
      </c>
      <c r="Y238" s="78">
        <v>3</v>
      </c>
      <c r="Z238" s="142" t="s">
        <v>452</v>
      </c>
      <c r="AA238" s="307">
        <v>0</v>
      </c>
      <c r="AB238" s="108">
        <v>18861571816</v>
      </c>
      <c r="AC238" s="307">
        <v>0</v>
      </c>
      <c r="AD238" s="185">
        <v>0</v>
      </c>
      <c r="AE238" s="307">
        <v>0</v>
      </c>
      <c r="AF238" s="307">
        <v>0</v>
      </c>
      <c r="AG238" s="307">
        <v>0</v>
      </c>
      <c r="AH238" s="307">
        <v>0</v>
      </c>
      <c r="AI238" s="307">
        <v>0</v>
      </c>
      <c r="AJ238" s="82">
        <f>+AA238+AB238+AC238+AD238+AE238+AF238+AG238+AH238+AI238</f>
        <v>18861571816</v>
      </c>
      <c r="AK238" s="90"/>
      <c r="AL238" s="455">
        <v>14770928277.66</v>
      </c>
      <c r="AM238" s="90"/>
      <c r="AN238" s="90"/>
      <c r="AO238" s="90"/>
      <c r="AP238" s="90"/>
      <c r="AQ238" s="90"/>
      <c r="AR238" s="90"/>
      <c r="AS238" s="90"/>
      <c r="AT238" s="84">
        <f>AK238+AL238+AM238+AN238+AO238+AP238+AQ238+AR238+AS238</f>
        <v>14770928277.66</v>
      </c>
      <c r="AU238" s="455"/>
      <c r="AV238" s="455">
        <v>15214056124.9298</v>
      </c>
      <c r="AW238" s="455"/>
      <c r="AX238" s="455"/>
      <c r="AY238" s="455"/>
      <c r="AZ238" s="455"/>
      <c r="BA238" s="455"/>
      <c r="BB238" s="455"/>
      <c r="BC238" s="455"/>
      <c r="BD238" s="455">
        <f>SUM(AU238:BC238)</f>
        <v>15214056124.9298</v>
      </c>
      <c r="BE238" s="90"/>
      <c r="BF238" s="90">
        <v>15670477808.267694</v>
      </c>
      <c r="BG238" s="90"/>
      <c r="BH238" s="90"/>
      <c r="BI238" s="90"/>
      <c r="BJ238" s="90"/>
      <c r="BK238" s="90"/>
      <c r="BL238" s="90"/>
      <c r="BM238" s="90"/>
      <c r="BN238" s="90">
        <f>SUM(BE238:BM238)</f>
        <v>15670477808.267694</v>
      </c>
      <c r="BO238" s="546">
        <f>AJ238+AT238+BD238+BN238</f>
        <v>64517034026.857491</v>
      </c>
    </row>
    <row r="239" spans="1:67" ht="24.75" customHeight="1" x14ac:dyDescent="0.2">
      <c r="A239" s="547"/>
      <c r="B239" s="69"/>
      <c r="C239" s="136"/>
      <c r="D239" s="136"/>
      <c r="E239" s="57">
        <v>49</v>
      </c>
      <c r="F239" s="58" t="s">
        <v>581</v>
      </c>
      <c r="G239" s="61"/>
      <c r="H239" s="61"/>
      <c r="I239" s="57"/>
      <c r="J239" s="58"/>
      <c r="K239" s="61"/>
      <c r="L239" s="60"/>
      <c r="M239" s="62"/>
      <c r="N239" s="63"/>
      <c r="O239" s="61"/>
      <c r="P239" s="61"/>
      <c r="Q239" s="64"/>
      <c r="R239" s="60"/>
      <c r="S239" s="514"/>
      <c r="T239" s="64"/>
      <c r="U239" s="64"/>
      <c r="V239" s="64"/>
      <c r="W239" s="64"/>
      <c r="X239" s="137"/>
      <c r="Y239" s="62"/>
      <c r="Z239" s="62"/>
      <c r="AA239" s="66">
        <f t="shared" ref="AA239:AI239" si="335">SUM(AA240)</f>
        <v>0</v>
      </c>
      <c r="AB239" s="66">
        <f t="shared" si="335"/>
        <v>20304000</v>
      </c>
      <c r="AC239" s="66">
        <f t="shared" si="335"/>
        <v>0</v>
      </c>
      <c r="AD239" s="66">
        <f t="shared" si="335"/>
        <v>0</v>
      </c>
      <c r="AE239" s="66">
        <f t="shared" si="335"/>
        <v>0</v>
      </c>
      <c r="AF239" s="66">
        <f t="shared" si="335"/>
        <v>0</v>
      </c>
      <c r="AG239" s="66">
        <f t="shared" si="335"/>
        <v>0</v>
      </c>
      <c r="AH239" s="66">
        <f t="shared" si="335"/>
        <v>0</v>
      </c>
      <c r="AI239" s="66">
        <f t="shared" si="335"/>
        <v>0</v>
      </c>
      <c r="AJ239" s="67">
        <f>SUM(AJ240)</f>
        <v>20304000</v>
      </c>
      <c r="AK239" s="66">
        <f t="shared" ref="AK239:AT239" si="336">SUM(AK240)</f>
        <v>0</v>
      </c>
      <c r="AL239" s="66">
        <f t="shared" si="336"/>
        <v>20913120</v>
      </c>
      <c r="AM239" s="66">
        <f t="shared" si="336"/>
        <v>0</v>
      </c>
      <c r="AN239" s="66">
        <f t="shared" si="336"/>
        <v>0</v>
      </c>
      <c r="AO239" s="66">
        <f t="shared" si="336"/>
        <v>0</v>
      </c>
      <c r="AP239" s="66">
        <f t="shared" si="336"/>
        <v>0</v>
      </c>
      <c r="AQ239" s="66">
        <f t="shared" si="336"/>
        <v>0</v>
      </c>
      <c r="AR239" s="66">
        <f t="shared" si="336"/>
        <v>0</v>
      </c>
      <c r="AS239" s="66">
        <f t="shared" si="336"/>
        <v>0</v>
      </c>
      <c r="AT239" s="66">
        <f t="shared" si="336"/>
        <v>20913120</v>
      </c>
      <c r="AU239" s="68"/>
      <c r="AV239" s="68"/>
      <c r="AW239" s="68"/>
      <c r="AX239" s="68"/>
      <c r="AY239" s="68"/>
      <c r="AZ239" s="68"/>
      <c r="BA239" s="68"/>
      <c r="BB239" s="68"/>
      <c r="BC239" s="68"/>
      <c r="BD239" s="66">
        <f t="shared" ref="BD239" si="337">SUM(BD240)</f>
        <v>21540513.600000001</v>
      </c>
      <c r="BE239" s="68"/>
      <c r="BF239" s="68"/>
      <c r="BG239" s="68"/>
      <c r="BH239" s="68"/>
      <c r="BI239" s="68"/>
      <c r="BJ239" s="68"/>
      <c r="BK239" s="68"/>
      <c r="BL239" s="68"/>
      <c r="BM239" s="68"/>
      <c r="BN239" s="66">
        <f t="shared" ref="BN239:BO239" si="338">SUM(BN240)</f>
        <v>22186729.008000001</v>
      </c>
      <c r="BO239" s="544">
        <f t="shared" si="338"/>
        <v>84944362.60800001</v>
      </c>
    </row>
    <row r="240" spans="1:67" ht="93.75" customHeight="1" x14ac:dyDescent="0.2">
      <c r="A240" s="545">
        <v>165</v>
      </c>
      <c r="B240" s="69">
        <v>3</v>
      </c>
      <c r="C240" s="136"/>
      <c r="D240" s="192"/>
      <c r="E240" s="451">
        <v>27</v>
      </c>
      <c r="F240" s="461" t="s">
        <v>574</v>
      </c>
      <c r="G240" s="71" t="s">
        <v>575</v>
      </c>
      <c r="H240" s="618">
        <v>0.92</v>
      </c>
      <c r="I240" s="77">
        <v>165</v>
      </c>
      <c r="J240" s="73" t="s">
        <v>582</v>
      </c>
      <c r="K240" s="252" t="s">
        <v>583</v>
      </c>
      <c r="L240" s="305" t="s">
        <v>441</v>
      </c>
      <c r="M240" s="270">
        <v>2</v>
      </c>
      <c r="N240" s="277" t="s">
        <v>54</v>
      </c>
      <c r="O240" s="272">
        <v>12</v>
      </c>
      <c r="P240" s="272">
        <v>12</v>
      </c>
      <c r="Q240" s="282">
        <v>12</v>
      </c>
      <c r="R240" s="280">
        <v>12</v>
      </c>
      <c r="S240" s="500"/>
      <c r="T240" s="280">
        <v>12</v>
      </c>
      <c r="U240" s="280"/>
      <c r="V240" s="280">
        <v>12</v>
      </c>
      <c r="W240" s="293"/>
      <c r="X240" s="306">
        <f>AJ240/AJ239</f>
        <v>1</v>
      </c>
      <c r="Y240" s="78">
        <v>3</v>
      </c>
      <c r="Z240" s="142" t="s">
        <v>452</v>
      </c>
      <c r="AA240" s="307"/>
      <c r="AB240" s="108">
        <v>20304000</v>
      </c>
      <c r="AC240" s="307"/>
      <c r="AD240" s="307"/>
      <c r="AE240" s="307"/>
      <c r="AF240" s="307"/>
      <c r="AG240" s="307"/>
      <c r="AH240" s="307"/>
      <c r="AI240" s="307"/>
      <c r="AJ240" s="82">
        <f>+AA240+AB240+AC240+AD240+AE240+AF240+AG240+AH240+AI240</f>
        <v>20304000</v>
      </c>
      <c r="AK240" s="90"/>
      <c r="AL240" s="455">
        <v>20913120</v>
      </c>
      <c r="AM240" s="90"/>
      <c r="AN240" s="90"/>
      <c r="AO240" s="90"/>
      <c r="AP240" s="90"/>
      <c r="AQ240" s="90"/>
      <c r="AR240" s="90"/>
      <c r="AS240" s="90"/>
      <c r="AT240" s="84">
        <f>AK240+AL240+AM240+AN240+AO240+AP240+AQ240+AR240+AS240</f>
        <v>20913120</v>
      </c>
      <c r="AU240" s="455"/>
      <c r="AV240" s="455">
        <v>21540513.600000001</v>
      </c>
      <c r="AW240" s="455"/>
      <c r="AX240" s="455"/>
      <c r="AY240" s="455"/>
      <c r="AZ240" s="455"/>
      <c r="BA240" s="455"/>
      <c r="BB240" s="455"/>
      <c r="BC240" s="455"/>
      <c r="BD240" s="455">
        <f>SUM(AU240:BC240)</f>
        <v>21540513.600000001</v>
      </c>
      <c r="BE240" s="90"/>
      <c r="BF240" s="90">
        <v>22186729.008000001</v>
      </c>
      <c r="BG240" s="90"/>
      <c r="BH240" s="90"/>
      <c r="BI240" s="90"/>
      <c r="BJ240" s="90"/>
      <c r="BK240" s="90"/>
      <c r="BL240" s="90"/>
      <c r="BM240" s="90"/>
      <c r="BN240" s="90">
        <f>SUM(BE240:BM240)</f>
        <v>22186729.008000001</v>
      </c>
      <c r="BO240" s="546">
        <f>AJ240+AT240+BD240+BN240</f>
        <v>84944362.60800001</v>
      </c>
    </row>
    <row r="241" spans="1:67" ht="24.75" customHeight="1" x14ac:dyDescent="0.2">
      <c r="A241" s="545"/>
      <c r="B241" s="69"/>
      <c r="C241" s="136"/>
      <c r="D241" s="309">
        <v>14</v>
      </c>
      <c r="E241" s="134" t="s">
        <v>584</v>
      </c>
      <c r="F241" s="310"/>
      <c r="G241" s="310"/>
      <c r="H241" s="310"/>
      <c r="I241" s="267"/>
      <c r="J241" s="48"/>
      <c r="K241" s="48"/>
      <c r="L241" s="49"/>
      <c r="M241" s="47"/>
      <c r="N241" s="50"/>
      <c r="O241" s="48"/>
      <c r="P241" s="48"/>
      <c r="Q241" s="51"/>
      <c r="R241" s="48"/>
      <c r="S241" s="498"/>
      <c r="T241" s="48"/>
      <c r="U241" s="48"/>
      <c r="V241" s="47"/>
      <c r="W241" s="47"/>
      <c r="X241" s="135"/>
      <c r="Y241" s="47"/>
      <c r="Z241" s="47"/>
      <c r="AA241" s="53">
        <f t="shared" ref="AA241:AI241" si="339">AA242+AA246+AA248+AA252+AA255</f>
        <v>0</v>
      </c>
      <c r="AB241" s="53">
        <f t="shared" si="339"/>
        <v>4620095942</v>
      </c>
      <c r="AC241" s="53">
        <f t="shared" si="339"/>
        <v>310000000</v>
      </c>
      <c r="AD241" s="53">
        <f t="shared" si="339"/>
        <v>1159946856</v>
      </c>
      <c r="AE241" s="53">
        <f t="shared" si="339"/>
        <v>0</v>
      </c>
      <c r="AF241" s="53">
        <f t="shared" si="339"/>
        <v>0</v>
      </c>
      <c r="AG241" s="53">
        <f t="shared" si="339"/>
        <v>0</v>
      </c>
      <c r="AH241" s="53">
        <f t="shared" si="339"/>
        <v>7882699266</v>
      </c>
      <c r="AI241" s="53">
        <f t="shared" si="339"/>
        <v>0</v>
      </c>
      <c r="AJ241" s="54">
        <f>AJ242+AJ246+AJ248+AJ252+AJ255</f>
        <v>13972742064</v>
      </c>
      <c r="AK241" s="53">
        <f t="shared" ref="AK241:AT241" si="340">AK242+AK246+AK248+AK252+AK255</f>
        <v>0</v>
      </c>
      <c r="AL241" s="53">
        <f t="shared" si="340"/>
        <v>4134875595.7799997</v>
      </c>
      <c r="AM241" s="53">
        <f t="shared" si="340"/>
        <v>300000000</v>
      </c>
      <c r="AN241" s="53">
        <f t="shared" si="340"/>
        <v>0</v>
      </c>
      <c r="AO241" s="53">
        <f t="shared" si="340"/>
        <v>0</v>
      </c>
      <c r="AP241" s="53">
        <f t="shared" si="340"/>
        <v>0</v>
      </c>
      <c r="AQ241" s="53">
        <f t="shared" si="340"/>
        <v>0</v>
      </c>
      <c r="AR241" s="53">
        <f t="shared" si="340"/>
        <v>7334790933</v>
      </c>
      <c r="AS241" s="53">
        <f t="shared" si="340"/>
        <v>0</v>
      </c>
      <c r="AT241" s="53">
        <f t="shared" si="340"/>
        <v>11769666528.780001</v>
      </c>
      <c r="AU241" s="55"/>
      <c r="AV241" s="55"/>
      <c r="AW241" s="55"/>
      <c r="AX241" s="55"/>
      <c r="AY241" s="55"/>
      <c r="AZ241" s="55"/>
      <c r="BA241" s="55"/>
      <c r="BB241" s="55"/>
      <c r="BC241" s="55"/>
      <c r="BD241" s="53">
        <f>BD242+BD246+BD248+BD252+BD255</f>
        <v>11963756525.653402</v>
      </c>
      <c r="BE241" s="55"/>
      <c r="BF241" s="55"/>
      <c r="BG241" s="55"/>
      <c r="BH241" s="55"/>
      <c r="BI241" s="55"/>
      <c r="BJ241" s="55"/>
      <c r="BK241" s="55"/>
      <c r="BL241" s="55"/>
      <c r="BM241" s="55"/>
      <c r="BN241" s="53">
        <f t="shared" ref="BN241" si="341">BN242+BN246+BN248+BN252+BN255</f>
        <v>12218169220.415003</v>
      </c>
      <c r="BO241" s="543">
        <f t="shared" ref="BO241" si="342">BO242+BO246+BO248+BO252+BO255</f>
        <v>49924334338.848396</v>
      </c>
    </row>
    <row r="242" spans="1:67" ht="24.75" customHeight="1" x14ac:dyDescent="0.2">
      <c r="A242" s="545"/>
      <c r="B242" s="69"/>
      <c r="C242" s="136"/>
      <c r="D242" s="562"/>
      <c r="E242" s="57">
        <v>50</v>
      </c>
      <c r="F242" s="58" t="s">
        <v>585</v>
      </c>
      <c r="G242" s="61"/>
      <c r="H242" s="61"/>
      <c r="I242" s="57"/>
      <c r="J242" s="58"/>
      <c r="K242" s="61"/>
      <c r="L242" s="60"/>
      <c r="M242" s="62"/>
      <c r="N242" s="63"/>
      <c r="O242" s="61"/>
      <c r="P242" s="61"/>
      <c r="Q242" s="64"/>
      <c r="R242" s="61"/>
      <c r="S242" s="499"/>
      <c r="T242" s="61"/>
      <c r="U242" s="61"/>
      <c r="V242" s="62"/>
      <c r="W242" s="62"/>
      <c r="X242" s="137"/>
      <c r="Y242" s="62"/>
      <c r="Z242" s="62"/>
      <c r="AA242" s="66">
        <f t="shared" ref="AA242:AI242" si="343">SUM(AA243:AA245)</f>
        <v>0</v>
      </c>
      <c r="AB242" s="66">
        <f t="shared" si="343"/>
        <v>4379703942</v>
      </c>
      <c r="AC242" s="66">
        <f t="shared" si="343"/>
        <v>0</v>
      </c>
      <c r="AD242" s="66">
        <f t="shared" si="343"/>
        <v>1159946856</v>
      </c>
      <c r="AE242" s="66">
        <f t="shared" si="343"/>
        <v>0</v>
      </c>
      <c r="AF242" s="66">
        <f t="shared" si="343"/>
        <v>0</v>
      </c>
      <c r="AG242" s="66">
        <f t="shared" si="343"/>
        <v>0</v>
      </c>
      <c r="AH242" s="66">
        <f t="shared" si="343"/>
        <v>7882699266</v>
      </c>
      <c r="AI242" s="66">
        <f t="shared" si="343"/>
        <v>0</v>
      </c>
      <c r="AJ242" s="67">
        <f>SUM(AJ243:AJ245)</f>
        <v>13422350064</v>
      </c>
      <c r="AK242" s="66">
        <f t="shared" ref="AK242:AT242" si="344">SUM(AK243:AK245)</f>
        <v>0</v>
      </c>
      <c r="AL242" s="66">
        <f t="shared" si="344"/>
        <v>3887271835.7800002</v>
      </c>
      <c r="AM242" s="66">
        <f t="shared" si="344"/>
        <v>0</v>
      </c>
      <c r="AN242" s="66">
        <f t="shared" si="344"/>
        <v>0</v>
      </c>
      <c r="AO242" s="66">
        <f t="shared" si="344"/>
        <v>0</v>
      </c>
      <c r="AP242" s="66">
        <f t="shared" si="344"/>
        <v>0</v>
      </c>
      <c r="AQ242" s="66">
        <f t="shared" si="344"/>
        <v>0</v>
      </c>
      <c r="AR242" s="66">
        <f t="shared" si="344"/>
        <v>7334790933</v>
      </c>
      <c r="AS242" s="66">
        <f t="shared" si="344"/>
        <v>0</v>
      </c>
      <c r="AT242" s="66">
        <f t="shared" si="344"/>
        <v>11222062768.780001</v>
      </c>
      <c r="AU242" s="68"/>
      <c r="AV242" s="68"/>
      <c r="AW242" s="68"/>
      <c r="AX242" s="68"/>
      <c r="AY242" s="68"/>
      <c r="AZ242" s="68"/>
      <c r="BA242" s="68"/>
      <c r="BB242" s="68"/>
      <c r="BC242" s="68"/>
      <c r="BD242" s="66">
        <f t="shared" ref="BD242" si="345">SUM(BD243:BD245)</f>
        <v>11558724652.853401</v>
      </c>
      <c r="BE242" s="68"/>
      <c r="BF242" s="68"/>
      <c r="BG242" s="68"/>
      <c r="BH242" s="68"/>
      <c r="BI242" s="68"/>
      <c r="BJ242" s="68"/>
      <c r="BK242" s="68"/>
      <c r="BL242" s="68"/>
      <c r="BM242" s="68"/>
      <c r="BN242" s="66">
        <f t="shared" ref="BN242" si="346">SUM(BN243:BN245)</f>
        <v>11905486391.579002</v>
      </c>
      <c r="BO242" s="544">
        <f t="shared" ref="BO242" si="347">SUM(BO243:BO245)</f>
        <v>48108623877.212402</v>
      </c>
    </row>
    <row r="243" spans="1:67" ht="93.75" customHeight="1" x14ac:dyDescent="0.2">
      <c r="A243" s="547">
        <v>166</v>
      </c>
      <c r="B243" s="69">
        <v>3</v>
      </c>
      <c r="C243" s="136"/>
      <c r="D243" s="136"/>
      <c r="E243" s="478">
        <v>28</v>
      </c>
      <c r="F243" s="629" t="s">
        <v>586</v>
      </c>
      <c r="G243" s="563">
        <v>0.5</v>
      </c>
      <c r="H243" s="563">
        <v>1</v>
      </c>
      <c r="I243" s="77">
        <v>166</v>
      </c>
      <c r="J243" s="73" t="s">
        <v>587</v>
      </c>
      <c r="K243" s="252" t="s">
        <v>588</v>
      </c>
      <c r="L243" s="305" t="s">
        <v>441</v>
      </c>
      <c r="M243" s="270">
        <v>2</v>
      </c>
      <c r="N243" s="277" t="s">
        <v>54</v>
      </c>
      <c r="O243" s="272">
        <v>1</v>
      </c>
      <c r="P243" s="272">
        <v>0.8</v>
      </c>
      <c r="Q243" s="282">
        <v>1</v>
      </c>
      <c r="R243" s="280">
        <v>1</v>
      </c>
      <c r="S243" s="500"/>
      <c r="T243" s="280">
        <v>1</v>
      </c>
      <c r="U243" s="280"/>
      <c r="V243" s="280">
        <v>1</v>
      </c>
      <c r="W243" s="277"/>
      <c r="X243" s="311"/>
      <c r="Y243" s="77">
        <v>3</v>
      </c>
      <c r="Z243" s="74" t="s">
        <v>452</v>
      </c>
      <c r="AA243" s="108"/>
      <c r="AB243" s="108"/>
      <c r="AC243" s="108"/>
      <c r="AD243" s="108"/>
      <c r="AE243" s="108"/>
      <c r="AF243" s="108"/>
      <c r="AG243" s="108"/>
      <c r="AH243" s="108"/>
      <c r="AI243" s="108"/>
      <c r="AJ243" s="82">
        <f>+AA243+AB243+AC243+AD243+AE243+AF243+AG243+AH243+AI243</f>
        <v>0</v>
      </c>
      <c r="AK243" s="90"/>
      <c r="AL243" s="90"/>
      <c r="AM243" s="90"/>
      <c r="AN243" s="90"/>
      <c r="AO243" s="90"/>
      <c r="AP243" s="90"/>
      <c r="AQ243" s="90"/>
      <c r="AR243" s="90"/>
      <c r="AS243" s="90"/>
      <c r="AT243" s="84">
        <f>AK243+AL243+AM243+AN243+AO243+AP243+AQ243+AR243+AS243</f>
        <v>0</v>
      </c>
      <c r="AU243" s="455"/>
      <c r="AV243" s="455"/>
      <c r="AW243" s="455"/>
      <c r="AX243" s="455"/>
      <c r="AY243" s="455"/>
      <c r="AZ243" s="455"/>
      <c r="BA243" s="455"/>
      <c r="BB243" s="455"/>
      <c r="BC243" s="455"/>
      <c r="BD243" s="455"/>
      <c r="BE243" s="90"/>
      <c r="BF243" s="90"/>
      <c r="BG243" s="90"/>
      <c r="BH243" s="90"/>
      <c r="BI243" s="90"/>
      <c r="BJ243" s="90"/>
      <c r="BK243" s="90"/>
      <c r="BL243" s="90"/>
      <c r="BM243" s="90"/>
      <c r="BN243" s="90"/>
      <c r="BO243" s="546">
        <f>AJ243+AT243+BD243+BN243</f>
        <v>0</v>
      </c>
    </row>
    <row r="244" spans="1:67" s="86" customFormat="1" ht="93.75" customHeight="1" x14ac:dyDescent="0.25">
      <c r="A244" s="545">
        <v>167</v>
      </c>
      <c r="B244" s="69">
        <v>3</v>
      </c>
      <c r="C244" s="136"/>
      <c r="D244" s="136"/>
      <c r="E244" s="91"/>
      <c r="F244" s="312"/>
      <c r="G244" s="173"/>
      <c r="H244" s="173"/>
      <c r="I244" s="77">
        <v>167</v>
      </c>
      <c r="J244" s="73" t="s">
        <v>589</v>
      </c>
      <c r="K244" s="252" t="s">
        <v>590</v>
      </c>
      <c r="L244" s="305" t="s">
        <v>441</v>
      </c>
      <c r="M244" s="270">
        <v>2</v>
      </c>
      <c r="N244" s="277" t="s">
        <v>54</v>
      </c>
      <c r="O244" s="272">
        <v>15</v>
      </c>
      <c r="P244" s="272">
        <v>15</v>
      </c>
      <c r="Q244" s="282">
        <v>15</v>
      </c>
      <c r="R244" s="280">
        <v>15</v>
      </c>
      <c r="S244" s="500"/>
      <c r="T244" s="280">
        <v>15</v>
      </c>
      <c r="U244" s="280"/>
      <c r="V244" s="280">
        <v>15</v>
      </c>
      <c r="W244" s="277"/>
      <c r="X244" s="257">
        <f>AJ244/AJ242</f>
        <v>1</v>
      </c>
      <c r="Y244" s="77">
        <v>3</v>
      </c>
      <c r="Z244" s="74" t="s">
        <v>452</v>
      </c>
      <c r="AA244" s="108"/>
      <c r="AB244" s="630">
        <v>4379703942</v>
      </c>
      <c r="AC244" s="108"/>
      <c r="AD244" s="185">
        <f>68256639+34500717+423437500+633752000</f>
        <v>1159946856</v>
      </c>
      <c r="AE244" s="185"/>
      <c r="AF244" s="108"/>
      <c r="AG244" s="108"/>
      <c r="AH244" s="448">
        <v>7882699266</v>
      </c>
      <c r="AI244" s="108"/>
      <c r="AJ244" s="82">
        <f>+AA244+AB244+AC244+AD244+AE244+AF244+AG244+AH244+AI244</f>
        <v>13422350064</v>
      </c>
      <c r="AK244" s="90"/>
      <c r="AL244" s="90">
        <v>3887271835.7800002</v>
      </c>
      <c r="AM244" s="90"/>
      <c r="AN244" s="90"/>
      <c r="AO244" s="90"/>
      <c r="AP244" s="90"/>
      <c r="AQ244" s="90"/>
      <c r="AR244" s="90">
        <v>7334790933</v>
      </c>
      <c r="AS244" s="90"/>
      <c r="AT244" s="84">
        <f>AK244+AL244+AM244+AN244+AO244+AP244+AQ244+AR244+AS244</f>
        <v>11222062768.780001</v>
      </c>
      <c r="AU244" s="455"/>
      <c r="AV244" s="313">
        <v>4003889990.8534002</v>
      </c>
      <c r="AW244" s="455"/>
      <c r="AX244" s="455"/>
      <c r="AY244" s="455"/>
      <c r="AZ244" s="455"/>
      <c r="BA244" s="455"/>
      <c r="BB244" s="455">
        <v>7554834662</v>
      </c>
      <c r="BC244" s="455"/>
      <c r="BD244" s="455">
        <f>SUM(AU244:BC244)</f>
        <v>11558724652.853401</v>
      </c>
      <c r="BE244" s="455"/>
      <c r="BF244" s="111">
        <v>4124006690.5790024</v>
      </c>
      <c r="BG244" s="90"/>
      <c r="BH244" s="90"/>
      <c r="BI244" s="90"/>
      <c r="BJ244" s="90"/>
      <c r="BK244" s="455"/>
      <c r="BL244" s="313">
        <v>7781479701</v>
      </c>
      <c r="BM244" s="90"/>
      <c r="BN244" s="90">
        <f>SUM(BE244:BM244)</f>
        <v>11905486391.579002</v>
      </c>
      <c r="BO244" s="546">
        <f>AJ244+AT244+BD244+BN244</f>
        <v>48108623877.212402</v>
      </c>
    </row>
    <row r="245" spans="1:67" ht="93.75" customHeight="1" x14ac:dyDescent="0.2">
      <c r="A245" s="547">
        <v>168</v>
      </c>
      <c r="B245" s="69">
        <v>3</v>
      </c>
      <c r="C245" s="136"/>
      <c r="D245" s="136"/>
      <c r="E245" s="451"/>
      <c r="F245" s="314"/>
      <c r="G245" s="198"/>
      <c r="H245" s="198"/>
      <c r="I245" s="77">
        <v>168</v>
      </c>
      <c r="J245" s="73" t="s">
        <v>591</v>
      </c>
      <c r="K245" s="252" t="s">
        <v>592</v>
      </c>
      <c r="L245" s="305" t="s">
        <v>441</v>
      </c>
      <c r="M245" s="270">
        <v>2</v>
      </c>
      <c r="N245" s="277" t="s">
        <v>54</v>
      </c>
      <c r="O245" s="272">
        <v>7</v>
      </c>
      <c r="P245" s="272">
        <v>14</v>
      </c>
      <c r="Q245" s="282">
        <v>14</v>
      </c>
      <c r="R245" s="280">
        <v>14</v>
      </c>
      <c r="S245" s="500"/>
      <c r="T245" s="280">
        <v>14</v>
      </c>
      <c r="U245" s="280"/>
      <c r="V245" s="280">
        <v>14</v>
      </c>
      <c r="W245" s="277"/>
      <c r="X245" s="311"/>
      <c r="Y245" s="77">
        <v>3</v>
      </c>
      <c r="Z245" s="74" t="s">
        <v>452</v>
      </c>
      <c r="AA245" s="108"/>
      <c r="AB245" s="108"/>
      <c r="AC245" s="108"/>
      <c r="AD245" s="108"/>
      <c r="AE245" s="108"/>
      <c r="AF245" s="108"/>
      <c r="AG245" s="108"/>
      <c r="AH245" s="108"/>
      <c r="AI245" s="108"/>
      <c r="AJ245" s="82">
        <f>+AA245+AB245+AC245+AD245+AE245+AF245+AG245+AH245+AI245</f>
        <v>0</v>
      </c>
      <c r="AK245" s="90"/>
      <c r="AL245" s="90"/>
      <c r="AM245" s="90"/>
      <c r="AN245" s="90"/>
      <c r="AO245" s="90"/>
      <c r="AP245" s="90"/>
      <c r="AQ245" s="90"/>
      <c r="AR245" s="90"/>
      <c r="AS245" s="90"/>
      <c r="AT245" s="84">
        <f>AK245+AL245+AM245+AN245+AO245+AP245+AQ245+AR245+AS245</f>
        <v>0</v>
      </c>
      <c r="AU245" s="455"/>
      <c r="AV245" s="455"/>
      <c r="AW245" s="455"/>
      <c r="AX245" s="455"/>
      <c r="AY245" s="455"/>
      <c r="AZ245" s="455"/>
      <c r="BA245" s="455"/>
      <c r="BB245" s="455"/>
      <c r="BC245" s="455"/>
      <c r="BD245" s="455"/>
      <c r="BE245" s="90"/>
      <c r="BF245" s="90"/>
      <c r="BG245" s="90"/>
      <c r="BH245" s="90"/>
      <c r="BI245" s="90"/>
      <c r="BJ245" s="90"/>
      <c r="BK245" s="90"/>
      <c r="BL245" s="90"/>
      <c r="BM245" s="90"/>
      <c r="BN245" s="90"/>
      <c r="BO245" s="546">
        <f>AJ245+AT245+BD245+BN245</f>
        <v>0</v>
      </c>
    </row>
    <row r="246" spans="1:67" ht="24.75" customHeight="1" x14ac:dyDescent="0.2">
      <c r="A246" s="547"/>
      <c r="B246" s="69"/>
      <c r="C246" s="136"/>
      <c r="D246" s="136"/>
      <c r="E246" s="57">
        <v>51</v>
      </c>
      <c r="F246" s="58" t="s">
        <v>593</v>
      </c>
      <c r="G246" s="61"/>
      <c r="H246" s="61"/>
      <c r="I246" s="60"/>
      <c r="J246" s="61"/>
      <c r="K246" s="61"/>
      <c r="L246" s="60"/>
      <c r="M246" s="62"/>
      <c r="N246" s="63"/>
      <c r="O246" s="61"/>
      <c r="P246" s="61"/>
      <c r="Q246" s="64"/>
      <c r="R246" s="61"/>
      <c r="S246" s="499"/>
      <c r="T246" s="61"/>
      <c r="U246" s="61"/>
      <c r="V246" s="62"/>
      <c r="W246" s="62"/>
      <c r="X246" s="137"/>
      <c r="Y246" s="62"/>
      <c r="Z246" s="62"/>
      <c r="AA246" s="66">
        <f t="shared" ref="AA246:AI246" si="348">SUM(AA247)</f>
        <v>0</v>
      </c>
      <c r="AB246" s="66">
        <f t="shared" si="348"/>
        <v>42864000</v>
      </c>
      <c r="AC246" s="66">
        <f t="shared" si="348"/>
        <v>0</v>
      </c>
      <c r="AD246" s="66">
        <f t="shared" si="348"/>
        <v>0</v>
      </c>
      <c r="AE246" s="66">
        <f t="shared" si="348"/>
        <v>0</v>
      </c>
      <c r="AF246" s="66">
        <f t="shared" si="348"/>
        <v>0</v>
      </c>
      <c r="AG246" s="66">
        <f t="shared" si="348"/>
        <v>0</v>
      </c>
      <c r="AH246" s="66">
        <f t="shared" si="348"/>
        <v>0</v>
      </c>
      <c r="AI246" s="66">
        <f t="shared" si="348"/>
        <v>0</v>
      </c>
      <c r="AJ246" s="67">
        <f>SUM(AJ247)</f>
        <v>42864000</v>
      </c>
      <c r="AK246" s="66">
        <f t="shared" ref="AK246:AT246" si="349">SUM(AK247)</f>
        <v>0</v>
      </c>
      <c r="AL246" s="66">
        <f t="shared" si="349"/>
        <v>44149920</v>
      </c>
      <c r="AM246" s="66">
        <f t="shared" si="349"/>
        <v>0</v>
      </c>
      <c r="AN246" s="66">
        <f t="shared" si="349"/>
        <v>0</v>
      </c>
      <c r="AO246" s="66">
        <f t="shared" si="349"/>
        <v>0</v>
      </c>
      <c r="AP246" s="66">
        <f t="shared" si="349"/>
        <v>0</v>
      </c>
      <c r="AQ246" s="66">
        <f t="shared" si="349"/>
        <v>0</v>
      </c>
      <c r="AR246" s="66">
        <f t="shared" si="349"/>
        <v>0</v>
      </c>
      <c r="AS246" s="66">
        <f t="shared" si="349"/>
        <v>0</v>
      </c>
      <c r="AT246" s="66">
        <f t="shared" si="349"/>
        <v>44149920</v>
      </c>
      <c r="AU246" s="68"/>
      <c r="AV246" s="68"/>
      <c r="AW246" s="68"/>
      <c r="AX246" s="68"/>
      <c r="AY246" s="68"/>
      <c r="AZ246" s="68"/>
      <c r="BA246" s="68"/>
      <c r="BB246" s="68"/>
      <c r="BC246" s="68"/>
      <c r="BD246" s="66">
        <f t="shared" ref="BD246" si="350">SUM(BD247)</f>
        <v>45474417.600000001</v>
      </c>
      <c r="BE246" s="68"/>
      <c r="BF246" s="68"/>
      <c r="BG246" s="68"/>
      <c r="BH246" s="68"/>
      <c r="BI246" s="68"/>
      <c r="BJ246" s="68"/>
      <c r="BK246" s="68"/>
      <c r="BL246" s="68"/>
      <c r="BM246" s="68"/>
      <c r="BN246" s="66">
        <f t="shared" ref="BN246:BO246" si="351">SUM(BN247)</f>
        <v>46838650.128000006</v>
      </c>
      <c r="BO246" s="544">
        <f t="shared" si="351"/>
        <v>179326987.72799999</v>
      </c>
    </row>
    <row r="247" spans="1:67" ht="62.25" customHeight="1" x14ac:dyDescent="0.2">
      <c r="A247" s="545">
        <v>169</v>
      </c>
      <c r="B247" s="69">
        <v>3</v>
      </c>
      <c r="C247" s="136"/>
      <c r="D247" s="136"/>
      <c r="E247" s="93" t="s">
        <v>594</v>
      </c>
      <c r="F247" s="529" t="s">
        <v>595</v>
      </c>
      <c r="G247" s="528">
        <v>0.6</v>
      </c>
      <c r="H247" s="528">
        <v>1</v>
      </c>
      <c r="I247" s="77">
        <v>169</v>
      </c>
      <c r="J247" s="73" t="s">
        <v>596</v>
      </c>
      <c r="K247" s="252" t="s">
        <v>597</v>
      </c>
      <c r="L247" s="305" t="s">
        <v>441</v>
      </c>
      <c r="M247" s="270">
        <v>2</v>
      </c>
      <c r="N247" s="277" t="s">
        <v>54</v>
      </c>
      <c r="O247" s="272">
        <v>8</v>
      </c>
      <c r="P247" s="272">
        <v>12</v>
      </c>
      <c r="Q247" s="282">
        <v>12</v>
      </c>
      <c r="R247" s="280">
        <v>12</v>
      </c>
      <c r="S247" s="500"/>
      <c r="T247" s="280">
        <v>12</v>
      </c>
      <c r="U247" s="280"/>
      <c r="V247" s="280">
        <v>12</v>
      </c>
      <c r="W247" s="277"/>
      <c r="X247" s="218">
        <f>AJ247/AJ246</f>
        <v>1</v>
      </c>
      <c r="Y247" s="77">
        <v>3</v>
      </c>
      <c r="Z247" s="74" t="s">
        <v>452</v>
      </c>
      <c r="AA247" s="185"/>
      <c r="AB247" s="83">
        <v>42864000</v>
      </c>
      <c r="AC247" s="185"/>
      <c r="AD247" s="185"/>
      <c r="AE247" s="185"/>
      <c r="AF247" s="185"/>
      <c r="AG247" s="185"/>
      <c r="AH247" s="185"/>
      <c r="AI247" s="185"/>
      <c r="AJ247" s="82">
        <f>+AA247+AB247+AC247+AD247+AE247+AF247+AG247+AH247+AI247</f>
        <v>42864000</v>
      </c>
      <c r="AK247" s="90"/>
      <c r="AL247" s="455">
        <v>44149920</v>
      </c>
      <c r="AM247" s="90"/>
      <c r="AN247" s="90"/>
      <c r="AO247" s="90"/>
      <c r="AP247" s="90"/>
      <c r="AQ247" s="90"/>
      <c r="AR247" s="90"/>
      <c r="AS247" s="90"/>
      <c r="AT247" s="84">
        <f>AK247+AL247+AM247+AN247+AO247+AP247+AQ247+AR247+AS247</f>
        <v>44149920</v>
      </c>
      <c r="AU247" s="455"/>
      <c r="AV247" s="455">
        <v>45474417.600000001</v>
      </c>
      <c r="AW247" s="455"/>
      <c r="AX247" s="455"/>
      <c r="AY247" s="455"/>
      <c r="AZ247" s="455"/>
      <c r="BA247" s="455"/>
      <c r="BB247" s="455"/>
      <c r="BC247" s="455"/>
      <c r="BD247" s="455">
        <f>SUM(AV247:BC247)+AU247</f>
        <v>45474417.600000001</v>
      </c>
      <c r="BE247" s="90"/>
      <c r="BF247" s="90">
        <v>46838650.128000006</v>
      </c>
      <c r="BG247" s="90"/>
      <c r="BH247" s="90"/>
      <c r="BI247" s="90"/>
      <c r="BJ247" s="90"/>
      <c r="BK247" s="90"/>
      <c r="BL247" s="90"/>
      <c r="BM247" s="90"/>
      <c r="BN247" s="90">
        <f>SUM(BF247:BM247)+BE247</f>
        <v>46838650.128000006</v>
      </c>
      <c r="BO247" s="546">
        <f>AJ247+AT247+BD247+BN247</f>
        <v>179326987.72799999</v>
      </c>
    </row>
    <row r="248" spans="1:67" ht="24.75" customHeight="1" x14ac:dyDescent="0.2">
      <c r="A248" s="545"/>
      <c r="B248" s="69"/>
      <c r="C248" s="136"/>
      <c r="D248" s="136"/>
      <c r="E248" s="57">
        <v>52</v>
      </c>
      <c r="F248" s="58" t="s">
        <v>598</v>
      </c>
      <c r="G248" s="96"/>
      <c r="H248" s="96"/>
      <c r="I248" s="60"/>
      <c r="J248" s="61"/>
      <c r="K248" s="96"/>
      <c r="L248" s="60"/>
      <c r="M248" s="60"/>
      <c r="N248" s="97"/>
      <c r="O248" s="96"/>
      <c r="P248" s="96"/>
      <c r="Q248" s="98"/>
      <c r="R248" s="96"/>
      <c r="S248" s="503"/>
      <c r="T248" s="98"/>
      <c r="U248" s="98"/>
      <c r="V248" s="98"/>
      <c r="W248" s="98"/>
      <c r="X248" s="98"/>
      <c r="Y248" s="98"/>
      <c r="Z248" s="98"/>
      <c r="AA248" s="402">
        <f>SUM(AA249:AA251)</f>
        <v>0</v>
      </c>
      <c r="AB248" s="402">
        <f t="shared" ref="AB248:AQ248" si="352">SUM(AB249:AB251)</f>
        <v>140000000</v>
      </c>
      <c r="AC248" s="402">
        <f t="shared" si="352"/>
        <v>310000000</v>
      </c>
      <c r="AD248" s="402">
        <f t="shared" si="352"/>
        <v>0</v>
      </c>
      <c r="AE248" s="402">
        <f t="shared" si="352"/>
        <v>0</v>
      </c>
      <c r="AF248" s="402">
        <f t="shared" si="352"/>
        <v>0</v>
      </c>
      <c r="AG248" s="402">
        <f t="shared" si="352"/>
        <v>0</v>
      </c>
      <c r="AH248" s="402">
        <f t="shared" si="352"/>
        <v>0</v>
      </c>
      <c r="AI248" s="402">
        <f t="shared" si="352"/>
        <v>0</v>
      </c>
      <c r="AJ248" s="402">
        <f t="shared" si="352"/>
        <v>450000000</v>
      </c>
      <c r="AK248" s="402">
        <f t="shared" si="352"/>
        <v>0</v>
      </c>
      <c r="AL248" s="402">
        <f t="shared" si="352"/>
        <v>144199999.99999955</v>
      </c>
      <c r="AM248" s="402">
        <f t="shared" si="352"/>
        <v>300000000</v>
      </c>
      <c r="AN248" s="402">
        <f t="shared" si="352"/>
        <v>0</v>
      </c>
      <c r="AO248" s="402">
        <f t="shared" si="352"/>
        <v>0</v>
      </c>
      <c r="AP248" s="402">
        <f t="shared" si="352"/>
        <v>0</v>
      </c>
      <c r="AQ248" s="402">
        <f t="shared" si="352"/>
        <v>0</v>
      </c>
      <c r="AR248" s="402">
        <f t="shared" ref="AR248:AT248" si="353">SUM(AR249:AR251)</f>
        <v>0</v>
      </c>
      <c r="AS248" s="402">
        <f t="shared" si="353"/>
        <v>0</v>
      </c>
      <c r="AT248" s="402">
        <f t="shared" si="353"/>
        <v>444199999.99999952</v>
      </c>
      <c r="AU248" s="98"/>
      <c r="AV248" s="98"/>
      <c r="AW248" s="98"/>
      <c r="AX248" s="98"/>
      <c r="AY248" s="98"/>
      <c r="AZ248" s="98"/>
      <c r="BA248" s="98"/>
      <c r="BB248" s="98"/>
      <c r="BC248" s="98"/>
      <c r="BD248" s="402">
        <f t="shared" ref="BD248" si="354">SUM(BD249:BD251)</f>
        <v>298526000</v>
      </c>
      <c r="BE248" s="98"/>
      <c r="BF248" s="98"/>
      <c r="BG248" s="98"/>
      <c r="BH248" s="98"/>
      <c r="BI248" s="98"/>
      <c r="BJ248" s="98"/>
      <c r="BK248" s="98"/>
      <c r="BL248" s="98"/>
      <c r="BM248" s="98"/>
      <c r="BN248" s="402">
        <f t="shared" ref="BN248:BO248" si="355">SUM(BN249:BN251)</f>
        <v>202981780</v>
      </c>
      <c r="BO248" s="612">
        <f t="shared" si="355"/>
        <v>1395707779.9999995</v>
      </c>
    </row>
    <row r="249" spans="1:67" ht="62.25" customHeight="1" x14ac:dyDescent="0.2">
      <c r="A249" s="547">
        <v>170</v>
      </c>
      <c r="B249" s="69">
        <v>3</v>
      </c>
      <c r="C249" s="136"/>
      <c r="D249" s="136"/>
      <c r="E249" s="478">
        <v>28</v>
      </c>
      <c r="F249" s="629" t="s">
        <v>586</v>
      </c>
      <c r="G249" s="563">
        <v>0.5</v>
      </c>
      <c r="H249" s="563">
        <v>1</v>
      </c>
      <c r="I249" s="77">
        <v>170</v>
      </c>
      <c r="J249" s="73" t="s">
        <v>599</v>
      </c>
      <c r="K249" s="315" t="s">
        <v>600</v>
      </c>
      <c r="L249" s="305" t="s">
        <v>441</v>
      </c>
      <c r="M249" s="270">
        <v>2</v>
      </c>
      <c r="N249" s="277" t="s">
        <v>54</v>
      </c>
      <c r="O249" s="285">
        <v>14</v>
      </c>
      <c r="P249" s="285">
        <v>14</v>
      </c>
      <c r="Q249" s="282">
        <v>14</v>
      </c>
      <c r="R249" s="280">
        <v>14</v>
      </c>
      <c r="S249" s="500"/>
      <c r="T249" s="280">
        <v>14</v>
      </c>
      <c r="U249" s="280"/>
      <c r="V249" s="280">
        <v>14</v>
      </c>
      <c r="W249" s="277"/>
      <c r="X249" s="257">
        <f>AJ249/$AJ$248</f>
        <v>8.8888888888888892E-2</v>
      </c>
      <c r="Y249" s="78">
        <v>3</v>
      </c>
      <c r="Z249" s="75" t="s">
        <v>452</v>
      </c>
      <c r="AA249" s="108"/>
      <c r="AB249" s="449">
        <v>40000000</v>
      </c>
      <c r="AC249" s="448"/>
      <c r="AD249" s="185"/>
      <c r="AE249" s="108"/>
      <c r="AF249" s="108"/>
      <c r="AG249" s="108"/>
      <c r="AH249" s="108"/>
      <c r="AI249" s="108"/>
      <c r="AJ249" s="82">
        <f>+AA249+AB249+AC249+AD249+AE249+AF249+AG249+AH249+AI249</f>
        <v>40000000</v>
      </c>
      <c r="AK249" s="90"/>
      <c r="AL249" s="455">
        <v>39484444.444444448</v>
      </c>
      <c r="AM249" s="90"/>
      <c r="AN249" s="90"/>
      <c r="AO249" s="90"/>
      <c r="AP249" s="90"/>
      <c r="AQ249" s="90"/>
      <c r="AR249" s="90"/>
      <c r="AS249" s="90"/>
      <c r="AT249" s="84">
        <f>AK249+AL249+AM249+AN249+AO249+AP249+AQ249+AR249+AS249</f>
        <v>39484444.444444448</v>
      </c>
      <c r="AU249" s="455"/>
      <c r="AV249" s="455">
        <v>26500000</v>
      </c>
      <c r="AW249" s="455"/>
      <c r="AX249" s="455"/>
      <c r="AY249" s="455"/>
      <c r="AZ249" s="455"/>
      <c r="BA249" s="455"/>
      <c r="BB249" s="455"/>
      <c r="BC249" s="455"/>
      <c r="BD249" s="455">
        <f>SUM(AU249:BC249)</f>
        <v>26500000</v>
      </c>
      <c r="BE249" s="90"/>
      <c r="BF249" s="90">
        <v>30781780</v>
      </c>
      <c r="BG249" s="90"/>
      <c r="BH249" s="90"/>
      <c r="BI249" s="90"/>
      <c r="BJ249" s="90"/>
      <c r="BK249" s="90"/>
      <c r="BL249" s="90"/>
      <c r="BM249" s="90"/>
      <c r="BN249" s="90">
        <f>SUM(BE249:BM249)</f>
        <v>30781780</v>
      </c>
      <c r="BO249" s="546">
        <f>AJ249+AT249+BD249+BN249</f>
        <v>136766224.44444445</v>
      </c>
    </row>
    <row r="250" spans="1:67" ht="69.75" customHeight="1" x14ac:dyDescent="0.2">
      <c r="A250" s="545">
        <v>171</v>
      </c>
      <c r="B250" s="69">
        <v>3</v>
      </c>
      <c r="C250" s="136"/>
      <c r="D250" s="136"/>
      <c r="E250" s="91"/>
      <c r="F250" s="312"/>
      <c r="G250" s="173"/>
      <c r="H250" s="173"/>
      <c r="I250" s="77">
        <v>171</v>
      </c>
      <c r="J250" s="73" t="s">
        <v>601</v>
      </c>
      <c r="K250" s="315" t="s">
        <v>602</v>
      </c>
      <c r="L250" s="305" t="s">
        <v>441</v>
      </c>
      <c r="M250" s="270">
        <v>2</v>
      </c>
      <c r="N250" s="277" t="s">
        <v>54</v>
      </c>
      <c r="O250" s="285">
        <v>1</v>
      </c>
      <c r="P250" s="285">
        <v>1</v>
      </c>
      <c r="Q250" s="282">
        <v>1</v>
      </c>
      <c r="R250" s="280">
        <v>1</v>
      </c>
      <c r="S250" s="500"/>
      <c r="T250" s="280">
        <v>1</v>
      </c>
      <c r="U250" s="280"/>
      <c r="V250" s="280">
        <v>1</v>
      </c>
      <c r="W250" s="277"/>
      <c r="X250" s="257">
        <f>AJ250/$AJ$248</f>
        <v>0.22222222222222221</v>
      </c>
      <c r="Y250" s="78">
        <v>3</v>
      </c>
      <c r="Z250" s="75" t="s">
        <v>452</v>
      </c>
      <c r="AA250" s="108"/>
      <c r="AB250" s="449">
        <v>100000000</v>
      </c>
      <c r="AC250" s="448"/>
      <c r="AD250" s="185"/>
      <c r="AE250" s="108"/>
      <c r="AF250" s="108"/>
      <c r="AG250" s="108"/>
      <c r="AH250" s="108"/>
      <c r="AI250" s="108"/>
      <c r="AJ250" s="82">
        <f>+AA250+AB250+AC250+AD250+AE250+AF250+AG250+AH250+AI250</f>
        <v>100000000</v>
      </c>
      <c r="AK250" s="90"/>
      <c r="AL250" s="455">
        <v>98711111.111111104</v>
      </c>
      <c r="AM250" s="90"/>
      <c r="AN250" s="90"/>
      <c r="AO250" s="90"/>
      <c r="AP250" s="90"/>
      <c r="AQ250" s="90"/>
      <c r="AR250" s="90"/>
      <c r="AS250" s="90"/>
      <c r="AT250" s="84">
        <f>AK250+AL250+AM250+AN250+AO250+AP250+AQ250+AR250+AS250</f>
        <v>98711111.111111104</v>
      </c>
      <c r="AU250" s="455"/>
      <c r="AV250" s="455">
        <v>66300000</v>
      </c>
      <c r="AW250" s="455"/>
      <c r="AX250" s="455"/>
      <c r="AY250" s="455"/>
      <c r="AZ250" s="455"/>
      <c r="BA250" s="455"/>
      <c r="BB250" s="455"/>
      <c r="BC250" s="455"/>
      <c r="BD250" s="455">
        <f>SUM(AU250:BC250)</f>
        <v>66300000</v>
      </c>
      <c r="BE250" s="90"/>
      <c r="BF250" s="90">
        <v>68000000</v>
      </c>
      <c r="BG250" s="90"/>
      <c r="BH250" s="90"/>
      <c r="BI250" s="90"/>
      <c r="BJ250" s="90"/>
      <c r="BK250" s="90"/>
      <c r="BL250" s="90"/>
      <c r="BM250" s="90"/>
      <c r="BN250" s="90">
        <f>SUM(BE250:BM250)</f>
        <v>68000000</v>
      </c>
      <c r="BO250" s="546">
        <f>AJ250+AT250+BD250+BN250</f>
        <v>333011111.1111111</v>
      </c>
    </row>
    <row r="251" spans="1:67" ht="122.25" customHeight="1" x14ac:dyDescent="0.2">
      <c r="A251" s="547">
        <v>172</v>
      </c>
      <c r="B251" s="69">
        <v>3</v>
      </c>
      <c r="C251" s="136"/>
      <c r="D251" s="136"/>
      <c r="E251" s="451"/>
      <c r="F251" s="314"/>
      <c r="G251" s="198"/>
      <c r="H251" s="198"/>
      <c r="I251" s="77">
        <v>172</v>
      </c>
      <c r="J251" s="73" t="s">
        <v>603</v>
      </c>
      <c r="K251" s="252" t="s">
        <v>604</v>
      </c>
      <c r="L251" s="305" t="s">
        <v>441</v>
      </c>
      <c r="M251" s="270">
        <v>2</v>
      </c>
      <c r="N251" s="277" t="s">
        <v>54</v>
      </c>
      <c r="O251" s="272">
        <v>12</v>
      </c>
      <c r="P251" s="272">
        <v>12</v>
      </c>
      <c r="Q251" s="282">
        <v>12</v>
      </c>
      <c r="R251" s="280">
        <v>12</v>
      </c>
      <c r="S251" s="500"/>
      <c r="T251" s="280">
        <v>12</v>
      </c>
      <c r="U251" s="280"/>
      <c r="V251" s="280">
        <v>12</v>
      </c>
      <c r="W251" s="277"/>
      <c r="X251" s="257">
        <f>AJ251/$AJ$248</f>
        <v>0.68888888888888888</v>
      </c>
      <c r="Y251" s="78">
        <v>3</v>
      </c>
      <c r="Z251" s="75" t="s">
        <v>452</v>
      </c>
      <c r="AA251" s="108"/>
      <c r="AB251" s="448"/>
      <c r="AC251" s="449">
        <v>310000000</v>
      </c>
      <c r="AD251" s="108"/>
      <c r="AE251" s="108"/>
      <c r="AF251" s="108"/>
      <c r="AG251" s="108"/>
      <c r="AH251" s="108"/>
      <c r="AI251" s="108"/>
      <c r="AJ251" s="82">
        <f>+AA251+AB251+AC251+AD251+AE251+AF251+AG251+AH251+AI251</f>
        <v>310000000</v>
      </c>
      <c r="AK251" s="90"/>
      <c r="AL251" s="455">
        <v>6004444.4444439998</v>
      </c>
      <c r="AM251" s="90">
        <v>300000000</v>
      </c>
      <c r="AN251" s="90"/>
      <c r="AO251" s="90"/>
      <c r="AP251" s="90"/>
      <c r="AQ251" s="90"/>
      <c r="AR251" s="90"/>
      <c r="AS251" s="90"/>
      <c r="AT251" s="84">
        <f>AK251+AL251+AM251+AN251+AO251+AP251+AQ251+AR251+AS251</f>
        <v>306004444.444444</v>
      </c>
      <c r="AU251" s="455"/>
      <c r="AV251" s="455">
        <v>55726000</v>
      </c>
      <c r="AW251" s="455">
        <v>150000000</v>
      </c>
      <c r="AX251" s="455"/>
      <c r="AY251" s="455"/>
      <c r="AZ251" s="455"/>
      <c r="BA251" s="455"/>
      <c r="BB251" s="455"/>
      <c r="BC251" s="455"/>
      <c r="BD251" s="455">
        <f>SUM(AU251:BC251)</f>
        <v>205726000</v>
      </c>
      <c r="BE251" s="90"/>
      <c r="BF251" s="90">
        <v>54200000</v>
      </c>
      <c r="BG251" s="90">
        <v>50000000</v>
      </c>
      <c r="BH251" s="90"/>
      <c r="BI251" s="90"/>
      <c r="BJ251" s="90"/>
      <c r="BK251" s="90"/>
      <c r="BL251" s="90"/>
      <c r="BM251" s="90"/>
      <c r="BN251" s="90">
        <f>SUM(BE251:BM251)</f>
        <v>104200000</v>
      </c>
      <c r="BO251" s="546">
        <f>AJ251+AT251+BD251+BN251</f>
        <v>925930444.44444394</v>
      </c>
    </row>
    <row r="252" spans="1:67" ht="24.75" customHeight="1" x14ac:dyDescent="0.2">
      <c r="A252" s="547"/>
      <c r="B252" s="69"/>
      <c r="C252" s="136"/>
      <c r="D252" s="136"/>
      <c r="E252" s="57">
        <v>53</v>
      </c>
      <c r="F252" s="58" t="s">
        <v>605</v>
      </c>
      <c r="G252" s="61"/>
      <c r="H252" s="61"/>
      <c r="I252" s="57"/>
      <c r="J252" s="58"/>
      <c r="K252" s="61"/>
      <c r="L252" s="60"/>
      <c r="M252" s="62"/>
      <c r="N252" s="63"/>
      <c r="O252" s="61"/>
      <c r="P252" s="61"/>
      <c r="Q252" s="64"/>
      <c r="R252" s="61"/>
      <c r="S252" s="499"/>
      <c r="T252" s="61"/>
      <c r="U252" s="61"/>
      <c r="V252" s="62"/>
      <c r="W252" s="62"/>
      <c r="X252" s="137"/>
      <c r="Y252" s="62"/>
      <c r="Z252" s="62"/>
      <c r="AA252" s="66">
        <f t="shared" ref="AA252:AI252" si="356">SUM(AA253:AA254)</f>
        <v>0</v>
      </c>
      <c r="AB252" s="66">
        <f t="shared" si="356"/>
        <v>34404000</v>
      </c>
      <c r="AC252" s="66">
        <f t="shared" si="356"/>
        <v>0</v>
      </c>
      <c r="AD252" s="66">
        <f t="shared" si="356"/>
        <v>0</v>
      </c>
      <c r="AE252" s="66">
        <f t="shared" si="356"/>
        <v>0</v>
      </c>
      <c r="AF252" s="66">
        <f t="shared" si="356"/>
        <v>0</v>
      </c>
      <c r="AG252" s="66">
        <f t="shared" si="356"/>
        <v>0</v>
      </c>
      <c r="AH252" s="66">
        <f t="shared" si="356"/>
        <v>0</v>
      </c>
      <c r="AI252" s="66">
        <f t="shared" si="356"/>
        <v>0</v>
      </c>
      <c r="AJ252" s="67">
        <f>SUM(AJ253:AJ254)</f>
        <v>34404000</v>
      </c>
      <c r="AK252" s="66">
        <f t="shared" ref="AK252:AT252" si="357">SUM(AK253:AK254)</f>
        <v>0</v>
      </c>
      <c r="AL252" s="66">
        <f t="shared" si="357"/>
        <v>35436120</v>
      </c>
      <c r="AM252" s="66">
        <f t="shared" si="357"/>
        <v>0</v>
      </c>
      <c r="AN252" s="66">
        <f t="shared" si="357"/>
        <v>0</v>
      </c>
      <c r="AO252" s="66">
        <f t="shared" si="357"/>
        <v>0</v>
      </c>
      <c r="AP252" s="66">
        <f t="shared" si="357"/>
        <v>0</v>
      </c>
      <c r="AQ252" s="66">
        <f t="shared" si="357"/>
        <v>0</v>
      </c>
      <c r="AR252" s="66">
        <f t="shared" si="357"/>
        <v>0</v>
      </c>
      <c r="AS252" s="66">
        <f t="shared" si="357"/>
        <v>0</v>
      </c>
      <c r="AT252" s="66">
        <f t="shared" si="357"/>
        <v>35436120</v>
      </c>
      <c r="AU252" s="68"/>
      <c r="AV252" s="68"/>
      <c r="AW252" s="68"/>
      <c r="AX252" s="68"/>
      <c r="AY252" s="68"/>
      <c r="AZ252" s="68"/>
      <c r="BA252" s="68"/>
      <c r="BB252" s="68"/>
      <c r="BC252" s="68"/>
      <c r="BD252" s="66">
        <f t="shared" ref="BD252" si="358">SUM(BD253:BD254)</f>
        <v>36499203.600000001</v>
      </c>
      <c r="BE252" s="68"/>
      <c r="BF252" s="68"/>
      <c r="BG252" s="68"/>
      <c r="BH252" s="68"/>
      <c r="BI252" s="68"/>
      <c r="BJ252" s="68"/>
      <c r="BK252" s="68"/>
      <c r="BL252" s="68"/>
      <c r="BM252" s="68"/>
      <c r="BN252" s="66">
        <f t="shared" ref="BN252:BO252" si="359">SUM(BN253:BN254)</f>
        <v>37594179.708000004</v>
      </c>
      <c r="BO252" s="544">
        <f t="shared" si="359"/>
        <v>143933503.308</v>
      </c>
    </row>
    <row r="253" spans="1:67" ht="93.75" customHeight="1" x14ac:dyDescent="0.2">
      <c r="A253" s="545">
        <v>173</v>
      </c>
      <c r="B253" s="69">
        <v>3</v>
      </c>
      <c r="C253" s="136"/>
      <c r="D253" s="136"/>
      <c r="E253" s="478">
        <v>28</v>
      </c>
      <c r="F253" s="439" t="s">
        <v>586</v>
      </c>
      <c r="G253" s="623">
        <v>0.5</v>
      </c>
      <c r="H253" s="623">
        <v>1</v>
      </c>
      <c r="I253" s="77">
        <v>173</v>
      </c>
      <c r="J253" s="73" t="s">
        <v>606</v>
      </c>
      <c r="K253" s="252" t="s">
        <v>607</v>
      </c>
      <c r="L253" s="305" t="s">
        <v>441</v>
      </c>
      <c r="M253" s="270">
        <v>2</v>
      </c>
      <c r="N253" s="277" t="s">
        <v>54</v>
      </c>
      <c r="O253" s="285" t="s">
        <v>49</v>
      </c>
      <c r="P253" s="285">
        <v>7</v>
      </c>
      <c r="Q253" s="282">
        <v>7</v>
      </c>
      <c r="R253" s="280">
        <v>7</v>
      </c>
      <c r="S253" s="500"/>
      <c r="T253" s="280">
        <v>7</v>
      </c>
      <c r="U253" s="280"/>
      <c r="V253" s="280">
        <v>7</v>
      </c>
      <c r="W253" s="277"/>
      <c r="X253" s="257">
        <f>AJ253/AJ252</f>
        <v>1</v>
      </c>
      <c r="Y253" s="77">
        <v>3</v>
      </c>
      <c r="Z253" s="74" t="s">
        <v>452</v>
      </c>
      <c r="AA253" s="108"/>
      <c r="AB253" s="108">
        <v>34404000</v>
      </c>
      <c r="AC253" s="108"/>
      <c r="AD253" s="108"/>
      <c r="AE253" s="108"/>
      <c r="AF253" s="108"/>
      <c r="AG253" s="108"/>
      <c r="AH253" s="108"/>
      <c r="AI253" s="108"/>
      <c r="AJ253" s="82">
        <f>+AA253+AB253+AC253+AD253+AE253+AF253+AG253+AH253+AI253</f>
        <v>34404000</v>
      </c>
      <c r="AK253" s="90"/>
      <c r="AL253" s="455">
        <v>35436120</v>
      </c>
      <c r="AM253" s="90"/>
      <c r="AN253" s="90"/>
      <c r="AO253" s="90"/>
      <c r="AP253" s="90"/>
      <c r="AQ253" s="90"/>
      <c r="AR253" s="90"/>
      <c r="AS253" s="90"/>
      <c r="AT253" s="84">
        <f>AK253+AL253+AM253+AN253+AO253+AP253+AQ253+AR253+AS253</f>
        <v>35436120</v>
      </c>
      <c r="AU253" s="455"/>
      <c r="AV253" s="455">
        <v>36499203.600000001</v>
      </c>
      <c r="AW253" s="455"/>
      <c r="AX253" s="455"/>
      <c r="AY253" s="455"/>
      <c r="AZ253" s="455"/>
      <c r="BA253" s="455"/>
      <c r="BB253" s="455"/>
      <c r="BC253" s="455"/>
      <c r="BD253" s="455">
        <f>SUM(AU253:BC253)</f>
        <v>36499203.600000001</v>
      </c>
      <c r="BE253" s="90"/>
      <c r="BF253" s="90">
        <v>37594179.708000004</v>
      </c>
      <c r="BG253" s="90"/>
      <c r="BH253" s="90"/>
      <c r="BI253" s="90"/>
      <c r="BJ253" s="90"/>
      <c r="BK253" s="90"/>
      <c r="BL253" s="90"/>
      <c r="BM253" s="90"/>
      <c r="BN253" s="90">
        <f>SUM(BE253:BM253)</f>
        <v>37594179.708000004</v>
      </c>
      <c r="BO253" s="546">
        <f>AJ253+AT253+BD253+BN253</f>
        <v>143933503.308</v>
      </c>
    </row>
    <row r="254" spans="1:67" ht="62.25" customHeight="1" x14ac:dyDescent="0.2">
      <c r="A254" s="547">
        <v>174</v>
      </c>
      <c r="B254" s="69">
        <v>3</v>
      </c>
      <c r="C254" s="136"/>
      <c r="D254" s="136"/>
      <c r="E254" s="451"/>
      <c r="F254" s="529"/>
      <c r="G254" s="203"/>
      <c r="H254" s="203"/>
      <c r="I254" s="77">
        <v>174</v>
      </c>
      <c r="J254" s="73" t="s">
        <v>608</v>
      </c>
      <c r="K254" s="252" t="s">
        <v>609</v>
      </c>
      <c r="L254" s="305" t="s">
        <v>441</v>
      </c>
      <c r="M254" s="270">
        <v>2</v>
      </c>
      <c r="N254" s="277" t="s">
        <v>54</v>
      </c>
      <c r="O254" s="78">
        <v>100</v>
      </c>
      <c r="P254" s="78">
        <v>150</v>
      </c>
      <c r="Q254" s="282">
        <v>150</v>
      </c>
      <c r="R254" s="280">
        <v>150</v>
      </c>
      <c r="S254" s="500"/>
      <c r="T254" s="280">
        <v>150</v>
      </c>
      <c r="U254" s="280"/>
      <c r="V254" s="280">
        <v>150</v>
      </c>
      <c r="W254" s="277"/>
      <c r="X254" s="311">
        <f>AJ254/AJ252</f>
        <v>0</v>
      </c>
      <c r="Y254" s="77">
        <v>3</v>
      </c>
      <c r="Z254" s="74" t="s">
        <v>452</v>
      </c>
      <c r="AA254" s="108"/>
      <c r="AB254" s="108"/>
      <c r="AC254" s="108"/>
      <c r="AD254" s="108"/>
      <c r="AE254" s="108"/>
      <c r="AF254" s="108"/>
      <c r="AG254" s="108"/>
      <c r="AH254" s="108"/>
      <c r="AI254" s="108"/>
      <c r="AJ254" s="82">
        <f>+AA254+AB254+AC254+AD254+AE254+AF254+AG254+AH254+AI254</f>
        <v>0</v>
      </c>
      <c r="AK254" s="90"/>
      <c r="AL254" s="90"/>
      <c r="AM254" s="90"/>
      <c r="AN254" s="90"/>
      <c r="AO254" s="90"/>
      <c r="AP254" s="90"/>
      <c r="AQ254" s="90"/>
      <c r="AR254" s="90"/>
      <c r="AS254" s="90"/>
      <c r="AT254" s="84">
        <f>AK254+AL254+AM254+AN254+AO254+AP254+AQ254+AR254+AS254</f>
        <v>0</v>
      </c>
      <c r="AU254" s="455"/>
      <c r="AV254" s="455"/>
      <c r="AW254" s="455"/>
      <c r="AX254" s="455"/>
      <c r="AY254" s="455"/>
      <c r="AZ254" s="455"/>
      <c r="BA254" s="455"/>
      <c r="BB254" s="455"/>
      <c r="BC254" s="455"/>
      <c r="BD254" s="455">
        <f>SUM(AU254:BC254)</f>
        <v>0</v>
      </c>
      <c r="BE254" s="90"/>
      <c r="BF254" s="90"/>
      <c r="BG254" s="90"/>
      <c r="BH254" s="90"/>
      <c r="BI254" s="90"/>
      <c r="BJ254" s="90"/>
      <c r="BK254" s="90"/>
      <c r="BL254" s="90"/>
      <c r="BM254" s="90"/>
      <c r="BN254" s="90">
        <f>SUM(BE254:BM254)</f>
        <v>0</v>
      </c>
      <c r="BO254" s="546">
        <f>AJ254+AT254+BD254+BN254</f>
        <v>0</v>
      </c>
    </row>
    <row r="255" spans="1:67" ht="24.75" customHeight="1" x14ac:dyDescent="0.2">
      <c r="A255" s="547"/>
      <c r="B255" s="69"/>
      <c r="C255" s="136"/>
      <c r="D255" s="136"/>
      <c r="E255" s="57">
        <v>54</v>
      </c>
      <c r="F255" s="58" t="s">
        <v>610</v>
      </c>
      <c r="G255" s="61"/>
      <c r="H255" s="61"/>
      <c r="I255" s="60"/>
      <c r="J255" s="61"/>
      <c r="K255" s="61"/>
      <c r="L255" s="60"/>
      <c r="M255" s="62"/>
      <c r="N255" s="63"/>
      <c r="O255" s="61"/>
      <c r="P255" s="61"/>
      <c r="Q255" s="64"/>
      <c r="R255" s="61"/>
      <c r="S255" s="499"/>
      <c r="T255" s="61"/>
      <c r="U255" s="61"/>
      <c r="V255" s="62"/>
      <c r="W255" s="62"/>
      <c r="X255" s="137"/>
      <c r="Y255" s="62"/>
      <c r="Z255" s="62"/>
      <c r="AA255" s="66">
        <f t="shared" ref="AA255:AI255" si="360">SUM(AA256:AA257)</f>
        <v>0</v>
      </c>
      <c r="AB255" s="66">
        <f t="shared" si="360"/>
        <v>23124000</v>
      </c>
      <c r="AC255" s="66">
        <f t="shared" si="360"/>
        <v>0</v>
      </c>
      <c r="AD255" s="66">
        <f t="shared" si="360"/>
        <v>0</v>
      </c>
      <c r="AE255" s="66">
        <f t="shared" si="360"/>
        <v>0</v>
      </c>
      <c r="AF255" s="66">
        <f t="shared" si="360"/>
        <v>0</v>
      </c>
      <c r="AG255" s="66">
        <f t="shared" si="360"/>
        <v>0</v>
      </c>
      <c r="AH255" s="66">
        <f t="shared" si="360"/>
        <v>0</v>
      </c>
      <c r="AI255" s="66">
        <f t="shared" si="360"/>
        <v>0</v>
      </c>
      <c r="AJ255" s="67">
        <f>SUM(AJ256:AJ257)</f>
        <v>23124000</v>
      </c>
      <c r="AK255" s="66">
        <f t="shared" ref="AK255:AT255" si="361">SUM(AK256:AK257)</f>
        <v>0</v>
      </c>
      <c r="AL255" s="66">
        <f t="shared" si="361"/>
        <v>23817720</v>
      </c>
      <c r="AM255" s="66">
        <f t="shared" si="361"/>
        <v>0</v>
      </c>
      <c r="AN255" s="66">
        <f t="shared" si="361"/>
        <v>0</v>
      </c>
      <c r="AO255" s="66">
        <f t="shared" si="361"/>
        <v>0</v>
      </c>
      <c r="AP255" s="66">
        <f t="shared" si="361"/>
        <v>0</v>
      </c>
      <c r="AQ255" s="66">
        <f t="shared" si="361"/>
        <v>0</v>
      </c>
      <c r="AR255" s="66">
        <f t="shared" si="361"/>
        <v>0</v>
      </c>
      <c r="AS255" s="66">
        <f t="shared" si="361"/>
        <v>0</v>
      </c>
      <c r="AT255" s="66">
        <f t="shared" si="361"/>
        <v>23817720</v>
      </c>
      <c r="AU255" s="68"/>
      <c r="AV255" s="68"/>
      <c r="AW255" s="68"/>
      <c r="AX255" s="68"/>
      <c r="AY255" s="68"/>
      <c r="AZ255" s="68"/>
      <c r="BA255" s="68"/>
      <c r="BB255" s="68"/>
      <c r="BC255" s="68"/>
      <c r="BD255" s="66">
        <f t="shared" ref="BD255" si="362">SUM(BD256:BD257)</f>
        <v>24532251.600000001</v>
      </c>
      <c r="BE255" s="68"/>
      <c r="BF255" s="68"/>
      <c r="BG255" s="68"/>
      <c r="BH255" s="68"/>
      <c r="BI255" s="68"/>
      <c r="BJ255" s="68"/>
      <c r="BK255" s="68"/>
      <c r="BL255" s="68"/>
      <c r="BM255" s="68"/>
      <c r="BN255" s="66">
        <f t="shared" ref="BN255:BO255" si="363">SUM(BN256:BN257)</f>
        <v>25268219</v>
      </c>
      <c r="BO255" s="544">
        <f t="shared" si="363"/>
        <v>96742190.599999994</v>
      </c>
    </row>
    <row r="256" spans="1:67" ht="96.75" customHeight="1" x14ac:dyDescent="0.2">
      <c r="A256" s="545">
        <v>175</v>
      </c>
      <c r="B256" s="69">
        <v>3</v>
      </c>
      <c r="C256" s="136"/>
      <c r="D256" s="136"/>
      <c r="E256" s="478">
        <v>28</v>
      </c>
      <c r="F256" s="439" t="s">
        <v>586</v>
      </c>
      <c r="G256" s="623">
        <v>0.5</v>
      </c>
      <c r="H256" s="623">
        <v>1</v>
      </c>
      <c r="I256" s="77">
        <v>175</v>
      </c>
      <c r="J256" s="73" t="s">
        <v>611</v>
      </c>
      <c r="K256" s="316" t="s">
        <v>612</v>
      </c>
      <c r="L256" s="305" t="s">
        <v>441</v>
      </c>
      <c r="M256" s="270">
        <v>2</v>
      </c>
      <c r="N256" s="277" t="s">
        <v>54</v>
      </c>
      <c r="O256" s="78">
        <v>10</v>
      </c>
      <c r="P256" s="78">
        <v>14</v>
      </c>
      <c r="Q256" s="282">
        <v>14</v>
      </c>
      <c r="R256" s="280">
        <v>14</v>
      </c>
      <c r="S256" s="500"/>
      <c r="T256" s="280">
        <v>14</v>
      </c>
      <c r="U256" s="280"/>
      <c r="V256" s="280">
        <v>14</v>
      </c>
      <c r="W256" s="277"/>
      <c r="X256" s="257">
        <f>AJ256/AJ255</f>
        <v>1</v>
      </c>
      <c r="Y256" s="77">
        <v>3</v>
      </c>
      <c r="Z256" s="74" t="s">
        <v>452</v>
      </c>
      <c r="AA256" s="108"/>
      <c r="AB256" s="108">
        <f>23124000</f>
        <v>23124000</v>
      </c>
      <c r="AC256" s="185"/>
      <c r="AD256" s="108"/>
      <c r="AE256" s="108"/>
      <c r="AF256" s="108"/>
      <c r="AG256" s="108"/>
      <c r="AH256" s="108"/>
      <c r="AI256" s="108"/>
      <c r="AJ256" s="82">
        <f>+AA256+AB256+AC256+AD256+AE256+AF256+AG256+AH256+AI256</f>
        <v>23124000</v>
      </c>
      <c r="AK256" s="90"/>
      <c r="AL256" s="455">
        <v>23817720</v>
      </c>
      <c r="AM256" s="90"/>
      <c r="AN256" s="90"/>
      <c r="AO256" s="90"/>
      <c r="AP256" s="90"/>
      <c r="AQ256" s="90"/>
      <c r="AR256" s="90"/>
      <c r="AS256" s="90"/>
      <c r="AT256" s="84">
        <f>AK256+AL256+AM256+AN256+AO256+AP256+AQ256+AR256+AS256</f>
        <v>23817720</v>
      </c>
      <c r="AU256" s="455"/>
      <c r="AV256" s="455">
        <v>24532251.600000001</v>
      </c>
      <c r="AW256" s="455"/>
      <c r="AX256" s="455"/>
      <c r="AY256" s="455"/>
      <c r="AZ256" s="455"/>
      <c r="BA256" s="455"/>
      <c r="BB256" s="455"/>
      <c r="BC256" s="455"/>
      <c r="BD256" s="455">
        <f>SUM(AU256:BC256)</f>
        <v>24532251.600000001</v>
      </c>
      <c r="BE256" s="90"/>
      <c r="BF256" s="90">
        <v>25268219</v>
      </c>
      <c r="BG256" s="90"/>
      <c r="BH256" s="90"/>
      <c r="BI256" s="90"/>
      <c r="BJ256" s="90"/>
      <c r="BK256" s="90"/>
      <c r="BL256" s="90"/>
      <c r="BM256" s="90"/>
      <c r="BN256" s="90">
        <f>SUM(BE256:BM256)</f>
        <v>25268219</v>
      </c>
      <c r="BO256" s="546">
        <f>AJ256+AT256+BD256+BN256</f>
        <v>96742190.599999994</v>
      </c>
    </row>
    <row r="257" spans="1:67" ht="69.75" customHeight="1" x14ac:dyDescent="0.2">
      <c r="A257" s="547">
        <v>176</v>
      </c>
      <c r="B257" s="69">
        <v>3</v>
      </c>
      <c r="C257" s="136"/>
      <c r="D257" s="192"/>
      <c r="E257" s="451"/>
      <c r="F257" s="529"/>
      <c r="G257" s="203"/>
      <c r="H257" s="203"/>
      <c r="I257" s="77">
        <v>176</v>
      </c>
      <c r="J257" s="73" t="s">
        <v>613</v>
      </c>
      <c r="K257" s="252" t="s">
        <v>614</v>
      </c>
      <c r="L257" s="305" t="s">
        <v>441</v>
      </c>
      <c r="M257" s="270">
        <v>2</v>
      </c>
      <c r="N257" s="277" t="s">
        <v>54</v>
      </c>
      <c r="O257" s="78">
        <v>2</v>
      </c>
      <c r="P257" s="78">
        <v>2</v>
      </c>
      <c r="Q257" s="282">
        <v>2</v>
      </c>
      <c r="R257" s="280">
        <v>2</v>
      </c>
      <c r="S257" s="500"/>
      <c r="T257" s="280">
        <v>2</v>
      </c>
      <c r="U257" s="280"/>
      <c r="V257" s="280">
        <v>2</v>
      </c>
      <c r="W257" s="277"/>
      <c r="X257" s="311"/>
      <c r="Y257" s="77">
        <v>3</v>
      </c>
      <c r="Z257" s="74" t="s">
        <v>452</v>
      </c>
      <c r="AA257" s="108"/>
      <c r="AB257" s="108"/>
      <c r="AC257" s="108"/>
      <c r="AD257" s="108"/>
      <c r="AE257" s="108"/>
      <c r="AF257" s="108"/>
      <c r="AG257" s="108"/>
      <c r="AH257" s="108"/>
      <c r="AI257" s="108"/>
      <c r="AJ257" s="82">
        <f>+AA257+AB257+AC257+AD257+AE257+AF257+AG257+AH257+AI257</f>
        <v>0</v>
      </c>
      <c r="AK257" s="90"/>
      <c r="AL257" s="90"/>
      <c r="AM257" s="90"/>
      <c r="AN257" s="90"/>
      <c r="AO257" s="90"/>
      <c r="AP257" s="90"/>
      <c r="AQ257" s="90"/>
      <c r="AR257" s="90"/>
      <c r="AS257" s="90"/>
      <c r="AT257" s="84">
        <f>AK257+AL257+AM257+AN257+AO257+AP257+AQ257+AR257+AS257</f>
        <v>0</v>
      </c>
      <c r="AU257" s="455"/>
      <c r="AV257" s="455"/>
      <c r="AW257" s="455"/>
      <c r="AX257" s="455"/>
      <c r="AY257" s="455"/>
      <c r="AZ257" s="455"/>
      <c r="BA257" s="455"/>
      <c r="BB257" s="455"/>
      <c r="BC257" s="455"/>
      <c r="BD257" s="455"/>
      <c r="BE257" s="90"/>
      <c r="BF257" s="90"/>
      <c r="BG257" s="90"/>
      <c r="BH257" s="90"/>
      <c r="BI257" s="90"/>
      <c r="BJ257" s="90"/>
      <c r="BK257" s="90"/>
      <c r="BL257" s="90"/>
      <c r="BM257" s="90"/>
      <c r="BN257" s="90"/>
      <c r="BO257" s="546">
        <f>AJ257+AT257+BD257+BN257</f>
        <v>0</v>
      </c>
    </row>
    <row r="258" spans="1:67" ht="24.75" customHeight="1" x14ac:dyDescent="0.2">
      <c r="A258" s="547"/>
      <c r="B258" s="69"/>
      <c r="C258" s="136"/>
      <c r="D258" s="43">
        <v>15</v>
      </c>
      <c r="E258" s="134" t="s">
        <v>615</v>
      </c>
      <c r="F258" s="45"/>
      <c r="G258" s="46"/>
      <c r="H258" s="46"/>
      <c r="I258" s="47"/>
      <c r="J258" s="48"/>
      <c r="K258" s="48"/>
      <c r="L258" s="49"/>
      <c r="M258" s="47"/>
      <c r="N258" s="50"/>
      <c r="O258" s="48"/>
      <c r="P258" s="48"/>
      <c r="Q258" s="51"/>
      <c r="R258" s="48"/>
      <c r="S258" s="498"/>
      <c r="T258" s="51"/>
      <c r="U258" s="51"/>
      <c r="V258" s="51"/>
      <c r="W258" s="51"/>
      <c r="X258" s="51"/>
      <c r="Y258" s="51"/>
      <c r="Z258" s="51"/>
      <c r="AA258" s="416">
        <f t="shared" ref="AA258:AP258" si="364">AA259</f>
        <v>0</v>
      </c>
      <c r="AB258" s="416">
        <f t="shared" si="364"/>
        <v>125772000</v>
      </c>
      <c r="AC258" s="416">
        <f t="shared" si="364"/>
        <v>0</v>
      </c>
      <c r="AD258" s="416">
        <f t="shared" si="364"/>
        <v>0</v>
      </c>
      <c r="AE258" s="416">
        <f t="shared" si="364"/>
        <v>0</v>
      </c>
      <c r="AF258" s="416">
        <f t="shared" si="364"/>
        <v>0</v>
      </c>
      <c r="AG258" s="416">
        <f t="shared" si="364"/>
        <v>0</v>
      </c>
      <c r="AH258" s="416">
        <f t="shared" si="364"/>
        <v>0</v>
      </c>
      <c r="AI258" s="416">
        <f t="shared" si="364"/>
        <v>0</v>
      </c>
      <c r="AJ258" s="416">
        <f t="shared" si="364"/>
        <v>125772000</v>
      </c>
      <c r="AK258" s="416">
        <f t="shared" si="364"/>
        <v>0</v>
      </c>
      <c r="AL258" s="416">
        <f t="shared" si="364"/>
        <v>129545160</v>
      </c>
      <c r="AM258" s="416">
        <f t="shared" si="364"/>
        <v>0</v>
      </c>
      <c r="AN258" s="416">
        <f t="shared" si="364"/>
        <v>0</v>
      </c>
      <c r="AO258" s="416">
        <f t="shared" si="364"/>
        <v>0</v>
      </c>
      <c r="AP258" s="416">
        <f t="shared" si="364"/>
        <v>0</v>
      </c>
      <c r="AQ258" s="416">
        <f t="shared" ref="AQ258:AT258" si="365">AQ259</f>
        <v>0</v>
      </c>
      <c r="AR258" s="416">
        <f t="shared" si="365"/>
        <v>0</v>
      </c>
      <c r="AS258" s="416">
        <f t="shared" si="365"/>
        <v>0</v>
      </c>
      <c r="AT258" s="416">
        <f t="shared" si="365"/>
        <v>129545160</v>
      </c>
      <c r="AU258" s="51"/>
      <c r="AV258" s="51"/>
      <c r="AW258" s="51"/>
      <c r="AX258" s="51"/>
      <c r="AY258" s="51"/>
      <c r="AZ258" s="51"/>
      <c r="BA258" s="51"/>
      <c r="BB258" s="51"/>
      <c r="BC258" s="51"/>
      <c r="BD258" s="416">
        <f t="shared" ref="BD258" si="366">BD259</f>
        <v>133431514.8</v>
      </c>
      <c r="BE258" s="51"/>
      <c r="BF258" s="51"/>
      <c r="BG258" s="51"/>
      <c r="BH258" s="51"/>
      <c r="BI258" s="51"/>
      <c r="BJ258" s="51"/>
      <c r="BK258" s="51"/>
      <c r="BL258" s="51"/>
      <c r="BM258" s="51"/>
      <c r="BN258" s="416">
        <f t="shared" ref="BN258:BO258" si="367">BN259</f>
        <v>137434460.24399999</v>
      </c>
      <c r="BO258" s="631">
        <f t="shared" si="367"/>
        <v>526183135.04400003</v>
      </c>
    </row>
    <row r="259" spans="1:67" ht="24.75" customHeight="1" x14ac:dyDescent="0.2">
      <c r="A259" s="547"/>
      <c r="B259" s="69"/>
      <c r="C259" s="136"/>
      <c r="D259" s="562"/>
      <c r="E259" s="57">
        <v>55</v>
      </c>
      <c r="F259" s="58" t="s">
        <v>616</v>
      </c>
      <c r="G259" s="61"/>
      <c r="H259" s="61"/>
      <c r="I259" s="60"/>
      <c r="J259" s="61"/>
      <c r="K259" s="61"/>
      <c r="L259" s="60"/>
      <c r="M259" s="62"/>
      <c r="N259" s="63"/>
      <c r="O259" s="61"/>
      <c r="P259" s="61"/>
      <c r="Q259" s="64"/>
      <c r="R259" s="61"/>
      <c r="S259" s="499"/>
      <c r="T259" s="61"/>
      <c r="U259" s="61"/>
      <c r="V259" s="62"/>
      <c r="W259" s="62"/>
      <c r="X259" s="137"/>
      <c r="Y259" s="62"/>
      <c r="Z259" s="62"/>
      <c r="AA259" s="66">
        <f t="shared" ref="AA259:AI259" si="368">SUM(AA260:AA262)</f>
        <v>0</v>
      </c>
      <c r="AB259" s="66">
        <f t="shared" si="368"/>
        <v>125772000</v>
      </c>
      <c r="AC259" s="66">
        <f t="shared" si="368"/>
        <v>0</v>
      </c>
      <c r="AD259" s="66">
        <f t="shared" si="368"/>
        <v>0</v>
      </c>
      <c r="AE259" s="66">
        <f t="shared" si="368"/>
        <v>0</v>
      </c>
      <c r="AF259" s="66">
        <f t="shared" si="368"/>
        <v>0</v>
      </c>
      <c r="AG259" s="66">
        <f t="shared" si="368"/>
        <v>0</v>
      </c>
      <c r="AH259" s="66">
        <f t="shared" si="368"/>
        <v>0</v>
      </c>
      <c r="AI259" s="66">
        <f t="shared" si="368"/>
        <v>0</v>
      </c>
      <c r="AJ259" s="67">
        <f>SUM(AJ260:AJ262)</f>
        <v>125772000</v>
      </c>
      <c r="AK259" s="66">
        <f t="shared" ref="AK259:AT259" si="369">SUM(AK260:AK262)</f>
        <v>0</v>
      </c>
      <c r="AL259" s="66">
        <f t="shared" si="369"/>
        <v>129545160</v>
      </c>
      <c r="AM259" s="66">
        <f t="shared" si="369"/>
        <v>0</v>
      </c>
      <c r="AN259" s="66">
        <f t="shared" si="369"/>
        <v>0</v>
      </c>
      <c r="AO259" s="66">
        <f t="shared" si="369"/>
        <v>0</v>
      </c>
      <c r="AP259" s="66">
        <f t="shared" si="369"/>
        <v>0</v>
      </c>
      <c r="AQ259" s="66">
        <f t="shared" si="369"/>
        <v>0</v>
      </c>
      <c r="AR259" s="66">
        <f t="shared" si="369"/>
        <v>0</v>
      </c>
      <c r="AS259" s="66">
        <f t="shared" si="369"/>
        <v>0</v>
      </c>
      <c r="AT259" s="66">
        <f t="shared" si="369"/>
        <v>129545160</v>
      </c>
      <c r="AU259" s="68"/>
      <c r="AV259" s="68"/>
      <c r="AW259" s="68"/>
      <c r="AX259" s="68"/>
      <c r="AY259" s="68"/>
      <c r="AZ259" s="68"/>
      <c r="BA259" s="68"/>
      <c r="BB259" s="68"/>
      <c r="BC259" s="68"/>
      <c r="BD259" s="66">
        <f t="shared" ref="BD259" si="370">SUM(BD260:BD262)</f>
        <v>133431514.8</v>
      </c>
      <c r="BE259" s="68"/>
      <c r="BF259" s="68"/>
      <c r="BG259" s="68"/>
      <c r="BH259" s="68"/>
      <c r="BI259" s="68"/>
      <c r="BJ259" s="68"/>
      <c r="BK259" s="68"/>
      <c r="BL259" s="68"/>
      <c r="BM259" s="68"/>
      <c r="BN259" s="66">
        <f t="shared" ref="BN259" si="371">SUM(BN260:BN262)</f>
        <v>137434460.24399999</v>
      </c>
      <c r="BO259" s="544">
        <f t="shared" ref="BO259" si="372">SUM(BO260:BO262)</f>
        <v>526183135.04400003</v>
      </c>
    </row>
    <row r="260" spans="1:67" ht="86.25" customHeight="1" x14ac:dyDescent="0.2">
      <c r="A260" s="545">
        <v>177</v>
      </c>
      <c r="B260" s="69">
        <v>3</v>
      </c>
      <c r="C260" s="136"/>
      <c r="D260" s="136"/>
      <c r="E260" s="93" t="s">
        <v>617</v>
      </c>
      <c r="F260" s="70" t="s">
        <v>618</v>
      </c>
      <c r="G260" s="272">
        <v>2</v>
      </c>
      <c r="H260" s="272">
        <v>2</v>
      </c>
      <c r="I260" s="77">
        <v>177</v>
      </c>
      <c r="J260" s="73" t="s">
        <v>619</v>
      </c>
      <c r="K260" s="252" t="s">
        <v>620</v>
      </c>
      <c r="L260" s="305" t="s">
        <v>441</v>
      </c>
      <c r="M260" s="270">
        <v>2</v>
      </c>
      <c r="N260" s="277" t="s">
        <v>54</v>
      </c>
      <c r="O260" s="78">
        <v>2</v>
      </c>
      <c r="P260" s="78">
        <v>2</v>
      </c>
      <c r="Q260" s="282">
        <v>2</v>
      </c>
      <c r="R260" s="280">
        <v>2</v>
      </c>
      <c r="S260" s="500"/>
      <c r="T260" s="280">
        <v>2</v>
      </c>
      <c r="U260" s="280"/>
      <c r="V260" s="280">
        <v>2</v>
      </c>
      <c r="W260" s="277"/>
      <c r="X260" s="311"/>
      <c r="Y260" s="77">
        <v>3</v>
      </c>
      <c r="Z260" s="74" t="s">
        <v>452</v>
      </c>
      <c r="AA260" s="108"/>
      <c r="AB260" s="108"/>
      <c r="AC260" s="108"/>
      <c r="AD260" s="108"/>
      <c r="AE260" s="108"/>
      <c r="AF260" s="108"/>
      <c r="AG260" s="108"/>
      <c r="AH260" s="108"/>
      <c r="AI260" s="108"/>
      <c r="AJ260" s="82">
        <f>+AA260+AB260+AC260+AD260+AE260+AF260+AG260+AH260+AI260</f>
        <v>0</v>
      </c>
      <c r="AK260" s="90"/>
      <c r="AL260" s="90"/>
      <c r="AM260" s="90"/>
      <c r="AN260" s="90"/>
      <c r="AO260" s="90"/>
      <c r="AP260" s="90"/>
      <c r="AQ260" s="90"/>
      <c r="AR260" s="90"/>
      <c r="AS260" s="90"/>
      <c r="AT260" s="84">
        <f>AK260+AL260+AM260+AN260+AO260+AP260+AQ260+AR260+AS260</f>
        <v>0</v>
      </c>
      <c r="AU260" s="455"/>
      <c r="AV260" s="455"/>
      <c r="AW260" s="455"/>
      <c r="AX260" s="455"/>
      <c r="AY260" s="455"/>
      <c r="AZ260" s="455"/>
      <c r="BA260" s="455"/>
      <c r="BB260" s="455"/>
      <c r="BC260" s="455"/>
      <c r="BD260" s="455">
        <f>SUM(AU260:BC260)</f>
        <v>0</v>
      </c>
      <c r="BE260" s="90"/>
      <c r="BF260" s="90"/>
      <c r="BG260" s="90"/>
      <c r="BH260" s="90"/>
      <c r="BI260" s="90"/>
      <c r="BJ260" s="90"/>
      <c r="BK260" s="90"/>
      <c r="BL260" s="90"/>
      <c r="BM260" s="90"/>
      <c r="BN260" s="90"/>
      <c r="BO260" s="546">
        <f>AJ260+AT260+BD260+BN260</f>
        <v>0</v>
      </c>
    </row>
    <row r="261" spans="1:67" ht="177.75" customHeight="1" x14ac:dyDescent="0.2">
      <c r="A261" s="547">
        <v>178</v>
      </c>
      <c r="B261" s="69">
        <v>3</v>
      </c>
      <c r="C261" s="136"/>
      <c r="D261" s="136"/>
      <c r="E261" s="93" t="s">
        <v>621</v>
      </c>
      <c r="F261" s="70" t="s">
        <v>622</v>
      </c>
      <c r="G261" s="317">
        <v>0</v>
      </c>
      <c r="H261" s="317">
        <v>0.8</v>
      </c>
      <c r="I261" s="77">
        <v>178</v>
      </c>
      <c r="J261" s="73" t="s">
        <v>623</v>
      </c>
      <c r="K261" s="252" t="s">
        <v>624</v>
      </c>
      <c r="L261" s="305" t="s">
        <v>441</v>
      </c>
      <c r="M261" s="270">
        <v>2</v>
      </c>
      <c r="N261" s="277" t="s">
        <v>54</v>
      </c>
      <c r="O261" s="78">
        <v>0</v>
      </c>
      <c r="P261" s="78">
        <v>3</v>
      </c>
      <c r="Q261" s="282">
        <v>3</v>
      </c>
      <c r="R261" s="280">
        <v>3</v>
      </c>
      <c r="S261" s="500"/>
      <c r="T261" s="280">
        <v>3</v>
      </c>
      <c r="U261" s="280"/>
      <c r="V261" s="280">
        <v>3</v>
      </c>
      <c r="W261" s="277"/>
      <c r="X261" s="257">
        <f>AJ261/AJ259</f>
        <v>1</v>
      </c>
      <c r="Y261" s="77">
        <v>3</v>
      </c>
      <c r="Z261" s="74" t="s">
        <v>452</v>
      </c>
      <c r="AA261" s="108"/>
      <c r="AB261" s="108">
        <v>125772000</v>
      </c>
      <c r="AC261" s="108"/>
      <c r="AD261" s="108"/>
      <c r="AE261" s="108"/>
      <c r="AF261" s="108"/>
      <c r="AG261" s="108"/>
      <c r="AH261" s="108"/>
      <c r="AI261" s="108"/>
      <c r="AJ261" s="82">
        <f>+AA261+AB261+AC261+AD261+AE261+AF261+AG261+AH261+AI261</f>
        <v>125772000</v>
      </c>
      <c r="AK261" s="90"/>
      <c r="AL261" s="455">
        <v>129545160</v>
      </c>
      <c r="AM261" s="90"/>
      <c r="AN261" s="90"/>
      <c r="AO261" s="90"/>
      <c r="AP261" s="90"/>
      <c r="AQ261" s="90"/>
      <c r="AR261" s="90"/>
      <c r="AS261" s="90"/>
      <c r="AT261" s="84">
        <f>AK261+AL261+AM261+AN261+AO261+AP261+AQ261+AR261+AS261</f>
        <v>129545160</v>
      </c>
      <c r="AU261" s="455"/>
      <c r="AV261" s="455">
        <v>133431514.8</v>
      </c>
      <c r="AW261" s="455"/>
      <c r="AX261" s="455"/>
      <c r="AY261" s="455"/>
      <c r="AZ261" s="455"/>
      <c r="BA261" s="455"/>
      <c r="BB261" s="455"/>
      <c r="BC261" s="455"/>
      <c r="BD261" s="455">
        <f>SUM(AU261:BC261)</f>
        <v>133431514.8</v>
      </c>
      <c r="BE261" s="90"/>
      <c r="BF261" s="90">
        <v>137434460.24399999</v>
      </c>
      <c r="BG261" s="90"/>
      <c r="BH261" s="90"/>
      <c r="BI261" s="90"/>
      <c r="BJ261" s="90"/>
      <c r="BK261" s="90"/>
      <c r="BL261" s="90"/>
      <c r="BM261" s="90"/>
      <c r="BN261" s="90">
        <f>SUM(BE261:BM261)</f>
        <v>137434460.24399999</v>
      </c>
      <c r="BO261" s="546">
        <f>AJ261+AT261+BD261+BN261</f>
        <v>526183135.04400003</v>
      </c>
    </row>
    <row r="262" spans="1:67" ht="86.25" customHeight="1" x14ac:dyDescent="0.2">
      <c r="A262" s="545">
        <v>179</v>
      </c>
      <c r="B262" s="69">
        <v>3</v>
      </c>
      <c r="C262" s="136"/>
      <c r="D262" s="192"/>
      <c r="E262" s="451" t="s">
        <v>625</v>
      </c>
      <c r="F262" s="70" t="s">
        <v>626</v>
      </c>
      <c r="G262" s="317" t="s">
        <v>49</v>
      </c>
      <c r="H262" s="317">
        <v>0.9</v>
      </c>
      <c r="I262" s="77">
        <v>179</v>
      </c>
      <c r="J262" s="73" t="s">
        <v>627</v>
      </c>
      <c r="K262" s="252" t="s">
        <v>628</v>
      </c>
      <c r="L262" s="305" t="s">
        <v>441</v>
      </c>
      <c r="M262" s="270">
        <v>2</v>
      </c>
      <c r="N262" s="277" t="s">
        <v>54</v>
      </c>
      <c r="O262" s="78">
        <v>4</v>
      </c>
      <c r="P262" s="78">
        <v>4</v>
      </c>
      <c r="Q262" s="282">
        <v>4</v>
      </c>
      <c r="R262" s="280">
        <v>4</v>
      </c>
      <c r="S262" s="500"/>
      <c r="T262" s="280">
        <v>4</v>
      </c>
      <c r="U262" s="280"/>
      <c r="V262" s="280">
        <v>4</v>
      </c>
      <c r="W262" s="277"/>
      <c r="X262" s="311"/>
      <c r="Y262" s="77">
        <v>3</v>
      </c>
      <c r="Z262" s="74" t="s">
        <v>452</v>
      </c>
      <c r="AA262" s="108"/>
      <c r="AB262" s="108"/>
      <c r="AC262" s="108"/>
      <c r="AD262" s="108"/>
      <c r="AE262" s="108"/>
      <c r="AF262" s="108"/>
      <c r="AG262" s="108"/>
      <c r="AH262" s="108"/>
      <c r="AI262" s="108"/>
      <c r="AJ262" s="82">
        <f>+AA262+AB262+AC262+AD262+AE262+AF262+AG262+AH262+AI262</f>
        <v>0</v>
      </c>
      <c r="AK262" s="90"/>
      <c r="AL262" s="90"/>
      <c r="AM262" s="90"/>
      <c r="AN262" s="90"/>
      <c r="AO262" s="90"/>
      <c r="AP262" s="90"/>
      <c r="AQ262" s="90"/>
      <c r="AR262" s="90"/>
      <c r="AS262" s="90"/>
      <c r="AT262" s="84">
        <f>AK262+AL262+AM262+AN262+AO262+AP262+AQ262+AR262+AS262</f>
        <v>0</v>
      </c>
      <c r="AU262" s="455"/>
      <c r="AV262" s="455"/>
      <c r="AW262" s="455"/>
      <c r="AX262" s="455"/>
      <c r="AY262" s="455"/>
      <c r="AZ262" s="455"/>
      <c r="BA262" s="455"/>
      <c r="BB262" s="455"/>
      <c r="BC262" s="455"/>
      <c r="BD262" s="455">
        <f>SUM(AU262:BC262)</f>
        <v>0</v>
      </c>
      <c r="BE262" s="90"/>
      <c r="BF262" s="90"/>
      <c r="BG262" s="90"/>
      <c r="BH262" s="90"/>
      <c r="BI262" s="90"/>
      <c r="BJ262" s="90"/>
      <c r="BK262" s="90"/>
      <c r="BL262" s="90"/>
      <c r="BM262" s="90"/>
      <c r="BN262" s="90"/>
      <c r="BO262" s="546">
        <f>AJ262+AT262+BD262+BN262</f>
        <v>0</v>
      </c>
    </row>
    <row r="263" spans="1:67" ht="24.75" customHeight="1" x14ac:dyDescent="0.2">
      <c r="A263" s="545"/>
      <c r="B263" s="69"/>
      <c r="C263" s="136"/>
      <c r="D263" s="43">
        <v>16</v>
      </c>
      <c r="E263" s="134" t="s">
        <v>629</v>
      </c>
      <c r="F263" s="45"/>
      <c r="G263" s="45"/>
      <c r="H263" s="46"/>
      <c r="I263" s="47"/>
      <c r="J263" s="48"/>
      <c r="K263" s="48"/>
      <c r="L263" s="49"/>
      <c r="M263" s="47"/>
      <c r="N263" s="50"/>
      <c r="O263" s="48"/>
      <c r="P263" s="48"/>
      <c r="Q263" s="51"/>
      <c r="R263" s="48"/>
      <c r="S263" s="498"/>
      <c r="T263" s="48"/>
      <c r="U263" s="48"/>
      <c r="V263" s="47"/>
      <c r="W263" s="47"/>
      <c r="X263" s="135"/>
      <c r="Y263" s="47"/>
      <c r="Z263" s="47"/>
      <c r="AA263" s="53">
        <f t="shared" ref="AA263:AI263" si="373">AA264+AA267</f>
        <v>0</v>
      </c>
      <c r="AB263" s="53">
        <f t="shared" si="373"/>
        <v>0</v>
      </c>
      <c r="AC263" s="53">
        <f t="shared" si="373"/>
        <v>100000000</v>
      </c>
      <c r="AD263" s="53">
        <f t="shared" si="373"/>
        <v>0</v>
      </c>
      <c r="AE263" s="53">
        <f t="shared" si="373"/>
        <v>0</v>
      </c>
      <c r="AF263" s="53">
        <f t="shared" si="373"/>
        <v>0</v>
      </c>
      <c r="AG263" s="53">
        <f t="shared" si="373"/>
        <v>0</v>
      </c>
      <c r="AH263" s="53">
        <f t="shared" si="373"/>
        <v>0</v>
      </c>
      <c r="AI263" s="53">
        <f t="shared" si="373"/>
        <v>0</v>
      </c>
      <c r="AJ263" s="54">
        <f>AJ264+AJ267</f>
        <v>100000000</v>
      </c>
      <c r="AK263" s="53">
        <f t="shared" ref="AK263:AT263" si="374">AK264+AK267</f>
        <v>0</v>
      </c>
      <c r="AL263" s="53">
        <f t="shared" si="374"/>
        <v>0</v>
      </c>
      <c r="AM263" s="53">
        <f t="shared" si="374"/>
        <v>100000000</v>
      </c>
      <c r="AN263" s="53">
        <f t="shared" si="374"/>
        <v>0</v>
      </c>
      <c r="AO263" s="53">
        <f t="shared" si="374"/>
        <v>0</v>
      </c>
      <c r="AP263" s="53">
        <f t="shared" si="374"/>
        <v>0</v>
      </c>
      <c r="AQ263" s="53">
        <f t="shared" si="374"/>
        <v>0</v>
      </c>
      <c r="AR263" s="53">
        <f t="shared" si="374"/>
        <v>0</v>
      </c>
      <c r="AS263" s="53">
        <f t="shared" si="374"/>
        <v>0</v>
      </c>
      <c r="AT263" s="53">
        <f t="shared" si="374"/>
        <v>100000000</v>
      </c>
      <c r="AU263" s="55"/>
      <c r="AV263" s="55"/>
      <c r="AW263" s="55"/>
      <c r="AX263" s="55"/>
      <c r="AY263" s="55"/>
      <c r="AZ263" s="55"/>
      <c r="BA263" s="55"/>
      <c r="BB263" s="55"/>
      <c r="BC263" s="55"/>
      <c r="BD263" s="53">
        <f>BD264+BD267</f>
        <v>90000000</v>
      </c>
      <c r="BE263" s="55"/>
      <c r="BF263" s="55"/>
      <c r="BG263" s="55"/>
      <c r="BH263" s="55"/>
      <c r="BI263" s="55"/>
      <c r="BJ263" s="55"/>
      <c r="BK263" s="55"/>
      <c r="BL263" s="55"/>
      <c r="BM263" s="55"/>
      <c r="BN263" s="53">
        <f t="shared" ref="BN263" si="375">BN264+BN267</f>
        <v>90000000</v>
      </c>
      <c r="BO263" s="543">
        <f t="shared" ref="BO263" si="376">BO264+BO267</f>
        <v>380000000</v>
      </c>
    </row>
    <row r="264" spans="1:67" ht="24.75" customHeight="1" x14ac:dyDescent="0.2">
      <c r="A264" s="545"/>
      <c r="B264" s="69"/>
      <c r="C264" s="136"/>
      <c r="D264" s="562"/>
      <c r="E264" s="57">
        <v>56</v>
      </c>
      <c r="F264" s="58" t="s">
        <v>630</v>
      </c>
      <c r="G264" s="61"/>
      <c r="H264" s="61"/>
      <c r="I264" s="60"/>
      <c r="J264" s="61"/>
      <c r="K264" s="61"/>
      <c r="L264" s="60"/>
      <c r="M264" s="62"/>
      <c r="N264" s="63"/>
      <c r="O264" s="61"/>
      <c r="P264" s="61"/>
      <c r="Q264" s="64"/>
      <c r="R264" s="61"/>
      <c r="S264" s="499"/>
      <c r="T264" s="61"/>
      <c r="U264" s="61"/>
      <c r="V264" s="62"/>
      <c r="W264" s="62"/>
      <c r="X264" s="137"/>
      <c r="Y264" s="62"/>
      <c r="Z264" s="62"/>
      <c r="AA264" s="66">
        <f t="shared" ref="AA264:AI264" si="377">SUM(AA265:AA266)</f>
        <v>0</v>
      </c>
      <c r="AB264" s="66">
        <f t="shared" si="377"/>
        <v>0</v>
      </c>
      <c r="AC264" s="66">
        <f t="shared" si="377"/>
        <v>60000000</v>
      </c>
      <c r="AD264" s="66">
        <f t="shared" si="377"/>
        <v>0</v>
      </c>
      <c r="AE264" s="66">
        <f t="shared" si="377"/>
        <v>0</v>
      </c>
      <c r="AF264" s="66">
        <f t="shared" si="377"/>
        <v>0</v>
      </c>
      <c r="AG264" s="66">
        <f t="shared" si="377"/>
        <v>0</v>
      </c>
      <c r="AH264" s="66">
        <f t="shared" si="377"/>
        <v>0</v>
      </c>
      <c r="AI264" s="66">
        <f t="shared" si="377"/>
        <v>0</v>
      </c>
      <c r="AJ264" s="67">
        <f>SUM(AJ265:AJ266)</f>
        <v>60000000</v>
      </c>
      <c r="AK264" s="66">
        <f t="shared" ref="AK264:AT264" si="378">SUM(AK265:AK266)</f>
        <v>0</v>
      </c>
      <c r="AL264" s="66">
        <f t="shared" si="378"/>
        <v>0</v>
      </c>
      <c r="AM264" s="66">
        <f t="shared" si="378"/>
        <v>60000000</v>
      </c>
      <c r="AN264" s="66">
        <f t="shared" si="378"/>
        <v>0</v>
      </c>
      <c r="AO264" s="66">
        <f t="shared" si="378"/>
        <v>0</v>
      </c>
      <c r="AP264" s="66">
        <f t="shared" si="378"/>
        <v>0</v>
      </c>
      <c r="AQ264" s="66">
        <f t="shared" si="378"/>
        <v>0</v>
      </c>
      <c r="AR264" s="66">
        <f t="shared" si="378"/>
        <v>0</v>
      </c>
      <c r="AS264" s="66">
        <f t="shared" si="378"/>
        <v>0</v>
      </c>
      <c r="AT264" s="66">
        <f t="shared" si="378"/>
        <v>60000000</v>
      </c>
      <c r="AU264" s="68"/>
      <c r="AV264" s="68"/>
      <c r="AW264" s="68"/>
      <c r="AX264" s="68"/>
      <c r="AY264" s="68"/>
      <c r="AZ264" s="68"/>
      <c r="BA264" s="68"/>
      <c r="BB264" s="68"/>
      <c r="BC264" s="68"/>
      <c r="BD264" s="66">
        <f t="shared" ref="BD264" si="379">SUM(BD265:BD266)</f>
        <v>60000000</v>
      </c>
      <c r="BE264" s="68"/>
      <c r="BF264" s="68"/>
      <c r="BG264" s="68"/>
      <c r="BH264" s="68"/>
      <c r="BI264" s="68"/>
      <c r="BJ264" s="68"/>
      <c r="BK264" s="68"/>
      <c r="BL264" s="68"/>
      <c r="BM264" s="68"/>
      <c r="BN264" s="66">
        <f t="shared" ref="BN264" si="380">SUM(BN265:BN266)</f>
        <v>60000000</v>
      </c>
      <c r="BO264" s="544">
        <f t="shared" ref="BO264" si="381">SUM(BO265:BO266)</f>
        <v>240000000</v>
      </c>
    </row>
    <row r="265" spans="1:67" ht="84.75" customHeight="1" x14ac:dyDescent="0.2">
      <c r="A265" s="547">
        <v>180</v>
      </c>
      <c r="B265" s="69">
        <v>3</v>
      </c>
      <c r="C265" s="136"/>
      <c r="D265" s="136"/>
      <c r="E265" s="93">
        <v>29</v>
      </c>
      <c r="F265" s="300" t="s">
        <v>542</v>
      </c>
      <c r="G265" s="71" t="s">
        <v>543</v>
      </c>
      <c r="H265" s="71" t="s">
        <v>543</v>
      </c>
      <c r="I265" s="77">
        <v>180</v>
      </c>
      <c r="J265" s="73" t="s">
        <v>631</v>
      </c>
      <c r="K265" s="70" t="s">
        <v>632</v>
      </c>
      <c r="L265" s="74" t="s">
        <v>633</v>
      </c>
      <c r="M265" s="74">
        <v>14</v>
      </c>
      <c r="N265" s="75" t="s">
        <v>54</v>
      </c>
      <c r="O265" s="78">
        <v>0</v>
      </c>
      <c r="P265" s="78">
        <v>1</v>
      </c>
      <c r="Q265" s="77">
        <v>1</v>
      </c>
      <c r="R265" s="78">
        <v>1</v>
      </c>
      <c r="S265" s="500"/>
      <c r="T265" s="78">
        <v>1</v>
      </c>
      <c r="U265" s="78"/>
      <c r="V265" s="78">
        <v>1</v>
      </c>
      <c r="W265" s="75"/>
      <c r="X265" s="191">
        <f>AJ265/AJ264</f>
        <v>0.79166666666666663</v>
      </c>
      <c r="Y265" s="78">
        <v>4</v>
      </c>
      <c r="Z265" s="75" t="s">
        <v>110</v>
      </c>
      <c r="AA265" s="118"/>
      <c r="AB265" s="118"/>
      <c r="AC265" s="108">
        <v>47500000</v>
      </c>
      <c r="AD265" s="108"/>
      <c r="AE265" s="118"/>
      <c r="AF265" s="118"/>
      <c r="AG265" s="118"/>
      <c r="AH265" s="118"/>
      <c r="AI265" s="118"/>
      <c r="AJ265" s="82">
        <f>+AA265+AB265+AC265+AD265+AE265+AF265+AG265+AH265+AI265</f>
        <v>47500000</v>
      </c>
      <c r="AK265" s="90"/>
      <c r="AL265" s="90"/>
      <c r="AM265" s="90">
        <v>47500000</v>
      </c>
      <c r="AN265" s="90"/>
      <c r="AO265" s="90"/>
      <c r="AP265" s="90"/>
      <c r="AQ265" s="90"/>
      <c r="AR265" s="90"/>
      <c r="AS265" s="90"/>
      <c r="AT265" s="84">
        <f>AK265+AL265+AM265+AN265+AO265+AP265+AQ265+AR265+AS265</f>
        <v>47500000</v>
      </c>
      <c r="AU265" s="90"/>
      <c r="AV265" s="90"/>
      <c r="AW265" s="90">
        <v>47500000</v>
      </c>
      <c r="AX265" s="90"/>
      <c r="AY265" s="90"/>
      <c r="AZ265" s="90"/>
      <c r="BA265" s="90"/>
      <c r="BB265" s="90"/>
      <c r="BC265" s="90"/>
      <c r="BD265" s="90">
        <f>SUM(AU265:BC265)</f>
        <v>47500000</v>
      </c>
      <c r="BE265" s="90"/>
      <c r="BF265" s="90"/>
      <c r="BG265" s="90">
        <v>47500000</v>
      </c>
      <c r="BH265" s="90"/>
      <c r="BI265" s="90"/>
      <c r="BJ265" s="90"/>
      <c r="BK265" s="90"/>
      <c r="BL265" s="90"/>
      <c r="BM265" s="90"/>
      <c r="BN265" s="90">
        <f>SUM(BE265:BM265)</f>
        <v>47500000</v>
      </c>
      <c r="BO265" s="546">
        <f>AJ265+AT265+BD265+BN265</f>
        <v>190000000</v>
      </c>
    </row>
    <row r="266" spans="1:67" ht="84.75" customHeight="1" x14ac:dyDescent="0.2">
      <c r="A266" s="545">
        <v>181</v>
      </c>
      <c r="B266" s="69">
        <v>3</v>
      </c>
      <c r="C266" s="136"/>
      <c r="D266" s="136"/>
      <c r="E266" s="91">
        <v>30</v>
      </c>
      <c r="F266" s="300" t="s">
        <v>546</v>
      </c>
      <c r="G266" s="318" t="s">
        <v>547</v>
      </c>
      <c r="H266" s="576" t="s">
        <v>547</v>
      </c>
      <c r="I266" s="77">
        <v>181</v>
      </c>
      <c r="J266" s="73" t="s">
        <v>634</v>
      </c>
      <c r="K266" s="70" t="s">
        <v>635</v>
      </c>
      <c r="L266" s="74" t="s">
        <v>633</v>
      </c>
      <c r="M266" s="74">
        <v>14</v>
      </c>
      <c r="N266" s="75" t="s">
        <v>54</v>
      </c>
      <c r="O266" s="78">
        <v>6</v>
      </c>
      <c r="P266" s="78">
        <v>6</v>
      </c>
      <c r="Q266" s="77">
        <v>6</v>
      </c>
      <c r="R266" s="78">
        <v>6</v>
      </c>
      <c r="S266" s="500"/>
      <c r="T266" s="78">
        <v>6</v>
      </c>
      <c r="U266" s="78"/>
      <c r="V266" s="78">
        <v>6</v>
      </c>
      <c r="W266" s="75"/>
      <c r="X266" s="191">
        <f>AJ266/AJ264</f>
        <v>0.20833333333333334</v>
      </c>
      <c r="Y266" s="78">
        <v>4</v>
      </c>
      <c r="Z266" s="75" t="s">
        <v>110</v>
      </c>
      <c r="AA266" s="118"/>
      <c r="AB266" s="118"/>
      <c r="AC266" s="108">
        <v>12500000</v>
      </c>
      <c r="AD266" s="108"/>
      <c r="AE266" s="118"/>
      <c r="AF266" s="118"/>
      <c r="AG266" s="118"/>
      <c r="AH266" s="118"/>
      <c r="AI266" s="118"/>
      <c r="AJ266" s="82">
        <f>+AA266+AB266+AC266+AD266+AE266+AF266+AG266+AH266+AI266</f>
        <v>12500000</v>
      </c>
      <c r="AK266" s="90"/>
      <c r="AL266" s="90"/>
      <c r="AM266" s="90">
        <v>12500000</v>
      </c>
      <c r="AN266" s="90"/>
      <c r="AO266" s="90"/>
      <c r="AP266" s="90"/>
      <c r="AQ266" s="90"/>
      <c r="AR266" s="90"/>
      <c r="AS266" s="90"/>
      <c r="AT266" s="84">
        <f>AK266+AL266+AM266+AN266+AO266+AP266+AQ266+AR266+AS266</f>
        <v>12500000</v>
      </c>
      <c r="AU266" s="90"/>
      <c r="AV266" s="90"/>
      <c r="AW266" s="90">
        <v>12500000</v>
      </c>
      <c r="AX266" s="90"/>
      <c r="AY266" s="90"/>
      <c r="AZ266" s="90"/>
      <c r="BA266" s="90"/>
      <c r="BB266" s="90"/>
      <c r="BC266" s="90"/>
      <c r="BD266" s="90">
        <f>SUM(AU266:BC266)</f>
        <v>12500000</v>
      </c>
      <c r="BE266" s="90"/>
      <c r="BF266" s="90"/>
      <c r="BG266" s="90">
        <v>12500000</v>
      </c>
      <c r="BH266" s="90"/>
      <c r="BI266" s="90"/>
      <c r="BJ266" s="90"/>
      <c r="BK266" s="90"/>
      <c r="BL266" s="90"/>
      <c r="BM266" s="90"/>
      <c r="BN266" s="90">
        <f>SUM(BE266:BM266)</f>
        <v>12500000</v>
      </c>
      <c r="BO266" s="546">
        <f>AJ266+AT266+BD266+BN266</f>
        <v>50000000</v>
      </c>
    </row>
    <row r="267" spans="1:67" ht="24.75" customHeight="1" x14ac:dyDescent="0.2">
      <c r="A267" s="545"/>
      <c r="B267" s="69"/>
      <c r="C267" s="136"/>
      <c r="D267" s="136"/>
      <c r="E267" s="57">
        <v>57</v>
      </c>
      <c r="F267" s="58" t="s">
        <v>636</v>
      </c>
      <c r="G267" s="61"/>
      <c r="H267" s="61"/>
      <c r="I267" s="60"/>
      <c r="J267" s="61"/>
      <c r="K267" s="61"/>
      <c r="L267" s="60"/>
      <c r="M267" s="62"/>
      <c r="N267" s="63"/>
      <c r="O267" s="61"/>
      <c r="P267" s="61"/>
      <c r="Q267" s="64"/>
      <c r="R267" s="61"/>
      <c r="S267" s="499"/>
      <c r="T267" s="61"/>
      <c r="U267" s="61"/>
      <c r="V267" s="62"/>
      <c r="W267" s="62"/>
      <c r="X267" s="137"/>
      <c r="Y267" s="62"/>
      <c r="Z267" s="62"/>
      <c r="AA267" s="66">
        <f t="shared" ref="AA267:AI267" si="382">SUM(AA268)</f>
        <v>0</v>
      </c>
      <c r="AB267" s="66">
        <f t="shared" si="382"/>
        <v>0</v>
      </c>
      <c r="AC267" s="66">
        <f t="shared" si="382"/>
        <v>40000000</v>
      </c>
      <c r="AD267" s="66">
        <f t="shared" si="382"/>
        <v>0</v>
      </c>
      <c r="AE267" s="66">
        <f t="shared" si="382"/>
        <v>0</v>
      </c>
      <c r="AF267" s="66">
        <f t="shared" si="382"/>
        <v>0</v>
      </c>
      <c r="AG267" s="66">
        <f t="shared" si="382"/>
        <v>0</v>
      </c>
      <c r="AH267" s="66">
        <f t="shared" si="382"/>
        <v>0</v>
      </c>
      <c r="AI267" s="66">
        <f t="shared" si="382"/>
        <v>0</v>
      </c>
      <c r="AJ267" s="67">
        <f>SUM(AJ268)</f>
        <v>40000000</v>
      </c>
      <c r="AK267" s="66">
        <f t="shared" ref="AK267:AT267" si="383">SUM(AK268)</f>
        <v>0</v>
      </c>
      <c r="AL267" s="66">
        <f t="shared" si="383"/>
        <v>0</v>
      </c>
      <c r="AM267" s="66">
        <f t="shared" si="383"/>
        <v>40000000</v>
      </c>
      <c r="AN267" s="66">
        <f t="shared" si="383"/>
        <v>0</v>
      </c>
      <c r="AO267" s="66">
        <f t="shared" si="383"/>
        <v>0</v>
      </c>
      <c r="AP267" s="66">
        <f t="shared" si="383"/>
        <v>0</v>
      </c>
      <c r="AQ267" s="66">
        <f t="shared" si="383"/>
        <v>0</v>
      </c>
      <c r="AR267" s="66">
        <f t="shared" si="383"/>
        <v>0</v>
      </c>
      <c r="AS267" s="66">
        <f t="shared" si="383"/>
        <v>0</v>
      </c>
      <c r="AT267" s="66">
        <f t="shared" si="383"/>
        <v>40000000</v>
      </c>
      <c r="AU267" s="68"/>
      <c r="AV267" s="68"/>
      <c r="AW267" s="68"/>
      <c r="AX267" s="68"/>
      <c r="AY267" s="68"/>
      <c r="AZ267" s="68"/>
      <c r="BA267" s="68"/>
      <c r="BB267" s="68"/>
      <c r="BC267" s="68"/>
      <c r="BD267" s="66">
        <f t="shared" ref="BD267" si="384">SUM(BD268)</f>
        <v>30000000</v>
      </c>
      <c r="BE267" s="68"/>
      <c r="BF267" s="68"/>
      <c r="BG267" s="68"/>
      <c r="BH267" s="68"/>
      <c r="BI267" s="68"/>
      <c r="BJ267" s="68"/>
      <c r="BK267" s="68"/>
      <c r="BL267" s="68"/>
      <c r="BM267" s="68"/>
      <c r="BN267" s="66">
        <f t="shared" ref="BN267:BO267" si="385">SUM(BN268)</f>
        <v>30000000</v>
      </c>
      <c r="BO267" s="544">
        <f t="shared" si="385"/>
        <v>140000000</v>
      </c>
    </row>
    <row r="268" spans="1:67" ht="64.5" customHeight="1" x14ac:dyDescent="0.2">
      <c r="A268" s="547">
        <v>182</v>
      </c>
      <c r="B268" s="69">
        <v>3</v>
      </c>
      <c r="C268" s="136"/>
      <c r="D268" s="192"/>
      <c r="E268" s="451">
        <v>14</v>
      </c>
      <c r="F268" s="70" t="s">
        <v>409</v>
      </c>
      <c r="G268" s="621" t="s">
        <v>271</v>
      </c>
      <c r="H268" s="255">
        <v>0.03</v>
      </c>
      <c r="I268" s="77">
        <v>182</v>
      </c>
      <c r="J268" s="73" t="s">
        <v>637</v>
      </c>
      <c r="K268" s="216" t="s">
        <v>541</v>
      </c>
      <c r="L268" s="217" t="s">
        <v>262</v>
      </c>
      <c r="M268" s="217">
        <v>1</v>
      </c>
      <c r="N268" s="112" t="s">
        <v>54</v>
      </c>
      <c r="O268" s="172">
        <v>1</v>
      </c>
      <c r="P268" s="172">
        <v>1</v>
      </c>
      <c r="Q268" s="196">
        <v>1</v>
      </c>
      <c r="R268" s="93">
        <v>1</v>
      </c>
      <c r="S268" s="500"/>
      <c r="T268" s="93">
        <v>1</v>
      </c>
      <c r="U268" s="93"/>
      <c r="V268" s="93">
        <v>1</v>
      </c>
      <c r="W268" s="112"/>
      <c r="X268" s="121">
        <f>AJ268/AJ267</f>
        <v>1</v>
      </c>
      <c r="Y268" s="78">
        <v>4</v>
      </c>
      <c r="Z268" s="75" t="s">
        <v>110</v>
      </c>
      <c r="AA268" s="82"/>
      <c r="AB268" s="82"/>
      <c r="AC268" s="108">
        <v>40000000</v>
      </c>
      <c r="AD268" s="108"/>
      <c r="AE268" s="82"/>
      <c r="AF268" s="82"/>
      <c r="AG268" s="82"/>
      <c r="AH268" s="82"/>
      <c r="AI268" s="82"/>
      <c r="AJ268" s="82">
        <f>+AA268+AB268+AC268+AD268+AE268+AF268+AG268+AH268+AI268</f>
        <v>40000000</v>
      </c>
      <c r="AK268" s="90"/>
      <c r="AL268" s="90"/>
      <c r="AM268" s="90">
        <v>40000000</v>
      </c>
      <c r="AN268" s="90"/>
      <c r="AO268" s="90"/>
      <c r="AP268" s="90"/>
      <c r="AQ268" s="90"/>
      <c r="AR268" s="90"/>
      <c r="AS268" s="90"/>
      <c r="AT268" s="84">
        <f>AK268+AL268+AM268+AN268+AO268+AP268+AQ268+AR268+AS268</f>
        <v>40000000</v>
      </c>
      <c r="AU268" s="90"/>
      <c r="AV268" s="90"/>
      <c r="AW268" s="455">
        <v>30000000</v>
      </c>
      <c r="AX268" s="90"/>
      <c r="AY268" s="90"/>
      <c r="AZ268" s="90"/>
      <c r="BA268" s="90"/>
      <c r="BB268" s="90"/>
      <c r="BC268" s="90"/>
      <c r="BD268" s="90">
        <f>SUM(AU268:BC268)</f>
        <v>30000000</v>
      </c>
      <c r="BE268" s="90"/>
      <c r="BF268" s="90"/>
      <c r="BG268" s="90">
        <v>30000000</v>
      </c>
      <c r="BH268" s="90"/>
      <c r="BI268" s="90"/>
      <c r="BJ268" s="90"/>
      <c r="BK268" s="90"/>
      <c r="BL268" s="90"/>
      <c r="BM268" s="90"/>
      <c r="BN268" s="90">
        <f>SUM(BE268:BM268)</f>
        <v>30000000</v>
      </c>
      <c r="BO268" s="546">
        <f>AJ268+AT268+BD268+BN268</f>
        <v>140000000</v>
      </c>
    </row>
    <row r="269" spans="1:67" ht="24.75" customHeight="1" x14ac:dyDescent="0.2">
      <c r="A269" s="547"/>
      <c r="B269" s="69"/>
      <c r="C269" s="136"/>
      <c r="D269" s="43">
        <v>17</v>
      </c>
      <c r="E269" s="134" t="s">
        <v>638</v>
      </c>
      <c r="F269" s="45"/>
      <c r="G269" s="46"/>
      <c r="H269" s="45"/>
      <c r="I269" s="47"/>
      <c r="J269" s="48"/>
      <c r="K269" s="48"/>
      <c r="L269" s="49"/>
      <c r="M269" s="47"/>
      <c r="N269" s="50"/>
      <c r="O269" s="48"/>
      <c r="P269" s="48"/>
      <c r="Q269" s="51"/>
      <c r="R269" s="48"/>
      <c r="S269" s="498"/>
      <c r="T269" s="48"/>
      <c r="U269" s="48"/>
      <c r="V269" s="47"/>
      <c r="W269" s="47"/>
      <c r="X269" s="135"/>
      <c r="Y269" s="47"/>
      <c r="Z269" s="47"/>
      <c r="AA269" s="53">
        <f t="shared" ref="AA269:AI269" si="386">AA270+AA272+AA276+AA280</f>
        <v>0</v>
      </c>
      <c r="AB269" s="53">
        <f t="shared" si="386"/>
        <v>0</v>
      </c>
      <c r="AC269" s="53">
        <f t="shared" si="386"/>
        <v>440000000</v>
      </c>
      <c r="AD269" s="53">
        <f t="shared" si="386"/>
        <v>0</v>
      </c>
      <c r="AE269" s="53">
        <f t="shared" si="386"/>
        <v>0</v>
      </c>
      <c r="AF269" s="53">
        <f t="shared" si="386"/>
        <v>0</v>
      </c>
      <c r="AG269" s="53">
        <f t="shared" si="386"/>
        <v>0</v>
      </c>
      <c r="AH269" s="53">
        <f t="shared" si="386"/>
        <v>0</v>
      </c>
      <c r="AI269" s="53">
        <f t="shared" si="386"/>
        <v>0</v>
      </c>
      <c r="AJ269" s="54">
        <f>AJ270+AJ272+AJ276+AJ280</f>
        <v>440000000</v>
      </c>
      <c r="AK269" s="53">
        <f t="shared" ref="AK269:AT269" si="387">AK270+AK272+AK276+AK280</f>
        <v>0</v>
      </c>
      <c r="AL269" s="53">
        <f t="shared" si="387"/>
        <v>0</v>
      </c>
      <c r="AM269" s="53">
        <f t="shared" si="387"/>
        <v>440000000</v>
      </c>
      <c r="AN269" s="53">
        <f t="shared" si="387"/>
        <v>0</v>
      </c>
      <c r="AO269" s="53">
        <f t="shared" si="387"/>
        <v>0</v>
      </c>
      <c r="AP269" s="53">
        <f t="shared" si="387"/>
        <v>0</v>
      </c>
      <c r="AQ269" s="53">
        <f t="shared" si="387"/>
        <v>0</v>
      </c>
      <c r="AR269" s="53">
        <f t="shared" si="387"/>
        <v>0</v>
      </c>
      <c r="AS269" s="53">
        <f t="shared" si="387"/>
        <v>0</v>
      </c>
      <c r="AT269" s="53">
        <f t="shared" si="387"/>
        <v>440000000</v>
      </c>
      <c r="AU269" s="55"/>
      <c r="AV269" s="55"/>
      <c r="AW269" s="55"/>
      <c r="AX269" s="55"/>
      <c r="AY269" s="55"/>
      <c r="AZ269" s="55"/>
      <c r="BA269" s="55"/>
      <c r="BB269" s="55"/>
      <c r="BC269" s="55"/>
      <c r="BD269" s="53">
        <f t="shared" ref="BD269" si="388">BD270+BD272+BD276+BD280</f>
        <v>420000000</v>
      </c>
      <c r="BE269" s="55"/>
      <c r="BF269" s="55"/>
      <c r="BG269" s="55"/>
      <c r="BH269" s="55"/>
      <c r="BI269" s="55"/>
      <c r="BJ269" s="55"/>
      <c r="BK269" s="55"/>
      <c r="BL269" s="55"/>
      <c r="BM269" s="55"/>
      <c r="BN269" s="53">
        <f t="shared" ref="BN269" si="389">BN270+BN272+BN276+BN280</f>
        <v>410000000</v>
      </c>
      <c r="BO269" s="543">
        <f t="shared" ref="BO269" si="390">BO270+BO272+BO276+BO280</f>
        <v>1710000000</v>
      </c>
    </row>
    <row r="270" spans="1:67" ht="24.75" customHeight="1" x14ac:dyDescent="0.2">
      <c r="A270" s="547"/>
      <c r="B270" s="69"/>
      <c r="C270" s="136"/>
      <c r="D270" s="562"/>
      <c r="E270" s="57">
        <v>58</v>
      </c>
      <c r="F270" s="58" t="s">
        <v>639</v>
      </c>
      <c r="G270" s="61"/>
      <c r="H270" s="61"/>
      <c r="I270" s="60"/>
      <c r="J270" s="61"/>
      <c r="K270" s="61"/>
      <c r="L270" s="60"/>
      <c r="M270" s="62"/>
      <c r="N270" s="63"/>
      <c r="O270" s="61"/>
      <c r="P270" s="61"/>
      <c r="Q270" s="64"/>
      <c r="R270" s="61"/>
      <c r="S270" s="499"/>
      <c r="T270" s="61"/>
      <c r="U270" s="61"/>
      <c r="V270" s="62"/>
      <c r="W270" s="62"/>
      <c r="X270" s="137"/>
      <c r="Y270" s="62"/>
      <c r="Z270" s="62"/>
      <c r="AA270" s="66">
        <f t="shared" ref="AA270:AI270" si="391">SUM(AA271)</f>
        <v>0</v>
      </c>
      <c r="AB270" s="66">
        <f t="shared" si="391"/>
        <v>0</v>
      </c>
      <c r="AC270" s="66">
        <f t="shared" si="391"/>
        <v>90000000</v>
      </c>
      <c r="AD270" s="66">
        <f t="shared" si="391"/>
        <v>0</v>
      </c>
      <c r="AE270" s="66">
        <f t="shared" si="391"/>
        <v>0</v>
      </c>
      <c r="AF270" s="66">
        <f t="shared" si="391"/>
        <v>0</v>
      </c>
      <c r="AG270" s="66">
        <f t="shared" si="391"/>
        <v>0</v>
      </c>
      <c r="AH270" s="66">
        <f t="shared" si="391"/>
        <v>0</v>
      </c>
      <c r="AI270" s="66">
        <f t="shared" si="391"/>
        <v>0</v>
      </c>
      <c r="AJ270" s="67">
        <f>SUM(AJ271)</f>
        <v>90000000</v>
      </c>
      <c r="AK270" s="66">
        <f t="shared" ref="AK270:AT270" si="392">SUM(AK271)</f>
        <v>0</v>
      </c>
      <c r="AL270" s="66">
        <f t="shared" si="392"/>
        <v>0</v>
      </c>
      <c r="AM270" s="66">
        <f t="shared" si="392"/>
        <v>80000000</v>
      </c>
      <c r="AN270" s="66">
        <f t="shared" si="392"/>
        <v>0</v>
      </c>
      <c r="AO270" s="66">
        <f t="shared" si="392"/>
        <v>0</v>
      </c>
      <c r="AP270" s="66">
        <f t="shared" si="392"/>
        <v>0</v>
      </c>
      <c r="AQ270" s="66">
        <f t="shared" si="392"/>
        <v>0</v>
      </c>
      <c r="AR270" s="66">
        <f t="shared" si="392"/>
        <v>0</v>
      </c>
      <c r="AS270" s="66">
        <f t="shared" si="392"/>
        <v>0</v>
      </c>
      <c r="AT270" s="66">
        <f t="shared" si="392"/>
        <v>80000000</v>
      </c>
      <c r="AU270" s="68"/>
      <c r="AV270" s="68"/>
      <c r="AW270" s="68"/>
      <c r="AX270" s="68"/>
      <c r="AY270" s="68"/>
      <c r="AZ270" s="68"/>
      <c r="BA270" s="68"/>
      <c r="BB270" s="68"/>
      <c r="BC270" s="68"/>
      <c r="BD270" s="66">
        <f t="shared" ref="BD270" si="393">SUM(BD271)</f>
        <v>70000000</v>
      </c>
      <c r="BE270" s="68"/>
      <c r="BF270" s="68"/>
      <c r="BG270" s="68"/>
      <c r="BH270" s="68"/>
      <c r="BI270" s="68"/>
      <c r="BJ270" s="68"/>
      <c r="BK270" s="68"/>
      <c r="BL270" s="68"/>
      <c r="BM270" s="68"/>
      <c r="BN270" s="66">
        <f t="shared" ref="BN270:BO270" si="394">SUM(BN271)</f>
        <v>60000000</v>
      </c>
      <c r="BO270" s="544">
        <f t="shared" si="394"/>
        <v>300000000</v>
      </c>
    </row>
    <row r="271" spans="1:67" ht="93.75" customHeight="1" x14ac:dyDescent="0.2">
      <c r="A271" s="545">
        <v>183</v>
      </c>
      <c r="B271" s="69">
        <v>3</v>
      </c>
      <c r="C271" s="136"/>
      <c r="D271" s="136"/>
      <c r="E271" s="93">
        <v>22</v>
      </c>
      <c r="F271" s="314" t="s">
        <v>238</v>
      </c>
      <c r="G271" s="576" t="s">
        <v>239</v>
      </c>
      <c r="H271" s="180" t="s">
        <v>243</v>
      </c>
      <c r="I271" s="77">
        <v>183</v>
      </c>
      <c r="J271" s="73" t="s">
        <v>640</v>
      </c>
      <c r="K271" s="262" t="s">
        <v>641</v>
      </c>
      <c r="L271" s="74" t="s">
        <v>633</v>
      </c>
      <c r="M271" s="74">
        <v>14</v>
      </c>
      <c r="N271" s="112" t="s">
        <v>54</v>
      </c>
      <c r="O271" s="93">
        <v>0</v>
      </c>
      <c r="P271" s="93">
        <v>1</v>
      </c>
      <c r="Q271" s="196">
        <v>1</v>
      </c>
      <c r="R271" s="93">
        <v>1</v>
      </c>
      <c r="S271" s="500"/>
      <c r="T271" s="93">
        <v>1</v>
      </c>
      <c r="U271" s="93"/>
      <c r="V271" s="93">
        <v>1</v>
      </c>
      <c r="W271" s="112"/>
      <c r="X271" s="218">
        <f>AJ268/AJ267</f>
        <v>1</v>
      </c>
      <c r="Y271" s="78">
        <v>10</v>
      </c>
      <c r="Z271" s="75" t="s">
        <v>385</v>
      </c>
      <c r="AA271" s="185"/>
      <c r="AB271" s="185"/>
      <c r="AC271" s="108">
        <f>73000000+17000000</f>
        <v>90000000</v>
      </c>
      <c r="AD271" s="108"/>
      <c r="AE271" s="185"/>
      <c r="AF271" s="185"/>
      <c r="AG271" s="185"/>
      <c r="AH271" s="185"/>
      <c r="AI271" s="185"/>
      <c r="AJ271" s="82">
        <f>+AA271+AB271+AC271+AD271+AE271+AF271+AG271+AH271+AI271</f>
        <v>90000000</v>
      </c>
      <c r="AK271" s="90"/>
      <c r="AL271" s="90"/>
      <c r="AM271" s="455">
        <v>80000000</v>
      </c>
      <c r="AN271" s="90"/>
      <c r="AO271" s="90"/>
      <c r="AP271" s="90"/>
      <c r="AQ271" s="90"/>
      <c r="AR271" s="90"/>
      <c r="AS271" s="90"/>
      <c r="AT271" s="84">
        <f>AK271+AL271+AM271+AN271+AO271+AP271+AQ271+AR271+AS271</f>
        <v>80000000</v>
      </c>
      <c r="AU271" s="455"/>
      <c r="AV271" s="455"/>
      <c r="AW271" s="455">
        <v>70000000</v>
      </c>
      <c r="AX271" s="455"/>
      <c r="AY271" s="455"/>
      <c r="AZ271" s="455"/>
      <c r="BA271" s="455"/>
      <c r="BB271" s="455"/>
      <c r="BC271" s="455"/>
      <c r="BD271" s="455">
        <f>SUM(AU271:BC271)</f>
        <v>70000000</v>
      </c>
      <c r="BE271" s="90"/>
      <c r="BF271" s="90"/>
      <c r="BG271" s="90">
        <v>60000000</v>
      </c>
      <c r="BH271" s="90"/>
      <c r="BI271" s="90"/>
      <c r="BJ271" s="90"/>
      <c r="BK271" s="90"/>
      <c r="BL271" s="90"/>
      <c r="BM271" s="90"/>
      <c r="BN271" s="90">
        <f>SUM(BE271:BM271)</f>
        <v>60000000</v>
      </c>
      <c r="BO271" s="546">
        <f>AJ271+AT271+BD271+BN271</f>
        <v>300000000</v>
      </c>
    </row>
    <row r="272" spans="1:67" ht="24.75" customHeight="1" x14ac:dyDescent="0.2">
      <c r="A272" s="545"/>
      <c r="B272" s="69"/>
      <c r="C272" s="136"/>
      <c r="D272" s="136"/>
      <c r="E272" s="57">
        <v>59</v>
      </c>
      <c r="F272" s="601" t="s">
        <v>642</v>
      </c>
      <c r="G272" s="601"/>
      <c r="H272" s="481"/>
      <c r="I272" s="60"/>
      <c r="J272" s="61"/>
      <c r="K272" s="61"/>
      <c r="L272" s="60"/>
      <c r="M272" s="62"/>
      <c r="N272" s="63"/>
      <c r="O272" s="61"/>
      <c r="P272" s="61"/>
      <c r="Q272" s="64"/>
      <c r="R272" s="60"/>
      <c r="S272" s="514"/>
      <c r="T272" s="64"/>
      <c r="U272" s="64"/>
      <c r="V272" s="64"/>
      <c r="W272" s="64"/>
      <c r="X272" s="64"/>
      <c r="Y272" s="62"/>
      <c r="Z272" s="62"/>
      <c r="AA272" s="66">
        <f t="shared" ref="AA272:AI272" si="395">SUM(AA273:AA275)</f>
        <v>0</v>
      </c>
      <c r="AB272" s="66">
        <f t="shared" si="395"/>
        <v>0</v>
      </c>
      <c r="AC272" s="66">
        <f t="shared" si="395"/>
        <v>70000000</v>
      </c>
      <c r="AD272" s="66">
        <f t="shared" si="395"/>
        <v>0</v>
      </c>
      <c r="AE272" s="66">
        <f t="shared" si="395"/>
        <v>0</v>
      </c>
      <c r="AF272" s="66">
        <f t="shared" si="395"/>
        <v>0</v>
      </c>
      <c r="AG272" s="66">
        <f t="shared" si="395"/>
        <v>0</v>
      </c>
      <c r="AH272" s="66">
        <f t="shared" si="395"/>
        <v>0</v>
      </c>
      <c r="AI272" s="66">
        <f t="shared" si="395"/>
        <v>0</v>
      </c>
      <c r="AJ272" s="67">
        <f>SUM(AJ273:AJ275)</f>
        <v>70000000</v>
      </c>
      <c r="AK272" s="66">
        <f t="shared" ref="AK272:AT272" si="396">SUM(AK273:AK275)</f>
        <v>0</v>
      </c>
      <c r="AL272" s="66">
        <f t="shared" si="396"/>
        <v>0</v>
      </c>
      <c r="AM272" s="66">
        <f t="shared" si="396"/>
        <v>70000000</v>
      </c>
      <c r="AN272" s="66">
        <f t="shared" si="396"/>
        <v>0</v>
      </c>
      <c r="AO272" s="66">
        <f t="shared" si="396"/>
        <v>0</v>
      </c>
      <c r="AP272" s="66">
        <f t="shared" si="396"/>
        <v>0</v>
      </c>
      <c r="AQ272" s="66">
        <f t="shared" si="396"/>
        <v>0</v>
      </c>
      <c r="AR272" s="66">
        <f t="shared" si="396"/>
        <v>0</v>
      </c>
      <c r="AS272" s="66">
        <f t="shared" si="396"/>
        <v>0</v>
      </c>
      <c r="AT272" s="66">
        <f t="shared" si="396"/>
        <v>70000000</v>
      </c>
      <c r="AU272" s="148"/>
      <c r="AV272" s="148"/>
      <c r="AW272" s="148"/>
      <c r="AX272" s="148"/>
      <c r="AY272" s="148"/>
      <c r="AZ272" s="148"/>
      <c r="BA272" s="148"/>
      <c r="BB272" s="148"/>
      <c r="BC272" s="148"/>
      <c r="BD272" s="66">
        <f t="shared" ref="BD272" si="397">SUM(BD273:BD275)</f>
        <v>70000000</v>
      </c>
      <c r="BE272" s="68"/>
      <c r="BF272" s="68"/>
      <c r="BG272" s="68"/>
      <c r="BH272" s="68"/>
      <c r="BI272" s="68"/>
      <c r="BJ272" s="68"/>
      <c r="BK272" s="68"/>
      <c r="BL272" s="68"/>
      <c r="BM272" s="68"/>
      <c r="BN272" s="66">
        <f t="shared" ref="BN272:BO272" si="398">SUM(BN273:BN275)</f>
        <v>70000000</v>
      </c>
      <c r="BO272" s="544">
        <f t="shared" si="398"/>
        <v>280000000</v>
      </c>
    </row>
    <row r="273" spans="1:67" ht="93.75" customHeight="1" x14ac:dyDescent="0.2">
      <c r="A273" s="547">
        <v>184</v>
      </c>
      <c r="B273" s="69">
        <v>3</v>
      </c>
      <c r="C273" s="136"/>
      <c r="D273" s="136"/>
      <c r="E273" s="489"/>
      <c r="F273" s="562"/>
      <c r="G273" s="632"/>
      <c r="H273" s="562"/>
      <c r="I273" s="77">
        <v>184</v>
      </c>
      <c r="J273" s="73" t="s">
        <v>643</v>
      </c>
      <c r="K273" s="262" t="s">
        <v>644</v>
      </c>
      <c r="L273" s="74" t="s">
        <v>633</v>
      </c>
      <c r="M273" s="74">
        <v>14</v>
      </c>
      <c r="N273" s="112" t="s">
        <v>54</v>
      </c>
      <c r="O273" s="93">
        <v>1</v>
      </c>
      <c r="P273" s="93">
        <v>1</v>
      </c>
      <c r="Q273" s="196">
        <v>1</v>
      </c>
      <c r="R273" s="93">
        <v>1</v>
      </c>
      <c r="S273" s="500"/>
      <c r="T273" s="93">
        <v>1</v>
      </c>
      <c r="U273" s="93"/>
      <c r="V273" s="93">
        <v>1</v>
      </c>
      <c r="W273" s="112"/>
      <c r="X273" s="218">
        <f>AJ273/$AJ$272</f>
        <v>0.35714285714285715</v>
      </c>
      <c r="Y273" s="78">
        <v>16</v>
      </c>
      <c r="Z273" s="75" t="s">
        <v>372</v>
      </c>
      <c r="AA273" s="185"/>
      <c r="AB273" s="185"/>
      <c r="AC273" s="108">
        <f>6500000+6000000+12500000</f>
        <v>25000000</v>
      </c>
      <c r="AD273" s="108"/>
      <c r="AE273" s="185"/>
      <c r="AF273" s="185"/>
      <c r="AG273" s="185"/>
      <c r="AH273" s="185"/>
      <c r="AI273" s="185"/>
      <c r="AJ273" s="82">
        <f>+AA273+AB273+AC273+AD273+AE273+AF273+AG273+AH273+AI273</f>
        <v>25000000</v>
      </c>
      <c r="AK273" s="90"/>
      <c r="AL273" s="90"/>
      <c r="AM273" s="90">
        <v>25000000</v>
      </c>
      <c r="AN273" s="90"/>
      <c r="AO273" s="90"/>
      <c r="AP273" s="90"/>
      <c r="AQ273" s="90"/>
      <c r="AR273" s="90"/>
      <c r="AS273" s="90"/>
      <c r="AT273" s="84">
        <f>AK273+AL273+AM273+AN273+AO273+AP273+AQ273+AR273+AS273</f>
        <v>25000000</v>
      </c>
      <c r="AU273" s="90"/>
      <c r="AV273" s="90"/>
      <c r="AW273" s="90">
        <v>25000000</v>
      </c>
      <c r="AX273" s="90"/>
      <c r="AY273" s="90"/>
      <c r="AZ273" s="90"/>
      <c r="BA273" s="90"/>
      <c r="BB273" s="90"/>
      <c r="BC273" s="90"/>
      <c r="BD273" s="90">
        <f>SUM(AU273:BC273)</f>
        <v>25000000</v>
      </c>
      <c r="BE273" s="90"/>
      <c r="BF273" s="90"/>
      <c r="BG273" s="90">
        <v>25000000</v>
      </c>
      <c r="BH273" s="90"/>
      <c r="BI273" s="90"/>
      <c r="BJ273" s="90"/>
      <c r="BK273" s="90"/>
      <c r="BL273" s="90"/>
      <c r="BM273" s="90"/>
      <c r="BN273" s="90">
        <f>SUM(BE273:BM273)</f>
        <v>25000000</v>
      </c>
      <c r="BO273" s="546">
        <f>AJ273+AT273+BD273+BN273</f>
        <v>100000000</v>
      </c>
    </row>
    <row r="274" spans="1:67" ht="93.75" customHeight="1" x14ac:dyDescent="0.2">
      <c r="A274" s="545">
        <v>185</v>
      </c>
      <c r="B274" s="69">
        <v>3</v>
      </c>
      <c r="C274" s="136"/>
      <c r="D274" s="136"/>
      <c r="E274" s="91">
        <v>31</v>
      </c>
      <c r="F274" s="119" t="s">
        <v>645</v>
      </c>
      <c r="G274" s="114" t="s">
        <v>457</v>
      </c>
      <c r="H274" s="173">
        <v>0.2</v>
      </c>
      <c r="I274" s="77">
        <v>185</v>
      </c>
      <c r="J274" s="73" t="s">
        <v>646</v>
      </c>
      <c r="K274" s="262" t="s">
        <v>647</v>
      </c>
      <c r="L274" s="74" t="s">
        <v>633</v>
      </c>
      <c r="M274" s="74">
        <v>14</v>
      </c>
      <c r="N274" s="112" t="s">
        <v>54</v>
      </c>
      <c r="O274" s="93" t="s">
        <v>49</v>
      </c>
      <c r="P274" s="93">
        <v>1</v>
      </c>
      <c r="Q274" s="196">
        <v>1</v>
      </c>
      <c r="R274" s="93">
        <v>1</v>
      </c>
      <c r="S274" s="500"/>
      <c r="T274" s="93">
        <v>1</v>
      </c>
      <c r="U274" s="93"/>
      <c r="V274" s="93">
        <v>1</v>
      </c>
      <c r="W274" s="112"/>
      <c r="X274" s="218">
        <f>AJ274/$AJ$272</f>
        <v>0.23571428571428571</v>
      </c>
      <c r="Y274" s="78">
        <v>3</v>
      </c>
      <c r="Z274" s="75" t="s">
        <v>452</v>
      </c>
      <c r="AA274" s="185"/>
      <c r="AB274" s="185"/>
      <c r="AC274" s="108">
        <v>16500000</v>
      </c>
      <c r="AD274" s="108"/>
      <c r="AE274" s="185"/>
      <c r="AF274" s="185"/>
      <c r="AG274" s="185"/>
      <c r="AH274" s="185"/>
      <c r="AI274" s="185"/>
      <c r="AJ274" s="82">
        <f>+AA274+AB274+AC274+AD274+AE274+AF274+AG274+AH274+AI274</f>
        <v>16500000</v>
      </c>
      <c r="AK274" s="90"/>
      <c r="AL274" s="90"/>
      <c r="AM274" s="90">
        <v>16500000</v>
      </c>
      <c r="AN274" s="90"/>
      <c r="AO274" s="90"/>
      <c r="AP274" s="90"/>
      <c r="AQ274" s="90"/>
      <c r="AR274" s="90"/>
      <c r="AS274" s="90"/>
      <c r="AT274" s="84">
        <f>AK274+AL274+AM274+AN274+AO274+AP274+AQ274+AR274+AS274</f>
        <v>16500000</v>
      </c>
      <c r="AU274" s="90"/>
      <c r="AV274" s="90"/>
      <c r="AW274" s="90">
        <v>16500000</v>
      </c>
      <c r="AX274" s="90"/>
      <c r="AY274" s="90"/>
      <c r="AZ274" s="90"/>
      <c r="BA274" s="90"/>
      <c r="BB274" s="90"/>
      <c r="BC274" s="90"/>
      <c r="BD274" s="90">
        <f>SUM(AU274:BC274)</f>
        <v>16500000</v>
      </c>
      <c r="BE274" s="90"/>
      <c r="BF274" s="90"/>
      <c r="BG274" s="90">
        <v>16500000</v>
      </c>
      <c r="BH274" s="90"/>
      <c r="BI274" s="90"/>
      <c r="BJ274" s="90"/>
      <c r="BK274" s="90"/>
      <c r="BL274" s="90"/>
      <c r="BM274" s="90"/>
      <c r="BN274" s="90">
        <f>SUM(BE274:BM274)</f>
        <v>16500000</v>
      </c>
      <c r="BO274" s="546">
        <f>AJ274+AT274+BD274+BN274</f>
        <v>66000000</v>
      </c>
    </row>
    <row r="275" spans="1:67" ht="93.75" customHeight="1" x14ac:dyDescent="0.2">
      <c r="A275" s="547">
        <v>186</v>
      </c>
      <c r="B275" s="69">
        <v>3</v>
      </c>
      <c r="C275" s="136"/>
      <c r="D275" s="136"/>
      <c r="E275" s="451"/>
      <c r="F275" s="529"/>
      <c r="G275" s="92"/>
      <c r="H275" s="198"/>
      <c r="I275" s="77">
        <v>186</v>
      </c>
      <c r="J275" s="73" t="s">
        <v>648</v>
      </c>
      <c r="K275" s="262" t="s">
        <v>649</v>
      </c>
      <c r="L275" s="74" t="s">
        <v>633</v>
      </c>
      <c r="M275" s="74">
        <v>14</v>
      </c>
      <c r="N275" s="245" t="s">
        <v>54</v>
      </c>
      <c r="O275" s="196" t="s">
        <v>49</v>
      </c>
      <c r="P275" s="196">
        <v>1</v>
      </c>
      <c r="Q275" s="196">
        <v>1</v>
      </c>
      <c r="R275" s="196">
        <v>1</v>
      </c>
      <c r="S275" s="500"/>
      <c r="T275" s="93">
        <v>1</v>
      </c>
      <c r="U275" s="93"/>
      <c r="V275" s="93">
        <v>1</v>
      </c>
      <c r="W275" s="112"/>
      <c r="X275" s="218">
        <f>AJ275/$AJ$272</f>
        <v>0.40714285714285714</v>
      </c>
      <c r="Y275" s="78">
        <v>8</v>
      </c>
      <c r="Z275" s="75" t="s">
        <v>131</v>
      </c>
      <c r="AA275" s="185"/>
      <c r="AB275" s="185"/>
      <c r="AC275" s="83">
        <v>28500000</v>
      </c>
      <c r="AD275" s="108"/>
      <c r="AE275" s="185"/>
      <c r="AF275" s="185"/>
      <c r="AG275" s="185"/>
      <c r="AH275" s="185"/>
      <c r="AI275" s="185"/>
      <c r="AJ275" s="82">
        <f>+AA275+AB275+AC275+AD275+AE275+AF275+AG275+AH275+AI275</f>
        <v>28500000</v>
      </c>
      <c r="AK275" s="90"/>
      <c r="AL275" s="90"/>
      <c r="AM275" s="90">
        <v>28500000</v>
      </c>
      <c r="AN275" s="90"/>
      <c r="AO275" s="90"/>
      <c r="AP275" s="90"/>
      <c r="AQ275" s="90"/>
      <c r="AR275" s="90"/>
      <c r="AS275" s="90"/>
      <c r="AT275" s="84">
        <f>AK275+AL275+AM275+AN275+AO275+AP275+AQ275+AR275+AS275</f>
        <v>28500000</v>
      </c>
      <c r="AU275" s="90"/>
      <c r="AV275" s="90"/>
      <c r="AW275" s="90">
        <v>28500000</v>
      </c>
      <c r="AX275" s="90"/>
      <c r="AY275" s="90"/>
      <c r="AZ275" s="90"/>
      <c r="BA275" s="90"/>
      <c r="BB275" s="90"/>
      <c r="BC275" s="90"/>
      <c r="BD275" s="90">
        <f>SUM(AU275:BC275)</f>
        <v>28500000</v>
      </c>
      <c r="BE275" s="90"/>
      <c r="BF275" s="90"/>
      <c r="BG275" s="90">
        <v>28500000</v>
      </c>
      <c r="BH275" s="90"/>
      <c r="BI275" s="90"/>
      <c r="BJ275" s="90"/>
      <c r="BK275" s="90"/>
      <c r="BL275" s="90"/>
      <c r="BM275" s="90"/>
      <c r="BN275" s="90">
        <f>SUM(BE275:BM275)</f>
        <v>28500000</v>
      </c>
      <c r="BO275" s="546">
        <f>AJ275+AT275+BD275+BN275</f>
        <v>114000000</v>
      </c>
    </row>
    <row r="276" spans="1:67" ht="24.75" customHeight="1" x14ac:dyDescent="0.2">
      <c r="A276" s="547"/>
      <c r="B276" s="69"/>
      <c r="C276" s="136"/>
      <c r="D276" s="136"/>
      <c r="E276" s="57">
        <v>60</v>
      </c>
      <c r="F276" s="58" t="s">
        <v>650</v>
      </c>
      <c r="G276" s="61"/>
      <c r="H276" s="61"/>
      <c r="I276" s="60"/>
      <c r="J276" s="61"/>
      <c r="K276" s="61"/>
      <c r="L276" s="60"/>
      <c r="M276" s="62"/>
      <c r="N276" s="63"/>
      <c r="O276" s="61"/>
      <c r="P276" s="61"/>
      <c r="Q276" s="64"/>
      <c r="R276" s="64"/>
      <c r="S276" s="499"/>
      <c r="T276" s="64"/>
      <c r="U276" s="64"/>
      <c r="V276" s="64"/>
      <c r="W276" s="64"/>
      <c r="X276" s="64"/>
      <c r="Y276" s="64"/>
      <c r="Z276" s="64"/>
      <c r="AA276" s="417">
        <f>SUM(AA277:AA279)</f>
        <v>0</v>
      </c>
      <c r="AB276" s="417">
        <f t="shared" ref="AB276:AQ276" si="399">SUM(AB277:AB279)</f>
        <v>0</v>
      </c>
      <c r="AC276" s="417">
        <f t="shared" si="399"/>
        <v>100000000</v>
      </c>
      <c r="AD276" s="417">
        <f t="shared" si="399"/>
        <v>0</v>
      </c>
      <c r="AE276" s="417">
        <f t="shared" si="399"/>
        <v>0</v>
      </c>
      <c r="AF276" s="417">
        <f t="shared" si="399"/>
        <v>0</v>
      </c>
      <c r="AG276" s="417">
        <f t="shared" si="399"/>
        <v>0</v>
      </c>
      <c r="AH276" s="417">
        <f t="shared" si="399"/>
        <v>0</v>
      </c>
      <c r="AI276" s="417">
        <f t="shared" si="399"/>
        <v>0</v>
      </c>
      <c r="AJ276" s="417">
        <f t="shared" si="399"/>
        <v>100000000</v>
      </c>
      <c r="AK276" s="417">
        <f t="shared" si="399"/>
        <v>0</v>
      </c>
      <c r="AL276" s="417">
        <f t="shared" si="399"/>
        <v>0</v>
      </c>
      <c r="AM276" s="417">
        <f t="shared" si="399"/>
        <v>100000000</v>
      </c>
      <c r="AN276" s="417">
        <f t="shared" si="399"/>
        <v>0</v>
      </c>
      <c r="AO276" s="417">
        <f t="shared" si="399"/>
        <v>0</v>
      </c>
      <c r="AP276" s="417">
        <f t="shared" si="399"/>
        <v>0</v>
      </c>
      <c r="AQ276" s="417">
        <f t="shared" si="399"/>
        <v>0</v>
      </c>
      <c r="AR276" s="417">
        <f t="shared" ref="AR276:AT276" si="400">SUM(AR277:AR279)</f>
        <v>0</v>
      </c>
      <c r="AS276" s="417">
        <f t="shared" si="400"/>
        <v>0</v>
      </c>
      <c r="AT276" s="417">
        <f t="shared" si="400"/>
        <v>100000000</v>
      </c>
      <c r="AU276" s="64"/>
      <c r="AV276" s="64"/>
      <c r="AW276" s="64"/>
      <c r="AX276" s="64"/>
      <c r="AY276" s="64"/>
      <c r="AZ276" s="64"/>
      <c r="BA276" s="64"/>
      <c r="BB276" s="64"/>
      <c r="BC276" s="64"/>
      <c r="BD276" s="417">
        <f t="shared" ref="BD276" si="401">SUM(BD277:BD279)</f>
        <v>100000000</v>
      </c>
      <c r="BE276" s="64"/>
      <c r="BF276" s="64"/>
      <c r="BG276" s="64"/>
      <c r="BH276" s="64"/>
      <c r="BI276" s="64"/>
      <c r="BJ276" s="64"/>
      <c r="BK276" s="64"/>
      <c r="BL276" s="64"/>
      <c r="BM276" s="64"/>
      <c r="BN276" s="417">
        <f t="shared" ref="BN276:BO276" si="402">SUM(BN277:BN279)</f>
        <v>100000000</v>
      </c>
      <c r="BO276" s="602">
        <f t="shared" si="402"/>
        <v>400000000</v>
      </c>
    </row>
    <row r="277" spans="1:67" ht="93.75" customHeight="1" x14ac:dyDescent="0.2">
      <c r="A277" s="545">
        <v>187</v>
      </c>
      <c r="B277" s="69">
        <v>3</v>
      </c>
      <c r="C277" s="136"/>
      <c r="D277" s="136"/>
      <c r="E277" s="478"/>
      <c r="F277" s="562"/>
      <c r="G277" s="562"/>
      <c r="H277" s="562"/>
      <c r="I277" s="77">
        <v>187</v>
      </c>
      <c r="J277" s="73" t="s">
        <v>651</v>
      </c>
      <c r="K277" s="262" t="s">
        <v>652</v>
      </c>
      <c r="L277" s="74" t="s">
        <v>633</v>
      </c>
      <c r="M277" s="74">
        <v>14</v>
      </c>
      <c r="N277" s="112" t="s">
        <v>54</v>
      </c>
      <c r="O277" s="93">
        <v>1</v>
      </c>
      <c r="P277" s="93">
        <v>1</v>
      </c>
      <c r="Q277" s="196">
        <v>1</v>
      </c>
      <c r="R277" s="93">
        <v>1</v>
      </c>
      <c r="S277" s="500"/>
      <c r="T277" s="93">
        <v>1</v>
      </c>
      <c r="U277" s="93"/>
      <c r="V277" s="93">
        <v>1</v>
      </c>
      <c r="W277" s="112"/>
      <c r="X277" s="257">
        <f>AJ277/$AJ$276</f>
        <v>0.24349999999999999</v>
      </c>
      <c r="Y277" s="78">
        <v>8</v>
      </c>
      <c r="Z277" s="75" t="s">
        <v>131</v>
      </c>
      <c r="AA277" s="108"/>
      <c r="AB277" s="108"/>
      <c r="AC277" s="108">
        <v>24350000</v>
      </c>
      <c r="AD277" s="108"/>
      <c r="AE277" s="108"/>
      <c r="AF277" s="108"/>
      <c r="AG277" s="108"/>
      <c r="AH277" s="108"/>
      <c r="AI277" s="108"/>
      <c r="AJ277" s="82">
        <f>+AA277+AB277+AC277+AD277+AE277+AF277+AG277+AH277+AI277</f>
        <v>24350000</v>
      </c>
      <c r="AK277" s="90"/>
      <c r="AL277" s="90"/>
      <c r="AM277" s="90">
        <v>24350000</v>
      </c>
      <c r="AN277" s="90"/>
      <c r="AO277" s="90"/>
      <c r="AP277" s="90"/>
      <c r="AQ277" s="90"/>
      <c r="AR277" s="90"/>
      <c r="AS277" s="90"/>
      <c r="AT277" s="84">
        <f>AK277+AL277+AM277+AN277+AO277+AP277+AQ277+AR277+AS277</f>
        <v>24350000</v>
      </c>
      <c r="AU277" s="90"/>
      <c r="AV277" s="90"/>
      <c r="AW277" s="90">
        <v>24350000</v>
      </c>
      <c r="AX277" s="90"/>
      <c r="AY277" s="90"/>
      <c r="AZ277" s="90"/>
      <c r="BA277" s="90"/>
      <c r="BB277" s="90"/>
      <c r="BC277" s="90"/>
      <c r="BD277" s="90">
        <f>SUM(AU277:BC277)</f>
        <v>24350000</v>
      </c>
      <c r="BE277" s="90"/>
      <c r="BF277" s="90"/>
      <c r="BG277" s="90">
        <v>24350000</v>
      </c>
      <c r="BH277" s="90"/>
      <c r="BI277" s="90"/>
      <c r="BJ277" s="90"/>
      <c r="BK277" s="90"/>
      <c r="BL277" s="90"/>
      <c r="BM277" s="90"/>
      <c r="BN277" s="90">
        <f>SUM(BE277:BM277)</f>
        <v>24350000</v>
      </c>
      <c r="BO277" s="546">
        <f>AJ277+AT277+BD277+BN277</f>
        <v>97400000</v>
      </c>
    </row>
    <row r="278" spans="1:67" ht="93.75" customHeight="1" x14ac:dyDescent="0.2">
      <c r="A278" s="547">
        <v>188</v>
      </c>
      <c r="B278" s="69">
        <v>3</v>
      </c>
      <c r="C278" s="136"/>
      <c r="D278" s="136"/>
      <c r="E278" s="430">
        <v>32</v>
      </c>
      <c r="F278" s="243" t="s">
        <v>653</v>
      </c>
      <c r="G278" s="319" t="s">
        <v>247</v>
      </c>
      <c r="H278" s="319" t="s">
        <v>248</v>
      </c>
      <c r="I278" s="77">
        <v>188</v>
      </c>
      <c r="J278" s="73" t="s">
        <v>654</v>
      </c>
      <c r="K278" s="262" t="s">
        <v>655</v>
      </c>
      <c r="L278" s="74" t="s">
        <v>633</v>
      </c>
      <c r="M278" s="74">
        <v>14</v>
      </c>
      <c r="N278" s="112" t="s">
        <v>54</v>
      </c>
      <c r="O278" s="93" t="s">
        <v>49</v>
      </c>
      <c r="P278" s="93">
        <v>2</v>
      </c>
      <c r="Q278" s="196">
        <v>2</v>
      </c>
      <c r="R278" s="93">
        <v>2</v>
      </c>
      <c r="S278" s="500"/>
      <c r="T278" s="93">
        <v>2</v>
      </c>
      <c r="U278" s="93"/>
      <c r="V278" s="93">
        <v>2</v>
      </c>
      <c r="W278" s="112"/>
      <c r="X278" s="257">
        <f>AJ278/$AJ$276</f>
        <v>0.3165</v>
      </c>
      <c r="Y278" s="78">
        <v>16</v>
      </c>
      <c r="Z278" s="75" t="s">
        <v>372</v>
      </c>
      <c r="AA278" s="108"/>
      <c r="AB278" s="108"/>
      <c r="AC278" s="108">
        <f>25000000+6650000</f>
        <v>31650000</v>
      </c>
      <c r="AD278" s="108"/>
      <c r="AE278" s="108"/>
      <c r="AF278" s="108"/>
      <c r="AG278" s="108"/>
      <c r="AH278" s="108"/>
      <c r="AI278" s="108"/>
      <c r="AJ278" s="82">
        <f>+AA278+AB278+AC278+AD278+AE278+AF278+AG278+AH278+AI278</f>
        <v>31650000</v>
      </c>
      <c r="AK278" s="90"/>
      <c r="AL278" s="90"/>
      <c r="AM278" s="90">
        <v>31650000</v>
      </c>
      <c r="AN278" s="90"/>
      <c r="AO278" s="90"/>
      <c r="AP278" s="90"/>
      <c r="AQ278" s="90"/>
      <c r="AR278" s="90"/>
      <c r="AS278" s="90"/>
      <c r="AT278" s="84">
        <f>AK278+AL278+AM278+AN278+AO278+AP278+AQ278+AR278+AS278</f>
        <v>31650000</v>
      </c>
      <c r="AU278" s="90"/>
      <c r="AV278" s="90"/>
      <c r="AW278" s="90">
        <v>31650000</v>
      </c>
      <c r="AX278" s="90"/>
      <c r="AY278" s="90"/>
      <c r="AZ278" s="90"/>
      <c r="BA278" s="90"/>
      <c r="BB278" s="90"/>
      <c r="BC278" s="90"/>
      <c r="BD278" s="90">
        <f>SUM(AU278:BC278)</f>
        <v>31650000</v>
      </c>
      <c r="BE278" s="90"/>
      <c r="BF278" s="90"/>
      <c r="BG278" s="90">
        <v>44000000</v>
      </c>
      <c r="BH278" s="90"/>
      <c r="BI278" s="90"/>
      <c r="BJ278" s="90"/>
      <c r="BK278" s="90"/>
      <c r="BL278" s="90"/>
      <c r="BM278" s="90"/>
      <c r="BN278" s="90">
        <f>SUM(BE278:BM278)</f>
        <v>44000000</v>
      </c>
      <c r="BO278" s="546">
        <f>AJ278+AT278+BD278+BN278</f>
        <v>138950000</v>
      </c>
    </row>
    <row r="279" spans="1:67" ht="93.75" customHeight="1" x14ac:dyDescent="0.2">
      <c r="A279" s="545">
        <v>189</v>
      </c>
      <c r="B279" s="69">
        <v>3</v>
      </c>
      <c r="C279" s="136"/>
      <c r="D279" s="136"/>
      <c r="E279" s="451"/>
      <c r="F279" s="529"/>
      <c r="G279" s="92"/>
      <c r="H279" s="92"/>
      <c r="I279" s="77">
        <v>189</v>
      </c>
      <c r="J279" s="73" t="s">
        <v>656</v>
      </c>
      <c r="K279" s="262" t="s">
        <v>657</v>
      </c>
      <c r="L279" s="74" t="s">
        <v>633</v>
      </c>
      <c r="M279" s="74">
        <v>14</v>
      </c>
      <c r="N279" s="112" t="s">
        <v>54</v>
      </c>
      <c r="O279" s="93" t="s">
        <v>49</v>
      </c>
      <c r="P279" s="93">
        <v>1</v>
      </c>
      <c r="Q279" s="196">
        <v>1</v>
      </c>
      <c r="R279" s="93">
        <v>1</v>
      </c>
      <c r="S279" s="500"/>
      <c r="T279" s="93">
        <v>1</v>
      </c>
      <c r="U279" s="93"/>
      <c r="V279" s="93">
        <v>1</v>
      </c>
      <c r="W279" s="112"/>
      <c r="X279" s="257">
        <f>AJ279/$AJ$276</f>
        <v>0.44</v>
      </c>
      <c r="Y279" s="78">
        <v>3</v>
      </c>
      <c r="Z279" s="75" t="s">
        <v>452</v>
      </c>
      <c r="AA279" s="108"/>
      <c r="AB279" s="108"/>
      <c r="AC279" s="108">
        <v>44000000</v>
      </c>
      <c r="AD279" s="108"/>
      <c r="AE279" s="108"/>
      <c r="AF279" s="108"/>
      <c r="AG279" s="108"/>
      <c r="AH279" s="108"/>
      <c r="AI279" s="108"/>
      <c r="AJ279" s="82">
        <f>+AA279+AB279+AC279+AD279+AE279+AF279+AG279+AH279+AI279</f>
        <v>44000000</v>
      </c>
      <c r="AK279" s="90"/>
      <c r="AL279" s="90"/>
      <c r="AM279" s="90">
        <v>44000000</v>
      </c>
      <c r="AN279" s="90"/>
      <c r="AO279" s="90"/>
      <c r="AP279" s="90"/>
      <c r="AQ279" s="90"/>
      <c r="AR279" s="90"/>
      <c r="AS279" s="90"/>
      <c r="AT279" s="84">
        <f>AK279+AL279+AM279+AN279+AO279+AP279+AQ279+AR279+AS279</f>
        <v>44000000</v>
      </c>
      <c r="AU279" s="90"/>
      <c r="AV279" s="90"/>
      <c r="AW279" s="90">
        <v>44000000</v>
      </c>
      <c r="AX279" s="90"/>
      <c r="AY279" s="90"/>
      <c r="AZ279" s="90"/>
      <c r="BA279" s="90"/>
      <c r="BB279" s="90"/>
      <c r="BC279" s="90"/>
      <c r="BD279" s="90">
        <f>SUM(AU279:BC279)</f>
        <v>44000000</v>
      </c>
      <c r="BE279" s="90"/>
      <c r="BF279" s="90"/>
      <c r="BG279" s="90">
        <v>31650000</v>
      </c>
      <c r="BH279" s="90"/>
      <c r="BI279" s="90"/>
      <c r="BJ279" s="90"/>
      <c r="BK279" s="90"/>
      <c r="BL279" s="90"/>
      <c r="BM279" s="90"/>
      <c r="BN279" s="90">
        <f>SUM(BE279:BM279)</f>
        <v>31650000</v>
      </c>
      <c r="BO279" s="546">
        <f>AJ279+AT279+BD279+BN279</f>
        <v>163650000</v>
      </c>
    </row>
    <row r="280" spans="1:67" ht="24.75" customHeight="1" x14ac:dyDescent="0.2">
      <c r="A280" s="545"/>
      <c r="B280" s="69"/>
      <c r="C280" s="136"/>
      <c r="D280" s="136"/>
      <c r="E280" s="57">
        <v>61</v>
      </c>
      <c r="F280" s="184" t="s">
        <v>658</v>
      </c>
      <c r="G280" s="96"/>
      <c r="H280" s="96"/>
      <c r="I280" s="60"/>
      <c r="J280" s="96"/>
      <c r="K280" s="96"/>
      <c r="L280" s="60"/>
      <c r="M280" s="60"/>
      <c r="N280" s="97"/>
      <c r="O280" s="96"/>
      <c r="P280" s="96"/>
      <c r="Q280" s="98"/>
      <c r="R280" s="98"/>
      <c r="S280" s="503"/>
      <c r="T280" s="96"/>
      <c r="U280" s="96"/>
      <c r="V280" s="60"/>
      <c r="W280" s="60"/>
      <c r="X280" s="99"/>
      <c r="Y280" s="60"/>
      <c r="Z280" s="60"/>
      <c r="AA280" s="101">
        <f t="shared" ref="AA280:AI280" si="403">SUM(AA281)</f>
        <v>0</v>
      </c>
      <c r="AB280" s="101">
        <f t="shared" si="403"/>
        <v>0</v>
      </c>
      <c r="AC280" s="101">
        <f t="shared" si="403"/>
        <v>180000000</v>
      </c>
      <c r="AD280" s="101">
        <f t="shared" si="403"/>
        <v>0</v>
      </c>
      <c r="AE280" s="101">
        <f t="shared" si="403"/>
        <v>0</v>
      </c>
      <c r="AF280" s="101">
        <f t="shared" si="403"/>
        <v>0</v>
      </c>
      <c r="AG280" s="101">
        <f t="shared" si="403"/>
        <v>0</v>
      </c>
      <c r="AH280" s="101">
        <f t="shared" si="403"/>
        <v>0</v>
      </c>
      <c r="AI280" s="101">
        <f t="shared" si="403"/>
        <v>0</v>
      </c>
      <c r="AJ280" s="101">
        <f>SUM(AJ281)</f>
        <v>180000000</v>
      </c>
      <c r="AK280" s="101">
        <f t="shared" ref="AK280:AT280" si="404">SUM(AK281)</f>
        <v>0</v>
      </c>
      <c r="AL280" s="101">
        <f t="shared" si="404"/>
        <v>0</v>
      </c>
      <c r="AM280" s="101">
        <f t="shared" si="404"/>
        <v>190000000</v>
      </c>
      <c r="AN280" s="101">
        <f t="shared" si="404"/>
        <v>0</v>
      </c>
      <c r="AO280" s="101">
        <f t="shared" si="404"/>
        <v>0</v>
      </c>
      <c r="AP280" s="101">
        <f t="shared" si="404"/>
        <v>0</v>
      </c>
      <c r="AQ280" s="101">
        <f t="shared" si="404"/>
        <v>0</v>
      </c>
      <c r="AR280" s="101">
        <f t="shared" si="404"/>
        <v>0</v>
      </c>
      <c r="AS280" s="101">
        <f t="shared" si="404"/>
        <v>0</v>
      </c>
      <c r="AT280" s="101">
        <f t="shared" si="404"/>
        <v>190000000</v>
      </c>
      <c r="AU280" s="102"/>
      <c r="AV280" s="102"/>
      <c r="AW280" s="102"/>
      <c r="AX280" s="102"/>
      <c r="AY280" s="102"/>
      <c r="AZ280" s="102"/>
      <c r="BA280" s="102"/>
      <c r="BB280" s="102"/>
      <c r="BC280" s="102"/>
      <c r="BD280" s="101">
        <f t="shared" ref="BD280" si="405">SUM(BD281)</f>
        <v>180000000</v>
      </c>
      <c r="BE280" s="102"/>
      <c r="BF280" s="102"/>
      <c r="BG280" s="102"/>
      <c r="BH280" s="102"/>
      <c r="BI280" s="102"/>
      <c r="BJ280" s="102"/>
      <c r="BK280" s="102"/>
      <c r="BL280" s="102"/>
      <c r="BM280" s="102"/>
      <c r="BN280" s="101">
        <f t="shared" ref="BN280:BO280" si="406">SUM(BN281)</f>
        <v>180000000</v>
      </c>
      <c r="BO280" s="570">
        <f t="shared" si="406"/>
        <v>730000000</v>
      </c>
    </row>
    <row r="281" spans="1:67" ht="93" customHeight="1" x14ac:dyDescent="0.2">
      <c r="A281" s="547">
        <v>190</v>
      </c>
      <c r="B281" s="69">
        <v>3</v>
      </c>
      <c r="C281" s="136"/>
      <c r="D281" s="192"/>
      <c r="E281" s="93">
        <v>34</v>
      </c>
      <c r="F281" s="70" t="s">
        <v>659</v>
      </c>
      <c r="G281" s="93" t="s">
        <v>49</v>
      </c>
      <c r="H281" s="618">
        <v>0.4</v>
      </c>
      <c r="I281" s="77">
        <v>190</v>
      </c>
      <c r="J281" s="73" t="s">
        <v>660</v>
      </c>
      <c r="K281" s="239" t="s">
        <v>661</v>
      </c>
      <c r="L281" s="74" t="s">
        <v>633</v>
      </c>
      <c r="M281" s="74">
        <v>14</v>
      </c>
      <c r="N281" s="88" t="s">
        <v>54</v>
      </c>
      <c r="O281" s="76">
        <v>1</v>
      </c>
      <c r="P281" s="76">
        <v>1</v>
      </c>
      <c r="Q281" s="89">
        <v>1</v>
      </c>
      <c r="R281" s="76">
        <v>1</v>
      </c>
      <c r="S281" s="500"/>
      <c r="T281" s="76">
        <v>1</v>
      </c>
      <c r="U281" s="76"/>
      <c r="V281" s="76">
        <v>1</v>
      </c>
      <c r="W281" s="88"/>
      <c r="X281" s="121">
        <f>AJ281/AJ280</f>
        <v>1</v>
      </c>
      <c r="Y281" s="78">
        <v>10</v>
      </c>
      <c r="Z281" s="75" t="s">
        <v>385</v>
      </c>
      <c r="AA281" s="82"/>
      <c r="AB281" s="82"/>
      <c r="AC281" s="108">
        <f>150400000+22000000+7600000</f>
        <v>180000000</v>
      </c>
      <c r="AD281" s="108"/>
      <c r="AE281" s="82"/>
      <c r="AF281" s="82"/>
      <c r="AG281" s="82"/>
      <c r="AH281" s="82"/>
      <c r="AI281" s="82"/>
      <c r="AJ281" s="82">
        <f>+AA281+AB281+AC281+AD281+AE281+AF281+AG281+AH281+AI281</f>
        <v>180000000</v>
      </c>
      <c r="AK281" s="90"/>
      <c r="AL281" s="90"/>
      <c r="AM281" s="455">
        <v>190000000</v>
      </c>
      <c r="AN281" s="90"/>
      <c r="AO281" s="90"/>
      <c r="AP281" s="90"/>
      <c r="AQ281" s="90"/>
      <c r="AR281" s="90"/>
      <c r="AS281" s="90"/>
      <c r="AT281" s="84">
        <f>AK281+AL281+AM281+AN281+AO281+AP281+AQ281+AR281+AS281</f>
        <v>190000000</v>
      </c>
      <c r="AU281" s="455"/>
      <c r="AV281" s="455"/>
      <c r="AW281" s="455">
        <v>180000000</v>
      </c>
      <c r="AX281" s="455"/>
      <c r="AY281" s="455"/>
      <c r="AZ281" s="455"/>
      <c r="BA281" s="455"/>
      <c r="BB281" s="455"/>
      <c r="BC281" s="455"/>
      <c r="BD281" s="455">
        <f>SUM(AU281:BC281)</f>
        <v>180000000</v>
      </c>
      <c r="BE281" s="90"/>
      <c r="BF281" s="90"/>
      <c r="BG281" s="90">
        <v>180000000</v>
      </c>
      <c r="BH281" s="90"/>
      <c r="BI281" s="90"/>
      <c r="BJ281" s="90"/>
      <c r="BK281" s="90"/>
      <c r="BL281" s="90"/>
      <c r="BM281" s="90"/>
      <c r="BN281" s="90">
        <f>SUM(BE281:BM281)</f>
        <v>180000000</v>
      </c>
      <c r="BO281" s="546">
        <f>AJ281+AT281+BD281+BN281</f>
        <v>730000000</v>
      </c>
    </row>
    <row r="282" spans="1:67" ht="24.75" customHeight="1" x14ac:dyDescent="0.2">
      <c r="A282" s="547"/>
      <c r="B282" s="69"/>
      <c r="C282" s="136"/>
      <c r="D282" s="43">
        <v>18</v>
      </c>
      <c r="E282" s="134" t="s">
        <v>662</v>
      </c>
      <c r="F282" s="45"/>
      <c r="G282" s="45"/>
      <c r="H282" s="45"/>
      <c r="I282" s="267"/>
      <c r="J282" s="48"/>
      <c r="K282" s="48"/>
      <c r="L282" s="49"/>
      <c r="M282" s="47"/>
      <c r="N282" s="50"/>
      <c r="O282" s="48"/>
      <c r="P282" s="48"/>
      <c r="Q282" s="51"/>
      <c r="R282" s="48"/>
      <c r="S282" s="498"/>
      <c r="T282" s="48"/>
      <c r="U282" s="48"/>
      <c r="V282" s="47"/>
      <c r="W282" s="47"/>
      <c r="X282" s="135"/>
      <c r="Y282" s="47"/>
      <c r="Z282" s="47"/>
      <c r="AA282" s="53">
        <f t="shared" ref="AA282:AI282" si="407">AA283+AA286+AA289+AA291+AA293</f>
        <v>0</v>
      </c>
      <c r="AB282" s="53">
        <f t="shared" si="407"/>
        <v>0</v>
      </c>
      <c r="AC282" s="53">
        <f t="shared" si="407"/>
        <v>230000000</v>
      </c>
      <c r="AD282" s="53">
        <f t="shared" si="407"/>
        <v>0</v>
      </c>
      <c r="AE282" s="53">
        <f t="shared" si="407"/>
        <v>0</v>
      </c>
      <c r="AF282" s="53">
        <f t="shared" si="407"/>
        <v>0</v>
      </c>
      <c r="AG282" s="53">
        <f t="shared" si="407"/>
        <v>0</v>
      </c>
      <c r="AH282" s="53">
        <f t="shared" si="407"/>
        <v>0</v>
      </c>
      <c r="AI282" s="53">
        <f t="shared" si="407"/>
        <v>500000000</v>
      </c>
      <c r="AJ282" s="54">
        <f>AJ283+AJ286+AJ289+AJ291+AJ293</f>
        <v>730000000</v>
      </c>
      <c r="AK282" s="53">
        <f t="shared" ref="AK282:AT282" si="408">AK283+AK286+AK289+AK291+AK293</f>
        <v>0</v>
      </c>
      <c r="AL282" s="53">
        <f t="shared" si="408"/>
        <v>0</v>
      </c>
      <c r="AM282" s="53">
        <f t="shared" si="408"/>
        <v>243000000</v>
      </c>
      <c r="AN282" s="53">
        <f t="shared" si="408"/>
        <v>0</v>
      </c>
      <c r="AO282" s="53">
        <f t="shared" si="408"/>
        <v>0</v>
      </c>
      <c r="AP282" s="53">
        <f t="shared" si="408"/>
        <v>0</v>
      </c>
      <c r="AQ282" s="53">
        <f t="shared" si="408"/>
        <v>0</v>
      </c>
      <c r="AR282" s="53">
        <f t="shared" si="408"/>
        <v>0</v>
      </c>
      <c r="AS282" s="53">
        <f t="shared" si="408"/>
        <v>500000000</v>
      </c>
      <c r="AT282" s="53">
        <f t="shared" si="408"/>
        <v>743000000</v>
      </c>
      <c r="AU282" s="55"/>
      <c r="AV282" s="55"/>
      <c r="AW282" s="55"/>
      <c r="AX282" s="55"/>
      <c r="AY282" s="55"/>
      <c r="AZ282" s="55"/>
      <c r="BA282" s="55"/>
      <c r="BB282" s="55"/>
      <c r="BC282" s="55"/>
      <c r="BD282" s="53">
        <f t="shared" ref="BD282" si="409">BD283+BD286+BD289+BD291+BD293</f>
        <v>735000000</v>
      </c>
      <c r="BE282" s="55"/>
      <c r="BF282" s="55"/>
      <c r="BG282" s="55"/>
      <c r="BH282" s="55"/>
      <c r="BI282" s="55"/>
      <c r="BJ282" s="55"/>
      <c r="BK282" s="55"/>
      <c r="BL282" s="55"/>
      <c r="BM282" s="55"/>
      <c r="BN282" s="53">
        <f t="shared" ref="BN282" si="410">BN283+BN286+BN289+BN291+BN293</f>
        <v>1737000000</v>
      </c>
      <c r="BO282" s="543">
        <f t="shared" ref="BO282" si="411">BO283+BO286+BO289+BO291+BO293</f>
        <v>3945000000</v>
      </c>
    </row>
    <row r="283" spans="1:67" ht="24.75" customHeight="1" x14ac:dyDescent="0.2">
      <c r="A283" s="547"/>
      <c r="B283" s="69"/>
      <c r="C283" s="136"/>
      <c r="D283" s="562"/>
      <c r="E283" s="57">
        <v>62</v>
      </c>
      <c r="F283" s="58" t="s">
        <v>663</v>
      </c>
      <c r="G283" s="61"/>
      <c r="H283" s="61"/>
      <c r="I283" s="57"/>
      <c r="J283" s="58"/>
      <c r="K283" s="61"/>
      <c r="L283" s="60"/>
      <c r="M283" s="62"/>
      <c r="N283" s="63"/>
      <c r="O283" s="61"/>
      <c r="P283" s="61"/>
      <c r="Q283" s="64"/>
      <c r="R283" s="61"/>
      <c r="S283" s="499"/>
      <c r="T283" s="64"/>
      <c r="U283" s="64"/>
      <c r="V283" s="64"/>
      <c r="W283" s="64"/>
      <c r="X283" s="64"/>
      <c r="Y283" s="64"/>
      <c r="Z283" s="64"/>
      <c r="AA283" s="417">
        <f>SUM(AA284:AA285)</f>
        <v>0</v>
      </c>
      <c r="AB283" s="417">
        <f t="shared" ref="AB283:AJ283" si="412">SUM(AB284:AB285)</f>
        <v>0</v>
      </c>
      <c r="AC283" s="417">
        <f t="shared" si="412"/>
        <v>70000000</v>
      </c>
      <c r="AD283" s="417">
        <f t="shared" si="412"/>
        <v>0</v>
      </c>
      <c r="AE283" s="417">
        <f t="shared" si="412"/>
        <v>0</v>
      </c>
      <c r="AF283" s="417">
        <f t="shared" si="412"/>
        <v>0</v>
      </c>
      <c r="AG283" s="417">
        <f t="shared" si="412"/>
        <v>0</v>
      </c>
      <c r="AH283" s="417">
        <f t="shared" si="412"/>
        <v>0</v>
      </c>
      <c r="AI283" s="417">
        <f t="shared" si="412"/>
        <v>500000000</v>
      </c>
      <c r="AJ283" s="417">
        <f t="shared" si="412"/>
        <v>570000000</v>
      </c>
      <c r="AK283" s="417">
        <f t="shared" ref="AK283:AT283" si="413">SUM(AK284:AK285)</f>
        <v>0</v>
      </c>
      <c r="AL283" s="417">
        <f t="shared" si="413"/>
        <v>0</v>
      </c>
      <c r="AM283" s="417">
        <f t="shared" si="413"/>
        <v>70000000</v>
      </c>
      <c r="AN283" s="417">
        <f t="shared" si="413"/>
        <v>0</v>
      </c>
      <c r="AO283" s="417">
        <f t="shared" si="413"/>
        <v>0</v>
      </c>
      <c r="AP283" s="417">
        <f t="shared" si="413"/>
        <v>0</v>
      </c>
      <c r="AQ283" s="417">
        <f t="shared" si="413"/>
        <v>0</v>
      </c>
      <c r="AR283" s="417">
        <f t="shared" si="413"/>
        <v>0</v>
      </c>
      <c r="AS283" s="417">
        <f t="shared" si="413"/>
        <v>500000000</v>
      </c>
      <c r="AT283" s="417">
        <f t="shared" si="413"/>
        <v>570000000</v>
      </c>
      <c r="AU283" s="64"/>
      <c r="AV283" s="64"/>
      <c r="AW283" s="64"/>
      <c r="AX283" s="64"/>
      <c r="AY283" s="64"/>
      <c r="AZ283" s="64"/>
      <c r="BA283" s="64"/>
      <c r="BB283" s="64"/>
      <c r="BC283" s="64"/>
      <c r="BD283" s="417">
        <f t="shared" ref="BD283" si="414">SUM(BD284:BD285)</f>
        <v>570000000</v>
      </c>
      <c r="BE283" s="64"/>
      <c r="BF283" s="64"/>
      <c r="BG283" s="64"/>
      <c r="BH283" s="64"/>
      <c r="BI283" s="64"/>
      <c r="BJ283" s="64"/>
      <c r="BK283" s="64"/>
      <c r="BL283" s="64"/>
      <c r="BM283" s="64"/>
      <c r="BN283" s="417">
        <f t="shared" ref="BN283" si="415">SUM(BN284:BN285)</f>
        <v>1570000000</v>
      </c>
      <c r="BO283" s="602">
        <f t="shared" ref="BO283" si="416">SUM(BO284:BO285)</f>
        <v>3280000000</v>
      </c>
    </row>
    <row r="284" spans="1:67" ht="108" customHeight="1" x14ac:dyDescent="0.2">
      <c r="A284" s="545">
        <v>191</v>
      </c>
      <c r="B284" s="69">
        <v>3</v>
      </c>
      <c r="C284" s="136"/>
      <c r="D284" s="136"/>
      <c r="E284" s="93">
        <v>5</v>
      </c>
      <c r="F284" s="300" t="s">
        <v>407</v>
      </c>
      <c r="G284" s="87" t="s">
        <v>117</v>
      </c>
      <c r="H284" s="87" t="s">
        <v>118</v>
      </c>
      <c r="I284" s="77">
        <v>191</v>
      </c>
      <c r="J284" s="73" t="s">
        <v>664</v>
      </c>
      <c r="K284" s="70" t="s">
        <v>665</v>
      </c>
      <c r="L284" s="74" t="s">
        <v>633</v>
      </c>
      <c r="M284" s="74">
        <v>14</v>
      </c>
      <c r="N284" s="75" t="s">
        <v>54</v>
      </c>
      <c r="O284" s="78" t="s">
        <v>49</v>
      </c>
      <c r="P284" s="78">
        <v>1</v>
      </c>
      <c r="Q284" s="77">
        <v>1</v>
      </c>
      <c r="R284" s="78">
        <v>1</v>
      </c>
      <c r="S284" s="500"/>
      <c r="T284" s="78">
        <v>1</v>
      </c>
      <c r="U284" s="78"/>
      <c r="V284" s="78">
        <v>1</v>
      </c>
      <c r="W284" s="75"/>
      <c r="X284" s="121">
        <f>AJ284/AJ283</f>
        <v>0.89473684210526316</v>
      </c>
      <c r="Y284" s="78">
        <v>10</v>
      </c>
      <c r="Z284" s="75" t="s">
        <v>385</v>
      </c>
      <c r="AA284" s="82"/>
      <c r="AB284" s="82"/>
      <c r="AC284" s="83">
        <v>10000000</v>
      </c>
      <c r="AD284" s="82"/>
      <c r="AE284" s="82"/>
      <c r="AF284" s="82"/>
      <c r="AG284" s="82"/>
      <c r="AH284" s="82"/>
      <c r="AI284" s="82">
        <v>500000000</v>
      </c>
      <c r="AJ284" s="82">
        <f>+AA284+AB284+AC284+AD284+AE284+AF284+AG284+AH284+AI284</f>
        <v>510000000</v>
      </c>
      <c r="AK284" s="90"/>
      <c r="AL284" s="90"/>
      <c r="AM284" s="90">
        <v>10000000</v>
      </c>
      <c r="AN284" s="90"/>
      <c r="AO284" s="90"/>
      <c r="AP284" s="90"/>
      <c r="AQ284" s="90"/>
      <c r="AR284" s="90"/>
      <c r="AS284" s="90">
        <v>500000000</v>
      </c>
      <c r="AT284" s="84">
        <f>AK284+AL284+AM284+AN284+AO284+AP284+AQ284+AR284+AS284</f>
        <v>510000000</v>
      </c>
      <c r="AU284" s="90"/>
      <c r="AV284" s="90"/>
      <c r="AW284" s="90">
        <v>10000000</v>
      </c>
      <c r="AX284" s="90"/>
      <c r="AY284" s="90"/>
      <c r="AZ284" s="90"/>
      <c r="BA284" s="90"/>
      <c r="BB284" s="90"/>
      <c r="BC284" s="90">
        <v>500000000</v>
      </c>
      <c r="BD284" s="90">
        <f>SUM(AU284:BC284)</f>
        <v>510000000</v>
      </c>
      <c r="BE284" s="90"/>
      <c r="BF284" s="90"/>
      <c r="BG284" s="90">
        <v>62631579</v>
      </c>
      <c r="BH284" s="90"/>
      <c r="BI284" s="90"/>
      <c r="BJ284" s="90"/>
      <c r="BK284" s="90"/>
      <c r="BL284" s="90"/>
      <c r="BM284" s="90">
        <v>1500000000</v>
      </c>
      <c r="BN284" s="90">
        <f>SUM(BE284:BM284)</f>
        <v>1562631579</v>
      </c>
      <c r="BO284" s="546">
        <f>AJ284+AT284+BD284+BN284</f>
        <v>3092631579</v>
      </c>
    </row>
    <row r="285" spans="1:67" ht="144" customHeight="1" x14ac:dyDescent="0.2">
      <c r="A285" s="547">
        <v>192</v>
      </c>
      <c r="B285" s="69">
        <v>3</v>
      </c>
      <c r="C285" s="136"/>
      <c r="D285" s="136"/>
      <c r="E285" s="451">
        <v>27</v>
      </c>
      <c r="F285" s="70" t="s">
        <v>574</v>
      </c>
      <c r="G285" s="139" t="s">
        <v>666</v>
      </c>
      <c r="H285" s="139">
        <v>0.92</v>
      </c>
      <c r="I285" s="77">
        <v>192</v>
      </c>
      <c r="J285" s="73" t="s">
        <v>667</v>
      </c>
      <c r="K285" s="70" t="s">
        <v>668</v>
      </c>
      <c r="L285" s="74" t="s">
        <v>633</v>
      </c>
      <c r="M285" s="74">
        <v>14</v>
      </c>
      <c r="N285" s="75" t="s">
        <v>54</v>
      </c>
      <c r="O285" s="78">
        <v>1</v>
      </c>
      <c r="P285" s="78">
        <v>1</v>
      </c>
      <c r="Q285" s="77">
        <v>1</v>
      </c>
      <c r="R285" s="78">
        <v>1</v>
      </c>
      <c r="S285" s="500"/>
      <c r="T285" s="78">
        <v>1</v>
      </c>
      <c r="U285" s="78"/>
      <c r="V285" s="78">
        <v>1</v>
      </c>
      <c r="W285" s="75"/>
      <c r="X285" s="121">
        <f>AJ285/AJ283</f>
        <v>0.10526315789473684</v>
      </c>
      <c r="Y285" s="78">
        <v>8</v>
      </c>
      <c r="Z285" s="75" t="s">
        <v>131</v>
      </c>
      <c r="AA285" s="82"/>
      <c r="AB285" s="82"/>
      <c r="AC285" s="82">
        <v>60000000</v>
      </c>
      <c r="AD285" s="82"/>
      <c r="AE285" s="82"/>
      <c r="AF285" s="82"/>
      <c r="AG285" s="82"/>
      <c r="AH285" s="82"/>
      <c r="AI285" s="82"/>
      <c r="AJ285" s="82">
        <f>+AA285+AB285+AC285+AD285+AE285+AF285+AG285+AH285+AI285</f>
        <v>60000000</v>
      </c>
      <c r="AK285" s="90">
        <v>0</v>
      </c>
      <c r="AL285" s="90">
        <v>0</v>
      </c>
      <c r="AM285" s="90">
        <v>60000000</v>
      </c>
      <c r="AN285" s="90">
        <v>0</v>
      </c>
      <c r="AO285" s="90">
        <v>0</v>
      </c>
      <c r="AP285" s="90">
        <v>0</v>
      </c>
      <c r="AQ285" s="90">
        <v>0</v>
      </c>
      <c r="AR285" s="90">
        <v>0</v>
      </c>
      <c r="AS285" s="90">
        <v>0</v>
      </c>
      <c r="AT285" s="84">
        <f>AK285+AL285+AM285+AN285+AO285+AP285+AQ285+AR285+AS285</f>
        <v>60000000</v>
      </c>
      <c r="AU285" s="90"/>
      <c r="AV285" s="90"/>
      <c r="AW285" s="90">
        <v>60000000</v>
      </c>
      <c r="AX285" s="90"/>
      <c r="AY285" s="90"/>
      <c r="AZ285" s="90"/>
      <c r="BA285" s="90"/>
      <c r="BB285" s="90"/>
      <c r="BC285" s="90"/>
      <c r="BD285" s="90">
        <f>SUM(AU285:BC285)</f>
        <v>60000000</v>
      </c>
      <c r="BE285" s="90"/>
      <c r="BF285" s="90"/>
      <c r="BG285" s="90">
        <v>7368421</v>
      </c>
      <c r="BH285" s="90"/>
      <c r="BI285" s="90"/>
      <c r="BJ285" s="90"/>
      <c r="BK285" s="90"/>
      <c r="BL285" s="90"/>
      <c r="BM285" s="90"/>
      <c r="BN285" s="90">
        <f>SUM(BE285:BM285)</f>
        <v>7368421</v>
      </c>
      <c r="BO285" s="546">
        <f>AJ285+AT285+BD285+BN285</f>
        <v>187368421</v>
      </c>
    </row>
    <row r="286" spans="1:67" ht="24.75" customHeight="1" x14ac:dyDescent="0.2">
      <c r="A286" s="547"/>
      <c r="B286" s="69"/>
      <c r="C286" s="136"/>
      <c r="D286" s="136"/>
      <c r="E286" s="57">
        <v>63</v>
      </c>
      <c r="F286" s="58" t="s">
        <v>669</v>
      </c>
      <c r="G286" s="58"/>
      <c r="H286" s="61"/>
      <c r="I286" s="62"/>
      <c r="J286" s="61"/>
      <c r="K286" s="61"/>
      <c r="L286" s="60"/>
      <c r="M286" s="62"/>
      <c r="N286" s="63"/>
      <c r="O286" s="61"/>
      <c r="P286" s="61"/>
      <c r="Q286" s="64"/>
      <c r="R286" s="61"/>
      <c r="S286" s="499"/>
      <c r="T286" s="61"/>
      <c r="U286" s="61"/>
      <c r="V286" s="62"/>
      <c r="W286" s="62"/>
      <c r="X286" s="137"/>
      <c r="Y286" s="62"/>
      <c r="Z286" s="62"/>
      <c r="AA286" s="66">
        <f t="shared" ref="AA286:AI286" si="417">SUM(AA287:AA288)</f>
        <v>0</v>
      </c>
      <c r="AB286" s="66">
        <f t="shared" si="417"/>
        <v>0</v>
      </c>
      <c r="AC286" s="66">
        <f t="shared" si="417"/>
        <v>50000000</v>
      </c>
      <c r="AD286" s="66">
        <f t="shared" si="417"/>
        <v>0</v>
      </c>
      <c r="AE286" s="66">
        <f t="shared" si="417"/>
        <v>0</v>
      </c>
      <c r="AF286" s="66">
        <f t="shared" si="417"/>
        <v>0</v>
      </c>
      <c r="AG286" s="66">
        <f t="shared" si="417"/>
        <v>0</v>
      </c>
      <c r="AH286" s="66">
        <f t="shared" si="417"/>
        <v>0</v>
      </c>
      <c r="AI286" s="66">
        <f t="shared" si="417"/>
        <v>0</v>
      </c>
      <c r="AJ286" s="147">
        <f>SUM(AJ287:AJ288)</f>
        <v>50000000</v>
      </c>
      <c r="AK286" s="66">
        <f t="shared" ref="AK286:AT286" si="418">SUM(AK287:AK288)</f>
        <v>0</v>
      </c>
      <c r="AL286" s="66">
        <f t="shared" si="418"/>
        <v>0</v>
      </c>
      <c r="AM286" s="66">
        <f t="shared" si="418"/>
        <v>50000000</v>
      </c>
      <c r="AN286" s="66">
        <f t="shared" si="418"/>
        <v>0</v>
      </c>
      <c r="AO286" s="66">
        <f t="shared" si="418"/>
        <v>0</v>
      </c>
      <c r="AP286" s="66">
        <f t="shared" si="418"/>
        <v>0</v>
      </c>
      <c r="AQ286" s="66">
        <f t="shared" si="418"/>
        <v>0</v>
      </c>
      <c r="AR286" s="66">
        <f t="shared" si="418"/>
        <v>0</v>
      </c>
      <c r="AS286" s="66">
        <f t="shared" si="418"/>
        <v>0</v>
      </c>
      <c r="AT286" s="66">
        <f t="shared" si="418"/>
        <v>50000000</v>
      </c>
      <c r="AU286" s="148"/>
      <c r="AV286" s="148"/>
      <c r="AW286" s="148"/>
      <c r="AX286" s="148"/>
      <c r="AY286" s="148"/>
      <c r="AZ286" s="148"/>
      <c r="BA286" s="148"/>
      <c r="BB286" s="148"/>
      <c r="BC286" s="148"/>
      <c r="BD286" s="66">
        <f t="shared" ref="BD286" si="419">SUM(BD287:BD288)</f>
        <v>50000000</v>
      </c>
      <c r="BE286" s="68"/>
      <c r="BF286" s="68"/>
      <c r="BG286" s="68"/>
      <c r="BH286" s="68"/>
      <c r="BI286" s="68"/>
      <c r="BJ286" s="68"/>
      <c r="BK286" s="68"/>
      <c r="BL286" s="68"/>
      <c r="BM286" s="68"/>
      <c r="BN286" s="66">
        <f t="shared" ref="BN286:BO286" si="420">SUM(BN287:BN288)</f>
        <v>50000000</v>
      </c>
      <c r="BO286" s="544">
        <f t="shared" si="420"/>
        <v>200000000</v>
      </c>
    </row>
    <row r="287" spans="1:67" ht="59.25" customHeight="1" x14ac:dyDescent="0.2">
      <c r="A287" s="545">
        <v>193</v>
      </c>
      <c r="B287" s="69">
        <v>3</v>
      </c>
      <c r="C287" s="136"/>
      <c r="D287" s="136"/>
      <c r="E287" s="93">
        <v>14</v>
      </c>
      <c r="F287" s="262" t="s">
        <v>409</v>
      </c>
      <c r="G287" s="139">
        <v>6.2E-2</v>
      </c>
      <c r="H287" s="139">
        <v>0.03</v>
      </c>
      <c r="I287" s="77">
        <v>193</v>
      </c>
      <c r="J287" s="73" t="s">
        <v>670</v>
      </c>
      <c r="K287" s="70" t="s">
        <v>671</v>
      </c>
      <c r="L287" s="74" t="s">
        <v>633</v>
      </c>
      <c r="M287" s="74">
        <v>14</v>
      </c>
      <c r="N287" s="75" t="s">
        <v>54</v>
      </c>
      <c r="O287" s="78">
        <v>1</v>
      </c>
      <c r="P287" s="78">
        <v>1</v>
      </c>
      <c r="Q287" s="77">
        <v>1</v>
      </c>
      <c r="R287" s="78">
        <v>1</v>
      </c>
      <c r="S287" s="500"/>
      <c r="T287" s="78">
        <v>1</v>
      </c>
      <c r="U287" s="78"/>
      <c r="V287" s="78">
        <v>1</v>
      </c>
      <c r="W287" s="75"/>
      <c r="X287" s="121">
        <f>AJ287/AJ286</f>
        <v>0.3</v>
      </c>
      <c r="Y287" s="78">
        <v>4</v>
      </c>
      <c r="Z287" s="75" t="s">
        <v>110</v>
      </c>
      <c r="AA287" s="82"/>
      <c r="AB287" s="82"/>
      <c r="AC287" s="108">
        <v>15000000</v>
      </c>
      <c r="AD287" s="108"/>
      <c r="AE287" s="82"/>
      <c r="AF287" s="82"/>
      <c r="AG287" s="82"/>
      <c r="AH287" s="82"/>
      <c r="AI287" s="82"/>
      <c r="AJ287" s="82">
        <f>+AA287+AB287+AC287+AD287+AE287+AF287+AG287+AH287+AI287</f>
        <v>15000000</v>
      </c>
      <c r="AK287" s="90"/>
      <c r="AL287" s="90"/>
      <c r="AM287" s="90">
        <v>15000000</v>
      </c>
      <c r="AN287" s="90"/>
      <c r="AO287" s="90"/>
      <c r="AP287" s="90"/>
      <c r="AQ287" s="90"/>
      <c r="AR287" s="90"/>
      <c r="AS287" s="90"/>
      <c r="AT287" s="84">
        <f>AK287+AL287+AM287+AN287+AO287+AP287+AQ287+AR287+AS287</f>
        <v>15000000</v>
      </c>
      <c r="AU287" s="90"/>
      <c r="AV287" s="90"/>
      <c r="AW287" s="90">
        <v>15000000</v>
      </c>
      <c r="AX287" s="90"/>
      <c r="AY287" s="90"/>
      <c r="AZ287" s="90"/>
      <c r="BA287" s="90"/>
      <c r="BB287" s="90"/>
      <c r="BC287" s="90"/>
      <c r="BD287" s="90">
        <f>SUM(AU287:BC287)</f>
        <v>15000000</v>
      </c>
      <c r="BE287" s="90"/>
      <c r="BF287" s="90"/>
      <c r="BG287" s="90">
        <v>15000000</v>
      </c>
      <c r="BH287" s="90"/>
      <c r="BI287" s="90"/>
      <c r="BJ287" s="90"/>
      <c r="BK287" s="90"/>
      <c r="BL287" s="90"/>
      <c r="BM287" s="90"/>
      <c r="BN287" s="90">
        <f>SUM(BE287:BM287)</f>
        <v>15000000</v>
      </c>
      <c r="BO287" s="546">
        <f>AJ287+AT287+BD287+BN287</f>
        <v>60000000</v>
      </c>
    </row>
    <row r="288" spans="1:67" ht="59.25" customHeight="1" x14ac:dyDescent="0.2">
      <c r="A288" s="547">
        <v>194</v>
      </c>
      <c r="B288" s="69">
        <v>3</v>
      </c>
      <c r="C288" s="136"/>
      <c r="D288" s="136"/>
      <c r="E288" s="451">
        <v>13</v>
      </c>
      <c r="F288" s="300" t="s">
        <v>537</v>
      </c>
      <c r="G288" s="92" t="s">
        <v>672</v>
      </c>
      <c r="H288" s="621" t="s">
        <v>539</v>
      </c>
      <c r="I288" s="77">
        <v>194</v>
      </c>
      <c r="J288" s="73" t="s">
        <v>673</v>
      </c>
      <c r="K288" s="70" t="s">
        <v>674</v>
      </c>
      <c r="L288" s="74" t="s">
        <v>633</v>
      </c>
      <c r="M288" s="74">
        <v>14</v>
      </c>
      <c r="N288" s="75" t="s">
        <v>54</v>
      </c>
      <c r="O288" s="78">
        <v>1</v>
      </c>
      <c r="P288" s="78">
        <v>1</v>
      </c>
      <c r="Q288" s="77">
        <v>1</v>
      </c>
      <c r="R288" s="78">
        <v>1</v>
      </c>
      <c r="S288" s="500"/>
      <c r="T288" s="78">
        <v>1</v>
      </c>
      <c r="U288" s="78"/>
      <c r="V288" s="78">
        <v>1</v>
      </c>
      <c r="W288" s="75"/>
      <c r="X288" s="121">
        <f>AJ288/AJ286</f>
        <v>0.7</v>
      </c>
      <c r="Y288" s="78">
        <v>2</v>
      </c>
      <c r="Z288" s="75" t="s">
        <v>137</v>
      </c>
      <c r="AA288" s="82"/>
      <c r="AB288" s="82"/>
      <c r="AC288" s="108">
        <f>35000000</f>
        <v>35000000</v>
      </c>
      <c r="AD288" s="108"/>
      <c r="AE288" s="82"/>
      <c r="AF288" s="82"/>
      <c r="AG288" s="82"/>
      <c r="AH288" s="82"/>
      <c r="AI288" s="82"/>
      <c r="AJ288" s="82">
        <f>+AA288+AB288+AC288+AD288+AE288+AF288+AG288+AH288+AI288</f>
        <v>35000000</v>
      </c>
      <c r="AK288" s="90"/>
      <c r="AL288" s="90"/>
      <c r="AM288" s="90">
        <v>35000000</v>
      </c>
      <c r="AN288" s="90"/>
      <c r="AO288" s="90"/>
      <c r="AP288" s="90"/>
      <c r="AQ288" s="90"/>
      <c r="AR288" s="90"/>
      <c r="AS288" s="90"/>
      <c r="AT288" s="84">
        <f>AK288+AL288+AM288+AN288+AO288+AP288+AQ288+AR288+AS288</f>
        <v>35000000</v>
      </c>
      <c r="AU288" s="90"/>
      <c r="AV288" s="90"/>
      <c r="AW288" s="90">
        <v>35000000</v>
      </c>
      <c r="AX288" s="90"/>
      <c r="AY288" s="90"/>
      <c r="AZ288" s="90"/>
      <c r="BA288" s="90"/>
      <c r="BB288" s="90"/>
      <c r="BC288" s="90"/>
      <c r="BD288" s="90">
        <f>SUM(AU288:BC288)</f>
        <v>35000000</v>
      </c>
      <c r="BE288" s="90"/>
      <c r="BF288" s="90"/>
      <c r="BG288" s="90">
        <v>35000000</v>
      </c>
      <c r="BH288" s="90"/>
      <c r="BI288" s="90"/>
      <c r="BJ288" s="90"/>
      <c r="BK288" s="90"/>
      <c r="BL288" s="90"/>
      <c r="BM288" s="90"/>
      <c r="BN288" s="90">
        <f>SUM(BE288:BM288)</f>
        <v>35000000</v>
      </c>
      <c r="BO288" s="546">
        <f>AJ288+AT288+BD288+BN288</f>
        <v>140000000</v>
      </c>
    </row>
    <row r="289" spans="1:67" ht="24.75" customHeight="1" x14ac:dyDescent="0.2">
      <c r="A289" s="547"/>
      <c r="B289" s="69"/>
      <c r="C289" s="136"/>
      <c r="D289" s="136"/>
      <c r="E289" s="57">
        <v>64</v>
      </c>
      <c r="F289" s="58" t="s">
        <v>675</v>
      </c>
      <c r="G289" s="61"/>
      <c r="H289" s="61"/>
      <c r="I289" s="60"/>
      <c r="J289" s="61"/>
      <c r="K289" s="61"/>
      <c r="L289" s="60"/>
      <c r="M289" s="62"/>
      <c r="N289" s="63"/>
      <c r="O289" s="61"/>
      <c r="P289" s="61"/>
      <c r="Q289" s="64"/>
      <c r="R289" s="61"/>
      <c r="S289" s="499"/>
      <c r="T289" s="61"/>
      <c r="U289" s="61"/>
      <c r="V289" s="62"/>
      <c r="W289" s="62"/>
      <c r="X289" s="137"/>
      <c r="Y289" s="62"/>
      <c r="Z289" s="62"/>
      <c r="AA289" s="66">
        <f t="shared" ref="AA289:AI289" si="421">SUM(AA290)</f>
        <v>0</v>
      </c>
      <c r="AB289" s="66">
        <f t="shared" si="421"/>
        <v>0</v>
      </c>
      <c r="AC289" s="66">
        <f t="shared" si="421"/>
        <v>50000000</v>
      </c>
      <c r="AD289" s="66">
        <f t="shared" si="421"/>
        <v>0</v>
      </c>
      <c r="AE289" s="66">
        <f t="shared" si="421"/>
        <v>0</v>
      </c>
      <c r="AF289" s="66">
        <f t="shared" si="421"/>
        <v>0</v>
      </c>
      <c r="AG289" s="66">
        <f t="shared" si="421"/>
        <v>0</v>
      </c>
      <c r="AH289" s="66">
        <f t="shared" si="421"/>
        <v>0</v>
      </c>
      <c r="AI289" s="66">
        <f t="shared" si="421"/>
        <v>0</v>
      </c>
      <c r="AJ289" s="67">
        <f>SUM(AJ290)</f>
        <v>50000000</v>
      </c>
      <c r="AK289" s="66">
        <f t="shared" ref="AK289:AT289" si="422">SUM(AK290)</f>
        <v>0</v>
      </c>
      <c r="AL289" s="66">
        <f t="shared" si="422"/>
        <v>0</v>
      </c>
      <c r="AM289" s="66">
        <f t="shared" si="422"/>
        <v>60000000</v>
      </c>
      <c r="AN289" s="66">
        <f t="shared" si="422"/>
        <v>0</v>
      </c>
      <c r="AO289" s="66">
        <f t="shared" si="422"/>
        <v>0</v>
      </c>
      <c r="AP289" s="66">
        <f t="shared" si="422"/>
        <v>0</v>
      </c>
      <c r="AQ289" s="66">
        <f t="shared" si="422"/>
        <v>0</v>
      </c>
      <c r="AR289" s="66">
        <f t="shared" si="422"/>
        <v>0</v>
      </c>
      <c r="AS289" s="66">
        <f t="shared" si="422"/>
        <v>0</v>
      </c>
      <c r="AT289" s="66">
        <f t="shared" si="422"/>
        <v>60000000</v>
      </c>
      <c r="AU289" s="68"/>
      <c r="AV289" s="68"/>
      <c r="AW289" s="68"/>
      <c r="AX289" s="68"/>
      <c r="AY289" s="68"/>
      <c r="AZ289" s="68"/>
      <c r="BA289" s="68"/>
      <c r="BB289" s="68"/>
      <c r="BC289" s="68"/>
      <c r="BD289" s="66">
        <f t="shared" ref="BD289" si="423">SUM(BD290)</f>
        <v>50000000</v>
      </c>
      <c r="BE289" s="68"/>
      <c r="BF289" s="68"/>
      <c r="BG289" s="68"/>
      <c r="BH289" s="68"/>
      <c r="BI289" s="68"/>
      <c r="BJ289" s="68"/>
      <c r="BK289" s="68"/>
      <c r="BL289" s="68"/>
      <c r="BM289" s="68"/>
      <c r="BN289" s="66">
        <f t="shared" ref="BN289:BO289" si="424">SUM(BN290)</f>
        <v>50000000</v>
      </c>
      <c r="BO289" s="544">
        <f t="shared" si="424"/>
        <v>210000000</v>
      </c>
    </row>
    <row r="290" spans="1:67" ht="120.75" customHeight="1" x14ac:dyDescent="0.2">
      <c r="A290" s="545">
        <v>195</v>
      </c>
      <c r="B290" s="69">
        <v>3</v>
      </c>
      <c r="C290" s="136"/>
      <c r="D290" s="136"/>
      <c r="E290" s="93">
        <v>37</v>
      </c>
      <c r="F290" s="300" t="s">
        <v>533</v>
      </c>
      <c r="G290" s="320">
        <v>0.54610000000000003</v>
      </c>
      <c r="H290" s="255">
        <v>0.6</v>
      </c>
      <c r="I290" s="77">
        <v>195</v>
      </c>
      <c r="J290" s="73" t="s">
        <v>676</v>
      </c>
      <c r="K290" s="70" t="s">
        <v>677</v>
      </c>
      <c r="L290" s="74" t="s">
        <v>633</v>
      </c>
      <c r="M290" s="74">
        <v>14</v>
      </c>
      <c r="N290" s="75" t="s">
        <v>54</v>
      </c>
      <c r="O290" s="78">
        <v>0</v>
      </c>
      <c r="P290" s="78">
        <v>1</v>
      </c>
      <c r="Q290" s="77">
        <v>1</v>
      </c>
      <c r="R290" s="78">
        <v>1</v>
      </c>
      <c r="S290" s="500"/>
      <c r="T290" s="78">
        <v>1</v>
      </c>
      <c r="U290" s="78"/>
      <c r="V290" s="78">
        <v>1</v>
      </c>
      <c r="W290" s="75"/>
      <c r="X290" s="191">
        <f>AJ290/AJ289</f>
        <v>1</v>
      </c>
      <c r="Y290" s="78">
        <v>10</v>
      </c>
      <c r="Z290" s="75" t="s">
        <v>385</v>
      </c>
      <c r="AA290" s="118"/>
      <c r="AB290" s="118"/>
      <c r="AC290" s="108">
        <v>50000000</v>
      </c>
      <c r="AD290" s="108"/>
      <c r="AE290" s="118"/>
      <c r="AF290" s="118"/>
      <c r="AG290" s="118"/>
      <c r="AH290" s="118"/>
      <c r="AI290" s="118"/>
      <c r="AJ290" s="82">
        <f>+AA290+AB290+AC290+AD290+AE290+AF290+AG290+AH290+AI290</f>
        <v>50000000</v>
      </c>
      <c r="AK290" s="90"/>
      <c r="AL290" s="90"/>
      <c r="AM290" s="90">
        <v>60000000</v>
      </c>
      <c r="AN290" s="90"/>
      <c r="AO290" s="90"/>
      <c r="AP290" s="90"/>
      <c r="AQ290" s="90"/>
      <c r="AR290" s="90"/>
      <c r="AS290" s="90"/>
      <c r="AT290" s="84">
        <f>AK290+AL290+AM290+AN290+AO290+AP290+AQ290+AR290+AS290</f>
        <v>60000000</v>
      </c>
      <c r="AU290" s="90"/>
      <c r="AV290" s="90"/>
      <c r="AW290" s="90">
        <v>50000000</v>
      </c>
      <c r="AX290" s="90"/>
      <c r="AY290" s="90"/>
      <c r="AZ290" s="90"/>
      <c r="BA290" s="90"/>
      <c r="BB290" s="90"/>
      <c r="BC290" s="90"/>
      <c r="BD290" s="90">
        <f>SUM(AU290:BC290)</f>
        <v>50000000</v>
      </c>
      <c r="BE290" s="90"/>
      <c r="BF290" s="90"/>
      <c r="BG290" s="90">
        <v>50000000</v>
      </c>
      <c r="BH290" s="90"/>
      <c r="BI290" s="90"/>
      <c r="BJ290" s="90"/>
      <c r="BK290" s="90"/>
      <c r="BL290" s="90"/>
      <c r="BM290" s="90"/>
      <c r="BN290" s="90">
        <f>SUM(BE290:BM290)</f>
        <v>50000000</v>
      </c>
      <c r="BO290" s="546">
        <f>AJ290+AT290+BD290+BN290</f>
        <v>210000000</v>
      </c>
    </row>
    <row r="291" spans="1:67" ht="24.75" customHeight="1" x14ac:dyDescent="0.2">
      <c r="A291" s="545"/>
      <c r="B291" s="69"/>
      <c r="C291" s="136"/>
      <c r="D291" s="136"/>
      <c r="E291" s="57">
        <v>65</v>
      </c>
      <c r="F291" s="58" t="s">
        <v>678</v>
      </c>
      <c r="G291" s="61"/>
      <c r="H291" s="61"/>
      <c r="I291" s="60"/>
      <c r="J291" s="61"/>
      <c r="K291" s="61"/>
      <c r="L291" s="60"/>
      <c r="M291" s="62"/>
      <c r="N291" s="63"/>
      <c r="O291" s="61"/>
      <c r="P291" s="61"/>
      <c r="Q291" s="64"/>
      <c r="R291" s="61"/>
      <c r="S291" s="499"/>
      <c r="T291" s="64"/>
      <c r="U291" s="64"/>
      <c r="V291" s="64"/>
      <c r="W291" s="64"/>
      <c r="X291" s="64"/>
      <c r="Y291" s="64"/>
      <c r="Z291" s="64"/>
      <c r="AA291" s="417">
        <f t="shared" ref="AA291:AF291" si="425">SUM(AA292)</f>
        <v>0</v>
      </c>
      <c r="AB291" s="417">
        <f t="shared" si="425"/>
        <v>0</v>
      </c>
      <c r="AC291" s="417">
        <f t="shared" si="425"/>
        <v>20000000</v>
      </c>
      <c r="AD291" s="417">
        <f t="shared" si="425"/>
        <v>0</v>
      </c>
      <c r="AE291" s="417">
        <f t="shared" si="425"/>
        <v>0</v>
      </c>
      <c r="AF291" s="417">
        <f t="shared" si="425"/>
        <v>0</v>
      </c>
      <c r="AG291" s="417">
        <f t="shared" ref="AG291:AT291" si="426">SUM(AG292)</f>
        <v>0</v>
      </c>
      <c r="AH291" s="417">
        <f t="shared" si="426"/>
        <v>0</v>
      </c>
      <c r="AI291" s="417">
        <f t="shared" si="426"/>
        <v>0</v>
      </c>
      <c r="AJ291" s="417">
        <f t="shared" si="426"/>
        <v>20000000</v>
      </c>
      <c r="AK291" s="417">
        <f t="shared" si="426"/>
        <v>0</v>
      </c>
      <c r="AL291" s="417">
        <f t="shared" si="426"/>
        <v>0</v>
      </c>
      <c r="AM291" s="417">
        <f t="shared" si="426"/>
        <v>21000000</v>
      </c>
      <c r="AN291" s="417">
        <f t="shared" si="426"/>
        <v>0</v>
      </c>
      <c r="AO291" s="417">
        <f t="shared" si="426"/>
        <v>0</v>
      </c>
      <c r="AP291" s="417">
        <f t="shared" si="426"/>
        <v>0</v>
      </c>
      <c r="AQ291" s="417">
        <f t="shared" si="426"/>
        <v>0</v>
      </c>
      <c r="AR291" s="417">
        <f t="shared" si="426"/>
        <v>0</v>
      </c>
      <c r="AS291" s="417">
        <f t="shared" si="426"/>
        <v>0</v>
      </c>
      <c r="AT291" s="417">
        <f t="shared" si="426"/>
        <v>21000000</v>
      </c>
      <c r="AU291" s="64"/>
      <c r="AV291" s="64"/>
      <c r="AW291" s="64"/>
      <c r="AX291" s="64"/>
      <c r="AY291" s="64"/>
      <c r="AZ291" s="64"/>
      <c r="BA291" s="64"/>
      <c r="BB291" s="64"/>
      <c r="BC291" s="64"/>
      <c r="BD291" s="417">
        <f t="shared" ref="BD291" si="427">SUM(BD292)</f>
        <v>22000000</v>
      </c>
      <c r="BE291" s="64"/>
      <c r="BF291" s="64"/>
      <c r="BG291" s="64"/>
      <c r="BH291" s="64"/>
      <c r="BI291" s="64"/>
      <c r="BJ291" s="64"/>
      <c r="BK291" s="64"/>
      <c r="BL291" s="64"/>
      <c r="BM291" s="64"/>
      <c r="BN291" s="417">
        <f t="shared" ref="BN291:BO291" si="428">SUM(BN292)</f>
        <v>23000000</v>
      </c>
      <c r="BO291" s="602">
        <f t="shared" si="428"/>
        <v>86000000</v>
      </c>
    </row>
    <row r="292" spans="1:67" ht="59.25" customHeight="1" x14ac:dyDescent="0.2">
      <c r="A292" s="547">
        <v>196</v>
      </c>
      <c r="B292" s="69">
        <v>3</v>
      </c>
      <c r="C292" s="136"/>
      <c r="D292" s="136"/>
      <c r="E292" s="78" t="s">
        <v>931</v>
      </c>
      <c r="F292" s="73" t="s">
        <v>679</v>
      </c>
      <c r="G292" s="73" t="s">
        <v>680</v>
      </c>
      <c r="H292" s="73" t="s">
        <v>681</v>
      </c>
      <c r="I292" s="77">
        <v>196</v>
      </c>
      <c r="J292" s="73" t="s">
        <v>682</v>
      </c>
      <c r="K292" s="70" t="s">
        <v>683</v>
      </c>
      <c r="L292" s="74" t="s">
        <v>633</v>
      </c>
      <c r="M292" s="74">
        <v>14</v>
      </c>
      <c r="N292" s="75" t="s">
        <v>54</v>
      </c>
      <c r="O292" s="78">
        <v>0</v>
      </c>
      <c r="P292" s="78">
        <v>1</v>
      </c>
      <c r="Q292" s="77">
        <v>1</v>
      </c>
      <c r="R292" s="78">
        <v>1</v>
      </c>
      <c r="S292" s="500"/>
      <c r="T292" s="78">
        <v>1</v>
      </c>
      <c r="U292" s="78"/>
      <c r="V292" s="78">
        <v>1</v>
      </c>
      <c r="W292" s="75"/>
      <c r="X292" s="121">
        <f>AJ292/AJ291</f>
        <v>1</v>
      </c>
      <c r="Y292" s="78">
        <v>5</v>
      </c>
      <c r="Z292" s="75" t="s">
        <v>684</v>
      </c>
      <c r="AA292" s="82"/>
      <c r="AB292" s="82"/>
      <c r="AC292" s="108">
        <f>20000000</f>
        <v>20000000</v>
      </c>
      <c r="AD292" s="108"/>
      <c r="AE292" s="82"/>
      <c r="AF292" s="82"/>
      <c r="AG292" s="82"/>
      <c r="AH292" s="82"/>
      <c r="AI292" s="82"/>
      <c r="AJ292" s="82">
        <f>+AA292+AB292+AC292+AD292+AE292+AF292+AG292+AH292+AI292</f>
        <v>20000000</v>
      </c>
      <c r="AK292" s="90"/>
      <c r="AL292" s="90"/>
      <c r="AM292" s="150">
        <v>21000000</v>
      </c>
      <c r="AN292" s="158"/>
      <c r="AO292" s="90"/>
      <c r="AP292" s="90"/>
      <c r="AQ292" s="90"/>
      <c r="AR292" s="90"/>
      <c r="AS292" s="90"/>
      <c r="AT292" s="84">
        <f>AK292+AL292+AM292+AN292+AO292+AP292+AQ292+AR292+AS292</f>
        <v>21000000</v>
      </c>
      <c r="AU292" s="150"/>
      <c r="AV292" s="150"/>
      <c r="AW292" s="455">
        <v>22000000</v>
      </c>
      <c r="AX292" s="455"/>
      <c r="AY292" s="150"/>
      <c r="AZ292" s="150"/>
      <c r="BA292" s="150"/>
      <c r="BB292" s="150"/>
      <c r="BC292" s="150"/>
      <c r="BD292" s="150">
        <f>SUM(AU292:BC292)</f>
        <v>22000000</v>
      </c>
      <c r="BE292" s="90"/>
      <c r="BF292" s="90"/>
      <c r="BG292" s="90">
        <v>23000000</v>
      </c>
      <c r="BH292" s="90"/>
      <c r="BI292" s="90"/>
      <c r="BJ292" s="90"/>
      <c r="BK292" s="90"/>
      <c r="BL292" s="90"/>
      <c r="BM292" s="90"/>
      <c r="BN292" s="90">
        <f>SUM(BE292:BM292)</f>
        <v>23000000</v>
      </c>
      <c r="BO292" s="546">
        <f>AJ292+AT292+BD292+BN292</f>
        <v>86000000</v>
      </c>
    </row>
    <row r="293" spans="1:67" ht="24.75" customHeight="1" x14ac:dyDescent="0.2">
      <c r="A293" s="547"/>
      <c r="B293" s="69"/>
      <c r="C293" s="136"/>
      <c r="D293" s="136"/>
      <c r="E293" s="57">
        <v>66</v>
      </c>
      <c r="F293" s="58" t="s">
        <v>685</v>
      </c>
      <c r="G293" s="61"/>
      <c r="H293" s="61"/>
      <c r="I293" s="60"/>
      <c r="J293" s="61"/>
      <c r="K293" s="61"/>
      <c r="L293" s="60"/>
      <c r="M293" s="62"/>
      <c r="N293" s="63"/>
      <c r="O293" s="61"/>
      <c r="P293" s="61"/>
      <c r="Q293" s="64"/>
      <c r="R293" s="64"/>
      <c r="S293" s="499"/>
      <c r="T293" s="61"/>
      <c r="U293" s="61"/>
      <c r="V293" s="62"/>
      <c r="W293" s="62"/>
      <c r="X293" s="137"/>
      <c r="Y293" s="62"/>
      <c r="Z293" s="62"/>
      <c r="AA293" s="66">
        <f t="shared" ref="AA293:AI293" si="429">SUM(AA294)</f>
        <v>0</v>
      </c>
      <c r="AB293" s="66">
        <f t="shared" si="429"/>
        <v>0</v>
      </c>
      <c r="AC293" s="66">
        <f t="shared" si="429"/>
        <v>40000000</v>
      </c>
      <c r="AD293" s="66">
        <f t="shared" si="429"/>
        <v>0</v>
      </c>
      <c r="AE293" s="66">
        <f t="shared" si="429"/>
        <v>0</v>
      </c>
      <c r="AF293" s="66">
        <f t="shared" si="429"/>
        <v>0</v>
      </c>
      <c r="AG293" s="66">
        <f t="shared" si="429"/>
        <v>0</v>
      </c>
      <c r="AH293" s="66">
        <f t="shared" si="429"/>
        <v>0</v>
      </c>
      <c r="AI293" s="66">
        <f t="shared" si="429"/>
        <v>0</v>
      </c>
      <c r="AJ293" s="67">
        <f>SUM(AJ294)</f>
        <v>40000000</v>
      </c>
      <c r="AK293" s="66">
        <f t="shared" ref="AK293:AT293" si="430">SUM(AK294)</f>
        <v>0</v>
      </c>
      <c r="AL293" s="66">
        <f t="shared" si="430"/>
        <v>0</v>
      </c>
      <c r="AM293" s="66">
        <f t="shared" si="430"/>
        <v>42000000</v>
      </c>
      <c r="AN293" s="66">
        <f t="shared" si="430"/>
        <v>0</v>
      </c>
      <c r="AO293" s="66">
        <f t="shared" si="430"/>
        <v>0</v>
      </c>
      <c r="AP293" s="66">
        <f t="shared" si="430"/>
        <v>0</v>
      </c>
      <c r="AQ293" s="66">
        <f t="shared" si="430"/>
        <v>0</v>
      </c>
      <c r="AR293" s="66">
        <f t="shared" si="430"/>
        <v>0</v>
      </c>
      <c r="AS293" s="66">
        <f t="shared" si="430"/>
        <v>0</v>
      </c>
      <c r="AT293" s="66">
        <f t="shared" si="430"/>
        <v>42000000</v>
      </c>
      <c r="AU293" s="68"/>
      <c r="AV293" s="68"/>
      <c r="AW293" s="68"/>
      <c r="AX293" s="68"/>
      <c r="AY293" s="68"/>
      <c r="AZ293" s="68"/>
      <c r="BA293" s="68"/>
      <c r="BB293" s="68"/>
      <c r="BC293" s="68"/>
      <c r="BD293" s="66">
        <f t="shared" ref="BD293" si="431">SUM(BD294)</f>
        <v>43000000</v>
      </c>
      <c r="BE293" s="68"/>
      <c r="BF293" s="68"/>
      <c r="BG293" s="68"/>
      <c r="BH293" s="68"/>
      <c r="BI293" s="68"/>
      <c r="BJ293" s="68"/>
      <c r="BK293" s="68"/>
      <c r="BL293" s="68"/>
      <c r="BM293" s="68"/>
      <c r="BN293" s="66">
        <f t="shared" ref="BN293:BO293" si="432">SUM(BN294)</f>
        <v>44000000</v>
      </c>
      <c r="BO293" s="544">
        <f t="shared" si="432"/>
        <v>169000000</v>
      </c>
    </row>
    <row r="294" spans="1:67" ht="93" customHeight="1" x14ac:dyDescent="0.2">
      <c r="A294" s="545">
        <v>197</v>
      </c>
      <c r="B294" s="69">
        <v>3</v>
      </c>
      <c r="C294" s="136"/>
      <c r="D294" s="136"/>
      <c r="E294" s="78" t="s">
        <v>931</v>
      </c>
      <c r="F294" s="321" t="s">
        <v>686</v>
      </c>
      <c r="G294" s="322">
        <v>0.307</v>
      </c>
      <c r="H294" s="323">
        <v>0.27</v>
      </c>
      <c r="I294" s="549">
        <v>197</v>
      </c>
      <c r="J294" s="462" t="s">
        <v>687</v>
      </c>
      <c r="K294" s="461" t="s">
        <v>688</v>
      </c>
      <c r="L294" s="462" t="s">
        <v>633</v>
      </c>
      <c r="M294" s="549">
        <v>14</v>
      </c>
      <c r="N294" s="480" t="s">
        <v>54</v>
      </c>
      <c r="O294" s="480">
        <v>1</v>
      </c>
      <c r="P294" s="480">
        <v>1</v>
      </c>
      <c r="Q294" s="549">
        <v>1</v>
      </c>
      <c r="R294" s="480">
        <v>1</v>
      </c>
      <c r="S294" s="500"/>
      <c r="T294" s="480">
        <v>1</v>
      </c>
      <c r="U294" s="480"/>
      <c r="V294" s="480">
        <v>1</v>
      </c>
      <c r="W294" s="480"/>
      <c r="X294" s="633">
        <f>AJ294/AJ293</f>
        <v>1</v>
      </c>
      <c r="Y294" s="480">
        <v>5</v>
      </c>
      <c r="Z294" s="480" t="s">
        <v>684</v>
      </c>
      <c r="AA294" s="585"/>
      <c r="AB294" s="585"/>
      <c r="AC294" s="585">
        <v>40000000</v>
      </c>
      <c r="AD294" s="585"/>
      <c r="AE294" s="585"/>
      <c r="AF294" s="585"/>
      <c r="AG294" s="585"/>
      <c r="AH294" s="585"/>
      <c r="AI294" s="585"/>
      <c r="AJ294" s="553">
        <f>+AA294+AB294+AC294+AD294+AE294+AF294+AG294+AH294+AI294</f>
        <v>40000000</v>
      </c>
      <c r="AK294" s="616"/>
      <c r="AL294" s="616"/>
      <c r="AM294" s="616">
        <v>42000000</v>
      </c>
      <c r="AN294" s="555"/>
      <c r="AO294" s="616"/>
      <c r="AP294" s="616"/>
      <c r="AQ294" s="616"/>
      <c r="AR294" s="616"/>
      <c r="AS294" s="616"/>
      <c r="AT294" s="585">
        <f>AK294+AL294+AM294+AN294+AO294+AP294+AQ294+AR294+AS294</f>
        <v>42000000</v>
      </c>
      <c r="AU294" s="616"/>
      <c r="AV294" s="616"/>
      <c r="AW294" s="616">
        <v>43000000</v>
      </c>
      <c r="AX294" s="555"/>
      <c r="AY294" s="616"/>
      <c r="AZ294" s="616"/>
      <c r="BA294" s="616"/>
      <c r="BB294" s="616"/>
      <c r="BC294" s="616"/>
      <c r="BD294" s="616">
        <f>SUM(AU294:BC294)</f>
        <v>43000000</v>
      </c>
      <c r="BE294" s="616"/>
      <c r="BF294" s="616"/>
      <c r="BG294" s="616">
        <v>44000000</v>
      </c>
      <c r="BH294" s="555"/>
      <c r="BI294" s="616"/>
      <c r="BJ294" s="616"/>
      <c r="BK294" s="616"/>
      <c r="BL294" s="616"/>
      <c r="BM294" s="616"/>
      <c r="BN294" s="616">
        <f>SUM(BE294:BM294)</f>
        <v>44000000</v>
      </c>
      <c r="BO294" s="634">
        <f>AJ294+AT294+BD294+BN294</f>
        <v>169000000</v>
      </c>
    </row>
    <row r="295" spans="1:67" ht="24.75" customHeight="1" x14ac:dyDescent="0.2">
      <c r="A295" s="545"/>
      <c r="B295" s="69"/>
      <c r="C295" s="136"/>
      <c r="D295" s="43">
        <v>19</v>
      </c>
      <c r="E295" s="134" t="s">
        <v>689</v>
      </c>
      <c r="F295" s="45"/>
      <c r="G295" s="45"/>
      <c r="H295" s="45"/>
      <c r="I295" s="267"/>
      <c r="J295" s="48"/>
      <c r="K295" s="48"/>
      <c r="L295" s="49"/>
      <c r="M295" s="47"/>
      <c r="N295" s="50"/>
      <c r="O295" s="48"/>
      <c r="P295" s="48"/>
      <c r="Q295" s="51"/>
      <c r="R295" s="48"/>
      <c r="S295" s="498"/>
      <c r="T295" s="48"/>
      <c r="U295" s="48"/>
      <c r="V295" s="47"/>
      <c r="W295" s="47"/>
      <c r="X295" s="135"/>
      <c r="Y295" s="47"/>
      <c r="Z295" s="47"/>
      <c r="AA295" s="53">
        <f t="shared" ref="AA295:AI295" si="433">AA296</f>
        <v>0</v>
      </c>
      <c r="AB295" s="53">
        <f t="shared" si="433"/>
        <v>3245382763</v>
      </c>
      <c r="AC295" s="53">
        <f t="shared" si="433"/>
        <v>20000000</v>
      </c>
      <c r="AD295" s="53">
        <f t="shared" si="433"/>
        <v>0</v>
      </c>
      <c r="AE295" s="53">
        <f t="shared" si="433"/>
        <v>0</v>
      </c>
      <c r="AF295" s="53">
        <f t="shared" si="433"/>
        <v>0</v>
      </c>
      <c r="AG295" s="53">
        <f t="shared" si="433"/>
        <v>0</v>
      </c>
      <c r="AH295" s="53">
        <f t="shared" si="433"/>
        <v>0</v>
      </c>
      <c r="AI295" s="53">
        <f t="shared" si="433"/>
        <v>0</v>
      </c>
      <c r="AJ295" s="54">
        <f>AJ296</f>
        <v>3265382763</v>
      </c>
      <c r="AK295" s="53">
        <f t="shared" ref="AK295:AT295" si="434">AK296</f>
        <v>0</v>
      </c>
      <c r="AL295" s="53">
        <f t="shared" si="434"/>
        <v>2537920000</v>
      </c>
      <c r="AM295" s="53">
        <f t="shared" si="434"/>
        <v>20000000</v>
      </c>
      <c r="AN295" s="53">
        <f t="shared" si="434"/>
        <v>0</v>
      </c>
      <c r="AO295" s="53">
        <f t="shared" si="434"/>
        <v>0</v>
      </c>
      <c r="AP295" s="53">
        <f t="shared" si="434"/>
        <v>0</v>
      </c>
      <c r="AQ295" s="53">
        <f t="shared" si="434"/>
        <v>0</v>
      </c>
      <c r="AR295" s="53">
        <f t="shared" si="434"/>
        <v>0</v>
      </c>
      <c r="AS295" s="53">
        <f t="shared" si="434"/>
        <v>0</v>
      </c>
      <c r="AT295" s="53">
        <f t="shared" si="434"/>
        <v>2557920000</v>
      </c>
      <c r="AU295" s="55"/>
      <c r="AV295" s="55"/>
      <c r="AW295" s="55"/>
      <c r="AX295" s="55"/>
      <c r="AY295" s="55"/>
      <c r="AZ295" s="55"/>
      <c r="BA295" s="55"/>
      <c r="BB295" s="55"/>
      <c r="BC295" s="55"/>
      <c r="BD295" s="53">
        <f t="shared" ref="BD295" si="435">BD296</f>
        <v>2634057600</v>
      </c>
      <c r="BE295" s="55"/>
      <c r="BF295" s="55"/>
      <c r="BG295" s="55"/>
      <c r="BH295" s="55"/>
      <c r="BI295" s="55"/>
      <c r="BJ295" s="55"/>
      <c r="BK295" s="55"/>
      <c r="BL295" s="55"/>
      <c r="BM295" s="55"/>
      <c r="BN295" s="53">
        <f t="shared" ref="BN295:BO295" si="436">BN296</f>
        <v>2712479328</v>
      </c>
      <c r="BO295" s="543">
        <f t="shared" si="436"/>
        <v>11169839691</v>
      </c>
    </row>
    <row r="296" spans="1:67" ht="24.75" customHeight="1" x14ac:dyDescent="0.2">
      <c r="A296" s="545"/>
      <c r="B296" s="69"/>
      <c r="C296" s="136"/>
      <c r="D296" s="562"/>
      <c r="E296" s="57">
        <v>67</v>
      </c>
      <c r="F296" s="58" t="s">
        <v>690</v>
      </c>
      <c r="G296" s="61"/>
      <c r="H296" s="61"/>
      <c r="I296" s="57"/>
      <c r="J296" s="58"/>
      <c r="K296" s="61"/>
      <c r="L296" s="60"/>
      <c r="M296" s="62"/>
      <c r="N296" s="63"/>
      <c r="O296" s="61"/>
      <c r="P296" s="61"/>
      <c r="Q296" s="64"/>
      <c r="R296" s="61"/>
      <c r="S296" s="499"/>
      <c r="T296" s="61"/>
      <c r="U296" s="61"/>
      <c r="V296" s="62"/>
      <c r="W296" s="62"/>
      <c r="X296" s="137"/>
      <c r="Y296" s="62"/>
      <c r="Z296" s="62"/>
      <c r="AA296" s="66">
        <f t="shared" ref="AA296:AI296" si="437">SUM(AA297:AA300)</f>
        <v>0</v>
      </c>
      <c r="AB296" s="66">
        <f t="shared" si="437"/>
        <v>3245382763</v>
      </c>
      <c r="AC296" s="66">
        <f t="shared" si="437"/>
        <v>20000000</v>
      </c>
      <c r="AD296" s="66">
        <f t="shared" si="437"/>
        <v>0</v>
      </c>
      <c r="AE296" s="66">
        <f t="shared" si="437"/>
        <v>0</v>
      </c>
      <c r="AF296" s="66">
        <f t="shared" si="437"/>
        <v>0</v>
      </c>
      <c r="AG296" s="66">
        <f t="shared" si="437"/>
        <v>0</v>
      </c>
      <c r="AH296" s="66">
        <f t="shared" si="437"/>
        <v>0</v>
      </c>
      <c r="AI296" s="66">
        <f t="shared" si="437"/>
        <v>0</v>
      </c>
      <c r="AJ296" s="67">
        <f>SUM(AJ297:AJ300)</f>
        <v>3265382763</v>
      </c>
      <c r="AK296" s="66">
        <f t="shared" ref="AK296:AT296" si="438">SUM(AK297:AK300)</f>
        <v>0</v>
      </c>
      <c r="AL296" s="66">
        <f t="shared" si="438"/>
        <v>2537920000</v>
      </c>
      <c r="AM296" s="66">
        <f t="shared" si="438"/>
        <v>20000000</v>
      </c>
      <c r="AN296" s="66">
        <f t="shared" si="438"/>
        <v>0</v>
      </c>
      <c r="AO296" s="66">
        <f t="shared" si="438"/>
        <v>0</v>
      </c>
      <c r="AP296" s="66">
        <f t="shared" si="438"/>
        <v>0</v>
      </c>
      <c r="AQ296" s="66">
        <f t="shared" si="438"/>
        <v>0</v>
      </c>
      <c r="AR296" s="66">
        <f t="shared" si="438"/>
        <v>0</v>
      </c>
      <c r="AS296" s="66">
        <f t="shared" si="438"/>
        <v>0</v>
      </c>
      <c r="AT296" s="66">
        <f t="shared" si="438"/>
        <v>2557920000</v>
      </c>
      <c r="AU296" s="68"/>
      <c r="AV296" s="68"/>
      <c r="AW296" s="68"/>
      <c r="AX296" s="68"/>
      <c r="AY296" s="68"/>
      <c r="AZ296" s="68"/>
      <c r="BA296" s="68"/>
      <c r="BB296" s="68"/>
      <c r="BC296" s="68"/>
      <c r="BD296" s="66">
        <f t="shared" ref="BD296" si="439">SUM(BD297:BD300)</f>
        <v>2634057600</v>
      </c>
      <c r="BE296" s="68"/>
      <c r="BF296" s="68"/>
      <c r="BG296" s="68"/>
      <c r="BH296" s="68"/>
      <c r="BI296" s="68"/>
      <c r="BJ296" s="68"/>
      <c r="BK296" s="68"/>
      <c r="BL296" s="68"/>
      <c r="BM296" s="68"/>
      <c r="BN296" s="66">
        <f t="shared" ref="BN296" si="440">SUM(BN297:BN300)</f>
        <v>2712479328</v>
      </c>
      <c r="BO296" s="544">
        <f t="shared" ref="BO296" si="441">SUM(BO297:BO300)</f>
        <v>11169839691</v>
      </c>
    </row>
    <row r="297" spans="1:67" ht="60" customHeight="1" x14ac:dyDescent="0.2">
      <c r="A297" s="547">
        <v>198</v>
      </c>
      <c r="B297" s="69">
        <v>3</v>
      </c>
      <c r="C297" s="136"/>
      <c r="D297" s="136"/>
      <c r="E297" s="478">
        <v>35</v>
      </c>
      <c r="F297" s="439" t="s">
        <v>691</v>
      </c>
      <c r="G297" s="607" t="s">
        <v>692</v>
      </c>
      <c r="H297" s="607" t="s">
        <v>693</v>
      </c>
      <c r="I297" s="77">
        <v>198</v>
      </c>
      <c r="J297" s="73" t="s">
        <v>694</v>
      </c>
      <c r="K297" s="70" t="s">
        <v>695</v>
      </c>
      <c r="L297" s="74" t="s">
        <v>696</v>
      </c>
      <c r="M297" s="74">
        <v>14</v>
      </c>
      <c r="N297" s="75" t="s">
        <v>54</v>
      </c>
      <c r="O297" s="78">
        <v>1</v>
      </c>
      <c r="P297" s="78">
        <v>1</v>
      </c>
      <c r="Q297" s="77">
        <v>1</v>
      </c>
      <c r="R297" s="78">
        <v>1</v>
      </c>
      <c r="S297" s="500"/>
      <c r="T297" s="78">
        <v>1</v>
      </c>
      <c r="U297" s="78"/>
      <c r="V297" s="78">
        <v>1</v>
      </c>
      <c r="W297" s="75"/>
      <c r="X297" s="191">
        <f>AJ297/$AJ$296</f>
        <v>6.1248562424655638E-3</v>
      </c>
      <c r="Y297" s="77">
        <v>10</v>
      </c>
      <c r="Z297" s="74" t="s">
        <v>385</v>
      </c>
      <c r="AA297" s="118"/>
      <c r="AB297" s="118"/>
      <c r="AC297" s="118">
        <f>20000000</f>
        <v>20000000</v>
      </c>
      <c r="AD297" s="118"/>
      <c r="AE297" s="118"/>
      <c r="AF297" s="118"/>
      <c r="AG297" s="118"/>
      <c r="AH297" s="118"/>
      <c r="AI297" s="118"/>
      <c r="AJ297" s="82">
        <f>+AA297+AB297+AC297+AD297+AE297+AF297+AG297+AH297+AI297</f>
        <v>20000000</v>
      </c>
      <c r="AK297" s="90"/>
      <c r="AL297" s="90"/>
      <c r="AM297" s="90">
        <v>10000000</v>
      </c>
      <c r="AN297" s="90"/>
      <c r="AO297" s="90"/>
      <c r="AP297" s="90"/>
      <c r="AQ297" s="90"/>
      <c r="AR297" s="90"/>
      <c r="AS297" s="90"/>
      <c r="AT297" s="84">
        <f>AK297+AL297+AM297+AN297+AO297+AP297+AQ297+AR297+AS297</f>
        <v>10000000</v>
      </c>
      <c r="AU297" s="90"/>
      <c r="AV297" s="90"/>
      <c r="AW297" s="90">
        <v>10000000</v>
      </c>
      <c r="AX297" s="90"/>
      <c r="AY297" s="90"/>
      <c r="AZ297" s="90"/>
      <c r="BA297" s="90"/>
      <c r="BB297" s="90"/>
      <c r="BC297" s="90"/>
      <c r="BD297" s="90">
        <f>SUM(AU297:BC297)</f>
        <v>10000000</v>
      </c>
      <c r="BE297" s="90"/>
      <c r="BF297" s="90"/>
      <c r="BG297" s="90">
        <v>10000000</v>
      </c>
      <c r="BH297" s="90"/>
      <c r="BI297" s="90"/>
      <c r="BJ297" s="90"/>
      <c r="BK297" s="90"/>
      <c r="BL297" s="90"/>
      <c r="BM297" s="90"/>
      <c r="BN297" s="90">
        <f>SUM(BE297:BM297)</f>
        <v>10000000</v>
      </c>
      <c r="BO297" s="546">
        <f>AJ297+AT297+BD297+BN297</f>
        <v>50000000</v>
      </c>
    </row>
    <row r="298" spans="1:67" ht="75" customHeight="1" x14ac:dyDescent="0.2">
      <c r="A298" s="547"/>
      <c r="B298" s="69"/>
      <c r="C298" s="136"/>
      <c r="D298" s="136"/>
      <c r="E298" s="91"/>
      <c r="F298" s="119"/>
      <c r="G298" s="151"/>
      <c r="H298" s="151"/>
      <c r="I298" s="77">
        <v>199</v>
      </c>
      <c r="J298" s="73" t="s">
        <v>697</v>
      </c>
      <c r="K298" s="70" t="s">
        <v>698</v>
      </c>
      <c r="L298" s="74" t="s">
        <v>696</v>
      </c>
      <c r="M298" s="74">
        <v>14</v>
      </c>
      <c r="N298" s="74" t="s">
        <v>69</v>
      </c>
      <c r="O298" s="77">
        <v>0</v>
      </c>
      <c r="P298" s="77">
        <v>12</v>
      </c>
      <c r="Q298" s="77">
        <v>0</v>
      </c>
      <c r="R298" s="77">
        <v>4</v>
      </c>
      <c r="S298" s="500"/>
      <c r="T298" s="77">
        <v>4</v>
      </c>
      <c r="U298" s="77"/>
      <c r="V298" s="77">
        <v>4</v>
      </c>
      <c r="W298" s="74"/>
      <c r="X298" s="191">
        <f>AJ298/$AJ$296</f>
        <v>0</v>
      </c>
      <c r="Y298" s="77">
        <v>10</v>
      </c>
      <c r="Z298" s="74" t="s">
        <v>385</v>
      </c>
      <c r="AA298" s="82"/>
      <c r="AB298" s="82"/>
      <c r="AC298" s="82"/>
      <c r="AD298" s="82"/>
      <c r="AE298" s="82"/>
      <c r="AF298" s="82"/>
      <c r="AG298" s="82"/>
      <c r="AH298" s="82"/>
      <c r="AI298" s="82"/>
      <c r="AJ298" s="82">
        <f>+AA298+AB298+AC298+AD298+AE298+AF298+AG298+AH298+AI298</f>
        <v>0</v>
      </c>
      <c r="AK298" s="90"/>
      <c r="AL298" s="90"/>
      <c r="AM298" s="90">
        <v>10000000</v>
      </c>
      <c r="AN298" s="90"/>
      <c r="AO298" s="90"/>
      <c r="AP298" s="90"/>
      <c r="AQ298" s="90"/>
      <c r="AR298" s="90"/>
      <c r="AS298" s="90"/>
      <c r="AT298" s="84">
        <f>AK298+AL298+AM298+AN298+AO298+AP298+AQ298+AR298+AS298</f>
        <v>10000000</v>
      </c>
      <c r="AU298" s="90"/>
      <c r="AV298" s="90"/>
      <c r="AW298" s="90">
        <v>10000000</v>
      </c>
      <c r="AX298" s="90"/>
      <c r="AY298" s="90"/>
      <c r="AZ298" s="90"/>
      <c r="BA298" s="90"/>
      <c r="BB298" s="90"/>
      <c r="BC298" s="90"/>
      <c r="BD298" s="90">
        <f>SUM(AU298:BC298)</f>
        <v>10000000</v>
      </c>
      <c r="BE298" s="90"/>
      <c r="BF298" s="90"/>
      <c r="BG298" s="90">
        <v>10000000</v>
      </c>
      <c r="BH298" s="90"/>
      <c r="BI298" s="90"/>
      <c r="BJ298" s="90"/>
      <c r="BK298" s="90"/>
      <c r="BL298" s="90"/>
      <c r="BM298" s="90"/>
      <c r="BN298" s="90">
        <f>SUM(BE298:BM298)</f>
        <v>10000000</v>
      </c>
      <c r="BO298" s="546">
        <f>AJ298+AT298+BD298+BN298</f>
        <v>30000000</v>
      </c>
    </row>
    <row r="299" spans="1:67" ht="71.25" customHeight="1" x14ac:dyDescent="0.2">
      <c r="A299" s="545">
        <v>199</v>
      </c>
      <c r="B299" s="69">
        <v>3</v>
      </c>
      <c r="C299" s="136"/>
      <c r="D299" s="136"/>
      <c r="E299" s="91"/>
      <c r="F299" s="119"/>
      <c r="G299" s="151"/>
      <c r="H299" s="151"/>
      <c r="I299" s="77">
        <v>200</v>
      </c>
      <c r="J299" s="73" t="s">
        <v>699</v>
      </c>
      <c r="K299" s="70" t="s">
        <v>700</v>
      </c>
      <c r="L299" s="74" t="s">
        <v>696</v>
      </c>
      <c r="M299" s="74">
        <v>14</v>
      </c>
      <c r="N299" s="75" t="s">
        <v>54</v>
      </c>
      <c r="O299" s="78">
        <v>12</v>
      </c>
      <c r="P299" s="78">
        <v>12</v>
      </c>
      <c r="Q299" s="77">
        <v>12</v>
      </c>
      <c r="R299" s="78">
        <v>12</v>
      </c>
      <c r="S299" s="500"/>
      <c r="T299" s="78">
        <v>12</v>
      </c>
      <c r="U299" s="78"/>
      <c r="V299" s="78">
        <v>12</v>
      </c>
      <c r="W299" s="75"/>
      <c r="X299" s="191">
        <f>AJ299/$AJ$296</f>
        <v>0.29816254312726032</v>
      </c>
      <c r="Y299" s="77">
        <v>3</v>
      </c>
      <c r="Z299" s="74" t="s">
        <v>452</v>
      </c>
      <c r="AA299" s="118"/>
      <c r="AB299" s="108">
        <v>973614828.89999998</v>
      </c>
      <c r="AC299" s="118"/>
      <c r="AD299" s="118"/>
      <c r="AE299" s="118"/>
      <c r="AF299" s="118"/>
      <c r="AG299" s="118"/>
      <c r="AH299" s="118"/>
      <c r="AI299" s="118"/>
      <c r="AJ299" s="82">
        <f>+AA299+AB299+AC299+AD299+AE299+AF299+AG299+AH299+AI299</f>
        <v>973614828.89999998</v>
      </c>
      <c r="AK299" s="90"/>
      <c r="AL299" s="90">
        <f>2537920000*0.3</f>
        <v>761376000</v>
      </c>
      <c r="AM299" s="90"/>
      <c r="AN299" s="90"/>
      <c r="AO299" s="90"/>
      <c r="AP299" s="90"/>
      <c r="AQ299" s="90"/>
      <c r="AR299" s="90"/>
      <c r="AS299" s="90"/>
      <c r="AT299" s="84">
        <f>AK299+AL299+AM299+AN299+AO299+AP299+AQ299+AR299+AS299</f>
        <v>761376000</v>
      </c>
      <c r="AU299" s="90"/>
      <c r="AV299" s="90">
        <f>2614057600*0.3</f>
        <v>784217280</v>
      </c>
      <c r="AW299" s="90"/>
      <c r="AX299" s="90"/>
      <c r="AY299" s="90"/>
      <c r="AZ299" s="90"/>
      <c r="BA299" s="90"/>
      <c r="BB299" s="90"/>
      <c r="BC299" s="90"/>
      <c r="BD299" s="90">
        <f>SUM(AU299:BC299)</f>
        <v>784217280</v>
      </c>
      <c r="BE299" s="90"/>
      <c r="BF299" s="90">
        <v>807743798.39999998</v>
      </c>
      <c r="BG299" s="90"/>
      <c r="BH299" s="90"/>
      <c r="BI299" s="90"/>
      <c r="BJ299" s="90"/>
      <c r="BK299" s="90"/>
      <c r="BL299" s="90"/>
      <c r="BM299" s="90"/>
      <c r="BN299" s="90">
        <f>SUM(BE299:BM299)</f>
        <v>807743798.39999998</v>
      </c>
      <c r="BO299" s="546">
        <f>AJ299+AT299+BD299+BN299</f>
        <v>3326951907.3000002</v>
      </c>
    </row>
    <row r="300" spans="1:67" ht="71.25" customHeight="1" x14ac:dyDescent="0.2">
      <c r="A300" s="547">
        <v>200</v>
      </c>
      <c r="B300" s="69">
        <v>3</v>
      </c>
      <c r="C300" s="136"/>
      <c r="D300" s="192"/>
      <c r="E300" s="451"/>
      <c r="F300" s="529"/>
      <c r="G300" s="161"/>
      <c r="H300" s="161"/>
      <c r="I300" s="77">
        <v>201</v>
      </c>
      <c r="J300" s="73" t="s">
        <v>701</v>
      </c>
      <c r="K300" s="70" t="s">
        <v>702</v>
      </c>
      <c r="L300" s="74" t="s">
        <v>696</v>
      </c>
      <c r="M300" s="74">
        <v>14</v>
      </c>
      <c r="N300" s="88" t="s">
        <v>54</v>
      </c>
      <c r="O300" s="76">
        <v>14</v>
      </c>
      <c r="P300" s="76">
        <v>14</v>
      </c>
      <c r="Q300" s="89">
        <v>14</v>
      </c>
      <c r="R300" s="76">
        <v>14</v>
      </c>
      <c r="S300" s="500"/>
      <c r="T300" s="76">
        <v>14</v>
      </c>
      <c r="U300" s="76"/>
      <c r="V300" s="76">
        <v>14</v>
      </c>
      <c r="W300" s="88"/>
      <c r="X300" s="191">
        <f>AJ300/$AJ$296</f>
        <v>0.69571260063027407</v>
      </c>
      <c r="Y300" s="77">
        <v>3</v>
      </c>
      <c r="Z300" s="74" t="s">
        <v>452</v>
      </c>
      <c r="AA300" s="118"/>
      <c r="AB300" s="108">
        <v>2271767934.0999999</v>
      </c>
      <c r="AC300" s="118"/>
      <c r="AD300" s="118"/>
      <c r="AE300" s="118"/>
      <c r="AF300" s="118"/>
      <c r="AG300" s="118"/>
      <c r="AH300" s="118"/>
      <c r="AI300" s="118"/>
      <c r="AJ300" s="82">
        <f>+AA300+AB300+AC300+AD300+AE300+AF300+AG300+AH300+AI300</f>
        <v>2271767934.0999999</v>
      </c>
      <c r="AK300" s="90"/>
      <c r="AL300" s="90">
        <f>2537920000*0.7</f>
        <v>1776544000</v>
      </c>
      <c r="AM300" s="90"/>
      <c r="AN300" s="90"/>
      <c r="AO300" s="90"/>
      <c r="AP300" s="90"/>
      <c r="AQ300" s="90"/>
      <c r="AR300" s="90"/>
      <c r="AS300" s="90"/>
      <c r="AT300" s="84">
        <f>AK300+AL300+AM300+AN300+AO300+AP300+AQ300+AR300+AS300</f>
        <v>1776544000</v>
      </c>
      <c r="AU300" s="90"/>
      <c r="AV300" s="90">
        <f>2614057600*0.7</f>
        <v>1829840320</v>
      </c>
      <c r="AW300" s="90"/>
      <c r="AX300" s="90"/>
      <c r="AY300" s="90"/>
      <c r="AZ300" s="90"/>
      <c r="BA300" s="90"/>
      <c r="BB300" s="90"/>
      <c r="BC300" s="90"/>
      <c r="BD300" s="90">
        <f>SUM(AU300:BC300)</f>
        <v>1829840320</v>
      </c>
      <c r="BE300" s="90"/>
      <c r="BF300" s="90">
        <v>1884735529.5999999</v>
      </c>
      <c r="BG300" s="90"/>
      <c r="BH300" s="90"/>
      <c r="BI300" s="90"/>
      <c r="BJ300" s="90"/>
      <c r="BK300" s="90"/>
      <c r="BL300" s="90"/>
      <c r="BM300" s="90"/>
      <c r="BN300" s="90">
        <f>SUM(BE300:BM300)</f>
        <v>1884735529.5999999</v>
      </c>
      <c r="BO300" s="546">
        <f>AJ300+AT300+BD300+BN300</f>
        <v>7762887783.7000008</v>
      </c>
    </row>
    <row r="301" spans="1:67" ht="24.75" customHeight="1" x14ac:dyDescent="0.2">
      <c r="A301" s="547"/>
      <c r="B301" s="69"/>
      <c r="C301" s="136"/>
      <c r="D301" s="43">
        <v>20</v>
      </c>
      <c r="E301" s="134" t="s">
        <v>703</v>
      </c>
      <c r="F301" s="45"/>
      <c r="G301" s="46"/>
      <c r="H301" s="46"/>
      <c r="I301" s="47"/>
      <c r="J301" s="48"/>
      <c r="K301" s="48"/>
      <c r="L301" s="49"/>
      <c r="M301" s="47"/>
      <c r="N301" s="50"/>
      <c r="O301" s="48"/>
      <c r="P301" s="48"/>
      <c r="Q301" s="51"/>
      <c r="R301" s="48"/>
      <c r="S301" s="498"/>
      <c r="T301" s="48"/>
      <c r="U301" s="48"/>
      <c r="V301" s="47"/>
      <c r="W301" s="47"/>
      <c r="X301" s="135"/>
      <c r="Y301" s="47"/>
      <c r="Z301" s="47"/>
      <c r="AA301" s="53">
        <f t="shared" ref="AA301:AI301" si="442">AA302+AA305+AA307+AA309</f>
        <v>0</v>
      </c>
      <c r="AB301" s="53">
        <f t="shared" si="442"/>
        <v>382966448</v>
      </c>
      <c r="AC301" s="53">
        <f t="shared" si="442"/>
        <v>360787151.63999999</v>
      </c>
      <c r="AD301" s="53">
        <f t="shared" si="442"/>
        <v>0</v>
      </c>
      <c r="AE301" s="53">
        <f t="shared" si="442"/>
        <v>0</v>
      </c>
      <c r="AF301" s="53">
        <f t="shared" si="442"/>
        <v>0</v>
      </c>
      <c r="AG301" s="53">
        <f t="shared" si="442"/>
        <v>0</v>
      </c>
      <c r="AH301" s="53">
        <f t="shared" si="442"/>
        <v>0</v>
      </c>
      <c r="AI301" s="53">
        <f t="shared" si="442"/>
        <v>0</v>
      </c>
      <c r="AJ301" s="54">
        <f>AJ302+AJ305+AJ307+AJ309</f>
        <v>743753599.63999999</v>
      </c>
      <c r="AK301" s="53">
        <f t="shared" ref="AK301:AT301" si="443">AK302+AK305+AK307+AK309</f>
        <v>0</v>
      </c>
      <c r="AL301" s="53">
        <f t="shared" si="443"/>
        <v>394455441.44</v>
      </c>
      <c r="AM301" s="53">
        <f t="shared" si="443"/>
        <v>371610766.18919998</v>
      </c>
      <c r="AN301" s="53">
        <f t="shared" si="443"/>
        <v>0</v>
      </c>
      <c r="AO301" s="53">
        <f t="shared" si="443"/>
        <v>0</v>
      </c>
      <c r="AP301" s="53">
        <f t="shared" si="443"/>
        <v>0</v>
      </c>
      <c r="AQ301" s="53">
        <f t="shared" si="443"/>
        <v>0</v>
      </c>
      <c r="AR301" s="53">
        <f t="shared" si="443"/>
        <v>0</v>
      </c>
      <c r="AS301" s="53">
        <f t="shared" si="443"/>
        <v>0</v>
      </c>
      <c r="AT301" s="53">
        <f t="shared" si="443"/>
        <v>766066207.62919998</v>
      </c>
      <c r="AU301" s="55"/>
      <c r="AV301" s="55"/>
      <c r="AW301" s="55"/>
      <c r="AX301" s="55"/>
      <c r="AY301" s="55"/>
      <c r="AZ301" s="55"/>
      <c r="BA301" s="55"/>
      <c r="BB301" s="55"/>
      <c r="BC301" s="55"/>
      <c r="BD301" s="53">
        <f t="shared" ref="BD301" si="444">BD302+BD305+BD307+BD309</f>
        <v>789048193.85807598</v>
      </c>
      <c r="BE301" s="55"/>
      <c r="BF301" s="55"/>
      <c r="BG301" s="55"/>
      <c r="BH301" s="55"/>
      <c r="BI301" s="55"/>
      <c r="BJ301" s="55"/>
      <c r="BK301" s="55"/>
      <c r="BL301" s="55"/>
      <c r="BM301" s="55"/>
      <c r="BN301" s="53">
        <f t="shared" ref="BN301" si="445">BN302+BN305+BN307+BN309</f>
        <v>812719639.67381835</v>
      </c>
      <c r="BO301" s="543">
        <f t="shared" ref="BO301" si="446">BO302+BO305+BO307+BO309</f>
        <v>3111587640.8010941</v>
      </c>
    </row>
    <row r="302" spans="1:67" ht="24.75" customHeight="1" x14ac:dyDescent="0.2">
      <c r="A302" s="547"/>
      <c r="B302" s="69"/>
      <c r="C302" s="136"/>
      <c r="D302" s="562"/>
      <c r="E302" s="57">
        <v>68</v>
      </c>
      <c r="F302" s="58" t="s">
        <v>704</v>
      </c>
      <c r="G302" s="96"/>
      <c r="H302" s="96"/>
      <c r="I302" s="60"/>
      <c r="J302" s="61"/>
      <c r="K302" s="96"/>
      <c r="L302" s="60"/>
      <c r="M302" s="60"/>
      <c r="N302" s="97"/>
      <c r="O302" s="96"/>
      <c r="P302" s="96"/>
      <c r="Q302" s="98"/>
      <c r="R302" s="96"/>
      <c r="S302" s="503"/>
      <c r="T302" s="96"/>
      <c r="U302" s="96"/>
      <c r="V302" s="60"/>
      <c r="W302" s="60"/>
      <c r="X302" s="99"/>
      <c r="Y302" s="60"/>
      <c r="Z302" s="60"/>
      <c r="AA302" s="100">
        <f t="shared" ref="AA302:AI302" si="447">SUM(AA303:AA304)</f>
        <v>0</v>
      </c>
      <c r="AB302" s="100">
        <f t="shared" si="447"/>
        <v>382966448</v>
      </c>
      <c r="AC302" s="100">
        <f t="shared" si="447"/>
        <v>258910352</v>
      </c>
      <c r="AD302" s="100">
        <f t="shared" si="447"/>
        <v>0</v>
      </c>
      <c r="AE302" s="100">
        <f t="shared" si="447"/>
        <v>0</v>
      </c>
      <c r="AF302" s="100">
        <f t="shared" si="447"/>
        <v>0</v>
      </c>
      <c r="AG302" s="100">
        <f t="shared" si="447"/>
        <v>0</v>
      </c>
      <c r="AH302" s="100">
        <f t="shared" si="447"/>
        <v>0</v>
      </c>
      <c r="AI302" s="100">
        <f t="shared" si="447"/>
        <v>0</v>
      </c>
      <c r="AJ302" s="101">
        <f>SUM(AJ303:AJ304)</f>
        <v>641876800</v>
      </c>
      <c r="AK302" s="100">
        <f t="shared" ref="AK302:AT302" si="448">SUM(AK303:AK304)</f>
        <v>0</v>
      </c>
      <c r="AL302" s="100">
        <f t="shared" si="448"/>
        <v>394455441.44</v>
      </c>
      <c r="AM302" s="100">
        <f t="shared" si="448"/>
        <v>266677662.56</v>
      </c>
      <c r="AN302" s="100">
        <f t="shared" si="448"/>
        <v>0</v>
      </c>
      <c r="AO302" s="100">
        <f t="shared" si="448"/>
        <v>0</v>
      </c>
      <c r="AP302" s="100">
        <f t="shared" si="448"/>
        <v>0</v>
      </c>
      <c r="AQ302" s="100">
        <f t="shared" si="448"/>
        <v>0</v>
      </c>
      <c r="AR302" s="100">
        <f t="shared" si="448"/>
        <v>0</v>
      </c>
      <c r="AS302" s="100">
        <f t="shared" si="448"/>
        <v>0</v>
      </c>
      <c r="AT302" s="100">
        <f t="shared" si="448"/>
        <v>661133104</v>
      </c>
      <c r="AU302" s="102"/>
      <c r="AV302" s="102"/>
      <c r="AW302" s="102"/>
      <c r="AX302" s="102"/>
      <c r="AY302" s="102"/>
      <c r="AZ302" s="102"/>
      <c r="BA302" s="102"/>
      <c r="BB302" s="102"/>
      <c r="BC302" s="102"/>
      <c r="BD302" s="100">
        <f t="shared" ref="BD302" si="449">SUM(BD303:BD304)</f>
        <v>680967097.12</v>
      </c>
      <c r="BE302" s="102"/>
      <c r="BF302" s="102"/>
      <c r="BG302" s="102"/>
      <c r="BH302" s="102"/>
      <c r="BI302" s="102"/>
      <c r="BJ302" s="102"/>
      <c r="BK302" s="102"/>
      <c r="BL302" s="102"/>
      <c r="BM302" s="102"/>
      <c r="BN302" s="100">
        <f t="shared" ref="BN302" si="450">SUM(BN303:BN304)</f>
        <v>701396110.03360009</v>
      </c>
      <c r="BO302" s="560">
        <f t="shared" ref="BO302" si="451">SUM(BO303:BO304)</f>
        <v>2685373111.1535997</v>
      </c>
    </row>
    <row r="303" spans="1:67" ht="57.75" customHeight="1" x14ac:dyDescent="0.2">
      <c r="A303" s="545">
        <v>201</v>
      </c>
      <c r="B303" s="69">
        <v>3</v>
      </c>
      <c r="C303" s="136"/>
      <c r="D303" s="136"/>
      <c r="E303" s="478">
        <v>36</v>
      </c>
      <c r="F303" s="439" t="s">
        <v>705</v>
      </c>
      <c r="G303" s="623">
        <v>0.4</v>
      </c>
      <c r="H303" s="623">
        <v>0.6</v>
      </c>
      <c r="I303" s="77">
        <v>202</v>
      </c>
      <c r="J303" s="73" t="s">
        <v>706</v>
      </c>
      <c r="K303" s="262" t="s">
        <v>707</v>
      </c>
      <c r="L303" s="74" t="s">
        <v>708</v>
      </c>
      <c r="M303" s="245">
        <v>4</v>
      </c>
      <c r="N303" s="112" t="s">
        <v>54</v>
      </c>
      <c r="O303" s="93">
        <v>23</v>
      </c>
      <c r="P303" s="93">
        <v>23</v>
      </c>
      <c r="Q303" s="196">
        <v>23</v>
      </c>
      <c r="R303" s="93">
        <v>23</v>
      </c>
      <c r="S303" s="500"/>
      <c r="T303" s="93">
        <v>23</v>
      </c>
      <c r="U303" s="93"/>
      <c r="V303" s="93">
        <v>23</v>
      </c>
      <c r="W303" s="112"/>
      <c r="X303" s="257">
        <f>AJ303/AJ302</f>
        <v>0.71731335359059556</v>
      </c>
      <c r="Y303" s="78">
        <v>3</v>
      </c>
      <c r="Z303" s="75" t="s">
        <v>452</v>
      </c>
      <c r="AA303" s="108"/>
      <c r="AB303" s="324">
        <v>379516448</v>
      </c>
      <c r="AC303" s="324">
        <f>97585333-16674981</f>
        <v>80910352</v>
      </c>
      <c r="AD303" s="108"/>
      <c r="AE303" s="108"/>
      <c r="AF303" s="108"/>
      <c r="AG303" s="108"/>
      <c r="AH303" s="108"/>
      <c r="AI303" s="108"/>
      <c r="AJ303" s="82">
        <f>+AA303+AB303+AC303+AD303+AE303+AF303+AG303+AH303+AI303</f>
        <v>460426800</v>
      </c>
      <c r="AK303" s="90"/>
      <c r="AL303" s="90">
        <f>379516448*1.03</f>
        <v>390901941.44</v>
      </c>
      <c r="AM303" s="455">
        <f>80910352*1.03</f>
        <v>83337662.560000002</v>
      </c>
      <c r="AN303" s="90"/>
      <c r="AO303" s="90"/>
      <c r="AP303" s="90"/>
      <c r="AQ303" s="90"/>
      <c r="AR303" s="90"/>
      <c r="AS303" s="90"/>
      <c r="AT303" s="84">
        <f>AK303+AL303+AM303+AN303+AO303+AP303+AQ303+AR303+AS303</f>
        <v>474239604</v>
      </c>
      <c r="AU303" s="455"/>
      <c r="AV303" s="90">
        <v>402628999.6832</v>
      </c>
      <c r="AW303" s="455">
        <v>85837792.436800003</v>
      </c>
      <c r="AX303" s="455"/>
      <c r="AY303" s="455"/>
      <c r="AZ303" s="455"/>
      <c r="BA303" s="455"/>
      <c r="BB303" s="455"/>
      <c r="BC303" s="455"/>
      <c r="BD303" s="455">
        <f>SUM(AU303:BC303)</f>
        <v>488466792.12</v>
      </c>
      <c r="BE303" s="90"/>
      <c r="BF303" s="90">
        <f>402628999.6832*1.03</f>
        <v>414707869.67369604</v>
      </c>
      <c r="BG303" s="455">
        <f>85837792.4368*1.03</f>
        <v>88412926.209904</v>
      </c>
      <c r="BH303" s="90"/>
      <c r="BI303" s="90"/>
      <c r="BJ303" s="90"/>
      <c r="BK303" s="90"/>
      <c r="BL303" s="90"/>
      <c r="BM303" s="90"/>
      <c r="BN303" s="90">
        <f>SUM(BE303:BM303)</f>
        <v>503120795.88360006</v>
      </c>
      <c r="BO303" s="546">
        <f>AJ303+AT303+BD303+BN303</f>
        <v>1926253992.0035999</v>
      </c>
    </row>
    <row r="304" spans="1:67" ht="67.5" customHeight="1" x14ac:dyDescent="0.2">
      <c r="A304" s="547">
        <v>202</v>
      </c>
      <c r="B304" s="69">
        <v>3</v>
      </c>
      <c r="C304" s="136"/>
      <c r="D304" s="136"/>
      <c r="E304" s="451"/>
      <c r="F304" s="529"/>
      <c r="G304" s="203"/>
      <c r="H304" s="203"/>
      <c r="I304" s="77">
        <v>203</v>
      </c>
      <c r="J304" s="73" t="s">
        <v>709</v>
      </c>
      <c r="K304" s="262" t="s">
        <v>710</v>
      </c>
      <c r="L304" s="74" t="s">
        <v>708</v>
      </c>
      <c r="M304" s="245">
        <v>4</v>
      </c>
      <c r="N304" s="112" t="s">
        <v>54</v>
      </c>
      <c r="O304" s="93">
        <v>20</v>
      </c>
      <c r="P304" s="93">
        <v>20</v>
      </c>
      <c r="Q304" s="196">
        <v>20</v>
      </c>
      <c r="R304" s="93">
        <v>20</v>
      </c>
      <c r="S304" s="500"/>
      <c r="T304" s="93">
        <v>20</v>
      </c>
      <c r="U304" s="93"/>
      <c r="V304" s="93">
        <v>20</v>
      </c>
      <c r="W304" s="112"/>
      <c r="X304" s="257">
        <f>AJ304/AJ302</f>
        <v>0.28268664640940444</v>
      </c>
      <c r="Y304" s="78">
        <v>3</v>
      </c>
      <c r="Z304" s="75" t="s">
        <v>452</v>
      </c>
      <c r="AA304" s="108"/>
      <c r="AB304" s="185">
        <v>3450000</v>
      </c>
      <c r="AC304" s="324">
        <f>100000000+78000000</f>
        <v>178000000</v>
      </c>
      <c r="AD304" s="108"/>
      <c r="AE304" s="108"/>
      <c r="AF304" s="108"/>
      <c r="AG304" s="108"/>
      <c r="AH304" s="108"/>
      <c r="AI304" s="108"/>
      <c r="AJ304" s="82">
        <f>+AA304+AB304+AC304+AD304+AE304+AF304+AG304+AH304+AI304</f>
        <v>181450000</v>
      </c>
      <c r="AK304" s="90"/>
      <c r="AL304" s="90">
        <f>3450000*1.03</f>
        <v>3553500</v>
      </c>
      <c r="AM304" s="90">
        <f>178000000*1.03</f>
        <v>183340000</v>
      </c>
      <c r="AN304" s="90"/>
      <c r="AO304" s="90"/>
      <c r="AP304" s="90"/>
      <c r="AQ304" s="90"/>
      <c r="AR304" s="90"/>
      <c r="AS304" s="90"/>
      <c r="AT304" s="84">
        <f>AK304+AL304+AM304+AN304+AO304+AP304+AQ304+AR304+AS304</f>
        <v>186893500</v>
      </c>
      <c r="AU304" s="455"/>
      <c r="AV304" s="90">
        <v>3660105</v>
      </c>
      <c r="AW304" s="90">
        <v>188840200</v>
      </c>
      <c r="AX304" s="90"/>
      <c r="AY304" s="455"/>
      <c r="AZ304" s="455"/>
      <c r="BA304" s="455"/>
      <c r="BB304" s="455"/>
      <c r="BC304" s="455"/>
      <c r="BD304" s="455">
        <f>SUM(AU304:BC304)</f>
        <v>192500305</v>
      </c>
      <c r="BE304" s="90"/>
      <c r="BF304" s="90">
        <f>3660105*1.03</f>
        <v>3769908.15</v>
      </c>
      <c r="BG304" s="90">
        <f>188840200*1.03</f>
        <v>194505406</v>
      </c>
      <c r="BH304" s="90"/>
      <c r="BI304" s="90"/>
      <c r="BJ304" s="90"/>
      <c r="BK304" s="90"/>
      <c r="BL304" s="90"/>
      <c r="BM304" s="90"/>
      <c r="BN304" s="90">
        <f>SUM(BE304:BM304)</f>
        <v>198275314.15000001</v>
      </c>
      <c r="BO304" s="546">
        <f>AJ304+AT304+BD304+BN304</f>
        <v>759119119.14999998</v>
      </c>
    </row>
    <row r="305" spans="1:67" ht="24.75" customHeight="1" x14ac:dyDescent="0.2">
      <c r="A305" s="547"/>
      <c r="B305" s="69"/>
      <c r="C305" s="136"/>
      <c r="D305" s="136"/>
      <c r="E305" s="57">
        <v>69</v>
      </c>
      <c r="F305" s="58" t="s">
        <v>711</v>
      </c>
      <c r="G305" s="61"/>
      <c r="H305" s="61"/>
      <c r="I305" s="57"/>
      <c r="J305" s="58"/>
      <c r="K305" s="61"/>
      <c r="L305" s="60"/>
      <c r="M305" s="62"/>
      <c r="N305" s="63"/>
      <c r="O305" s="61"/>
      <c r="P305" s="61"/>
      <c r="Q305" s="64"/>
      <c r="R305" s="61"/>
      <c r="S305" s="499"/>
      <c r="T305" s="61"/>
      <c r="U305" s="61"/>
      <c r="V305" s="62"/>
      <c r="W305" s="62"/>
      <c r="X305" s="137"/>
      <c r="Y305" s="62"/>
      <c r="Z305" s="62"/>
      <c r="AA305" s="66">
        <f t="shared" ref="AA305:AI305" si="452">SUM(AA306)</f>
        <v>0</v>
      </c>
      <c r="AB305" s="66">
        <f t="shared" si="452"/>
        <v>0</v>
      </c>
      <c r="AC305" s="66">
        <f t="shared" si="452"/>
        <v>30000000</v>
      </c>
      <c r="AD305" s="66">
        <f t="shared" si="452"/>
        <v>0</v>
      </c>
      <c r="AE305" s="66">
        <f t="shared" si="452"/>
        <v>0</v>
      </c>
      <c r="AF305" s="66">
        <f t="shared" si="452"/>
        <v>0</v>
      </c>
      <c r="AG305" s="66">
        <f t="shared" si="452"/>
        <v>0</v>
      </c>
      <c r="AH305" s="66">
        <f t="shared" si="452"/>
        <v>0</v>
      </c>
      <c r="AI305" s="66">
        <f t="shared" si="452"/>
        <v>0</v>
      </c>
      <c r="AJ305" s="67">
        <f>SUM(AJ306)</f>
        <v>30000000</v>
      </c>
      <c r="AK305" s="66">
        <f t="shared" ref="AK305:AT305" si="453">SUM(AK306)</f>
        <v>0</v>
      </c>
      <c r="AL305" s="66">
        <f t="shared" si="453"/>
        <v>0</v>
      </c>
      <c r="AM305" s="66">
        <f t="shared" si="453"/>
        <v>30900000</v>
      </c>
      <c r="AN305" s="66">
        <f t="shared" si="453"/>
        <v>0</v>
      </c>
      <c r="AO305" s="66">
        <f t="shared" si="453"/>
        <v>0</v>
      </c>
      <c r="AP305" s="66">
        <f t="shared" si="453"/>
        <v>0</v>
      </c>
      <c r="AQ305" s="66">
        <f t="shared" si="453"/>
        <v>0</v>
      </c>
      <c r="AR305" s="66">
        <f t="shared" si="453"/>
        <v>0</v>
      </c>
      <c r="AS305" s="66">
        <f t="shared" si="453"/>
        <v>0</v>
      </c>
      <c r="AT305" s="66">
        <f t="shared" si="453"/>
        <v>30900000</v>
      </c>
      <c r="AU305" s="68"/>
      <c r="AV305" s="68"/>
      <c r="AW305" s="68"/>
      <c r="AX305" s="68"/>
      <c r="AY305" s="68"/>
      <c r="AZ305" s="68"/>
      <c r="BA305" s="68"/>
      <c r="BB305" s="68"/>
      <c r="BC305" s="68"/>
      <c r="BD305" s="66">
        <f t="shared" ref="BD305" si="454">SUM(BD306)</f>
        <v>31827000</v>
      </c>
      <c r="BE305" s="68"/>
      <c r="BF305" s="68"/>
      <c r="BG305" s="68"/>
      <c r="BH305" s="68"/>
      <c r="BI305" s="68"/>
      <c r="BJ305" s="68"/>
      <c r="BK305" s="68"/>
      <c r="BL305" s="68"/>
      <c r="BM305" s="68"/>
      <c r="BN305" s="66">
        <f t="shared" ref="BN305:BO305" si="455">SUM(BN306)</f>
        <v>32781810</v>
      </c>
      <c r="BO305" s="544">
        <f t="shared" si="455"/>
        <v>125508810</v>
      </c>
    </row>
    <row r="306" spans="1:67" ht="57.75" customHeight="1" x14ac:dyDescent="0.2">
      <c r="A306" s="545">
        <v>203</v>
      </c>
      <c r="B306" s="69">
        <v>3</v>
      </c>
      <c r="C306" s="136"/>
      <c r="D306" s="136"/>
      <c r="E306" s="93">
        <v>36</v>
      </c>
      <c r="F306" s="439" t="s">
        <v>705</v>
      </c>
      <c r="G306" s="623">
        <v>0.4</v>
      </c>
      <c r="H306" s="623">
        <v>0.6</v>
      </c>
      <c r="I306" s="77">
        <v>204</v>
      </c>
      <c r="J306" s="73" t="s">
        <v>712</v>
      </c>
      <c r="K306" s="262" t="s">
        <v>713</v>
      </c>
      <c r="L306" s="74" t="s">
        <v>708</v>
      </c>
      <c r="M306" s="245">
        <v>4</v>
      </c>
      <c r="N306" s="112" t="s">
        <v>54</v>
      </c>
      <c r="O306" s="93">
        <v>13</v>
      </c>
      <c r="P306" s="93">
        <v>13</v>
      </c>
      <c r="Q306" s="196">
        <v>13</v>
      </c>
      <c r="R306" s="93">
        <v>13</v>
      </c>
      <c r="S306" s="500"/>
      <c r="T306" s="93">
        <v>13</v>
      </c>
      <c r="U306" s="93"/>
      <c r="V306" s="93">
        <v>13</v>
      </c>
      <c r="W306" s="112"/>
      <c r="X306" s="257">
        <f>AJ306/AJ305</f>
        <v>1</v>
      </c>
      <c r="Y306" s="78">
        <v>3</v>
      </c>
      <c r="Z306" s="75" t="s">
        <v>452</v>
      </c>
      <c r="AA306" s="108"/>
      <c r="AB306" s="108"/>
      <c r="AC306" s="108">
        <v>30000000</v>
      </c>
      <c r="AD306" s="108"/>
      <c r="AE306" s="108"/>
      <c r="AF306" s="108"/>
      <c r="AG306" s="108"/>
      <c r="AH306" s="108"/>
      <c r="AI306" s="108"/>
      <c r="AJ306" s="82">
        <f>+AA306+AB306+AC306+AD306+AE306+AF306+AG306+AH306+AI306</f>
        <v>30000000</v>
      </c>
      <c r="AK306" s="90"/>
      <c r="AL306" s="90"/>
      <c r="AM306" s="455">
        <v>30900000</v>
      </c>
      <c r="AN306" s="90"/>
      <c r="AO306" s="90"/>
      <c r="AP306" s="90"/>
      <c r="AQ306" s="90"/>
      <c r="AR306" s="90"/>
      <c r="AS306" s="90"/>
      <c r="AT306" s="84">
        <f>AK306+AL306+AM306+AN306+AO306+AP306+AQ306+AR306+AS306</f>
        <v>30900000</v>
      </c>
      <c r="AU306" s="455"/>
      <c r="AV306" s="455"/>
      <c r="AW306" s="455">
        <v>31827000</v>
      </c>
      <c r="AX306" s="455"/>
      <c r="AY306" s="455"/>
      <c r="AZ306" s="455"/>
      <c r="BA306" s="455"/>
      <c r="BB306" s="455"/>
      <c r="BC306" s="455"/>
      <c r="BD306" s="455">
        <f>SUM(AU306:BC306)</f>
        <v>31827000</v>
      </c>
      <c r="BE306" s="90"/>
      <c r="BF306" s="90"/>
      <c r="BG306" s="90">
        <v>32781810</v>
      </c>
      <c r="BH306" s="90"/>
      <c r="BI306" s="90"/>
      <c r="BJ306" s="90"/>
      <c r="BK306" s="90"/>
      <c r="BL306" s="90"/>
      <c r="BM306" s="90"/>
      <c r="BN306" s="90">
        <f>SUM(BE306:BM306)</f>
        <v>32781810</v>
      </c>
      <c r="BO306" s="546">
        <f>AJ306+AT306+BD306+BN306</f>
        <v>125508810</v>
      </c>
    </row>
    <row r="307" spans="1:67" ht="24.75" customHeight="1" x14ac:dyDescent="0.2">
      <c r="A307" s="545"/>
      <c r="B307" s="69"/>
      <c r="C307" s="136"/>
      <c r="D307" s="136"/>
      <c r="E307" s="57">
        <v>70</v>
      </c>
      <c r="F307" s="184" t="s">
        <v>714</v>
      </c>
      <c r="G307" s="96"/>
      <c r="H307" s="96"/>
      <c r="I307" s="60"/>
      <c r="J307" s="96"/>
      <c r="K307" s="96"/>
      <c r="L307" s="60"/>
      <c r="M307" s="60"/>
      <c r="N307" s="97"/>
      <c r="O307" s="96"/>
      <c r="P307" s="96"/>
      <c r="Q307" s="98"/>
      <c r="R307" s="96"/>
      <c r="S307" s="503"/>
      <c r="T307" s="96"/>
      <c r="U307" s="96"/>
      <c r="V307" s="60"/>
      <c r="W307" s="60"/>
      <c r="X307" s="99"/>
      <c r="Y307" s="60"/>
      <c r="Z307" s="60"/>
      <c r="AA307" s="101">
        <f t="shared" ref="AA307:AI307" si="456">SUM(AA308)</f>
        <v>0</v>
      </c>
      <c r="AB307" s="101">
        <f t="shared" si="456"/>
        <v>0</v>
      </c>
      <c r="AC307" s="101">
        <f t="shared" si="456"/>
        <v>41876799.640000001</v>
      </c>
      <c r="AD307" s="101">
        <f t="shared" si="456"/>
        <v>0</v>
      </c>
      <c r="AE307" s="101">
        <f t="shared" si="456"/>
        <v>0</v>
      </c>
      <c r="AF307" s="101">
        <f t="shared" si="456"/>
        <v>0</v>
      </c>
      <c r="AG307" s="101">
        <f t="shared" si="456"/>
        <v>0</v>
      </c>
      <c r="AH307" s="101">
        <f t="shared" si="456"/>
        <v>0</v>
      </c>
      <c r="AI307" s="101">
        <f t="shared" si="456"/>
        <v>0</v>
      </c>
      <c r="AJ307" s="101">
        <f>SUM(AJ308)</f>
        <v>41876799.640000001</v>
      </c>
      <c r="AK307" s="101">
        <f t="shared" ref="AK307:AT307" si="457">SUM(AK308)</f>
        <v>0</v>
      </c>
      <c r="AL307" s="101">
        <f t="shared" si="457"/>
        <v>0</v>
      </c>
      <c r="AM307" s="101">
        <f t="shared" si="457"/>
        <v>43133103.629199989</v>
      </c>
      <c r="AN307" s="101">
        <f t="shared" si="457"/>
        <v>0</v>
      </c>
      <c r="AO307" s="101">
        <f t="shared" si="457"/>
        <v>0</v>
      </c>
      <c r="AP307" s="101">
        <f t="shared" si="457"/>
        <v>0</v>
      </c>
      <c r="AQ307" s="101">
        <f t="shared" si="457"/>
        <v>0</v>
      </c>
      <c r="AR307" s="101">
        <f t="shared" si="457"/>
        <v>0</v>
      </c>
      <c r="AS307" s="101">
        <f t="shared" si="457"/>
        <v>0</v>
      </c>
      <c r="AT307" s="101">
        <f t="shared" si="457"/>
        <v>43133103.629199989</v>
      </c>
      <c r="AU307" s="102"/>
      <c r="AV307" s="102"/>
      <c r="AW307" s="102"/>
      <c r="AX307" s="102"/>
      <c r="AY307" s="102"/>
      <c r="AZ307" s="102"/>
      <c r="BA307" s="102"/>
      <c r="BB307" s="102"/>
      <c r="BC307" s="102"/>
      <c r="BD307" s="101">
        <f t="shared" ref="BD307" si="458">SUM(BD308)</f>
        <v>44427096.738075987</v>
      </c>
      <c r="BE307" s="68"/>
      <c r="BF307" s="68"/>
      <c r="BG307" s="68"/>
      <c r="BH307" s="68"/>
      <c r="BI307" s="68"/>
      <c r="BJ307" s="68"/>
      <c r="BK307" s="68"/>
      <c r="BL307" s="68"/>
      <c r="BM307" s="68"/>
      <c r="BN307" s="101">
        <f t="shared" ref="BN307:BO307" si="459">SUM(BN308)</f>
        <v>45759909.640218265</v>
      </c>
      <c r="BO307" s="570">
        <f t="shared" si="459"/>
        <v>175196909.64749426</v>
      </c>
    </row>
    <row r="308" spans="1:67" ht="152.25" customHeight="1" x14ac:dyDescent="0.2">
      <c r="A308" s="547">
        <v>204</v>
      </c>
      <c r="B308" s="69">
        <v>3</v>
      </c>
      <c r="C308" s="136"/>
      <c r="D308" s="136"/>
      <c r="E308" s="93">
        <v>36</v>
      </c>
      <c r="F308" s="439" t="s">
        <v>705</v>
      </c>
      <c r="G308" s="623">
        <v>0.4</v>
      </c>
      <c r="H308" s="623">
        <v>0.6</v>
      </c>
      <c r="I308" s="77">
        <v>205</v>
      </c>
      <c r="J308" s="73" t="s">
        <v>715</v>
      </c>
      <c r="K308" s="262" t="s">
        <v>716</v>
      </c>
      <c r="L308" s="74" t="s">
        <v>708</v>
      </c>
      <c r="M308" s="245">
        <v>4</v>
      </c>
      <c r="N308" s="112" t="s">
        <v>69</v>
      </c>
      <c r="O308" s="93">
        <v>4</v>
      </c>
      <c r="P308" s="93">
        <v>4</v>
      </c>
      <c r="Q308" s="196">
        <v>1</v>
      </c>
      <c r="R308" s="93">
        <v>1</v>
      </c>
      <c r="S308" s="500"/>
      <c r="T308" s="93">
        <v>1</v>
      </c>
      <c r="U308" s="93"/>
      <c r="V308" s="93">
        <v>1</v>
      </c>
      <c r="W308" s="112"/>
      <c r="X308" s="257">
        <f>AJ308/AJ307</f>
        <v>1</v>
      </c>
      <c r="Y308" s="78">
        <v>10</v>
      </c>
      <c r="Z308" s="75" t="s">
        <v>385</v>
      </c>
      <c r="AA308" s="108"/>
      <c r="AB308" s="108"/>
      <c r="AC308" s="108">
        <v>41876799.640000001</v>
      </c>
      <c r="AD308" s="108"/>
      <c r="AE308" s="108"/>
      <c r="AF308" s="108"/>
      <c r="AG308" s="108"/>
      <c r="AH308" s="108"/>
      <c r="AI308" s="108"/>
      <c r="AJ308" s="82">
        <f>+AA308+AB308+AC308+AD308+AE308+AF308+AG308+AH308+AI308</f>
        <v>41876799.640000001</v>
      </c>
      <c r="AK308" s="90"/>
      <c r="AL308" s="90"/>
      <c r="AM308" s="455">
        <v>43133103.629199989</v>
      </c>
      <c r="AN308" s="90"/>
      <c r="AO308" s="90"/>
      <c r="AP308" s="90"/>
      <c r="AQ308" s="90"/>
      <c r="AR308" s="90"/>
      <c r="AS308" s="90"/>
      <c r="AT308" s="84">
        <f>AK308+AL308+AM308+AN308+AO308+AP308+AQ308+AR308+AS308</f>
        <v>43133103.629199989</v>
      </c>
      <c r="AU308" s="455"/>
      <c r="AV308" s="455"/>
      <c r="AW308" s="455">
        <v>44427096.738075987</v>
      </c>
      <c r="AX308" s="455"/>
      <c r="AY308" s="455"/>
      <c r="AZ308" s="455"/>
      <c r="BA308" s="455"/>
      <c r="BB308" s="455"/>
      <c r="BC308" s="455"/>
      <c r="BD308" s="455">
        <f>SUM(AU308:BC308)</f>
        <v>44427096.738075987</v>
      </c>
      <c r="BE308" s="325"/>
      <c r="BF308" s="90"/>
      <c r="BG308" s="90">
        <v>45759909.640218265</v>
      </c>
      <c r="BH308" s="90"/>
      <c r="BI308" s="90"/>
      <c r="BJ308" s="90"/>
      <c r="BK308" s="90"/>
      <c r="BL308" s="90"/>
      <c r="BM308" s="90"/>
      <c r="BN308" s="90">
        <f>SUM(BE308:BM308)</f>
        <v>45759909.640218265</v>
      </c>
      <c r="BO308" s="546">
        <f>AJ308+AT308+BD308+BN308</f>
        <v>175196909.64749426</v>
      </c>
    </row>
    <row r="309" spans="1:67" ht="24.75" customHeight="1" x14ac:dyDescent="0.2">
      <c r="A309" s="547"/>
      <c r="B309" s="69"/>
      <c r="C309" s="136"/>
      <c r="D309" s="136"/>
      <c r="E309" s="57">
        <v>71</v>
      </c>
      <c r="F309" s="58" t="s">
        <v>717</v>
      </c>
      <c r="G309" s="61"/>
      <c r="H309" s="61"/>
      <c r="I309" s="60"/>
      <c r="J309" s="61"/>
      <c r="K309" s="61"/>
      <c r="L309" s="60"/>
      <c r="M309" s="62"/>
      <c r="N309" s="63"/>
      <c r="O309" s="61"/>
      <c r="P309" s="61"/>
      <c r="Q309" s="64"/>
      <c r="R309" s="61"/>
      <c r="S309" s="499"/>
      <c r="T309" s="61"/>
      <c r="U309" s="61"/>
      <c r="V309" s="62"/>
      <c r="W309" s="62"/>
      <c r="X309" s="137"/>
      <c r="Y309" s="62"/>
      <c r="Z309" s="62"/>
      <c r="AA309" s="66">
        <f t="shared" ref="AA309:AI309" si="460">SUM(AA310:AA312)</f>
        <v>0</v>
      </c>
      <c r="AB309" s="66">
        <f t="shared" si="460"/>
        <v>0</v>
      </c>
      <c r="AC309" s="66">
        <f t="shared" si="460"/>
        <v>30000000</v>
      </c>
      <c r="AD309" s="66">
        <f t="shared" si="460"/>
        <v>0</v>
      </c>
      <c r="AE309" s="66">
        <f t="shared" si="460"/>
        <v>0</v>
      </c>
      <c r="AF309" s="66">
        <f t="shared" si="460"/>
        <v>0</v>
      </c>
      <c r="AG309" s="66">
        <f t="shared" si="460"/>
        <v>0</v>
      </c>
      <c r="AH309" s="66">
        <f t="shared" si="460"/>
        <v>0</v>
      </c>
      <c r="AI309" s="66">
        <f t="shared" si="460"/>
        <v>0</v>
      </c>
      <c r="AJ309" s="67">
        <f>SUM(AJ310:AJ312)</f>
        <v>30000000</v>
      </c>
      <c r="AK309" s="66">
        <f t="shared" ref="AK309:AT309" si="461">SUM(AK310:AK312)</f>
        <v>0</v>
      </c>
      <c r="AL309" s="66">
        <f t="shared" si="461"/>
        <v>0</v>
      </c>
      <c r="AM309" s="66">
        <f t="shared" si="461"/>
        <v>30900000</v>
      </c>
      <c r="AN309" s="66">
        <f t="shared" si="461"/>
        <v>0</v>
      </c>
      <c r="AO309" s="66">
        <f t="shared" si="461"/>
        <v>0</v>
      </c>
      <c r="AP309" s="66">
        <f t="shared" si="461"/>
        <v>0</v>
      </c>
      <c r="AQ309" s="66">
        <f t="shared" si="461"/>
        <v>0</v>
      </c>
      <c r="AR309" s="66">
        <f t="shared" si="461"/>
        <v>0</v>
      </c>
      <c r="AS309" s="66">
        <f t="shared" si="461"/>
        <v>0</v>
      </c>
      <c r="AT309" s="66">
        <f t="shared" si="461"/>
        <v>30900000</v>
      </c>
      <c r="AU309" s="68"/>
      <c r="AV309" s="68"/>
      <c r="AW309" s="68"/>
      <c r="AX309" s="68"/>
      <c r="AY309" s="68"/>
      <c r="AZ309" s="68"/>
      <c r="BA309" s="68"/>
      <c r="BB309" s="68"/>
      <c r="BC309" s="68"/>
      <c r="BD309" s="66">
        <f t="shared" ref="BD309" si="462">SUM(BD310:BD312)</f>
        <v>31827000</v>
      </c>
      <c r="BE309" s="68"/>
      <c r="BF309" s="68"/>
      <c r="BG309" s="68"/>
      <c r="BH309" s="68"/>
      <c r="BI309" s="68"/>
      <c r="BJ309" s="68"/>
      <c r="BK309" s="68"/>
      <c r="BL309" s="68"/>
      <c r="BM309" s="68"/>
      <c r="BN309" s="66">
        <f t="shared" ref="BN309:BO309" si="463">SUM(BN310:BN312)</f>
        <v>32781810</v>
      </c>
      <c r="BO309" s="544">
        <f t="shared" si="463"/>
        <v>125508810</v>
      </c>
    </row>
    <row r="310" spans="1:67" ht="96" customHeight="1" x14ac:dyDescent="0.2">
      <c r="A310" s="545">
        <v>205</v>
      </c>
      <c r="B310" s="69">
        <v>3</v>
      </c>
      <c r="C310" s="136"/>
      <c r="D310" s="136"/>
      <c r="E310" s="478">
        <v>36</v>
      </c>
      <c r="F310" s="439" t="s">
        <v>705</v>
      </c>
      <c r="G310" s="623">
        <v>0.4</v>
      </c>
      <c r="H310" s="623">
        <v>0.6</v>
      </c>
      <c r="I310" s="77">
        <v>206</v>
      </c>
      <c r="J310" s="73" t="s">
        <v>718</v>
      </c>
      <c r="K310" s="262" t="s">
        <v>719</v>
      </c>
      <c r="L310" s="74" t="s">
        <v>708</v>
      </c>
      <c r="M310" s="245">
        <v>4</v>
      </c>
      <c r="N310" s="112" t="s">
        <v>54</v>
      </c>
      <c r="O310" s="93">
        <v>12</v>
      </c>
      <c r="P310" s="93">
        <v>12</v>
      </c>
      <c r="Q310" s="196">
        <v>12</v>
      </c>
      <c r="R310" s="93">
        <v>12</v>
      </c>
      <c r="S310" s="500"/>
      <c r="T310" s="93">
        <v>12</v>
      </c>
      <c r="U310" s="93"/>
      <c r="V310" s="93">
        <v>12</v>
      </c>
      <c r="W310" s="112"/>
      <c r="X310" s="218">
        <f>AJ310/$AJ$309</f>
        <v>0.28999999999999998</v>
      </c>
      <c r="Y310" s="78">
        <v>10</v>
      </c>
      <c r="Z310" s="75" t="s">
        <v>385</v>
      </c>
      <c r="AA310" s="185"/>
      <c r="AB310" s="185"/>
      <c r="AC310" s="108">
        <v>8700000</v>
      </c>
      <c r="AD310" s="108"/>
      <c r="AE310" s="185"/>
      <c r="AF310" s="185"/>
      <c r="AG310" s="185"/>
      <c r="AH310" s="185"/>
      <c r="AI310" s="185"/>
      <c r="AJ310" s="82">
        <f>+AA310+AB310+AC310+AD310+AE310+AF310+AG310+AH310+AI310</f>
        <v>8700000</v>
      </c>
      <c r="AK310" s="90"/>
      <c r="AL310" s="90"/>
      <c r="AM310" s="455">
        <v>5665000</v>
      </c>
      <c r="AN310" s="90"/>
      <c r="AO310" s="90"/>
      <c r="AP310" s="90"/>
      <c r="AQ310" s="90"/>
      <c r="AR310" s="90"/>
      <c r="AS310" s="90"/>
      <c r="AT310" s="84">
        <f>AK310+AL310+AM310+AN310+AO310+AP310+AQ310+AR310+AS310</f>
        <v>5665000</v>
      </c>
      <c r="AU310" s="455"/>
      <c r="AV310" s="455"/>
      <c r="AW310" s="455">
        <v>9200000</v>
      </c>
      <c r="AX310" s="455"/>
      <c r="AY310" s="455"/>
      <c r="AZ310" s="455"/>
      <c r="BA310" s="455"/>
      <c r="BB310" s="455"/>
      <c r="BC310" s="455"/>
      <c r="BD310" s="455">
        <f>SUM(AU310:BC310)</f>
        <v>9200000</v>
      </c>
      <c r="BE310" s="90"/>
      <c r="BF310" s="90"/>
      <c r="BG310" s="90">
        <v>6000000</v>
      </c>
      <c r="BH310" s="90"/>
      <c r="BI310" s="90"/>
      <c r="BJ310" s="90"/>
      <c r="BK310" s="90"/>
      <c r="BL310" s="90"/>
      <c r="BM310" s="90"/>
      <c r="BN310" s="90">
        <f>SUM(BE310:BM310)</f>
        <v>6000000</v>
      </c>
      <c r="BO310" s="546">
        <f>AJ310+AT310+BD310+BN310</f>
        <v>29565000</v>
      </c>
    </row>
    <row r="311" spans="1:67" ht="57.75" customHeight="1" x14ac:dyDescent="0.2">
      <c r="A311" s="547">
        <v>206</v>
      </c>
      <c r="B311" s="69">
        <v>3</v>
      </c>
      <c r="C311" s="136"/>
      <c r="D311" s="136"/>
      <c r="E311" s="91"/>
      <c r="F311" s="119"/>
      <c r="G311" s="326"/>
      <c r="H311" s="326"/>
      <c r="I311" s="77">
        <v>207</v>
      </c>
      <c r="J311" s="73" t="s">
        <v>720</v>
      </c>
      <c r="K311" s="262" t="s">
        <v>721</v>
      </c>
      <c r="L311" s="74" t="s">
        <v>708</v>
      </c>
      <c r="M311" s="245">
        <v>4</v>
      </c>
      <c r="N311" s="112" t="s">
        <v>69</v>
      </c>
      <c r="O311" s="93">
        <v>4</v>
      </c>
      <c r="P311" s="93">
        <v>4</v>
      </c>
      <c r="Q311" s="196">
        <v>1</v>
      </c>
      <c r="R311" s="93">
        <v>1</v>
      </c>
      <c r="S311" s="500"/>
      <c r="T311" s="93">
        <v>1</v>
      </c>
      <c r="U311" s="93"/>
      <c r="V311" s="93">
        <v>1</v>
      </c>
      <c r="W311" s="112"/>
      <c r="X311" s="218">
        <f>AJ311/$AJ$309</f>
        <v>0.54333333333333333</v>
      </c>
      <c r="Y311" s="78">
        <v>3</v>
      </c>
      <c r="Z311" s="75" t="s">
        <v>452</v>
      </c>
      <c r="AA311" s="185"/>
      <c r="AB311" s="185"/>
      <c r="AC311" s="108">
        <v>16300000</v>
      </c>
      <c r="AD311" s="108"/>
      <c r="AE311" s="185"/>
      <c r="AF311" s="185"/>
      <c r="AG311" s="185"/>
      <c r="AH311" s="185"/>
      <c r="AI311" s="185"/>
      <c r="AJ311" s="82">
        <f>+AA311+AB311+AC311+AD311+AE311+AF311+AG311+AH311+AI311</f>
        <v>16300000</v>
      </c>
      <c r="AK311" s="90"/>
      <c r="AL311" s="90"/>
      <c r="AM311" s="455">
        <v>20085000</v>
      </c>
      <c r="AN311" s="90"/>
      <c r="AO311" s="90"/>
      <c r="AP311" s="90"/>
      <c r="AQ311" s="90"/>
      <c r="AR311" s="90"/>
      <c r="AS311" s="90"/>
      <c r="AT311" s="84">
        <f>AK311+AL311+AM311+AN311+AO311+AP311+AQ311+AR311+AS311</f>
        <v>20085000</v>
      </c>
      <c r="AU311" s="455"/>
      <c r="AV311" s="455"/>
      <c r="AW311" s="455">
        <v>17250000</v>
      </c>
      <c r="AX311" s="455"/>
      <c r="AY311" s="455"/>
      <c r="AZ311" s="455"/>
      <c r="BA311" s="455"/>
      <c r="BB311" s="455"/>
      <c r="BC311" s="455"/>
      <c r="BD311" s="455">
        <f>SUM(AU311:BC311)</f>
        <v>17250000</v>
      </c>
      <c r="BE311" s="90"/>
      <c r="BF311" s="90"/>
      <c r="BG311" s="90">
        <v>21300000</v>
      </c>
      <c r="BH311" s="90"/>
      <c r="BI311" s="90"/>
      <c r="BJ311" s="90"/>
      <c r="BK311" s="90"/>
      <c r="BL311" s="90"/>
      <c r="BM311" s="90"/>
      <c r="BN311" s="90">
        <f>SUM(BE311:BM311)</f>
        <v>21300000</v>
      </c>
      <c r="BO311" s="546">
        <f>AJ311+AT311+BD311+BN311</f>
        <v>74935000</v>
      </c>
    </row>
    <row r="312" spans="1:67" ht="95.25" customHeight="1" x14ac:dyDescent="0.2">
      <c r="A312" s="545">
        <v>207</v>
      </c>
      <c r="B312" s="69">
        <v>3</v>
      </c>
      <c r="C312" s="136"/>
      <c r="D312" s="192"/>
      <c r="E312" s="451"/>
      <c r="F312" s="529"/>
      <c r="G312" s="203"/>
      <c r="H312" s="203"/>
      <c r="I312" s="77">
        <v>208</v>
      </c>
      <c r="J312" s="73" t="s">
        <v>722</v>
      </c>
      <c r="K312" s="262" t="s">
        <v>723</v>
      </c>
      <c r="L312" s="74" t="s">
        <v>708</v>
      </c>
      <c r="M312" s="245">
        <v>4</v>
      </c>
      <c r="N312" s="112" t="s">
        <v>54</v>
      </c>
      <c r="O312" s="93">
        <v>1</v>
      </c>
      <c r="P312" s="93">
        <v>1</v>
      </c>
      <c r="Q312" s="196">
        <v>1</v>
      </c>
      <c r="R312" s="93">
        <v>1</v>
      </c>
      <c r="S312" s="500"/>
      <c r="T312" s="93">
        <v>1</v>
      </c>
      <c r="U312" s="93"/>
      <c r="V312" s="93">
        <v>1</v>
      </c>
      <c r="W312" s="112"/>
      <c r="X312" s="218">
        <f>AJ312/$AJ$309</f>
        <v>0.16666666666666666</v>
      </c>
      <c r="Y312" s="78">
        <v>10</v>
      </c>
      <c r="Z312" s="75" t="s">
        <v>385</v>
      </c>
      <c r="AA312" s="185"/>
      <c r="AB312" s="185"/>
      <c r="AC312" s="108">
        <v>5000000</v>
      </c>
      <c r="AD312" s="108"/>
      <c r="AE312" s="185"/>
      <c r="AF312" s="185"/>
      <c r="AG312" s="185"/>
      <c r="AH312" s="185"/>
      <c r="AI312" s="185"/>
      <c r="AJ312" s="82">
        <f>+AA312+AB312+AC312+AD312+AE312+AF312+AG312+AH312+AI312</f>
        <v>5000000</v>
      </c>
      <c r="AK312" s="90"/>
      <c r="AL312" s="90"/>
      <c r="AM312" s="455">
        <v>5150000</v>
      </c>
      <c r="AN312" s="90"/>
      <c r="AO312" s="90"/>
      <c r="AP312" s="90"/>
      <c r="AQ312" s="90"/>
      <c r="AR312" s="90"/>
      <c r="AS312" s="90"/>
      <c r="AT312" s="84">
        <f>AK312+AL312+AM312+AN312+AO312+AP312+AQ312+AR312+AS312</f>
        <v>5150000</v>
      </c>
      <c r="AU312" s="455"/>
      <c r="AV312" s="455"/>
      <c r="AW312" s="455">
        <v>5377000</v>
      </c>
      <c r="AX312" s="455"/>
      <c r="AY312" s="455"/>
      <c r="AZ312" s="455"/>
      <c r="BA312" s="455"/>
      <c r="BB312" s="455"/>
      <c r="BC312" s="455"/>
      <c r="BD312" s="455">
        <f>SUM(AU312:BC312)</f>
        <v>5377000</v>
      </c>
      <c r="BE312" s="90"/>
      <c r="BF312" s="90"/>
      <c r="BG312" s="90">
        <v>5481810</v>
      </c>
      <c r="BH312" s="90"/>
      <c r="BI312" s="90"/>
      <c r="BJ312" s="90"/>
      <c r="BK312" s="90"/>
      <c r="BL312" s="90"/>
      <c r="BM312" s="90"/>
      <c r="BN312" s="90">
        <f>SUM(BE312:BM312)</f>
        <v>5481810</v>
      </c>
      <c r="BO312" s="546">
        <f>AJ312+AT312+BD312+BN312</f>
        <v>21008810</v>
      </c>
    </row>
    <row r="313" spans="1:67" ht="24.75" customHeight="1" x14ac:dyDescent="0.2">
      <c r="A313" s="545"/>
      <c r="B313" s="69"/>
      <c r="C313" s="136"/>
      <c r="D313" s="43">
        <v>21</v>
      </c>
      <c r="E313" s="134" t="s">
        <v>724</v>
      </c>
      <c r="F313" s="45"/>
      <c r="G313" s="46"/>
      <c r="H313" s="45"/>
      <c r="I313" s="47"/>
      <c r="J313" s="48"/>
      <c r="K313" s="48"/>
      <c r="L313" s="49"/>
      <c r="M313" s="47"/>
      <c r="N313" s="50"/>
      <c r="O313" s="48"/>
      <c r="P313" s="48"/>
      <c r="Q313" s="51"/>
      <c r="R313" s="48"/>
      <c r="S313" s="498"/>
      <c r="T313" s="48"/>
      <c r="U313" s="48"/>
      <c r="V313" s="47"/>
      <c r="W313" s="47"/>
      <c r="X313" s="135"/>
      <c r="Y313" s="47"/>
      <c r="Z313" s="47"/>
      <c r="AA313" s="53">
        <f t="shared" ref="AA313:AI313" si="464">AA314+AA318</f>
        <v>0</v>
      </c>
      <c r="AB313" s="53">
        <f t="shared" si="464"/>
        <v>0</v>
      </c>
      <c r="AC313" s="53">
        <f t="shared" si="464"/>
        <v>201923416</v>
      </c>
      <c r="AD313" s="53">
        <f t="shared" si="464"/>
        <v>0</v>
      </c>
      <c r="AE313" s="53">
        <f t="shared" si="464"/>
        <v>0</v>
      </c>
      <c r="AF313" s="53">
        <f t="shared" si="464"/>
        <v>0</v>
      </c>
      <c r="AG313" s="53">
        <f t="shared" si="464"/>
        <v>0</v>
      </c>
      <c r="AH313" s="53">
        <f t="shared" si="464"/>
        <v>0</v>
      </c>
      <c r="AI313" s="53">
        <f t="shared" si="464"/>
        <v>0</v>
      </c>
      <c r="AJ313" s="54">
        <f>AJ314+AJ318</f>
        <v>201923416</v>
      </c>
      <c r="AK313" s="53">
        <f t="shared" ref="AK313:AT313" si="465">AK314+AK318</f>
        <v>0</v>
      </c>
      <c r="AL313" s="53">
        <f t="shared" si="465"/>
        <v>0</v>
      </c>
      <c r="AM313" s="53">
        <f t="shared" si="465"/>
        <v>207981118.48000002</v>
      </c>
      <c r="AN313" s="53">
        <f t="shared" si="465"/>
        <v>0</v>
      </c>
      <c r="AO313" s="53">
        <f t="shared" si="465"/>
        <v>0</v>
      </c>
      <c r="AP313" s="53">
        <f t="shared" si="465"/>
        <v>0</v>
      </c>
      <c r="AQ313" s="53">
        <f t="shared" si="465"/>
        <v>0</v>
      </c>
      <c r="AR313" s="53">
        <f t="shared" si="465"/>
        <v>0</v>
      </c>
      <c r="AS313" s="53">
        <f t="shared" si="465"/>
        <v>0</v>
      </c>
      <c r="AT313" s="53">
        <f t="shared" si="465"/>
        <v>207981118.48000002</v>
      </c>
      <c r="AU313" s="55"/>
      <c r="AV313" s="55"/>
      <c r="AW313" s="55"/>
      <c r="AX313" s="55"/>
      <c r="AY313" s="55"/>
      <c r="AZ313" s="55"/>
      <c r="BA313" s="55"/>
      <c r="BB313" s="55"/>
      <c r="BC313" s="55"/>
      <c r="BD313" s="53">
        <f t="shared" ref="BD313" si="466">BD314+BD318</f>
        <v>214220552.03439999</v>
      </c>
      <c r="BE313" s="55"/>
      <c r="BF313" s="55"/>
      <c r="BG313" s="55"/>
      <c r="BH313" s="55"/>
      <c r="BI313" s="55"/>
      <c r="BJ313" s="55"/>
      <c r="BK313" s="55"/>
      <c r="BL313" s="55"/>
      <c r="BM313" s="55"/>
      <c r="BN313" s="53">
        <f t="shared" ref="BN313" si="467">BN314+BN318</f>
        <v>220647168.59543198</v>
      </c>
      <c r="BO313" s="543">
        <f t="shared" ref="BO313" si="468">BO314+BO318</f>
        <v>844772255.10983205</v>
      </c>
    </row>
    <row r="314" spans="1:67" ht="24.75" customHeight="1" x14ac:dyDescent="0.2">
      <c r="A314" s="545"/>
      <c r="B314" s="69"/>
      <c r="C314" s="136"/>
      <c r="D314" s="562"/>
      <c r="E314" s="57">
        <v>72</v>
      </c>
      <c r="F314" s="58" t="s">
        <v>725</v>
      </c>
      <c r="G314" s="61"/>
      <c r="H314" s="61"/>
      <c r="I314" s="60"/>
      <c r="J314" s="61"/>
      <c r="K314" s="61"/>
      <c r="L314" s="60"/>
      <c r="M314" s="62"/>
      <c r="N314" s="63"/>
      <c r="O314" s="61"/>
      <c r="P314" s="61"/>
      <c r="Q314" s="64"/>
      <c r="R314" s="61"/>
      <c r="S314" s="499"/>
      <c r="T314" s="61"/>
      <c r="U314" s="61"/>
      <c r="V314" s="62"/>
      <c r="W314" s="62"/>
      <c r="X314" s="137"/>
      <c r="Y314" s="62"/>
      <c r="Z314" s="62"/>
      <c r="AA314" s="66">
        <f t="shared" ref="AA314:AI314" si="469">SUM(AA315:AA317)</f>
        <v>0</v>
      </c>
      <c r="AB314" s="66">
        <f t="shared" si="469"/>
        <v>0</v>
      </c>
      <c r="AC314" s="66">
        <f t="shared" si="469"/>
        <v>130000000</v>
      </c>
      <c r="AD314" s="66">
        <f t="shared" si="469"/>
        <v>0</v>
      </c>
      <c r="AE314" s="66">
        <f t="shared" si="469"/>
        <v>0</v>
      </c>
      <c r="AF314" s="66">
        <f t="shared" si="469"/>
        <v>0</v>
      </c>
      <c r="AG314" s="66">
        <f t="shared" si="469"/>
        <v>0</v>
      </c>
      <c r="AH314" s="66">
        <f t="shared" si="469"/>
        <v>0</v>
      </c>
      <c r="AI314" s="66">
        <f t="shared" si="469"/>
        <v>0</v>
      </c>
      <c r="AJ314" s="67">
        <f>SUM(AJ315:AJ317)</f>
        <v>130000000</v>
      </c>
      <c r="AK314" s="66">
        <f t="shared" ref="AK314:AT314" si="470">SUM(AK315:AK317)</f>
        <v>0</v>
      </c>
      <c r="AL314" s="66">
        <f t="shared" si="470"/>
        <v>0</v>
      </c>
      <c r="AM314" s="66">
        <f t="shared" si="470"/>
        <v>133900000</v>
      </c>
      <c r="AN314" s="66">
        <f t="shared" si="470"/>
        <v>0</v>
      </c>
      <c r="AO314" s="66">
        <f t="shared" si="470"/>
        <v>0</v>
      </c>
      <c r="AP314" s="66">
        <f t="shared" si="470"/>
        <v>0</v>
      </c>
      <c r="AQ314" s="66">
        <f t="shared" si="470"/>
        <v>0</v>
      </c>
      <c r="AR314" s="66">
        <f t="shared" si="470"/>
        <v>0</v>
      </c>
      <c r="AS314" s="66">
        <f t="shared" si="470"/>
        <v>0</v>
      </c>
      <c r="AT314" s="66">
        <f t="shared" si="470"/>
        <v>133900000</v>
      </c>
      <c r="AU314" s="68"/>
      <c r="AV314" s="68"/>
      <c r="AW314" s="68"/>
      <c r="AX314" s="68"/>
      <c r="AY314" s="68"/>
      <c r="AZ314" s="68"/>
      <c r="BA314" s="68"/>
      <c r="BB314" s="68"/>
      <c r="BC314" s="68"/>
      <c r="BD314" s="66">
        <f t="shared" ref="BD314" si="471">SUM(BD315:BD317)</f>
        <v>137917000</v>
      </c>
      <c r="BE314" s="68"/>
      <c r="BF314" s="68"/>
      <c r="BG314" s="68"/>
      <c r="BH314" s="68"/>
      <c r="BI314" s="68"/>
      <c r="BJ314" s="68"/>
      <c r="BK314" s="68"/>
      <c r="BL314" s="68"/>
      <c r="BM314" s="68"/>
      <c r="BN314" s="66">
        <f t="shared" ref="BN314" si="472">SUM(BN315:BN317)</f>
        <v>142054510</v>
      </c>
      <c r="BO314" s="544">
        <f t="shared" ref="BO314" si="473">SUM(BO315:BO317)</f>
        <v>543871510</v>
      </c>
    </row>
    <row r="315" spans="1:67" ht="56.25" customHeight="1" x14ac:dyDescent="0.2">
      <c r="A315" s="547">
        <v>208</v>
      </c>
      <c r="B315" s="69">
        <v>3</v>
      </c>
      <c r="C315" s="136"/>
      <c r="D315" s="136"/>
      <c r="E315" s="478">
        <v>36</v>
      </c>
      <c r="F315" s="439" t="s">
        <v>705</v>
      </c>
      <c r="G315" s="623">
        <v>0.4</v>
      </c>
      <c r="H315" s="623">
        <v>0.6</v>
      </c>
      <c r="I315" s="77">
        <v>209</v>
      </c>
      <c r="J315" s="73" t="s">
        <v>726</v>
      </c>
      <c r="K315" s="262" t="s">
        <v>727</v>
      </c>
      <c r="L315" s="74" t="s">
        <v>708</v>
      </c>
      <c r="M315" s="245">
        <v>4</v>
      </c>
      <c r="N315" s="112" t="s">
        <v>54</v>
      </c>
      <c r="O315" s="93">
        <v>1</v>
      </c>
      <c r="P315" s="93">
        <v>1</v>
      </c>
      <c r="Q315" s="196">
        <v>1</v>
      </c>
      <c r="R315" s="93">
        <v>1</v>
      </c>
      <c r="S315" s="500"/>
      <c r="T315" s="93">
        <v>1</v>
      </c>
      <c r="U315" s="93"/>
      <c r="V315" s="93">
        <v>1</v>
      </c>
      <c r="W315" s="112"/>
      <c r="X315" s="257">
        <f>AJ315/$AJ$314</f>
        <v>0.14246153846153847</v>
      </c>
      <c r="Y315" s="78">
        <v>3</v>
      </c>
      <c r="Z315" s="75" t="s">
        <v>452</v>
      </c>
      <c r="AA315" s="108"/>
      <c r="AB315" s="108"/>
      <c r="AC315" s="108">
        <v>18520000</v>
      </c>
      <c r="AD315" s="108"/>
      <c r="AE315" s="108"/>
      <c r="AF315" s="108"/>
      <c r="AG315" s="108"/>
      <c r="AH315" s="108"/>
      <c r="AI315" s="108"/>
      <c r="AJ315" s="82">
        <f>+AA315+AB315+AC315+AD315+AE315+AF315+AG315+AH315+AI315</f>
        <v>18520000</v>
      </c>
      <c r="AK315" s="90"/>
      <c r="AL315" s="90"/>
      <c r="AM315" s="90">
        <v>19075600</v>
      </c>
      <c r="AN315" s="90"/>
      <c r="AO315" s="90"/>
      <c r="AP315" s="90"/>
      <c r="AQ315" s="90"/>
      <c r="AR315" s="90"/>
      <c r="AS315" s="90"/>
      <c r="AT315" s="84">
        <f>AK315+AL315+AM315+AN315+AO315+AP315+AQ315+AR315+AS315</f>
        <v>19075600</v>
      </c>
      <c r="AU315" s="455"/>
      <c r="AV315" s="455"/>
      <c r="AW315" s="455">
        <v>19600000</v>
      </c>
      <c r="AX315" s="455"/>
      <c r="AY315" s="455"/>
      <c r="AZ315" s="455"/>
      <c r="BA315" s="455"/>
      <c r="BB315" s="455"/>
      <c r="BC315" s="455"/>
      <c r="BD315" s="455">
        <f>SUM(AU315:BC315)</f>
        <v>19600000</v>
      </c>
      <c r="BE315" s="90"/>
      <c r="BF315" s="90"/>
      <c r="BG315" s="90">
        <v>20200000</v>
      </c>
      <c r="BH315" s="90"/>
      <c r="BI315" s="90"/>
      <c r="BJ315" s="90"/>
      <c r="BK315" s="90"/>
      <c r="BL315" s="90"/>
      <c r="BM315" s="90"/>
      <c r="BN315" s="90">
        <f>SUM(BE315:BM315)</f>
        <v>20200000</v>
      </c>
      <c r="BO315" s="546">
        <f>AJ315+AT315+BD315+BN315</f>
        <v>77395600</v>
      </c>
    </row>
    <row r="316" spans="1:67" ht="56.25" customHeight="1" x14ac:dyDescent="0.2">
      <c r="A316" s="545">
        <v>209</v>
      </c>
      <c r="B316" s="69">
        <v>3</v>
      </c>
      <c r="C316" s="136"/>
      <c r="D316" s="136"/>
      <c r="E316" s="91"/>
      <c r="F316" s="119"/>
      <c r="G316" s="326"/>
      <c r="H316" s="326"/>
      <c r="I316" s="77">
        <v>210</v>
      </c>
      <c r="J316" s="73" t="s">
        <v>728</v>
      </c>
      <c r="K316" s="70" t="s">
        <v>729</v>
      </c>
      <c r="L316" s="74" t="s">
        <v>708</v>
      </c>
      <c r="M316" s="245">
        <v>4</v>
      </c>
      <c r="N316" s="75" t="s">
        <v>54</v>
      </c>
      <c r="O316" s="78">
        <v>1</v>
      </c>
      <c r="P316" s="78">
        <v>1</v>
      </c>
      <c r="Q316" s="77">
        <v>1</v>
      </c>
      <c r="R316" s="78">
        <v>1</v>
      </c>
      <c r="S316" s="500"/>
      <c r="T316" s="78">
        <v>1</v>
      </c>
      <c r="U316" s="78"/>
      <c r="V316" s="78">
        <v>1</v>
      </c>
      <c r="W316" s="75"/>
      <c r="X316" s="257">
        <f>AJ316/$AJ$314</f>
        <v>2.4230769230769229E-2</v>
      </c>
      <c r="Y316" s="78">
        <v>3</v>
      </c>
      <c r="Z316" s="75" t="s">
        <v>452</v>
      </c>
      <c r="AA316" s="108"/>
      <c r="AB316" s="108"/>
      <c r="AC316" s="449">
        <v>3150000</v>
      </c>
      <c r="AD316" s="108"/>
      <c r="AE316" s="108"/>
      <c r="AF316" s="108"/>
      <c r="AG316" s="108"/>
      <c r="AH316" s="108"/>
      <c r="AI316" s="108"/>
      <c r="AJ316" s="82">
        <f>+AA316+AB316+AC316+AD316+AE316+AF316+AG316+AH316+AI316</f>
        <v>3150000</v>
      </c>
      <c r="AK316" s="90"/>
      <c r="AL316" s="90"/>
      <c r="AM316" s="90">
        <v>3244500</v>
      </c>
      <c r="AN316" s="90"/>
      <c r="AO316" s="90"/>
      <c r="AP316" s="90"/>
      <c r="AQ316" s="90"/>
      <c r="AR316" s="90"/>
      <c r="AS316" s="90"/>
      <c r="AT316" s="84">
        <f>AK316+AL316+AM316+AN316+AO316+AP316+AQ316+AR316+AS316</f>
        <v>3244500</v>
      </c>
      <c r="AU316" s="455"/>
      <c r="AV316" s="455"/>
      <c r="AW316" s="455">
        <v>3340000</v>
      </c>
      <c r="AX316" s="455"/>
      <c r="AY316" s="455"/>
      <c r="AZ316" s="455"/>
      <c r="BA316" s="455"/>
      <c r="BB316" s="455"/>
      <c r="BC316" s="455"/>
      <c r="BD316" s="455">
        <f>SUM(AU316:BC316)</f>
        <v>3340000</v>
      </c>
      <c r="BE316" s="90"/>
      <c r="BF316" s="90"/>
      <c r="BG316" s="90">
        <v>3400000</v>
      </c>
      <c r="BH316" s="90"/>
      <c r="BI316" s="90"/>
      <c r="BJ316" s="90"/>
      <c r="BK316" s="90"/>
      <c r="BL316" s="90"/>
      <c r="BM316" s="90"/>
      <c r="BN316" s="90">
        <f>SUM(BE316:BM316)</f>
        <v>3400000</v>
      </c>
      <c r="BO316" s="546">
        <f>AJ316+AT316+BD316+BN316</f>
        <v>13134500</v>
      </c>
    </row>
    <row r="317" spans="1:67" ht="56.25" customHeight="1" x14ac:dyDescent="0.2">
      <c r="A317" s="547">
        <v>210</v>
      </c>
      <c r="B317" s="69">
        <v>3</v>
      </c>
      <c r="C317" s="136"/>
      <c r="D317" s="136"/>
      <c r="E317" s="451"/>
      <c r="F317" s="529"/>
      <c r="G317" s="203"/>
      <c r="H317" s="203"/>
      <c r="I317" s="77">
        <v>211</v>
      </c>
      <c r="J317" s="73" t="s">
        <v>730</v>
      </c>
      <c r="K317" s="70" t="s">
        <v>731</v>
      </c>
      <c r="L317" s="74" t="s">
        <v>708</v>
      </c>
      <c r="M317" s="245">
        <v>4</v>
      </c>
      <c r="N317" s="112" t="s">
        <v>54</v>
      </c>
      <c r="O317" s="93">
        <v>1</v>
      </c>
      <c r="P317" s="93">
        <v>1</v>
      </c>
      <c r="Q317" s="196">
        <v>1</v>
      </c>
      <c r="R317" s="93">
        <v>1</v>
      </c>
      <c r="S317" s="500"/>
      <c r="T317" s="93">
        <v>1</v>
      </c>
      <c r="U317" s="93"/>
      <c r="V317" s="93">
        <v>1</v>
      </c>
      <c r="W317" s="112"/>
      <c r="X317" s="257">
        <f>AJ317/$AJ$314</f>
        <v>0.8333076923076923</v>
      </c>
      <c r="Y317" s="78">
        <v>3</v>
      </c>
      <c r="Z317" s="75" t="s">
        <v>452</v>
      </c>
      <c r="AA317" s="108"/>
      <c r="AB317" s="108"/>
      <c r="AC317" s="327">
        <v>108330000</v>
      </c>
      <c r="AD317" s="108"/>
      <c r="AE317" s="108"/>
      <c r="AF317" s="108"/>
      <c r="AG317" s="108"/>
      <c r="AH317" s="108"/>
      <c r="AI317" s="108"/>
      <c r="AJ317" s="82">
        <f>+AA317+AB317+AC317+AD317+AE317+AF317+AG317+AH317+AI317</f>
        <v>108330000</v>
      </c>
      <c r="AK317" s="90"/>
      <c r="AL317" s="90"/>
      <c r="AM317" s="90">
        <v>111579900</v>
      </c>
      <c r="AN317" s="90"/>
      <c r="AO317" s="90"/>
      <c r="AP317" s="90"/>
      <c r="AQ317" s="90"/>
      <c r="AR317" s="90"/>
      <c r="AS317" s="90"/>
      <c r="AT317" s="84">
        <f>AK317+AL317+AM317+AN317+AO317+AP317+AQ317+AR317+AS317</f>
        <v>111579900</v>
      </c>
      <c r="AU317" s="455"/>
      <c r="AV317" s="455"/>
      <c r="AW317" s="455">
        <v>114977000</v>
      </c>
      <c r="AX317" s="455"/>
      <c r="AY317" s="455"/>
      <c r="AZ317" s="455"/>
      <c r="BA317" s="455"/>
      <c r="BB317" s="455"/>
      <c r="BC317" s="455"/>
      <c r="BD317" s="455">
        <f>SUM(AU317:BC317)</f>
        <v>114977000</v>
      </c>
      <c r="BE317" s="90"/>
      <c r="BF317" s="90"/>
      <c r="BG317" s="90">
        <v>118454510</v>
      </c>
      <c r="BH317" s="90"/>
      <c r="BI317" s="90"/>
      <c r="BJ317" s="90"/>
      <c r="BK317" s="90"/>
      <c r="BL317" s="90"/>
      <c r="BM317" s="90"/>
      <c r="BN317" s="90">
        <f>SUM(BE317:BM317)</f>
        <v>118454510</v>
      </c>
      <c r="BO317" s="546">
        <f>AJ317+AT317+BD317+BN317</f>
        <v>453341410</v>
      </c>
    </row>
    <row r="318" spans="1:67" ht="24.75" customHeight="1" x14ac:dyDescent="0.2">
      <c r="A318" s="547"/>
      <c r="B318" s="69"/>
      <c r="C318" s="136"/>
      <c r="D318" s="136"/>
      <c r="E318" s="57">
        <v>73</v>
      </c>
      <c r="F318" s="58" t="s">
        <v>732</v>
      </c>
      <c r="G318" s="61"/>
      <c r="H318" s="61"/>
      <c r="I318" s="60"/>
      <c r="J318" s="61"/>
      <c r="K318" s="61"/>
      <c r="L318" s="60"/>
      <c r="M318" s="62"/>
      <c r="N318" s="63"/>
      <c r="O318" s="61"/>
      <c r="P318" s="61"/>
      <c r="Q318" s="64"/>
      <c r="R318" s="60"/>
      <c r="S318" s="514"/>
      <c r="T318" s="64"/>
      <c r="U318" s="64"/>
      <c r="V318" s="64"/>
      <c r="W318" s="64"/>
      <c r="X318" s="137"/>
      <c r="Y318" s="62"/>
      <c r="Z318" s="62"/>
      <c r="AA318" s="66">
        <f t="shared" ref="AA318:AI318" si="474">SUM(AA319)</f>
        <v>0</v>
      </c>
      <c r="AB318" s="66">
        <f t="shared" si="474"/>
        <v>0</v>
      </c>
      <c r="AC318" s="66">
        <f t="shared" si="474"/>
        <v>71923416</v>
      </c>
      <c r="AD318" s="66">
        <f t="shared" si="474"/>
        <v>0</v>
      </c>
      <c r="AE318" s="66">
        <f t="shared" si="474"/>
        <v>0</v>
      </c>
      <c r="AF318" s="66">
        <f t="shared" si="474"/>
        <v>0</v>
      </c>
      <c r="AG318" s="66">
        <f t="shared" si="474"/>
        <v>0</v>
      </c>
      <c r="AH318" s="66">
        <f t="shared" si="474"/>
        <v>0</v>
      </c>
      <c r="AI318" s="66">
        <f t="shared" si="474"/>
        <v>0</v>
      </c>
      <c r="AJ318" s="67">
        <f>SUM(AJ319)</f>
        <v>71923416</v>
      </c>
      <c r="AK318" s="66">
        <f t="shared" ref="AK318:AT318" si="475">SUM(AK319)</f>
        <v>0</v>
      </c>
      <c r="AL318" s="66">
        <f t="shared" si="475"/>
        <v>0</v>
      </c>
      <c r="AM318" s="66">
        <f t="shared" si="475"/>
        <v>74081118.480000004</v>
      </c>
      <c r="AN318" s="66">
        <f t="shared" si="475"/>
        <v>0</v>
      </c>
      <c r="AO318" s="66">
        <f t="shared" si="475"/>
        <v>0</v>
      </c>
      <c r="AP318" s="66">
        <f t="shared" si="475"/>
        <v>0</v>
      </c>
      <c r="AQ318" s="66">
        <f t="shared" si="475"/>
        <v>0</v>
      </c>
      <c r="AR318" s="66">
        <f t="shared" si="475"/>
        <v>0</v>
      </c>
      <c r="AS318" s="66">
        <f t="shared" si="475"/>
        <v>0</v>
      </c>
      <c r="AT318" s="66">
        <f t="shared" si="475"/>
        <v>74081118.480000004</v>
      </c>
      <c r="AU318" s="68"/>
      <c r="AV318" s="68"/>
      <c r="AW318" s="68"/>
      <c r="AX318" s="68"/>
      <c r="AY318" s="68"/>
      <c r="AZ318" s="68"/>
      <c r="BA318" s="68"/>
      <c r="BB318" s="68"/>
      <c r="BC318" s="68"/>
      <c r="BD318" s="66">
        <f t="shared" ref="BD318" si="476">SUM(BD319)</f>
        <v>76303552.034400001</v>
      </c>
      <c r="BE318" s="68"/>
      <c r="BF318" s="68"/>
      <c r="BG318" s="68"/>
      <c r="BH318" s="68"/>
      <c r="BI318" s="68"/>
      <c r="BJ318" s="68"/>
      <c r="BK318" s="68"/>
      <c r="BL318" s="68"/>
      <c r="BM318" s="68"/>
      <c r="BN318" s="66">
        <f t="shared" ref="BN318:BO318" si="477">SUM(BN319)</f>
        <v>78592658.595431998</v>
      </c>
      <c r="BO318" s="544">
        <f t="shared" si="477"/>
        <v>300900745.10983199</v>
      </c>
    </row>
    <row r="319" spans="1:67" ht="75" customHeight="1" x14ac:dyDescent="0.2">
      <c r="A319" s="545">
        <v>211</v>
      </c>
      <c r="B319" s="69">
        <v>3</v>
      </c>
      <c r="C319" s="136"/>
      <c r="D319" s="192"/>
      <c r="E319" s="93">
        <v>36</v>
      </c>
      <c r="F319" s="439" t="s">
        <v>705</v>
      </c>
      <c r="G319" s="623">
        <v>0.4</v>
      </c>
      <c r="H319" s="623">
        <v>0.6</v>
      </c>
      <c r="I319" s="77">
        <v>212</v>
      </c>
      <c r="J319" s="73" t="s">
        <v>733</v>
      </c>
      <c r="K319" s="262" t="s">
        <v>734</v>
      </c>
      <c r="L319" s="74" t="s">
        <v>708</v>
      </c>
      <c r="M319" s="245">
        <v>4</v>
      </c>
      <c r="N319" s="112" t="s">
        <v>54</v>
      </c>
      <c r="O319" s="93">
        <v>1</v>
      </c>
      <c r="P319" s="93">
        <v>1</v>
      </c>
      <c r="Q319" s="196">
        <v>1</v>
      </c>
      <c r="R319" s="93">
        <v>1</v>
      </c>
      <c r="S319" s="500"/>
      <c r="T319" s="93">
        <v>1</v>
      </c>
      <c r="U319" s="93"/>
      <c r="V319" s="93">
        <v>1</v>
      </c>
      <c r="W319" s="112"/>
      <c r="X319" s="257">
        <v>1</v>
      </c>
      <c r="Y319" s="78">
        <v>3</v>
      </c>
      <c r="Z319" s="75" t="s">
        <v>452</v>
      </c>
      <c r="AA319" s="108"/>
      <c r="AB319" s="108"/>
      <c r="AC319" s="108">
        <v>71923416</v>
      </c>
      <c r="AD319" s="108"/>
      <c r="AE319" s="108"/>
      <c r="AF319" s="108"/>
      <c r="AG319" s="108"/>
      <c r="AH319" s="108"/>
      <c r="AI319" s="108"/>
      <c r="AJ319" s="82">
        <f>+AA319+AB319+AC319+AD319+AE319+AF319+AG319+AH319+AI319</f>
        <v>71923416</v>
      </c>
      <c r="AK319" s="90"/>
      <c r="AL319" s="90"/>
      <c r="AM319" s="90">
        <v>74081118.480000004</v>
      </c>
      <c r="AN319" s="90"/>
      <c r="AO319" s="90"/>
      <c r="AP319" s="90"/>
      <c r="AQ319" s="90"/>
      <c r="AR319" s="90"/>
      <c r="AS319" s="90"/>
      <c r="AT319" s="84">
        <f>AK319+AL319+AM319+AN319+AO319+AP319+AQ319+AR319+AS319</f>
        <v>74081118.480000004</v>
      </c>
      <c r="AU319" s="455"/>
      <c r="AV319" s="455"/>
      <c r="AW319" s="455">
        <v>76303552.034400001</v>
      </c>
      <c r="AX319" s="455"/>
      <c r="AY319" s="455"/>
      <c r="AZ319" s="455"/>
      <c r="BA319" s="455"/>
      <c r="BB319" s="455"/>
      <c r="BC319" s="455"/>
      <c r="BD319" s="455">
        <f>SUM(AU319:BC319)</f>
        <v>76303552.034400001</v>
      </c>
      <c r="BE319" s="90"/>
      <c r="BF319" s="90"/>
      <c r="BG319" s="90">
        <v>78592658.595431998</v>
      </c>
      <c r="BH319" s="90"/>
      <c r="BI319" s="90"/>
      <c r="BJ319" s="90"/>
      <c r="BK319" s="90"/>
      <c r="BL319" s="90"/>
      <c r="BM319" s="90"/>
      <c r="BN319" s="90">
        <f>SUM(BE319:BM319)</f>
        <v>78592658.595431998</v>
      </c>
      <c r="BO319" s="546">
        <f>AJ319+AT319+BD319+BN319</f>
        <v>300900745.10983199</v>
      </c>
    </row>
    <row r="320" spans="1:67" ht="24.75" customHeight="1" x14ac:dyDescent="0.2">
      <c r="A320" s="545"/>
      <c r="B320" s="69"/>
      <c r="C320" s="136"/>
      <c r="D320" s="43">
        <v>22</v>
      </c>
      <c r="E320" s="134" t="s">
        <v>735</v>
      </c>
      <c r="F320" s="45"/>
      <c r="G320" s="45"/>
      <c r="H320" s="45"/>
      <c r="I320" s="267"/>
      <c r="J320" s="48"/>
      <c r="K320" s="48"/>
      <c r="L320" s="49"/>
      <c r="M320" s="47"/>
      <c r="N320" s="50"/>
      <c r="O320" s="48"/>
      <c r="P320" s="48"/>
      <c r="Q320" s="51"/>
      <c r="R320" s="48"/>
      <c r="S320" s="498"/>
      <c r="T320" s="48"/>
      <c r="U320" s="48"/>
      <c r="V320" s="47"/>
      <c r="W320" s="47"/>
      <c r="X320" s="135"/>
      <c r="Y320" s="47"/>
      <c r="Z320" s="47"/>
      <c r="AA320" s="53">
        <f t="shared" ref="AA320:AI320" si="478">AA321</f>
        <v>0</v>
      </c>
      <c r="AB320" s="53">
        <f t="shared" si="478"/>
        <v>230048382</v>
      </c>
      <c r="AC320" s="53">
        <f t="shared" si="478"/>
        <v>0</v>
      </c>
      <c r="AD320" s="53">
        <f t="shared" si="478"/>
        <v>0</v>
      </c>
      <c r="AE320" s="53">
        <f t="shared" si="478"/>
        <v>0</v>
      </c>
      <c r="AF320" s="53">
        <f t="shared" si="478"/>
        <v>0</v>
      </c>
      <c r="AG320" s="53">
        <f t="shared" si="478"/>
        <v>0</v>
      </c>
      <c r="AH320" s="53">
        <f t="shared" si="478"/>
        <v>0</v>
      </c>
      <c r="AI320" s="53">
        <f t="shared" si="478"/>
        <v>0</v>
      </c>
      <c r="AJ320" s="54">
        <f>AJ321</f>
        <v>230048382</v>
      </c>
      <c r="AK320" s="53">
        <f t="shared" ref="AK320:AT320" si="479">AK321</f>
        <v>0</v>
      </c>
      <c r="AL320" s="53">
        <f t="shared" si="479"/>
        <v>236949833.46000001</v>
      </c>
      <c r="AM320" s="53">
        <f t="shared" si="479"/>
        <v>0</v>
      </c>
      <c r="AN320" s="53">
        <f t="shared" si="479"/>
        <v>0</v>
      </c>
      <c r="AO320" s="53">
        <f t="shared" si="479"/>
        <v>0</v>
      </c>
      <c r="AP320" s="53">
        <f t="shared" si="479"/>
        <v>0</v>
      </c>
      <c r="AQ320" s="53">
        <f t="shared" si="479"/>
        <v>0</v>
      </c>
      <c r="AR320" s="53">
        <f t="shared" si="479"/>
        <v>0</v>
      </c>
      <c r="AS320" s="53">
        <f t="shared" si="479"/>
        <v>0</v>
      </c>
      <c r="AT320" s="53">
        <f t="shared" si="479"/>
        <v>236949833.46000001</v>
      </c>
      <c r="AU320" s="55"/>
      <c r="AV320" s="55"/>
      <c r="AW320" s="55"/>
      <c r="AX320" s="55"/>
      <c r="AY320" s="55"/>
      <c r="AZ320" s="55"/>
      <c r="BA320" s="55"/>
      <c r="BB320" s="55"/>
      <c r="BC320" s="55"/>
      <c r="BD320" s="53">
        <f t="shared" ref="BD320" si="480">BD321</f>
        <v>244058328.46380001</v>
      </c>
      <c r="BE320" s="55"/>
      <c r="BF320" s="55"/>
      <c r="BG320" s="55"/>
      <c r="BH320" s="55"/>
      <c r="BI320" s="55"/>
      <c r="BJ320" s="55"/>
      <c r="BK320" s="55"/>
      <c r="BL320" s="55"/>
      <c r="BM320" s="55"/>
      <c r="BN320" s="53">
        <f t="shared" ref="BN320:BO320" si="481">BN321</f>
        <v>251380078.31771401</v>
      </c>
      <c r="BO320" s="543">
        <f t="shared" si="481"/>
        <v>962436622.24151397</v>
      </c>
    </row>
    <row r="321" spans="1:67" ht="24.75" customHeight="1" x14ac:dyDescent="0.2">
      <c r="A321" s="545"/>
      <c r="B321" s="69"/>
      <c r="C321" s="136"/>
      <c r="D321" s="562"/>
      <c r="E321" s="57">
        <v>74</v>
      </c>
      <c r="F321" s="58" t="s">
        <v>736</v>
      </c>
      <c r="G321" s="61"/>
      <c r="H321" s="61"/>
      <c r="I321" s="62"/>
      <c r="J321" s="58"/>
      <c r="K321" s="96"/>
      <c r="L321" s="60"/>
      <c r="M321" s="60"/>
      <c r="N321" s="97"/>
      <c r="O321" s="96"/>
      <c r="P321" s="96"/>
      <c r="Q321" s="98"/>
      <c r="R321" s="96"/>
      <c r="S321" s="503"/>
      <c r="T321" s="96"/>
      <c r="U321" s="96"/>
      <c r="V321" s="60"/>
      <c r="W321" s="60"/>
      <c r="X321" s="99"/>
      <c r="Y321" s="60"/>
      <c r="Z321" s="60"/>
      <c r="AA321" s="100">
        <f t="shared" ref="AA321:AI321" si="482">SUM(AA322)</f>
        <v>0</v>
      </c>
      <c r="AB321" s="100">
        <f t="shared" si="482"/>
        <v>230048382</v>
      </c>
      <c r="AC321" s="100">
        <f t="shared" si="482"/>
        <v>0</v>
      </c>
      <c r="AD321" s="100">
        <f t="shared" si="482"/>
        <v>0</v>
      </c>
      <c r="AE321" s="100">
        <f t="shared" si="482"/>
        <v>0</v>
      </c>
      <c r="AF321" s="100">
        <f t="shared" si="482"/>
        <v>0</v>
      </c>
      <c r="AG321" s="100">
        <f t="shared" si="482"/>
        <v>0</v>
      </c>
      <c r="AH321" s="100">
        <f t="shared" si="482"/>
        <v>0</v>
      </c>
      <c r="AI321" s="100">
        <f t="shared" si="482"/>
        <v>0</v>
      </c>
      <c r="AJ321" s="101">
        <f>SUM(AJ322)</f>
        <v>230048382</v>
      </c>
      <c r="AK321" s="100">
        <f t="shared" ref="AK321:AT321" si="483">SUM(AK322)</f>
        <v>0</v>
      </c>
      <c r="AL321" s="100">
        <f t="shared" si="483"/>
        <v>236949833.46000001</v>
      </c>
      <c r="AM321" s="100">
        <f t="shared" si="483"/>
        <v>0</v>
      </c>
      <c r="AN321" s="100">
        <f t="shared" si="483"/>
        <v>0</v>
      </c>
      <c r="AO321" s="100">
        <f t="shared" si="483"/>
        <v>0</v>
      </c>
      <c r="AP321" s="100">
        <f t="shared" si="483"/>
        <v>0</v>
      </c>
      <c r="AQ321" s="100">
        <f t="shared" si="483"/>
        <v>0</v>
      </c>
      <c r="AR321" s="100">
        <f t="shared" si="483"/>
        <v>0</v>
      </c>
      <c r="AS321" s="100">
        <f t="shared" si="483"/>
        <v>0</v>
      </c>
      <c r="AT321" s="100">
        <f t="shared" si="483"/>
        <v>236949833.46000001</v>
      </c>
      <c r="AU321" s="102"/>
      <c r="AV321" s="102"/>
      <c r="AW321" s="102"/>
      <c r="AX321" s="102"/>
      <c r="AY321" s="102"/>
      <c r="AZ321" s="102"/>
      <c r="BA321" s="102"/>
      <c r="BB321" s="102"/>
      <c r="BC321" s="102"/>
      <c r="BD321" s="100">
        <f t="shared" ref="BD321" si="484">SUM(BD322)</f>
        <v>244058328.46380001</v>
      </c>
      <c r="BE321" s="102"/>
      <c r="BF321" s="102"/>
      <c r="BG321" s="102"/>
      <c r="BH321" s="102"/>
      <c r="BI321" s="102"/>
      <c r="BJ321" s="102"/>
      <c r="BK321" s="102"/>
      <c r="BL321" s="102"/>
      <c r="BM321" s="102"/>
      <c r="BN321" s="100">
        <f t="shared" ref="BN321:BO321" si="485">SUM(BN322)</f>
        <v>251380078.31771401</v>
      </c>
      <c r="BO321" s="560">
        <f t="shared" si="485"/>
        <v>962436622.24151397</v>
      </c>
    </row>
    <row r="322" spans="1:67" ht="65.25" customHeight="1" x14ac:dyDescent="0.2">
      <c r="A322" s="545"/>
      <c r="B322" s="69">
        <v>3</v>
      </c>
      <c r="C322" s="192"/>
      <c r="D322" s="192"/>
      <c r="E322" s="93">
        <v>36</v>
      </c>
      <c r="F322" s="439" t="s">
        <v>705</v>
      </c>
      <c r="G322" s="623">
        <v>0.4</v>
      </c>
      <c r="H322" s="623">
        <v>0.6</v>
      </c>
      <c r="I322" s="77">
        <v>213</v>
      </c>
      <c r="J322" s="73" t="s">
        <v>737</v>
      </c>
      <c r="K322" s="262" t="s">
        <v>738</v>
      </c>
      <c r="L322" s="74" t="s">
        <v>708</v>
      </c>
      <c r="M322" s="245">
        <v>4</v>
      </c>
      <c r="N322" s="112" t="s">
        <v>54</v>
      </c>
      <c r="O322" s="93">
        <v>12</v>
      </c>
      <c r="P322" s="93">
        <v>12</v>
      </c>
      <c r="Q322" s="196">
        <v>12</v>
      </c>
      <c r="R322" s="93">
        <v>12</v>
      </c>
      <c r="S322" s="500"/>
      <c r="T322" s="93">
        <v>12</v>
      </c>
      <c r="U322" s="93"/>
      <c r="V322" s="93">
        <v>12</v>
      </c>
      <c r="W322" s="330"/>
      <c r="X322" s="298">
        <f>AJ322/AJ321</f>
        <v>1</v>
      </c>
      <c r="Y322" s="78">
        <v>10</v>
      </c>
      <c r="Z322" s="166" t="s">
        <v>385</v>
      </c>
      <c r="AA322" s="170"/>
      <c r="AB322" s="108">
        <v>230048382</v>
      </c>
      <c r="AC322" s="170"/>
      <c r="AD322" s="170"/>
      <c r="AE322" s="170"/>
      <c r="AF322" s="170"/>
      <c r="AG322" s="170"/>
      <c r="AH322" s="170"/>
      <c r="AI322" s="170"/>
      <c r="AJ322" s="82">
        <f>+AA322+AB322+AC322+AD322+AE322+AF322+AG322+AH322+AI322</f>
        <v>230048382</v>
      </c>
      <c r="AK322" s="90"/>
      <c r="AL322" s="455">
        <v>236949833.46000001</v>
      </c>
      <c r="AM322" s="90"/>
      <c r="AN322" s="90"/>
      <c r="AO322" s="90"/>
      <c r="AP322" s="90"/>
      <c r="AQ322" s="90"/>
      <c r="AR322" s="90"/>
      <c r="AS322" s="90"/>
      <c r="AT322" s="84">
        <f>AK322+AL322+AM322+AN322+AO322+AP322+AQ322+AR322+AS322</f>
        <v>236949833.46000001</v>
      </c>
      <c r="AU322" s="455"/>
      <c r="AV322" s="455">
        <v>244058328.46380001</v>
      </c>
      <c r="AW322" s="455"/>
      <c r="AX322" s="455"/>
      <c r="AY322" s="455"/>
      <c r="AZ322" s="455"/>
      <c r="BA322" s="455"/>
      <c r="BB322" s="455"/>
      <c r="BC322" s="455"/>
      <c r="BD322" s="455">
        <f>SUM(AU322:BC322)</f>
        <v>244058328.46380001</v>
      </c>
      <c r="BE322" s="90"/>
      <c r="BF322" s="90">
        <v>251380078.31771401</v>
      </c>
      <c r="BG322" s="90"/>
      <c r="BH322" s="90"/>
      <c r="BI322" s="90"/>
      <c r="BJ322" s="90"/>
      <c r="BK322" s="90"/>
      <c r="BL322" s="90"/>
      <c r="BM322" s="90"/>
      <c r="BN322" s="90">
        <f>SUM(BE322:BM322)</f>
        <v>251380078.31771401</v>
      </c>
      <c r="BO322" s="546">
        <f>AJ322+AT322+BD322+BN322</f>
        <v>962436622.24151397</v>
      </c>
    </row>
    <row r="323" spans="1:67" ht="24.75" customHeight="1" x14ac:dyDescent="0.2">
      <c r="A323" s="545"/>
      <c r="B323" s="69"/>
      <c r="C323" s="125">
        <v>4</v>
      </c>
      <c r="D323" s="126" t="s">
        <v>739</v>
      </c>
      <c r="E323" s="127"/>
      <c r="F323" s="128"/>
      <c r="G323" s="128"/>
      <c r="H323" s="128"/>
      <c r="I323" s="127"/>
      <c r="J323" s="128"/>
      <c r="K323" s="128"/>
      <c r="L323" s="129"/>
      <c r="M323" s="127"/>
      <c r="N323" s="130"/>
      <c r="O323" s="128"/>
      <c r="P323" s="128"/>
      <c r="Q323" s="131"/>
      <c r="R323" s="128"/>
      <c r="S323" s="506"/>
      <c r="T323" s="128"/>
      <c r="U323" s="128"/>
      <c r="V323" s="127"/>
      <c r="W323" s="127"/>
      <c r="X323" s="132"/>
      <c r="Y323" s="127"/>
      <c r="Z323" s="127"/>
      <c r="AA323" s="40">
        <f t="shared" ref="AA323:AH323" si="486">AA324+AA340+AA354</f>
        <v>0</v>
      </c>
      <c r="AB323" s="40">
        <f t="shared" si="486"/>
        <v>6015925271</v>
      </c>
      <c r="AC323" s="40">
        <f t="shared" si="486"/>
        <v>1077000000</v>
      </c>
      <c r="AD323" s="40">
        <f t="shared" si="486"/>
        <v>0</v>
      </c>
      <c r="AE323" s="40">
        <f t="shared" si="486"/>
        <v>0</v>
      </c>
      <c r="AF323" s="40">
        <f t="shared" si="486"/>
        <v>0</v>
      </c>
      <c r="AG323" s="40">
        <f t="shared" si="486"/>
        <v>0</v>
      </c>
      <c r="AH323" s="40">
        <f t="shared" si="486"/>
        <v>0</v>
      </c>
      <c r="AI323" s="40">
        <f t="shared" ref="AI323:AP323" si="487">AI324+AI340+AI354</f>
        <v>1000000000</v>
      </c>
      <c r="AJ323" s="133">
        <f t="shared" si="487"/>
        <v>8092925271</v>
      </c>
      <c r="AK323" s="40">
        <f t="shared" si="487"/>
        <v>0</v>
      </c>
      <c r="AL323" s="40">
        <f t="shared" si="487"/>
        <v>1804560000</v>
      </c>
      <c r="AM323" s="40">
        <f t="shared" si="487"/>
        <v>1014349775.75</v>
      </c>
      <c r="AN323" s="40">
        <f t="shared" si="487"/>
        <v>0</v>
      </c>
      <c r="AO323" s="40">
        <f t="shared" si="487"/>
        <v>0</v>
      </c>
      <c r="AP323" s="40">
        <f t="shared" si="487"/>
        <v>0</v>
      </c>
      <c r="AQ323" s="40">
        <f t="shared" ref="AQ323:AT323" si="488">AQ324+AQ340+AQ354</f>
        <v>0</v>
      </c>
      <c r="AR323" s="40">
        <f t="shared" si="488"/>
        <v>0</v>
      </c>
      <c r="AS323" s="40">
        <f t="shared" si="488"/>
        <v>1000000000</v>
      </c>
      <c r="AT323" s="40">
        <f t="shared" si="488"/>
        <v>3818909775.75</v>
      </c>
      <c r="AU323" s="42"/>
      <c r="AV323" s="42"/>
      <c r="AW323" s="42"/>
      <c r="AX323" s="42"/>
      <c r="AY323" s="42"/>
      <c r="AZ323" s="42"/>
      <c r="BA323" s="42"/>
      <c r="BB323" s="42"/>
      <c r="BC323" s="42"/>
      <c r="BD323" s="40">
        <f>BD324+BD340+BD354</f>
        <v>3674977069.0229998</v>
      </c>
      <c r="BE323" s="42"/>
      <c r="BF323" s="42"/>
      <c r="BG323" s="42"/>
      <c r="BH323" s="42"/>
      <c r="BI323" s="42"/>
      <c r="BJ323" s="42"/>
      <c r="BK323" s="42"/>
      <c r="BL323" s="42"/>
      <c r="BM323" s="42"/>
      <c r="BN323" s="40">
        <f>BN324+BN340+BN354</f>
        <v>3687086381.0902042</v>
      </c>
      <c r="BO323" s="541">
        <f>BO324+BO340+BO354</f>
        <v>19273898496.863205</v>
      </c>
    </row>
    <row r="324" spans="1:67" ht="24.75" customHeight="1" x14ac:dyDescent="0.2">
      <c r="A324" s="545"/>
      <c r="B324" s="69"/>
      <c r="C324" s="562"/>
      <c r="D324" s="43">
        <v>23</v>
      </c>
      <c r="E324" s="134" t="s">
        <v>740</v>
      </c>
      <c r="F324" s="45"/>
      <c r="G324" s="45"/>
      <c r="H324" s="45"/>
      <c r="I324" s="267"/>
      <c r="J324" s="48"/>
      <c r="K324" s="48"/>
      <c r="L324" s="49"/>
      <c r="M324" s="47"/>
      <c r="N324" s="50"/>
      <c r="O324" s="48"/>
      <c r="P324" s="48"/>
      <c r="Q324" s="51"/>
      <c r="R324" s="48"/>
      <c r="S324" s="498"/>
      <c r="T324" s="48"/>
      <c r="U324" s="48"/>
      <c r="V324" s="47"/>
      <c r="W324" s="47"/>
      <c r="X324" s="135"/>
      <c r="Y324" s="47"/>
      <c r="Z324" s="47"/>
      <c r="AA324" s="53">
        <f t="shared" ref="AA324:AH324" si="489">AA325+AA331+AA336</f>
        <v>0</v>
      </c>
      <c r="AB324" s="53">
        <f t="shared" si="489"/>
        <v>6015925271</v>
      </c>
      <c r="AC324" s="53">
        <f t="shared" si="489"/>
        <v>60000000</v>
      </c>
      <c r="AD324" s="53">
        <f t="shared" si="489"/>
        <v>0</v>
      </c>
      <c r="AE324" s="53">
        <f t="shared" si="489"/>
        <v>0</v>
      </c>
      <c r="AF324" s="53">
        <f t="shared" si="489"/>
        <v>0</v>
      </c>
      <c r="AG324" s="53">
        <f t="shared" si="489"/>
        <v>0</v>
      </c>
      <c r="AH324" s="53">
        <f t="shared" si="489"/>
        <v>0</v>
      </c>
      <c r="AI324" s="53">
        <f t="shared" ref="AI324:AP324" si="490">AI325+AI331+AI336</f>
        <v>1000000000</v>
      </c>
      <c r="AJ324" s="54">
        <f t="shared" si="490"/>
        <v>7075925271</v>
      </c>
      <c r="AK324" s="53">
        <f t="shared" si="490"/>
        <v>0</v>
      </c>
      <c r="AL324" s="53">
        <f t="shared" si="490"/>
        <v>1804560000</v>
      </c>
      <c r="AM324" s="53">
        <f t="shared" si="490"/>
        <v>60000000</v>
      </c>
      <c r="AN324" s="53">
        <f t="shared" si="490"/>
        <v>0</v>
      </c>
      <c r="AO324" s="53">
        <f t="shared" si="490"/>
        <v>0</v>
      </c>
      <c r="AP324" s="53">
        <f t="shared" si="490"/>
        <v>0</v>
      </c>
      <c r="AQ324" s="53">
        <f t="shared" ref="AQ324:AT324" si="491">AQ325+AQ331+AQ336</f>
        <v>0</v>
      </c>
      <c r="AR324" s="53">
        <f t="shared" si="491"/>
        <v>0</v>
      </c>
      <c r="AS324" s="53">
        <f t="shared" si="491"/>
        <v>1000000000</v>
      </c>
      <c r="AT324" s="53">
        <f t="shared" si="491"/>
        <v>2864560000</v>
      </c>
      <c r="AU324" s="55"/>
      <c r="AV324" s="55"/>
      <c r="AW324" s="55"/>
      <c r="AX324" s="55"/>
      <c r="AY324" s="55"/>
      <c r="AZ324" s="55"/>
      <c r="BA324" s="55"/>
      <c r="BB324" s="55"/>
      <c r="BC324" s="55"/>
      <c r="BD324" s="53">
        <f>BD325+BD331+BD336</f>
        <v>2916696800</v>
      </c>
      <c r="BE324" s="55"/>
      <c r="BF324" s="55"/>
      <c r="BG324" s="55"/>
      <c r="BH324" s="55"/>
      <c r="BI324" s="55"/>
      <c r="BJ324" s="55"/>
      <c r="BK324" s="55"/>
      <c r="BL324" s="55"/>
      <c r="BM324" s="55"/>
      <c r="BN324" s="53">
        <f>BN325+BN331+BN336</f>
        <v>2964457704.0002041</v>
      </c>
      <c r="BO324" s="543">
        <f>BO325+BO331+BO336</f>
        <v>15821639775.000204</v>
      </c>
    </row>
    <row r="325" spans="1:67" ht="24.75" customHeight="1" thickBot="1" x14ac:dyDescent="0.25">
      <c r="A325" s="545"/>
      <c r="B325" s="69"/>
      <c r="C325" s="136"/>
      <c r="D325" s="562"/>
      <c r="E325" s="57">
        <v>75</v>
      </c>
      <c r="F325" s="58" t="s">
        <v>741</v>
      </c>
      <c r="G325" s="61"/>
      <c r="H325" s="61"/>
      <c r="I325" s="62"/>
      <c r="J325" s="58"/>
      <c r="K325" s="61"/>
      <c r="L325" s="60"/>
      <c r="M325" s="487"/>
      <c r="N325" s="594"/>
      <c r="O325" s="481"/>
      <c r="P325" s="481"/>
      <c r="Q325" s="485"/>
      <c r="R325" s="481"/>
      <c r="S325" s="499"/>
      <c r="T325" s="61"/>
      <c r="U325" s="61"/>
      <c r="V325" s="62"/>
      <c r="W325" s="62"/>
      <c r="X325" s="137"/>
      <c r="Y325" s="62"/>
      <c r="Z325" s="62"/>
      <c r="AA325" s="66">
        <f t="shared" ref="AA325:AH325" si="492">SUM(AA326:AA330)</f>
        <v>0</v>
      </c>
      <c r="AB325" s="66">
        <f t="shared" si="492"/>
        <v>5963925271</v>
      </c>
      <c r="AC325" s="66">
        <f t="shared" si="492"/>
        <v>30000000</v>
      </c>
      <c r="AD325" s="66">
        <f t="shared" si="492"/>
        <v>0</v>
      </c>
      <c r="AE325" s="66">
        <f t="shared" si="492"/>
        <v>0</v>
      </c>
      <c r="AF325" s="66">
        <f t="shared" si="492"/>
        <v>0</v>
      </c>
      <c r="AG325" s="66">
        <f t="shared" si="492"/>
        <v>0</v>
      </c>
      <c r="AH325" s="66">
        <f t="shared" si="492"/>
        <v>0</v>
      </c>
      <c r="AI325" s="66">
        <f t="shared" ref="AI325:AP325" si="493">SUM(AI326:AI330)</f>
        <v>0</v>
      </c>
      <c r="AJ325" s="67">
        <f t="shared" si="493"/>
        <v>5993925271</v>
      </c>
      <c r="AK325" s="66">
        <f t="shared" si="493"/>
        <v>0</v>
      </c>
      <c r="AL325" s="66">
        <f t="shared" si="493"/>
        <v>1513000000</v>
      </c>
      <c r="AM325" s="66">
        <f t="shared" si="493"/>
        <v>30000000</v>
      </c>
      <c r="AN325" s="66">
        <f t="shared" si="493"/>
        <v>0</v>
      </c>
      <c r="AO325" s="66">
        <f t="shared" si="493"/>
        <v>0</v>
      </c>
      <c r="AP325" s="66">
        <f t="shared" si="493"/>
        <v>0</v>
      </c>
      <c r="AQ325" s="66">
        <f t="shared" ref="AQ325:AT325" si="494">SUM(AQ326:AQ330)</f>
        <v>0</v>
      </c>
      <c r="AR325" s="66">
        <f t="shared" si="494"/>
        <v>0</v>
      </c>
      <c r="AS325" s="66">
        <f t="shared" si="494"/>
        <v>0</v>
      </c>
      <c r="AT325" s="66">
        <f t="shared" si="494"/>
        <v>1543000000</v>
      </c>
      <c r="AU325" s="68"/>
      <c r="AV325" s="68"/>
      <c r="AW325" s="68"/>
      <c r="AX325" s="68"/>
      <c r="AY325" s="68"/>
      <c r="AZ325" s="68"/>
      <c r="BA325" s="68"/>
      <c r="BB325" s="68"/>
      <c r="BC325" s="68"/>
      <c r="BD325" s="66">
        <f>SUM(BD326:BD330)</f>
        <v>1593530000</v>
      </c>
      <c r="BE325" s="68"/>
      <c r="BF325" s="68"/>
      <c r="BG325" s="68"/>
      <c r="BH325" s="68"/>
      <c r="BI325" s="68"/>
      <c r="BJ325" s="68"/>
      <c r="BK325" s="68"/>
      <c r="BL325" s="68"/>
      <c r="BM325" s="68"/>
      <c r="BN325" s="66">
        <f>SUM(BN326:BN330)</f>
        <v>1639635900.0002038</v>
      </c>
      <c r="BO325" s="544">
        <f>SUM(BO326:BO330)</f>
        <v>10770091171.000204</v>
      </c>
    </row>
    <row r="326" spans="1:67" ht="83.25" customHeight="1" x14ac:dyDescent="0.2">
      <c r="A326" s="545">
        <v>213</v>
      </c>
      <c r="B326" s="69">
        <v>4</v>
      </c>
      <c r="C326" s="136"/>
      <c r="D326" s="136"/>
      <c r="E326" s="78" t="s">
        <v>932</v>
      </c>
      <c r="F326" s="328" t="s">
        <v>233</v>
      </c>
      <c r="G326" s="71" t="s">
        <v>234</v>
      </c>
      <c r="H326" s="71" t="s">
        <v>235</v>
      </c>
      <c r="I326" s="549">
        <v>214</v>
      </c>
      <c r="J326" s="221" t="s">
        <v>742</v>
      </c>
      <c r="K326" s="268" t="s">
        <v>743</v>
      </c>
      <c r="L326" s="77" t="s">
        <v>744</v>
      </c>
      <c r="M326" s="196">
        <v>18</v>
      </c>
      <c r="N326" s="93" t="s">
        <v>69</v>
      </c>
      <c r="O326" s="331" t="s">
        <v>49</v>
      </c>
      <c r="P326" s="331">
        <v>6</v>
      </c>
      <c r="Q326" s="196">
        <v>1</v>
      </c>
      <c r="R326" s="93">
        <v>2</v>
      </c>
      <c r="S326" s="665">
        <v>1</v>
      </c>
      <c r="T326" s="666">
        <v>2</v>
      </c>
      <c r="U326" s="666">
        <v>3</v>
      </c>
      <c r="V326" s="666">
        <v>1</v>
      </c>
      <c r="W326" s="451"/>
      <c r="X326" s="303">
        <f>AJ326/$AJ$325</f>
        <v>5.1418102431327425E-2</v>
      </c>
      <c r="Y326" s="78">
        <v>16</v>
      </c>
      <c r="Z326" s="78" t="s">
        <v>372</v>
      </c>
      <c r="AA326" s="449"/>
      <c r="AB326" s="449">
        <f>308196263.55-10000000</f>
        <v>298196263.55000001</v>
      </c>
      <c r="AC326" s="449">
        <v>10000000</v>
      </c>
      <c r="AD326" s="449"/>
      <c r="AE326" s="449"/>
      <c r="AF326" s="449"/>
      <c r="AG326" s="449"/>
      <c r="AH326" s="449"/>
      <c r="AI326" s="449"/>
      <c r="AJ326" s="447">
        <f>+AA326+AB326+AC326+AD326+AE326+AF326+AG326+AH326+AI326</f>
        <v>308196263.55000001</v>
      </c>
      <c r="AK326" s="449"/>
      <c r="AL326" s="449">
        <v>49300000</v>
      </c>
      <c r="AM326" s="449">
        <v>30000000</v>
      </c>
      <c r="AN326" s="449"/>
      <c r="AO326" s="449"/>
      <c r="AP326" s="449"/>
      <c r="AQ326" s="449"/>
      <c r="AR326" s="449"/>
      <c r="AS326" s="449"/>
      <c r="AT326" s="452">
        <f>AK326+AL326+AM326+AN326+AO326+AP326+AQ326+AR326+AS326</f>
        <v>79300000</v>
      </c>
      <c r="AU326" s="449"/>
      <c r="AV326" s="449">
        <f>81930000-28000000</f>
        <v>53930000</v>
      </c>
      <c r="AW326" s="449">
        <v>28000000</v>
      </c>
      <c r="AX326" s="455"/>
      <c r="AY326" s="449"/>
      <c r="AZ326" s="449"/>
      <c r="BA326" s="449"/>
      <c r="BB326" s="449"/>
      <c r="BC326" s="449"/>
      <c r="BD326" s="449">
        <f>SUM(AU326:BC326)</f>
        <v>81930000</v>
      </c>
      <c r="BE326" s="449"/>
      <c r="BF326" s="449">
        <f>84300000-20000000</f>
        <v>64300000</v>
      </c>
      <c r="BG326" s="449">
        <v>20000000</v>
      </c>
      <c r="BH326" s="455"/>
      <c r="BI326" s="449"/>
      <c r="BJ326" s="449"/>
      <c r="BK326" s="449"/>
      <c r="BL326" s="449"/>
      <c r="BM326" s="449"/>
      <c r="BN326" s="449">
        <f>SUM(BE326:BM326)</f>
        <v>84300000</v>
      </c>
      <c r="BO326" s="586">
        <f>AJ326+AT326+BD326+BN326</f>
        <v>553726263.54999995</v>
      </c>
    </row>
    <row r="327" spans="1:67" ht="113.25" customHeight="1" x14ac:dyDescent="0.2">
      <c r="A327" s="547">
        <v>214</v>
      </c>
      <c r="B327" s="69">
        <v>4</v>
      </c>
      <c r="C327" s="136"/>
      <c r="D327" s="136"/>
      <c r="E327" s="93">
        <v>32</v>
      </c>
      <c r="F327" s="70" t="s">
        <v>746</v>
      </c>
      <c r="G327" s="87" t="s">
        <v>247</v>
      </c>
      <c r="H327" s="220" t="s">
        <v>248</v>
      </c>
      <c r="I327" s="77">
        <v>215</v>
      </c>
      <c r="J327" s="442" t="s">
        <v>747</v>
      </c>
      <c r="K327" s="444" t="s">
        <v>748</v>
      </c>
      <c r="L327" s="164" t="s">
        <v>744</v>
      </c>
      <c r="M327" s="297">
        <v>18</v>
      </c>
      <c r="N327" s="330" t="s">
        <v>69</v>
      </c>
      <c r="O327" s="453">
        <v>10</v>
      </c>
      <c r="P327" s="453">
        <v>10</v>
      </c>
      <c r="Q327" s="427">
        <v>2</v>
      </c>
      <c r="R327" s="451">
        <v>3</v>
      </c>
      <c r="S327" s="513"/>
      <c r="T327" s="451">
        <v>3</v>
      </c>
      <c r="U327" s="451"/>
      <c r="V327" s="451">
        <v>2</v>
      </c>
      <c r="W327" s="451"/>
      <c r="X327" s="445">
        <f>AJ327/$AJ$325</f>
        <v>3.3367116031233551E-3</v>
      </c>
      <c r="Y327" s="534">
        <v>16</v>
      </c>
      <c r="Z327" s="534" t="s">
        <v>372</v>
      </c>
      <c r="AA327" s="446"/>
      <c r="AB327" s="170"/>
      <c r="AC327" s="446">
        <v>20000000</v>
      </c>
      <c r="AD327" s="446"/>
      <c r="AE327" s="446"/>
      <c r="AF327" s="446"/>
      <c r="AG327" s="446"/>
      <c r="AH327" s="446"/>
      <c r="AI327" s="446"/>
      <c r="AJ327" s="169">
        <f>+AA327+AB327+AC327+AD327+AE327+AF327+AG327+AH327+AI327</f>
        <v>20000000</v>
      </c>
      <c r="AK327" s="468"/>
      <c r="AL327" s="469">
        <v>5100000</v>
      </c>
      <c r="AM327" s="468"/>
      <c r="AN327" s="468"/>
      <c r="AO327" s="468"/>
      <c r="AP327" s="468"/>
      <c r="AQ327" s="468"/>
      <c r="AR327" s="468"/>
      <c r="AS327" s="468"/>
      <c r="AT327" s="301">
        <f>AK327+AL327+AM327+AN327+AO327+AP327+AQ327+AR327+AS327</f>
        <v>5100000</v>
      </c>
      <c r="AU327" s="469"/>
      <c r="AV327" s="454">
        <v>5300000</v>
      </c>
      <c r="AW327" s="469"/>
      <c r="AX327" s="469"/>
      <c r="AY327" s="469"/>
      <c r="AZ327" s="469"/>
      <c r="BA327" s="469"/>
      <c r="BB327" s="469"/>
      <c r="BC327" s="469"/>
      <c r="BD327" s="454">
        <f>SUM(AU327:BC327)</f>
        <v>5300000</v>
      </c>
      <c r="BE327" s="457"/>
      <c r="BF327" s="457">
        <v>5470000</v>
      </c>
      <c r="BG327" s="457"/>
      <c r="BH327" s="457"/>
      <c r="BI327" s="457"/>
      <c r="BJ327" s="457"/>
      <c r="BK327" s="457"/>
      <c r="BL327" s="457"/>
      <c r="BM327" s="457"/>
      <c r="BN327" s="454">
        <f>SUM(BE327:BM327)</f>
        <v>5470000</v>
      </c>
      <c r="BO327" s="625">
        <f>AJ327+AT327+BD327+BN327</f>
        <v>35870000</v>
      </c>
    </row>
    <row r="328" spans="1:67" ht="68.25" customHeight="1" x14ac:dyDescent="0.2">
      <c r="A328" s="545">
        <v>215</v>
      </c>
      <c r="B328" s="69">
        <v>4</v>
      </c>
      <c r="C328" s="136"/>
      <c r="D328" s="136"/>
      <c r="E328" s="93">
        <v>10</v>
      </c>
      <c r="F328" s="328" t="s">
        <v>233</v>
      </c>
      <c r="G328" s="71" t="s">
        <v>234</v>
      </c>
      <c r="H328" s="71" t="s">
        <v>235</v>
      </c>
      <c r="I328" s="549">
        <v>216</v>
      </c>
      <c r="J328" s="440" t="s">
        <v>749</v>
      </c>
      <c r="K328" s="439" t="s">
        <v>750</v>
      </c>
      <c r="L328" s="164" t="s">
        <v>744</v>
      </c>
      <c r="M328" s="297">
        <v>18</v>
      </c>
      <c r="N328" s="478" t="s">
        <v>69</v>
      </c>
      <c r="O328" s="475" t="s">
        <v>751</v>
      </c>
      <c r="P328" s="475">
        <v>6</v>
      </c>
      <c r="Q328" s="196">
        <v>1</v>
      </c>
      <c r="R328" s="93">
        <v>2</v>
      </c>
      <c r="S328" s="515">
        <v>2.9940000000000002</v>
      </c>
      <c r="T328" s="93">
        <v>2</v>
      </c>
      <c r="U328" s="93"/>
      <c r="V328" s="93">
        <v>1</v>
      </c>
      <c r="W328" s="93"/>
      <c r="X328" s="303">
        <f>AJ328/$AJ$325</f>
        <v>0.49749746629765751</v>
      </c>
      <c r="Y328" s="480">
        <v>16</v>
      </c>
      <c r="Z328" s="480" t="s">
        <v>372</v>
      </c>
      <c r="AA328" s="449"/>
      <c r="AB328" s="108">
        <v>2981962635.5</v>
      </c>
      <c r="AC328" s="449"/>
      <c r="AD328" s="449"/>
      <c r="AE328" s="449"/>
      <c r="AF328" s="449"/>
      <c r="AG328" s="449"/>
      <c r="AH328" s="449"/>
      <c r="AI328" s="449"/>
      <c r="AJ328" s="82">
        <f>+AA328+AB328+AC328+AD328+AE328+AF328+AG328+AH328+AI328</f>
        <v>2981962635.5</v>
      </c>
      <c r="AK328" s="635"/>
      <c r="AL328" s="555">
        <v>767600000</v>
      </c>
      <c r="AM328" s="635"/>
      <c r="AN328" s="635"/>
      <c r="AO328" s="635"/>
      <c r="AP328" s="635"/>
      <c r="AQ328" s="635"/>
      <c r="AR328" s="635"/>
      <c r="AS328" s="635"/>
      <c r="AT328" s="84">
        <f>AK328+AL328+AM328+AN328+AO328+AP328+AQ328+AR328+AS328</f>
        <v>767600000</v>
      </c>
      <c r="AU328" s="555"/>
      <c r="AV328" s="455">
        <v>792700000</v>
      </c>
      <c r="AW328" s="555"/>
      <c r="AX328" s="555"/>
      <c r="AY328" s="555"/>
      <c r="AZ328" s="555"/>
      <c r="BA328" s="555"/>
      <c r="BB328" s="555"/>
      <c r="BC328" s="555"/>
      <c r="BD328" s="455">
        <f>SUM(AU328:BC328)</f>
        <v>792700000</v>
      </c>
      <c r="BE328" s="90"/>
      <c r="BF328" s="90">
        <v>815700000</v>
      </c>
      <c r="BG328" s="90"/>
      <c r="BH328" s="90"/>
      <c r="BI328" s="90"/>
      <c r="BJ328" s="90"/>
      <c r="BK328" s="90"/>
      <c r="BL328" s="90"/>
      <c r="BM328" s="90"/>
      <c r="BN328" s="455">
        <f>SUM(BE328:BM328)</f>
        <v>815700000</v>
      </c>
      <c r="BO328" s="546">
        <f>AJ328+AT328+BD328+BN328</f>
        <v>5357962635.5</v>
      </c>
    </row>
    <row r="329" spans="1:67" ht="82.5" customHeight="1" x14ac:dyDescent="0.2">
      <c r="A329" s="547">
        <v>216</v>
      </c>
      <c r="B329" s="69">
        <v>4</v>
      </c>
      <c r="C329" s="136"/>
      <c r="D329" s="136"/>
      <c r="E329" s="91">
        <v>12</v>
      </c>
      <c r="F329" s="106" t="s">
        <v>745</v>
      </c>
      <c r="G329" s="114">
        <v>3166</v>
      </c>
      <c r="H329" s="114">
        <v>2500</v>
      </c>
      <c r="I329" s="77">
        <v>217</v>
      </c>
      <c r="J329" s="73" t="s">
        <v>752</v>
      </c>
      <c r="K329" s="70" t="s">
        <v>753</v>
      </c>
      <c r="L329" s="164" t="s">
        <v>744</v>
      </c>
      <c r="M329" s="297">
        <v>18</v>
      </c>
      <c r="N329" s="478" t="s">
        <v>54</v>
      </c>
      <c r="O329" s="76" t="s">
        <v>751</v>
      </c>
      <c r="P329" s="76" t="s">
        <v>754</v>
      </c>
      <c r="Q329" s="196">
        <v>5</v>
      </c>
      <c r="R329" s="93">
        <v>5</v>
      </c>
      <c r="S329" s="500"/>
      <c r="T329" s="93">
        <v>5</v>
      </c>
      <c r="U329" s="93"/>
      <c r="V329" s="93">
        <v>5</v>
      </c>
      <c r="W329" s="93"/>
      <c r="X329" s="303">
        <f>AJ329/$AJ$325</f>
        <v>0.29849847977859451</v>
      </c>
      <c r="Y329" s="78">
        <v>16</v>
      </c>
      <c r="Z329" s="78" t="s">
        <v>372</v>
      </c>
      <c r="AA329" s="449"/>
      <c r="AB329" s="108">
        <v>1789177581.3</v>
      </c>
      <c r="AC329" s="449"/>
      <c r="AD329" s="449"/>
      <c r="AE329" s="449"/>
      <c r="AF329" s="449"/>
      <c r="AG329" s="449"/>
      <c r="AH329" s="449"/>
      <c r="AI329" s="449"/>
      <c r="AJ329" s="82">
        <f>+AA329+AB329+AC329+AD329+AE329+AF329+AG329+AH329+AI329</f>
        <v>1789177581.3</v>
      </c>
      <c r="AK329" s="635"/>
      <c r="AL329" s="555">
        <v>460500000</v>
      </c>
      <c r="AM329" s="635"/>
      <c r="AN329" s="635"/>
      <c r="AO329" s="635"/>
      <c r="AP329" s="635"/>
      <c r="AQ329" s="635"/>
      <c r="AR329" s="635"/>
      <c r="AS329" s="635"/>
      <c r="AT329" s="84">
        <f>AK329+AL329+AM329+AN329+AO329+AP329+AQ329+AR329+AS329</f>
        <v>460500000</v>
      </c>
      <c r="AU329" s="555"/>
      <c r="AV329" s="455">
        <v>475600000</v>
      </c>
      <c r="AW329" s="555"/>
      <c r="AX329" s="555"/>
      <c r="AY329" s="555"/>
      <c r="AZ329" s="555"/>
      <c r="BA329" s="555"/>
      <c r="BB329" s="555"/>
      <c r="BC329" s="555"/>
      <c r="BD329" s="150">
        <f>SUM(AU329:BC329)</f>
        <v>475600000</v>
      </c>
      <c r="BE329" s="90"/>
      <c r="BF329" s="90">
        <v>489400000</v>
      </c>
      <c r="BG329" s="90"/>
      <c r="BH329" s="90"/>
      <c r="BI329" s="90"/>
      <c r="BJ329" s="90"/>
      <c r="BK329" s="90"/>
      <c r="BL329" s="90"/>
      <c r="BM329" s="90"/>
      <c r="BN329" s="455">
        <f>SUM(BE329:BM329)</f>
        <v>489400000</v>
      </c>
      <c r="BO329" s="546">
        <f>AJ329+AT329+BD329+BN329</f>
        <v>3214677581.3000002</v>
      </c>
    </row>
    <row r="330" spans="1:67" ht="81.75" customHeight="1" x14ac:dyDescent="0.2">
      <c r="A330" s="545">
        <v>217</v>
      </c>
      <c r="B330" s="69">
        <v>4</v>
      </c>
      <c r="C330" s="136"/>
      <c r="D330" s="136"/>
      <c r="E330" s="451"/>
      <c r="F330" s="329"/>
      <c r="G330" s="114"/>
      <c r="H330" s="114"/>
      <c r="I330" s="77">
        <v>218</v>
      </c>
      <c r="J330" s="73" t="s">
        <v>755</v>
      </c>
      <c r="K330" s="262" t="s">
        <v>756</v>
      </c>
      <c r="L330" s="164" t="s">
        <v>744</v>
      </c>
      <c r="M330" s="297">
        <v>18</v>
      </c>
      <c r="N330" s="478" t="s">
        <v>54</v>
      </c>
      <c r="O330" s="331">
        <v>3</v>
      </c>
      <c r="P330" s="331">
        <v>3</v>
      </c>
      <c r="Q330" s="477">
        <v>3</v>
      </c>
      <c r="R330" s="478">
        <v>3</v>
      </c>
      <c r="S330" s="500"/>
      <c r="T330" s="478">
        <v>3</v>
      </c>
      <c r="U330" s="478"/>
      <c r="V330" s="478">
        <v>3</v>
      </c>
      <c r="W330" s="478"/>
      <c r="X330" s="303">
        <f>AJ330/$AJ$325</f>
        <v>0.14924923988929725</v>
      </c>
      <c r="Y330" s="78">
        <v>16</v>
      </c>
      <c r="Z330" s="78" t="s">
        <v>372</v>
      </c>
      <c r="AA330" s="449"/>
      <c r="AB330" s="108">
        <v>894588790.64999998</v>
      </c>
      <c r="AC330" s="449"/>
      <c r="AD330" s="449"/>
      <c r="AE330" s="449"/>
      <c r="AF330" s="449"/>
      <c r="AG330" s="449"/>
      <c r="AH330" s="449"/>
      <c r="AI330" s="449"/>
      <c r="AJ330" s="82">
        <f>+AA330+AB330+AC330+AD330+AE330+AF330+AG330+AH330+AI330</f>
        <v>894588790.64999998</v>
      </c>
      <c r="AK330" s="635"/>
      <c r="AL330" s="555">
        <v>230500000</v>
      </c>
      <c r="AM330" s="635"/>
      <c r="AN330" s="635"/>
      <c r="AO330" s="635"/>
      <c r="AP330" s="635"/>
      <c r="AQ330" s="635"/>
      <c r="AR330" s="635"/>
      <c r="AS330" s="635"/>
      <c r="AT330" s="84">
        <f>AK330+AL330+AM330+AN330+AO330+AP330+AQ330+AR330+AS330</f>
        <v>230500000</v>
      </c>
      <c r="AU330" s="555"/>
      <c r="AV330" s="455">
        <f>237800000+200000</f>
        <v>238000000</v>
      </c>
      <c r="AW330" s="555"/>
      <c r="AX330" s="555"/>
      <c r="AY330" s="555"/>
      <c r="AZ330" s="555"/>
      <c r="BA330" s="555"/>
      <c r="BB330" s="555"/>
      <c r="BC330" s="555"/>
      <c r="BD330" s="150">
        <f>SUM(AU330:BC330)</f>
        <v>238000000</v>
      </c>
      <c r="BE330" s="90"/>
      <c r="BF330" s="90">
        <v>244765900.00020379</v>
      </c>
      <c r="BG330" s="90"/>
      <c r="BH330" s="90"/>
      <c r="BI330" s="90"/>
      <c r="BJ330" s="90"/>
      <c r="BK330" s="90"/>
      <c r="BL330" s="90"/>
      <c r="BM330" s="90"/>
      <c r="BN330" s="455">
        <f>SUM(BE330:BM330)</f>
        <v>244765900.00020379</v>
      </c>
      <c r="BO330" s="546">
        <f>AJ330+AT330+BD330+BN330</f>
        <v>1607854690.6502039</v>
      </c>
    </row>
    <row r="331" spans="1:67" ht="24.75" customHeight="1" x14ac:dyDescent="0.2">
      <c r="A331" s="545"/>
      <c r="B331" s="69"/>
      <c r="C331" s="136"/>
      <c r="D331" s="136"/>
      <c r="E331" s="57">
        <v>76</v>
      </c>
      <c r="F331" s="58" t="s">
        <v>757</v>
      </c>
      <c r="G331" s="61"/>
      <c r="H331" s="61"/>
      <c r="I331" s="62"/>
      <c r="J331" s="61"/>
      <c r="K331" s="61"/>
      <c r="L331" s="60"/>
      <c r="M331" s="62"/>
      <c r="N331" s="63"/>
      <c r="O331" s="61"/>
      <c r="P331" s="61"/>
      <c r="Q331" s="61"/>
      <c r="R331" s="61"/>
      <c r="S331" s="499"/>
      <c r="T331" s="61"/>
      <c r="U331" s="61"/>
      <c r="V331" s="61"/>
      <c r="W331" s="61"/>
      <c r="X331" s="61"/>
      <c r="Y331" s="61"/>
      <c r="Z331" s="62"/>
      <c r="AA331" s="66">
        <f t="shared" ref="AA331:AI331" si="495">SUM(AA332:AA335)</f>
        <v>0</v>
      </c>
      <c r="AB331" s="66">
        <f t="shared" si="495"/>
        <v>0</v>
      </c>
      <c r="AC331" s="66">
        <f t="shared" si="495"/>
        <v>30000000</v>
      </c>
      <c r="AD331" s="66">
        <f t="shared" si="495"/>
        <v>0</v>
      </c>
      <c r="AE331" s="66">
        <f t="shared" si="495"/>
        <v>0</v>
      </c>
      <c r="AF331" s="66">
        <f t="shared" si="495"/>
        <v>0</v>
      </c>
      <c r="AG331" s="66">
        <f t="shared" si="495"/>
        <v>0</v>
      </c>
      <c r="AH331" s="66">
        <f t="shared" si="495"/>
        <v>0</v>
      </c>
      <c r="AI331" s="66">
        <f t="shared" si="495"/>
        <v>1000000000</v>
      </c>
      <c r="AJ331" s="67">
        <f>SUM(AJ332:AJ335)</f>
        <v>1030000000</v>
      </c>
      <c r="AK331" s="66">
        <f t="shared" ref="AK331:AT331" si="496">SUM(AK332:AK335)</f>
        <v>0</v>
      </c>
      <c r="AL331" s="66">
        <f t="shared" si="496"/>
        <v>238000000</v>
      </c>
      <c r="AM331" s="66">
        <f t="shared" si="496"/>
        <v>30000000</v>
      </c>
      <c r="AN331" s="66">
        <f t="shared" si="496"/>
        <v>0</v>
      </c>
      <c r="AO331" s="66">
        <f t="shared" si="496"/>
        <v>0</v>
      </c>
      <c r="AP331" s="66">
        <f t="shared" si="496"/>
        <v>0</v>
      </c>
      <c r="AQ331" s="66">
        <f t="shared" si="496"/>
        <v>0</v>
      </c>
      <c r="AR331" s="66">
        <f t="shared" si="496"/>
        <v>0</v>
      </c>
      <c r="AS331" s="66">
        <f t="shared" si="496"/>
        <v>1000000000</v>
      </c>
      <c r="AT331" s="66">
        <f t="shared" si="496"/>
        <v>1268000000</v>
      </c>
      <c r="AU331" s="68"/>
      <c r="AV331" s="68"/>
      <c r="AW331" s="68"/>
      <c r="AX331" s="68"/>
      <c r="AY331" s="68"/>
      <c r="AZ331" s="68"/>
      <c r="BA331" s="68"/>
      <c r="BB331" s="68"/>
      <c r="BC331" s="68"/>
      <c r="BD331" s="66">
        <f t="shared" ref="BD331" si="497">SUM(BD332:BD335)</f>
        <v>1268000000</v>
      </c>
      <c r="BE331" s="68"/>
      <c r="BF331" s="68"/>
      <c r="BG331" s="68"/>
      <c r="BH331" s="68"/>
      <c r="BI331" s="68"/>
      <c r="BJ331" s="68"/>
      <c r="BK331" s="68"/>
      <c r="BL331" s="68"/>
      <c r="BM331" s="68"/>
      <c r="BN331" s="66">
        <f t="shared" ref="BN331:BO331" si="498">SUM(BN332:BN335)</f>
        <v>1268000000</v>
      </c>
      <c r="BO331" s="544">
        <f t="shared" si="498"/>
        <v>4834000000</v>
      </c>
    </row>
    <row r="332" spans="1:67" ht="203.25" customHeight="1" x14ac:dyDescent="0.2">
      <c r="A332" s="547">
        <v>218</v>
      </c>
      <c r="B332" s="69">
        <v>4</v>
      </c>
      <c r="C332" s="136"/>
      <c r="D332" s="136"/>
      <c r="E332" s="93">
        <v>13</v>
      </c>
      <c r="F332" s="268" t="s">
        <v>758</v>
      </c>
      <c r="G332" s="71" t="s">
        <v>538</v>
      </c>
      <c r="H332" s="621" t="s">
        <v>539</v>
      </c>
      <c r="I332" s="77">
        <v>219</v>
      </c>
      <c r="J332" s="73" t="s">
        <v>759</v>
      </c>
      <c r="K332" s="262" t="s">
        <v>760</v>
      </c>
      <c r="L332" s="164" t="s">
        <v>744</v>
      </c>
      <c r="M332" s="297">
        <v>18</v>
      </c>
      <c r="N332" s="271" t="s">
        <v>69</v>
      </c>
      <c r="O332" s="331" t="s">
        <v>49</v>
      </c>
      <c r="P332" s="331">
        <v>36</v>
      </c>
      <c r="Q332" s="334">
        <v>3</v>
      </c>
      <c r="R332" s="335">
        <v>11</v>
      </c>
      <c r="S332" s="500"/>
      <c r="T332" s="335">
        <v>11</v>
      </c>
      <c r="U332" s="335"/>
      <c r="V332" s="335">
        <v>11</v>
      </c>
      <c r="W332" s="335"/>
      <c r="X332" s="336">
        <f>AJ332/$AJ$331</f>
        <v>1.2135922330097087E-2</v>
      </c>
      <c r="Y332" s="78">
        <v>16</v>
      </c>
      <c r="Z332" s="78" t="s">
        <v>372</v>
      </c>
      <c r="AA332" s="448"/>
      <c r="AB332" s="448"/>
      <c r="AC332" s="449">
        <v>12500000</v>
      </c>
      <c r="AD332" s="449"/>
      <c r="AE332" s="448"/>
      <c r="AF332" s="448"/>
      <c r="AG332" s="448"/>
      <c r="AH332" s="448"/>
      <c r="AI332" s="448"/>
      <c r="AJ332" s="82">
        <f>+AA332+AB332+AC332+AD332+AE332+AF332+AG332+AH332+AI332</f>
        <v>12500000</v>
      </c>
      <c r="AK332" s="90"/>
      <c r="AL332" s="455">
        <v>111600000</v>
      </c>
      <c r="AM332" s="90"/>
      <c r="AN332" s="90"/>
      <c r="AO332" s="90"/>
      <c r="AP332" s="90"/>
      <c r="AQ332" s="90"/>
      <c r="AR332" s="90"/>
      <c r="AS332" s="90"/>
      <c r="AT332" s="84">
        <f>AK332+AL332+AM332+AN332+AO332+AP332+AQ332+AR332+AS332</f>
        <v>111600000</v>
      </c>
      <c r="AU332" s="455"/>
      <c r="AV332" s="455">
        <v>111600000</v>
      </c>
      <c r="AW332" s="90"/>
      <c r="AX332" s="90"/>
      <c r="AY332" s="455"/>
      <c r="AZ332" s="455"/>
      <c r="BA332" s="455"/>
      <c r="BB332" s="455"/>
      <c r="BC332" s="455"/>
      <c r="BD332" s="150">
        <f>SUM(AU332:BC332)</f>
        <v>111600000</v>
      </c>
      <c r="BE332" s="90"/>
      <c r="BF332" s="455">
        <v>111600000</v>
      </c>
      <c r="BG332" s="90"/>
      <c r="BH332" s="90"/>
      <c r="BI332" s="90"/>
      <c r="BJ332" s="90"/>
      <c r="BK332" s="90"/>
      <c r="BL332" s="90"/>
      <c r="BM332" s="90"/>
      <c r="BN332" s="90">
        <f>SUM(BE332:BM332)</f>
        <v>111600000</v>
      </c>
      <c r="BO332" s="546">
        <f>AJ332+AT332+BD332+BN332</f>
        <v>347300000</v>
      </c>
    </row>
    <row r="333" spans="1:67" ht="48.75" customHeight="1" x14ac:dyDescent="0.2">
      <c r="A333" s="547"/>
      <c r="B333" s="69">
        <v>4</v>
      </c>
      <c r="C333" s="136"/>
      <c r="D333" s="136"/>
      <c r="E333" s="93">
        <v>10</v>
      </c>
      <c r="F333" s="328" t="s">
        <v>233</v>
      </c>
      <c r="G333" s="71" t="s">
        <v>234</v>
      </c>
      <c r="H333" s="71" t="s">
        <v>235</v>
      </c>
      <c r="I333" s="77">
        <v>220</v>
      </c>
      <c r="J333" s="73" t="s">
        <v>761</v>
      </c>
      <c r="K333" s="262" t="s">
        <v>762</v>
      </c>
      <c r="L333" s="164" t="s">
        <v>744</v>
      </c>
      <c r="M333" s="297">
        <v>18</v>
      </c>
      <c r="N333" s="270" t="s">
        <v>69</v>
      </c>
      <c r="O333" s="276">
        <v>0</v>
      </c>
      <c r="P333" s="276">
        <v>12</v>
      </c>
      <c r="Q333" s="482">
        <v>5</v>
      </c>
      <c r="R333" s="482">
        <v>9</v>
      </c>
      <c r="S333" s="500"/>
      <c r="T333" s="482">
        <v>12</v>
      </c>
      <c r="U333" s="482"/>
      <c r="V333" s="491">
        <v>12</v>
      </c>
      <c r="W333" s="491"/>
      <c r="X333" s="336">
        <f>AJ333/$AJ$331</f>
        <v>0.98300970873786409</v>
      </c>
      <c r="Y333" s="78">
        <v>16</v>
      </c>
      <c r="Z333" s="78" t="s">
        <v>372</v>
      </c>
      <c r="AA333" s="448"/>
      <c r="AB333" s="448"/>
      <c r="AC333" s="449">
        <v>12500000</v>
      </c>
      <c r="AD333" s="449"/>
      <c r="AE333" s="448"/>
      <c r="AF333" s="448"/>
      <c r="AG333" s="448"/>
      <c r="AH333" s="448"/>
      <c r="AI333" s="448">
        <v>1000000000</v>
      </c>
      <c r="AJ333" s="82">
        <f>+AA333+AB333+AC333+AD333+AE333+AF333+AG333+AH333+AI333</f>
        <v>1012500000</v>
      </c>
      <c r="AK333" s="90"/>
      <c r="AL333" s="455">
        <v>111600000</v>
      </c>
      <c r="AM333" s="90"/>
      <c r="AN333" s="90"/>
      <c r="AO333" s="90"/>
      <c r="AP333" s="90"/>
      <c r="AQ333" s="90"/>
      <c r="AR333" s="90"/>
      <c r="AS333" s="90">
        <v>1000000000</v>
      </c>
      <c r="AT333" s="84">
        <f>AK333+AL333+AM333+AN333+AO333+AP333+AQ333+AR333+AS333</f>
        <v>1111600000</v>
      </c>
      <c r="AU333" s="455"/>
      <c r="AV333" s="455">
        <v>111600000</v>
      </c>
      <c r="AW333" s="90"/>
      <c r="AX333" s="90"/>
      <c r="AY333" s="455"/>
      <c r="AZ333" s="455"/>
      <c r="BA333" s="455"/>
      <c r="BB333" s="455"/>
      <c r="BC333" s="455">
        <v>1000000000</v>
      </c>
      <c r="BD333" s="150">
        <f>SUM(AU333:BC333)</f>
        <v>1111600000</v>
      </c>
      <c r="BE333" s="90"/>
      <c r="BF333" s="455">
        <v>111600000</v>
      </c>
      <c r="BG333" s="90"/>
      <c r="BH333" s="90"/>
      <c r="BI333" s="90"/>
      <c r="BJ333" s="90"/>
      <c r="BK333" s="90"/>
      <c r="BL333" s="90"/>
      <c r="BM333" s="90">
        <v>1000000000</v>
      </c>
      <c r="BN333" s="90">
        <f>SUM(BE333:BM333)</f>
        <v>1111600000</v>
      </c>
      <c r="BO333" s="546">
        <f>AJ333+AT333+BD333+BN333</f>
        <v>4347300000</v>
      </c>
    </row>
    <row r="334" spans="1:67" ht="71.25" customHeight="1" x14ac:dyDescent="0.2">
      <c r="A334" s="545">
        <v>219</v>
      </c>
      <c r="B334" s="69">
        <v>4</v>
      </c>
      <c r="C334" s="136"/>
      <c r="D334" s="136"/>
      <c r="E334" s="93">
        <v>12</v>
      </c>
      <c r="F334" s="119" t="s">
        <v>745</v>
      </c>
      <c r="G334" s="114">
        <v>3166</v>
      </c>
      <c r="H334" s="92">
        <v>2500</v>
      </c>
      <c r="I334" s="77">
        <v>221</v>
      </c>
      <c r="J334" s="73" t="s">
        <v>763</v>
      </c>
      <c r="K334" s="262" t="s">
        <v>764</v>
      </c>
      <c r="L334" s="164" t="s">
        <v>744</v>
      </c>
      <c r="M334" s="297">
        <v>18</v>
      </c>
      <c r="N334" s="196" t="s">
        <v>54</v>
      </c>
      <c r="O334" s="276">
        <v>1</v>
      </c>
      <c r="P334" s="276">
        <v>1</v>
      </c>
      <c r="Q334" s="196">
        <v>1</v>
      </c>
      <c r="R334" s="196">
        <v>1</v>
      </c>
      <c r="S334" s="500"/>
      <c r="T334" s="196">
        <v>1</v>
      </c>
      <c r="U334" s="196"/>
      <c r="V334" s="196">
        <v>0</v>
      </c>
      <c r="W334" s="196"/>
      <c r="X334" s="336">
        <f>AJ334/$AJ$331</f>
        <v>2.9126213592233011E-3</v>
      </c>
      <c r="Y334" s="78">
        <v>16</v>
      </c>
      <c r="Z334" s="78" t="s">
        <v>372</v>
      </c>
      <c r="AA334" s="448"/>
      <c r="AB334" s="448"/>
      <c r="AC334" s="449">
        <v>3000000</v>
      </c>
      <c r="AD334" s="449"/>
      <c r="AE334" s="448"/>
      <c r="AF334" s="448"/>
      <c r="AG334" s="448"/>
      <c r="AH334" s="448"/>
      <c r="AI334" s="448"/>
      <c r="AJ334" s="82">
        <f>+AA334+AB334+AC334+AD334+AE334+AF334+AG334+AH334+AI334</f>
        <v>3000000</v>
      </c>
      <c r="AK334" s="90"/>
      <c r="AL334" s="455">
        <f>26800000-12000000</f>
        <v>14800000</v>
      </c>
      <c r="AM334" s="90">
        <v>12000000</v>
      </c>
      <c r="AN334" s="90"/>
      <c r="AO334" s="90"/>
      <c r="AP334" s="90"/>
      <c r="AQ334" s="90"/>
      <c r="AR334" s="90"/>
      <c r="AS334" s="90"/>
      <c r="AT334" s="84">
        <f>AK334+AL334+AM334+AN334+AO334+AP334+AQ334+AR334+AS334</f>
        <v>26800000</v>
      </c>
      <c r="AU334" s="455"/>
      <c r="AV334" s="455">
        <f>26800000-12000000</f>
        <v>14800000</v>
      </c>
      <c r="AW334" s="90"/>
      <c r="AX334" s="90"/>
      <c r="AY334" s="455"/>
      <c r="AZ334" s="455"/>
      <c r="BA334" s="455"/>
      <c r="BB334" s="455"/>
      <c r="BC334" s="455"/>
      <c r="BD334" s="150">
        <f>SUM(AU334:BC334)</f>
        <v>14800000</v>
      </c>
      <c r="BE334" s="90"/>
      <c r="BF334" s="455">
        <f>26800000-12000000</f>
        <v>14800000</v>
      </c>
      <c r="BG334" s="90"/>
      <c r="BH334" s="90"/>
      <c r="BI334" s="90"/>
      <c r="BJ334" s="90"/>
      <c r="BK334" s="90"/>
      <c r="BL334" s="90"/>
      <c r="BM334" s="90"/>
      <c r="BN334" s="90">
        <f>SUM(BE334:BM334)</f>
        <v>14800000</v>
      </c>
      <c r="BO334" s="546">
        <f>AJ334+AT334+BD334+BN334</f>
        <v>59400000</v>
      </c>
    </row>
    <row r="335" spans="1:67" ht="71.25" customHeight="1" x14ac:dyDescent="0.2">
      <c r="A335" s="547">
        <v>220</v>
      </c>
      <c r="B335" s="69">
        <v>4</v>
      </c>
      <c r="C335" s="136"/>
      <c r="D335" s="136"/>
      <c r="E335" s="451">
        <v>13</v>
      </c>
      <c r="F335" s="268" t="s">
        <v>758</v>
      </c>
      <c r="G335" s="71" t="s">
        <v>538</v>
      </c>
      <c r="H335" s="621" t="s">
        <v>539</v>
      </c>
      <c r="I335" s="77">
        <v>222</v>
      </c>
      <c r="J335" s="73" t="s">
        <v>765</v>
      </c>
      <c r="K335" s="262" t="s">
        <v>766</v>
      </c>
      <c r="L335" s="164" t="s">
        <v>744</v>
      </c>
      <c r="M335" s="297">
        <v>18</v>
      </c>
      <c r="N335" s="93" t="s">
        <v>54</v>
      </c>
      <c r="O335" s="331">
        <v>1</v>
      </c>
      <c r="P335" s="337">
        <v>1</v>
      </c>
      <c r="Q335" s="196">
        <v>1</v>
      </c>
      <c r="R335" s="93">
        <v>1</v>
      </c>
      <c r="S335" s="500"/>
      <c r="T335" s="93">
        <v>1</v>
      </c>
      <c r="U335" s="93"/>
      <c r="V335" s="93">
        <v>1</v>
      </c>
      <c r="W335" s="93"/>
      <c r="X335" s="336">
        <f>AJ335/$AJ$331</f>
        <v>1.9417475728155339E-3</v>
      </c>
      <c r="Y335" s="78">
        <v>16</v>
      </c>
      <c r="Z335" s="80" t="s">
        <v>372</v>
      </c>
      <c r="AA335" s="338"/>
      <c r="AB335" s="449"/>
      <c r="AC335" s="449">
        <v>2000000</v>
      </c>
      <c r="AD335" s="449"/>
      <c r="AE335" s="449"/>
      <c r="AF335" s="449"/>
      <c r="AG335" s="449"/>
      <c r="AH335" s="449"/>
      <c r="AI335" s="449"/>
      <c r="AJ335" s="82">
        <f>+AA335+AB335+AC335+AD335+AE335+AF335+AG335+AH335+AI335</f>
        <v>2000000</v>
      </c>
      <c r="AK335" s="90"/>
      <c r="AL335" s="90"/>
      <c r="AM335" s="455">
        <v>18000000</v>
      </c>
      <c r="AN335" s="90"/>
      <c r="AO335" s="90"/>
      <c r="AP335" s="90"/>
      <c r="AQ335" s="90"/>
      <c r="AR335" s="90"/>
      <c r="AS335" s="90"/>
      <c r="AT335" s="84">
        <f>AK335+AL335+AM335+AN335+AO335+AP335+AQ335+AR335+AS335</f>
        <v>18000000</v>
      </c>
      <c r="AU335" s="455"/>
      <c r="AV335" s="90">
        <v>12000000</v>
      </c>
      <c r="AW335" s="455">
        <v>18000000</v>
      </c>
      <c r="AX335" s="455"/>
      <c r="AY335" s="455"/>
      <c r="AZ335" s="455"/>
      <c r="BA335" s="455"/>
      <c r="BB335" s="455"/>
      <c r="BC335" s="455"/>
      <c r="BD335" s="150">
        <f>SUM(AU335:BC335)</f>
        <v>30000000</v>
      </c>
      <c r="BE335" s="90"/>
      <c r="BF335" s="90">
        <v>12000000</v>
      </c>
      <c r="BG335" s="455">
        <v>18000000</v>
      </c>
      <c r="BH335" s="90"/>
      <c r="BI335" s="90"/>
      <c r="BJ335" s="90"/>
      <c r="BK335" s="90"/>
      <c r="BL335" s="90"/>
      <c r="BM335" s="90"/>
      <c r="BN335" s="90">
        <f>SUM(BE335:BM335)</f>
        <v>30000000</v>
      </c>
      <c r="BO335" s="546">
        <f>AJ335+AT335+BD335+BN335</f>
        <v>80000000</v>
      </c>
    </row>
    <row r="336" spans="1:67" ht="24.75" customHeight="1" x14ac:dyDescent="0.2">
      <c r="A336" s="547"/>
      <c r="B336" s="69"/>
      <c r="C336" s="136"/>
      <c r="D336" s="136"/>
      <c r="E336" s="57">
        <v>77</v>
      </c>
      <c r="F336" s="58" t="s">
        <v>767</v>
      </c>
      <c r="G336" s="61"/>
      <c r="H336" s="61"/>
      <c r="I336" s="60"/>
      <c r="J336" s="61"/>
      <c r="K336" s="61"/>
      <c r="L336" s="60"/>
      <c r="M336" s="62"/>
      <c r="N336" s="63"/>
      <c r="O336" s="61"/>
      <c r="P336" s="61"/>
      <c r="Q336" s="332"/>
      <c r="R336" s="333"/>
      <c r="S336" s="516"/>
      <c r="T336" s="333"/>
      <c r="U336" s="333"/>
      <c r="V336" s="228"/>
      <c r="W336" s="228"/>
      <c r="X336" s="65"/>
      <c r="Y336" s="62"/>
      <c r="Z336" s="62"/>
      <c r="AA336" s="66">
        <f t="shared" ref="AA336:AI336" si="499">SUM(AA337:AA339)</f>
        <v>0</v>
      </c>
      <c r="AB336" s="66">
        <f t="shared" si="499"/>
        <v>52000000</v>
      </c>
      <c r="AC336" s="66">
        <f t="shared" si="499"/>
        <v>0</v>
      </c>
      <c r="AD336" s="66">
        <f t="shared" si="499"/>
        <v>0</v>
      </c>
      <c r="AE336" s="66">
        <f t="shared" si="499"/>
        <v>0</v>
      </c>
      <c r="AF336" s="66">
        <f t="shared" si="499"/>
        <v>0</v>
      </c>
      <c r="AG336" s="66">
        <f t="shared" si="499"/>
        <v>0</v>
      </c>
      <c r="AH336" s="66">
        <f t="shared" si="499"/>
        <v>0</v>
      </c>
      <c r="AI336" s="66">
        <f t="shared" si="499"/>
        <v>0</v>
      </c>
      <c r="AJ336" s="67">
        <f>SUM(AJ337:AJ339)</f>
        <v>52000000</v>
      </c>
      <c r="AK336" s="66">
        <f t="shared" ref="AK336:AT336" si="500">SUM(AK337:AK339)</f>
        <v>0</v>
      </c>
      <c r="AL336" s="66">
        <f t="shared" si="500"/>
        <v>53560000</v>
      </c>
      <c r="AM336" s="66">
        <f t="shared" si="500"/>
        <v>0</v>
      </c>
      <c r="AN336" s="66">
        <f t="shared" si="500"/>
        <v>0</v>
      </c>
      <c r="AO336" s="66">
        <f t="shared" si="500"/>
        <v>0</v>
      </c>
      <c r="AP336" s="66">
        <f t="shared" si="500"/>
        <v>0</v>
      </c>
      <c r="AQ336" s="66">
        <f t="shared" si="500"/>
        <v>0</v>
      </c>
      <c r="AR336" s="66">
        <f t="shared" si="500"/>
        <v>0</v>
      </c>
      <c r="AS336" s="66">
        <f t="shared" si="500"/>
        <v>0</v>
      </c>
      <c r="AT336" s="66">
        <f t="shared" si="500"/>
        <v>53560000</v>
      </c>
      <c r="AU336" s="68"/>
      <c r="AV336" s="68"/>
      <c r="AW336" s="68"/>
      <c r="AX336" s="68"/>
      <c r="AY336" s="68"/>
      <c r="AZ336" s="68"/>
      <c r="BA336" s="68"/>
      <c r="BB336" s="68"/>
      <c r="BC336" s="68"/>
      <c r="BD336" s="66">
        <f t="shared" ref="BD336" si="501">SUM(BD337:BD339)</f>
        <v>55166800</v>
      </c>
      <c r="BE336" s="68"/>
      <c r="BF336" s="68"/>
      <c r="BG336" s="68"/>
      <c r="BH336" s="68"/>
      <c r="BI336" s="68"/>
      <c r="BJ336" s="68"/>
      <c r="BK336" s="68"/>
      <c r="BL336" s="68"/>
      <c r="BM336" s="68"/>
      <c r="BN336" s="66">
        <f t="shared" ref="BN336:BO336" si="502">SUM(BN337:BN339)</f>
        <v>56821804</v>
      </c>
      <c r="BO336" s="544">
        <f t="shared" si="502"/>
        <v>217548604</v>
      </c>
    </row>
    <row r="337" spans="1:67" ht="60.75" customHeight="1" x14ac:dyDescent="0.2">
      <c r="A337" s="545">
        <v>221</v>
      </c>
      <c r="B337" s="69">
        <v>4</v>
      </c>
      <c r="C337" s="136"/>
      <c r="D337" s="136"/>
      <c r="E337" s="478">
        <v>11</v>
      </c>
      <c r="F337" s="439" t="s">
        <v>768</v>
      </c>
      <c r="G337" s="548" t="s">
        <v>474</v>
      </c>
      <c r="H337" s="548" t="s">
        <v>475</v>
      </c>
      <c r="I337" s="77">
        <v>223</v>
      </c>
      <c r="J337" s="73" t="s">
        <v>769</v>
      </c>
      <c r="K337" s="262" t="s">
        <v>770</v>
      </c>
      <c r="L337" s="74" t="s">
        <v>214</v>
      </c>
      <c r="M337" s="245">
        <v>9</v>
      </c>
      <c r="N337" s="337" t="s">
        <v>54</v>
      </c>
      <c r="O337" s="331" t="s">
        <v>49</v>
      </c>
      <c r="P337" s="331">
        <v>1</v>
      </c>
      <c r="Q337" s="276">
        <v>1</v>
      </c>
      <c r="R337" s="331">
        <v>1</v>
      </c>
      <c r="S337" s="500"/>
      <c r="T337" s="331">
        <v>1</v>
      </c>
      <c r="U337" s="331"/>
      <c r="V337" s="331">
        <v>1</v>
      </c>
      <c r="W337" s="337"/>
      <c r="X337" s="218">
        <f>AJ337/$AJ$336</f>
        <v>0.57692307692307687</v>
      </c>
      <c r="Y337" s="78">
        <v>3</v>
      </c>
      <c r="Z337" s="75" t="s">
        <v>452</v>
      </c>
      <c r="AA337" s="185"/>
      <c r="AB337" s="108">
        <v>30000000</v>
      </c>
      <c r="AC337" s="185"/>
      <c r="AD337" s="185"/>
      <c r="AE337" s="185"/>
      <c r="AF337" s="185"/>
      <c r="AG337" s="185"/>
      <c r="AH337" s="185"/>
      <c r="AI337" s="185"/>
      <c r="AJ337" s="82">
        <f>+AA337+AB337+AC337+AD337+AE337+AF337+AG337+AH337+AI337</f>
        <v>30000000</v>
      </c>
      <c r="AK337" s="90"/>
      <c r="AL337" s="455">
        <v>30899999.999999996</v>
      </c>
      <c r="AM337" s="90"/>
      <c r="AN337" s="90"/>
      <c r="AO337" s="90"/>
      <c r="AP337" s="90"/>
      <c r="AQ337" s="90"/>
      <c r="AR337" s="90"/>
      <c r="AS337" s="90"/>
      <c r="AT337" s="84">
        <f>AK337+AL337+AM337+AN337+AO337+AP337+AQ337+AR337+AS337</f>
        <v>30899999.999999996</v>
      </c>
      <c r="AU337" s="455"/>
      <c r="AV337" s="455">
        <v>31826999.999999996</v>
      </c>
      <c r="AW337" s="455"/>
      <c r="AX337" s="455"/>
      <c r="AY337" s="455"/>
      <c r="AZ337" s="455"/>
      <c r="BA337" s="455"/>
      <c r="BB337" s="455"/>
      <c r="BC337" s="455"/>
      <c r="BD337" s="455">
        <f>SUM(AU337:BC337)</f>
        <v>31826999.999999996</v>
      </c>
      <c r="BE337" s="90"/>
      <c r="BF337" s="90">
        <v>32700000</v>
      </c>
      <c r="BG337" s="90"/>
      <c r="BH337" s="90"/>
      <c r="BI337" s="90"/>
      <c r="BJ337" s="90"/>
      <c r="BK337" s="90"/>
      <c r="BL337" s="90"/>
      <c r="BM337" s="90"/>
      <c r="BN337" s="90">
        <f>SUM(BE337:BM337)</f>
        <v>32700000</v>
      </c>
      <c r="BO337" s="546">
        <f>AJ337+AT337+BD337+BN337</f>
        <v>125427000</v>
      </c>
    </row>
    <row r="338" spans="1:67" ht="50.25" customHeight="1" x14ac:dyDescent="0.2">
      <c r="A338" s="547">
        <v>222</v>
      </c>
      <c r="B338" s="69">
        <v>4</v>
      </c>
      <c r="C338" s="136"/>
      <c r="D338" s="136"/>
      <c r="E338" s="91"/>
      <c r="F338" s="119"/>
      <c r="G338" s="114"/>
      <c r="H338" s="114"/>
      <c r="I338" s="77">
        <v>224</v>
      </c>
      <c r="J338" s="73" t="s">
        <v>771</v>
      </c>
      <c r="K338" s="262" t="s">
        <v>772</v>
      </c>
      <c r="L338" s="74" t="s">
        <v>214</v>
      </c>
      <c r="M338" s="245">
        <v>9</v>
      </c>
      <c r="N338" s="337" t="s">
        <v>54</v>
      </c>
      <c r="O338" s="331">
        <v>0</v>
      </c>
      <c r="P338" s="331">
        <v>1</v>
      </c>
      <c r="Q338" s="276">
        <v>1</v>
      </c>
      <c r="R338" s="331">
        <v>1</v>
      </c>
      <c r="S338" s="500"/>
      <c r="T338" s="331">
        <v>1</v>
      </c>
      <c r="U338" s="331"/>
      <c r="V338" s="331">
        <v>1</v>
      </c>
      <c r="W338" s="337"/>
      <c r="X338" s="218">
        <f>AJ338/$AJ$336</f>
        <v>0.38461538461538464</v>
      </c>
      <c r="Y338" s="78">
        <v>11</v>
      </c>
      <c r="Z338" s="75" t="s">
        <v>225</v>
      </c>
      <c r="AA338" s="185"/>
      <c r="AB338" s="108">
        <v>20000000</v>
      </c>
      <c r="AC338" s="185"/>
      <c r="AD338" s="185"/>
      <c r="AE338" s="185"/>
      <c r="AF338" s="185"/>
      <c r="AG338" s="185"/>
      <c r="AH338" s="185"/>
      <c r="AI338" s="185"/>
      <c r="AJ338" s="82">
        <f>+AA338+AB338+AC338+AD338+AE338+AF338+AG338+AH338+AI338</f>
        <v>20000000</v>
      </c>
      <c r="AK338" s="90"/>
      <c r="AL338" s="455">
        <v>20600000</v>
      </c>
      <c r="AM338" s="90"/>
      <c r="AN338" s="90"/>
      <c r="AO338" s="90"/>
      <c r="AP338" s="90"/>
      <c r="AQ338" s="90"/>
      <c r="AR338" s="90"/>
      <c r="AS338" s="90"/>
      <c r="AT338" s="84">
        <f>AK338+AL338+AM338+AN338+AO338+AP338+AQ338+AR338+AS338</f>
        <v>20600000</v>
      </c>
      <c r="AU338" s="455"/>
      <c r="AV338" s="455">
        <v>21218000</v>
      </c>
      <c r="AW338" s="455"/>
      <c r="AX338" s="455"/>
      <c r="AY338" s="455"/>
      <c r="AZ338" s="455"/>
      <c r="BA338" s="455"/>
      <c r="BB338" s="455"/>
      <c r="BC338" s="455"/>
      <c r="BD338" s="455">
        <f>SUM(AU338:BC338)</f>
        <v>21218000</v>
      </c>
      <c r="BE338" s="90"/>
      <c r="BF338" s="90">
        <v>21850000</v>
      </c>
      <c r="BG338" s="90"/>
      <c r="BH338" s="90"/>
      <c r="BI338" s="90"/>
      <c r="BJ338" s="90"/>
      <c r="BK338" s="90"/>
      <c r="BL338" s="90"/>
      <c r="BM338" s="90"/>
      <c r="BN338" s="90">
        <f>SUM(BE338:BM338)</f>
        <v>21850000</v>
      </c>
      <c r="BO338" s="546">
        <f>AJ338+AT338+BD338+BN338</f>
        <v>83668000</v>
      </c>
    </row>
    <row r="339" spans="1:67" ht="50.25" customHeight="1" x14ac:dyDescent="0.2">
      <c r="A339" s="545">
        <v>223</v>
      </c>
      <c r="B339" s="69">
        <v>4</v>
      </c>
      <c r="C339" s="136"/>
      <c r="D339" s="192"/>
      <c r="E339" s="451"/>
      <c r="F339" s="529"/>
      <c r="G339" s="92"/>
      <c r="H339" s="92"/>
      <c r="I339" s="77">
        <v>225</v>
      </c>
      <c r="J339" s="73" t="s">
        <v>773</v>
      </c>
      <c r="K339" s="262" t="s">
        <v>774</v>
      </c>
      <c r="L339" s="74" t="s">
        <v>214</v>
      </c>
      <c r="M339" s="245">
        <v>9</v>
      </c>
      <c r="N339" s="337" t="s">
        <v>54</v>
      </c>
      <c r="O339" s="331">
        <v>0</v>
      </c>
      <c r="P339" s="331">
        <v>1</v>
      </c>
      <c r="Q339" s="276">
        <v>1</v>
      </c>
      <c r="R339" s="331">
        <v>1</v>
      </c>
      <c r="S339" s="500"/>
      <c r="T339" s="331">
        <v>1</v>
      </c>
      <c r="U339" s="331"/>
      <c r="V339" s="331">
        <v>1</v>
      </c>
      <c r="W339" s="337"/>
      <c r="X339" s="218">
        <f>AJ339/$AJ$336</f>
        <v>3.8461538461538464E-2</v>
      </c>
      <c r="Y339" s="78">
        <v>11</v>
      </c>
      <c r="Z339" s="75" t="s">
        <v>225</v>
      </c>
      <c r="AA339" s="185"/>
      <c r="AB339" s="108">
        <v>2000000</v>
      </c>
      <c r="AC339" s="185"/>
      <c r="AD339" s="185"/>
      <c r="AE339" s="185"/>
      <c r="AF339" s="185"/>
      <c r="AG339" s="185"/>
      <c r="AH339" s="185"/>
      <c r="AI339" s="185"/>
      <c r="AJ339" s="82">
        <f>+AA339+AB339+AC339+AD339+AE339+AF339+AG339+AH339+AI339</f>
        <v>2000000</v>
      </c>
      <c r="AK339" s="90"/>
      <c r="AL339" s="455">
        <v>2060000</v>
      </c>
      <c r="AM339" s="90"/>
      <c r="AN339" s="90"/>
      <c r="AO339" s="90"/>
      <c r="AP339" s="90"/>
      <c r="AQ339" s="90"/>
      <c r="AR339" s="90"/>
      <c r="AS339" s="90"/>
      <c r="AT339" s="84">
        <f>AK339+AL339+AM339+AN339+AO339+AP339+AQ339+AR339+AS339</f>
        <v>2060000</v>
      </c>
      <c r="AU339" s="455"/>
      <c r="AV339" s="455">
        <v>2121800</v>
      </c>
      <c r="AW339" s="455"/>
      <c r="AX339" s="455"/>
      <c r="AY339" s="455"/>
      <c r="AZ339" s="455"/>
      <c r="BA339" s="455"/>
      <c r="BB339" s="455"/>
      <c r="BC339" s="455"/>
      <c r="BD339" s="455">
        <f>SUM(AU339:BC339)</f>
        <v>2121800</v>
      </c>
      <c r="BE339" s="90"/>
      <c r="BF339" s="90">
        <v>2271804</v>
      </c>
      <c r="BG339" s="90"/>
      <c r="BH339" s="90"/>
      <c r="BI339" s="90"/>
      <c r="BJ339" s="90"/>
      <c r="BK339" s="90"/>
      <c r="BL339" s="90"/>
      <c r="BM339" s="90"/>
      <c r="BN339" s="90">
        <f>SUM(BE339:BM339)</f>
        <v>2271804</v>
      </c>
      <c r="BO339" s="546">
        <f>AJ339+AT339+BD339+BN339</f>
        <v>8453604</v>
      </c>
    </row>
    <row r="340" spans="1:67" ht="24.75" customHeight="1" x14ac:dyDescent="0.2">
      <c r="A340" s="545"/>
      <c r="B340" s="69"/>
      <c r="C340" s="136"/>
      <c r="D340" s="43">
        <v>24</v>
      </c>
      <c r="E340" s="134" t="s">
        <v>775</v>
      </c>
      <c r="F340" s="48"/>
      <c r="G340" s="45"/>
      <c r="H340" s="46"/>
      <c r="I340" s="47"/>
      <c r="J340" s="48"/>
      <c r="K340" s="48"/>
      <c r="L340" s="49"/>
      <c r="M340" s="47"/>
      <c r="N340" s="50"/>
      <c r="O340" s="48"/>
      <c r="P340" s="48"/>
      <c r="Q340" s="51"/>
      <c r="R340" s="48"/>
      <c r="S340" s="498"/>
      <c r="T340" s="51"/>
      <c r="U340" s="51"/>
      <c r="V340" s="51"/>
      <c r="W340" s="51"/>
      <c r="X340" s="51"/>
      <c r="Y340" s="51"/>
      <c r="Z340" s="51"/>
      <c r="AA340" s="401">
        <f>AA341+AA347+AA351</f>
        <v>0</v>
      </c>
      <c r="AB340" s="401">
        <f t="shared" ref="AB340:AJ340" si="503">AB341+AB347+AB351</f>
        <v>0</v>
      </c>
      <c r="AC340" s="401">
        <f t="shared" si="503"/>
        <v>537000000</v>
      </c>
      <c r="AD340" s="401">
        <f t="shared" si="503"/>
        <v>0</v>
      </c>
      <c r="AE340" s="401">
        <f t="shared" si="503"/>
        <v>0</v>
      </c>
      <c r="AF340" s="401">
        <f t="shared" si="503"/>
        <v>0</v>
      </c>
      <c r="AG340" s="401">
        <f t="shared" si="503"/>
        <v>0</v>
      </c>
      <c r="AH340" s="401">
        <f t="shared" si="503"/>
        <v>0</v>
      </c>
      <c r="AI340" s="401">
        <f t="shared" si="503"/>
        <v>0</v>
      </c>
      <c r="AJ340" s="401">
        <f t="shared" si="503"/>
        <v>537000000</v>
      </c>
      <c r="AK340" s="401">
        <f t="shared" ref="AK340:AT340" si="504">AK341+AK347+AK351</f>
        <v>0</v>
      </c>
      <c r="AL340" s="401">
        <f t="shared" si="504"/>
        <v>0</v>
      </c>
      <c r="AM340" s="401">
        <f t="shared" si="504"/>
        <v>464349775.75</v>
      </c>
      <c r="AN340" s="401">
        <f t="shared" si="504"/>
        <v>0</v>
      </c>
      <c r="AO340" s="401">
        <f t="shared" si="504"/>
        <v>0</v>
      </c>
      <c r="AP340" s="401">
        <f t="shared" si="504"/>
        <v>0</v>
      </c>
      <c r="AQ340" s="401">
        <f t="shared" si="504"/>
        <v>0</v>
      </c>
      <c r="AR340" s="401">
        <f t="shared" si="504"/>
        <v>0</v>
      </c>
      <c r="AS340" s="401">
        <f t="shared" si="504"/>
        <v>0</v>
      </c>
      <c r="AT340" s="401">
        <f t="shared" si="504"/>
        <v>464349775.75</v>
      </c>
      <c r="AU340" s="51"/>
      <c r="AV340" s="51"/>
      <c r="AW340" s="51"/>
      <c r="AX340" s="51"/>
      <c r="AY340" s="51"/>
      <c r="AZ340" s="51"/>
      <c r="BA340" s="51"/>
      <c r="BB340" s="51"/>
      <c r="BC340" s="51"/>
      <c r="BD340" s="401">
        <f t="shared" ref="BD340" si="505">BD341+BD347+BD351</f>
        <v>478280269.023</v>
      </c>
      <c r="BE340" s="51"/>
      <c r="BF340" s="51"/>
      <c r="BG340" s="51"/>
      <c r="BH340" s="51"/>
      <c r="BI340" s="51"/>
      <c r="BJ340" s="51"/>
      <c r="BK340" s="51"/>
      <c r="BL340" s="51"/>
      <c r="BM340" s="51"/>
      <c r="BN340" s="401">
        <f t="shared" ref="BN340" si="506">BN341+BN347+BN351</f>
        <v>492628677.08999997</v>
      </c>
      <c r="BO340" s="610">
        <f t="shared" ref="BO340" si="507">BO341+BO347+BO351</f>
        <v>1972258721.8629999</v>
      </c>
    </row>
    <row r="341" spans="1:67" ht="24.75" customHeight="1" x14ac:dyDescent="0.2">
      <c r="A341" s="545"/>
      <c r="B341" s="69"/>
      <c r="C341" s="136"/>
      <c r="D341" s="562"/>
      <c r="E341" s="57">
        <v>78</v>
      </c>
      <c r="F341" s="58" t="s">
        <v>776</v>
      </c>
      <c r="G341" s="61"/>
      <c r="H341" s="61"/>
      <c r="I341" s="60"/>
      <c r="J341" s="61"/>
      <c r="K341" s="61"/>
      <c r="L341" s="593"/>
      <c r="M341" s="487"/>
      <c r="N341" s="594"/>
      <c r="O341" s="61"/>
      <c r="P341" s="61"/>
      <c r="Q341" s="485"/>
      <c r="R341" s="481"/>
      <c r="S341" s="510"/>
      <c r="T341" s="481"/>
      <c r="U341" s="481"/>
      <c r="V341" s="487"/>
      <c r="W341" s="487"/>
      <c r="X341" s="137"/>
      <c r="Y341" s="62"/>
      <c r="Z341" s="62"/>
      <c r="AA341" s="66">
        <f t="shared" ref="AA341:AI341" si="508">SUM(AA342:AA346)</f>
        <v>0</v>
      </c>
      <c r="AB341" s="66">
        <f t="shared" si="508"/>
        <v>0</v>
      </c>
      <c r="AC341" s="66">
        <f t="shared" si="508"/>
        <v>465000000</v>
      </c>
      <c r="AD341" s="66">
        <f t="shared" si="508"/>
        <v>0</v>
      </c>
      <c r="AE341" s="66">
        <f t="shared" si="508"/>
        <v>0</v>
      </c>
      <c r="AF341" s="66">
        <f t="shared" si="508"/>
        <v>0</v>
      </c>
      <c r="AG341" s="66">
        <f t="shared" si="508"/>
        <v>0</v>
      </c>
      <c r="AH341" s="66">
        <f t="shared" si="508"/>
        <v>0</v>
      </c>
      <c r="AI341" s="66">
        <f t="shared" si="508"/>
        <v>0</v>
      </c>
      <c r="AJ341" s="67">
        <f>SUM(AJ342:AJ346)</f>
        <v>465000000</v>
      </c>
      <c r="AK341" s="66">
        <f t="shared" ref="AK341:AT341" si="509">SUM(AK342:AK346)</f>
        <v>0</v>
      </c>
      <c r="AL341" s="66">
        <f t="shared" si="509"/>
        <v>0</v>
      </c>
      <c r="AM341" s="66">
        <f t="shared" si="509"/>
        <v>390189775.75</v>
      </c>
      <c r="AN341" s="66">
        <f t="shared" si="509"/>
        <v>0</v>
      </c>
      <c r="AO341" s="66">
        <f t="shared" si="509"/>
        <v>0</v>
      </c>
      <c r="AP341" s="66">
        <f t="shared" si="509"/>
        <v>0</v>
      </c>
      <c r="AQ341" s="66">
        <f t="shared" si="509"/>
        <v>0</v>
      </c>
      <c r="AR341" s="66">
        <f t="shared" si="509"/>
        <v>0</v>
      </c>
      <c r="AS341" s="66">
        <f t="shared" si="509"/>
        <v>0</v>
      </c>
      <c r="AT341" s="66">
        <f t="shared" si="509"/>
        <v>390189775.75</v>
      </c>
      <c r="AU341" s="68"/>
      <c r="AV341" s="68"/>
      <c r="AW341" s="68"/>
      <c r="AX341" s="68"/>
      <c r="AY341" s="68"/>
      <c r="AZ341" s="68"/>
      <c r="BA341" s="68"/>
      <c r="BB341" s="68"/>
      <c r="BC341" s="68"/>
      <c r="BD341" s="66">
        <f t="shared" ref="BD341" si="510">SUM(BD342:BD346)</f>
        <v>401895469.023</v>
      </c>
      <c r="BE341" s="68"/>
      <c r="BF341" s="68"/>
      <c r="BG341" s="68"/>
      <c r="BH341" s="68"/>
      <c r="BI341" s="68"/>
      <c r="BJ341" s="68"/>
      <c r="BK341" s="68"/>
      <c r="BL341" s="68"/>
      <c r="BM341" s="68"/>
      <c r="BN341" s="66">
        <f t="shared" ref="BN341:BO341" si="511">SUM(BN342:BN346)</f>
        <v>413952333.08999997</v>
      </c>
      <c r="BO341" s="544">
        <f t="shared" si="511"/>
        <v>1671037577.8629999</v>
      </c>
    </row>
    <row r="342" spans="1:67" ht="158.25" customHeight="1" x14ac:dyDescent="0.2">
      <c r="A342" s="547">
        <v>224</v>
      </c>
      <c r="B342" s="69">
        <v>4</v>
      </c>
      <c r="C342" s="136"/>
      <c r="D342" s="136"/>
      <c r="E342" s="478">
        <v>13</v>
      </c>
      <c r="F342" s="443" t="s">
        <v>537</v>
      </c>
      <c r="G342" s="633">
        <v>0.71040000000000003</v>
      </c>
      <c r="H342" s="633">
        <v>0.88170000000000004</v>
      </c>
      <c r="I342" s="77">
        <v>226</v>
      </c>
      <c r="J342" s="73" t="s">
        <v>777</v>
      </c>
      <c r="K342" s="262" t="s">
        <v>778</v>
      </c>
      <c r="L342" s="73" t="s">
        <v>696</v>
      </c>
      <c r="M342" s="196">
        <v>14</v>
      </c>
      <c r="N342" s="93" t="s">
        <v>54</v>
      </c>
      <c r="O342" s="331">
        <v>12</v>
      </c>
      <c r="P342" s="331">
        <v>12</v>
      </c>
      <c r="Q342" s="196">
        <v>12</v>
      </c>
      <c r="R342" s="93">
        <v>12</v>
      </c>
      <c r="S342" s="500"/>
      <c r="T342" s="93">
        <v>12</v>
      </c>
      <c r="U342" s="93"/>
      <c r="V342" s="93">
        <v>12</v>
      </c>
      <c r="W342" s="330"/>
      <c r="X342" s="298">
        <f>AJ342/$AJ$341</f>
        <v>0.36256344086021508</v>
      </c>
      <c r="Y342" s="78">
        <v>16</v>
      </c>
      <c r="Z342" s="166" t="s">
        <v>372</v>
      </c>
      <c r="AA342" s="170"/>
      <c r="AB342" s="170"/>
      <c r="AC342" s="447">
        <v>168592000</v>
      </c>
      <c r="AD342" s="169"/>
      <c r="AE342" s="170"/>
      <c r="AF342" s="170"/>
      <c r="AG342" s="170"/>
      <c r="AH342" s="170"/>
      <c r="AI342" s="170"/>
      <c r="AJ342" s="82">
        <f>+AA342+AB342+AC342+AD342+AE342+AF342+AG342+AH342+AI342</f>
        <v>168592000</v>
      </c>
      <c r="AK342" s="230"/>
      <c r="AL342" s="230"/>
      <c r="AM342" s="455">
        <v>140400000</v>
      </c>
      <c r="AN342" s="455"/>
      <c r="AO342" s="230"/>
      <c r="AP342" s="230"/>
      <c r="AQ342" s="230"/>
      <c r="AR342" s="230"/>
      <c r="AS342" s="230"/>
      <c r="AT342" s="84">
        <f>AK342+AL342+AM342+AN342+AO342+AP342+AQ342+AR342+AS342</f>
        <v>140400000</v>
      </c>
      <c r="AU342" s="455"/>
      <c r="AV342" s="455"/>
      <c r="AW342" s="455">
        <v>145700000</v>
      </c>
      <c r="AX342" s="455"/>
      <c r="AY342" s="455"/>
      <c r="AZ342" s="455"/>
      <c r="BA342" s="455"/>
      <c r="BB342" s="455"/>
      <c r="BC342" s="455"/>
      <c r="BD342" s="455">
        <f>SUM(AU342:BC342)</f>
        <v>145700000</v>
      </c>
      <c r="BE342" s="90"/>
      <c r="BF342" s="90"/>
      <c r="BG342" s="90">
        <v>150083000</v>
      </c>
      <c r="BH342" s="90"/>
      <c r="BI342" s="90"/>
      <c r="BJ342" s="90"/>
      <c r="BK342" s="90"/>
      <c r="BL342" s="90"/>
      <c r="BM342" s="90"/>
      <c r="BN342" s="90">
        <f>SUM(BE342:BM342)</f>
        <v>150083000</v>
      </c>
      <c r="BO342" s="546">
        <f>AJ342+AT342+BD342+BN342</f>
        <v>604775000</v>
      </c>
    </row>
    <row r="343" spans="1:67" ht="158.25" customHeight="1" x14ac:dyDescent="0.2">
      <c r="A343" s="545">
        <v>225</v>
      </c>
      <c r="B343" s="69">
        <v>4</v>
      </c>
      <c r="C343" s="136"/>
      <c r="D343" s="136"/>
      <c r="E343" s="91"/>
      <c r="F343" s="339"/>
      <c r="G343" s="340"/>
      <c r="H343" s="340"/>
      <c r="I343" s="77">
        <v>227</v>
      </c>
      <c r="J343" s="73" t="s">
        <v>779</v>
      </c>
      <c r="K343" s="262" t="s">
        <v>780</v>
      </c>
      <c r="L343" s="73" t="s">
        <v>696</v>
      </c>
      <c r="M343" s="196">
        <v>14</v>
      </c>
      <c r="N343" s="330" t="s">
        <v>54</v>
      </c>
      <c r="O343" s="331">
        <v>12</v>
      </c>
      <c r="P343" s="331">
        <v>12</v>
      </c>
      <c r="Q343" s="196">
        <v>12</v>
      </c>
      <c r="R343" s="93">
        <v>12</v>
      </c>
      <c r="S343" s="500"/>
      <c r="T343" s="93">
        <v>12</v>
      </c>
      <c r="U343" s="93"/>
      <c r="V343" s="93">
        <v>12</v>
      </c>
      <c r="W343" s="330"/>
      <c r="X343" s="298">
        <f>AJ343/$AJ$341</f>
        <v>0.40056344086021506</v>
      </c>
      <c r="Y343" s="78">
        <v>16</v>
      </c>
      <c r="Z343" s="166" t="s">
        <v>372</v>
      </c>
      <c r="AA343" s="170"/>
      <c r="AB343" s="170"/>
      <c r="AC343" s="447">
        <v>186262000</v>
      </c>
      <c r="AD343" s="169"/>
      <c r="AE343" s="170"/>
      <c r="AF343" s="170"/>
      <c r="AG343" s="170"/>
      <c r="AH343" s="170"/>
      <c r="AI343" s="170"/>
      <c r="AJ343" s="82">
        <f>+AA343+AB343+AC343+AD343+AE343+AF343+AG343+AH343+AI343</f>
        <v>186262000</v>
      </c>
      <c r="AK343" s="230"/>
      <c r="AL343" s="230"/>
      <c r="AM343" s="455">
        <v>154300000</v>
      </c>
      <c r="AN343" s="455"/>
      <c r="AO343" s="230"/>
      <c r="AP343" s="230"/>
      <c r="AQ343" s="230"/>
      <c r="AR343" s="230"/>
      <c r="AS343" s="230"/>
      <c r="AT343" s="84">
        <f>AK343+AL343+AM343+AN343+AO343+AP343+AQ343+AR343+AS343</f>
        <v>154300000</v>
      </c>
      <c r="AU343" s="455"/>
      <c r="AV343" s="455"/>
      <c r="AW343" s="455">
        <v>160950000</v>
      </c>
      <c r="AX343" s="455"/>
      <c r="AY343" s="455"/>
      <c r="AZ343" s="455"/>
      <c r="BA343" s="455"/>
      <c r="BB343" s="455"/>
      <c r="BC343" s="455"/>
      <c r="BD343" s="455">
        <f>SUM(AU343:BC343)</f>
        <v>160950000</v>
      </c>
      <c r="BE343" s="90"/>
      <c r="BF343" s="90"/>
      <c r="BG343" s="90">
        <v>165814000</v>
      </c>
      <c r="BH343" s="90"/>
      <c r="BI343" s="90"/>
      <c r="BJ343" s="90"/>
      <c r="BK343" s="90"/>
      <c r="BL343" s="90"/>
      <c r="BM343" s="90"/>
      <c r="BN343" s="90">
        <f>SUM(BE343:BM343)</f>
        <v>165814000</v>
      </c>
      <c r="BO343" s="546">
        <f>AJ343+AT343+BD343+BN343</f>
        <v>667326000</v>
      </c>
    </row>
    <row r="344" spans="1:67" ht="158.25" customHeight="1" x14ac:dyDescent="0.2">
      <c r="A344" s="547">
        <v>226</v>
      </c>
      <c r="B344" s="69">
        <v>4</v>
      </c>
      <c r="C344" s="136"/>
      <c r="D344" s="136"/>
      <c r="E344" s="91"/>
      <c r="F344" s="339"/>
      <c r="G344" s="340"/>
      <c r="H344" s="340"/>
      <c r="I344" s="77">
        <v>228</v>
      </c>
      <c r="J344" s="73" t="s">
        <v>781</v>
      </c>
      <c r="K344" s="262" t="s">
        <v>782</v>
      </c>
      <c r="L344" s="73" t="s">
        <v>696</v>
      </c>
      <c r="M344" s="196">
        <v>14</v>
      </c>
      <c r="N344" s="330" t="s">
        <v>54</v>
      </c>
      <c r="O344" s="331">
        <v>2</v>
      </c>
      <c r="P344" s="331">
        <v>2</v>
      </c>
      <c r="Q344" s="196">
        <v>2</v>
      </c>
      <c r="R344" s="93">
        <v>2</v>
      </c>
      <c r="S344" s="500"/>
      <c r="T344" s="93">
        <v>2</v>
      </c>
      <c r="U344" s="93"/>
      <c r="V344" s="93">
        <v>2</v>
      </c>
      <c r="W344" s="330"/>
      <c r="X344" s="298">
        <f>AJ344/$AJ$341</f>
        <v>6.4399999999999999E-2</v>
      </c>
      <c r="Y344" s="78">
        <v>16</v>
      </c>
      <c r="Z344" s="166" t="s">
        <v>372</v>
      </c>
      <c r="AA344" s="170"/>
      <c r="AB344" s="170"/>
      <c r="AC344" s="447">
        <v>29946000</v>
      </c>
      <c r="AD344" s="169"/>
      <c r="AE344" s="170"/>
      <c r="AF344" s="170"/>
      <c r="AG344" s="170"/>
      <c r="AH344" s="170"/>
      <c r="AI344" s="170"/>
      <c r="AJ344" s="82">
        <f>+AA344+AB344+AC344+AD344+AE344+AF344+AG344+AH344+AI344</f>
        <v>29946000</v>
      </c>
      <c r="AK344" s="230"/>
      <c r="AL344" s="230"/>
      <c r="AM344" s="455">
        <v>25100000</v>
      </c>
      <c r="AN344" s="455"/>
      <c r="AO344" s="230"/>
      <c r="AP344" s="230"/>
      <c r="AQ344" s="230"/>
      <c r="AR344" s="230"/>
      <c r="AS344" s="230"/>
      <c r="AT344" s="84">
        <f>AK344+AL344+AM344+AN344+AO344+AP344+AQ344+AR344+AS344</f>
        <v>25100000</v>
      </c>
      <c r="AU344" s="455"/>
      <c r="AV344" s="455"/>
      <c r="AW344" s="455">
        <v>25800000</v>
      </c>
      <c r="AX344" s="455"/>
      <c r="AY344" s="455"/>
      <c r="AZ344" s="455"/>
      <c r="BA344" s="455"/>
      <c r="BB344" s="455"/>
      <c r="BC344" s="455"/>
      <c r="BD344" s="455">
        <f>SUM(AU344:BC344)</f>
        <v>25800000</v>
      </c>
      <c r="BE344" s="90"/>
      <c r="BF344" s="90"/>
      <c r="BG344" s="90">
        <v>26650000</v>
      </c>
      <c r="BH344" s="90"/>
      <c r="BI344" s="90"/>
      <c r="BJ344" s="90"/>
      <c r="BK344" s="90"/>
      <c r="BL344" s="90"/>
      <c r="BM344" s="90"/>
      <c r="BN344" s="90">
        <f>SUM(BE344:BM344)</f>
        <v>26650000</v>
      </c>
      <c r="BO344" s="546">
        <f>AJ344+AT344+BD344+BN344</f>
        <v>107496000</v>
      </c>
    </row>
    <row r="345" spans="1:67" ht="158.25" customHeight="1" x14ac:dyDescent="0.2">
      <c r="A345" s="545">
        <v>227</v>
      </c>
      <c r="B345" s="69">
        <v>4</v>
      </c>
      <c r="C345" s="136"/>
      <c r="D345" s="136"/>
      <c r="E345" s="91"/>
      <c r="F345" s="339"/>
      <c r="G345" s="340"/>
      <c r="H345" s="340"/>
      <c r="I345" s="77">
        <v>229</v>
      </c>
      <c r="J345" s="73" t="s">
        <v>783</v>
      </c>
      <c r="K345" s="262" t="s">
        <v>784</v>
      </c>
      <c r="L345" s="73" t="s">
        <v>696</v>
      </c>
      <c r="M345" s="196">
        <v>14</v>
      </c>
      <c r="N345" s="330" t="s">
        <v>54</v>
      </c>
      <c r="O345" s="341">
        <v>13</v>
      </c>
      <c r="P345" s="341">
        <v>13</v>
      </c>
      <c r="Q345" s="196">
        <v>13</v>
      </c>
      <c r="R345" s="93">
        <v>13</v>
      </c>
      <c r="S345" s="500"/>
      <c r="T345" s="93">
        <v>13</v>
      </c>
      <c r="U345" s="93"/>
      <c r="V345" s="93">
        <v>13</v>
      </c>
      <c r="W345" s="330"/>
      <c r="X345" s="298">
        <f>AJ345/$AJ$341</f>
        <v>0.11118279569892472</v>
      </c>
      <c r="Y345" s="78">
        <v>16</v>
      </c>
      <c r="Z345" s="166" t="s">
        <v>372</v>
      </c>
      <c r="AA345" s="170"/>
      <c r="AB345" s="170"/>
      <c r="AC345" s="447">
        <v>51700000</v>
      </c>
      <c r="AD345" s="169"/>
      <c r="AE345" s="170"/>
      <c r="AF345" s="170"/>
      <c r="AG345" s="170"/>
      <c r="AH345" s="170"/>
      <c r="AI345" s="170"/>
      <c r="AJ345" s="82">
        <f>+AA345+AB345+AC345+AD345+AE345+AF345+AG345+AH345+AI345</f>
        <v>51700000</v>
      </c>
      <c r="AK345" s="230"/>
      <c r="AL345" s="230"/>
      <c r="AM345" s="455">
        <v>47350000</v>
      </c>
      <c r="AN345" s="455"/>
      <c r="AO345" s="230"/>
      <c r="AP345" s="230"/>
      <c r="AQ345" s="230"/>
      <c r="AR345" s="230"/>
      <c r="AS345" s="230"/>
      <c r="AT345" s="84">
        <f>AK345+AL345+AM345+AN345+AO345+AP345+AQ345+AR345+AS345</f>
        <v>47350000</v>
      </c>
      <c r="AU345" s="455"/>
      <c r="AV345" s="455"/>
      <c r="AW345" s="455">
        <v>44600000</v>
      </c>
      <c r="AX345" s="455"/>
      <c r="AY345" s="455"/>
      <c r="AZ345" s="455"/>
      <c r="BA345" s="455"/>
      <c r="BB345" s="455"/>
      <c r="BC345" s="455"/>
      <c r="BD345" s="455">
        <f>SUM(AU345:BC345)</f>
        <v>44600000</v>
      </c>
      <c r="BE345" s="90"/>
      <c r="BF345" s="90"/>
      <c r="BG345" s="90">
        <v>46024000</v>
      </c>
      <c r="BH345" s="90"/>
      <c r="BI345" s="90"/>
      <c r="BJ345" s="90"/>
      <c r="BK345" s="90"/>
      <c r="BL345" s="90"/>
      <c r="BM345" s="90"/>
      <c r="BN345" s="90">
        <f>SUM(BE345:BM345)</f>
        <v>46024000</v>
      </c>
      <c r="BO345" s="546">
        <f>AJ345+AT345+BD345+BN345</f>
        <v>189674000</v>
      </c>
    </row>
    <row r="346" spans="1:67" ht="158.25" customHeight="1" x14ac:dyDescent="0.2">
      <c r="A346" s="547">
        <v>228</v>
      </c>
      <c r="B346" s="69">
        <v>4</v>
      </c>
      <c r="C346" s="136"/>
      <c r="D346" s="136"/>
      <c r="E346" s="451"/>
      <c r="F346" s="444"/>
      <c r="G346" s="428"/>
      <c r="H346" s="428"/>
      <c r="I346" s="77">
        <v>230</v>
      </c>
      <c r="J346" s="73" t="s">
        <v>785</v>
      </c>
      <c r="K346" s="262" t="s">
        <v>786</v>
      </c>
      <c r="L346" s="73" t="s">
        <v>696</v>
      </c>
      <c r="M346" s="196">
        <v>14</v>
      </c>
      <c r="N346" s="330" t="s">
        <v>54</v>
      </c>
      <c r="O346" s="331">
        <v>0</v>
      </c>
      <c r="P346" s="341">
        <v>1</v>
      </c>
      <c r="Q346" s="270">
        <v>1</v>
      </c>
      <c r="R346" s="271">
        <v>1</v>
      </c>
      <c r="S346" s="500"/>
      <c r="T346" s="271">
        <v>1</v>
      </c>
      <c r="U346" s="271"/>
      <c r="V346" s="271">
        <v>1</v>
      </c>
      <c r="W346" s="492"/>
      <c r="X346" s="298">
        <f>AJ346/$AJ$341</f>
        <v>6.1290322580645158E-2</v>
      </c>
      <c r="Y346" s="78">
        <v>16</v>
      </c>
      <c r="Z346" s="166" t="s">
        <v>372</v>
      </c>
      <c r="AA346" s="170"/>
      <c r="AB346" s="170"/>
      <c r="AC346" s="447">
        <v>28500000</v>
      </c>
      <c r="AD346" s="169"/>
      <c r="AE346" s="170"/>
      <c r="AF346" s="170"/>
      <c r="AG346" s="170"/>
      <c r="AH346" s="170"/>
      <c r="AI346" s="170"/>
      <c r="AJ346" s="82">
        <f>+AA346+AB346+AC346+AD346+AE346+AF346+AG346+AH346+AI346</f>
        <v>28500000</v>
      </c>
      <c r="AK346" s="230"/>
      <c r="AL346" s="230"/>
      <c r="AM346" s="455">
        <v>23039775.75</v>
      </c>
      <c r="AN346" s="455"/>
      <c r="AO346" s="230"/>
      <c r="AP346" s="230"/>
      <c r="AQ346" s="230"/>
      <c r="AR346" s="230"/>
      <c r="AS346" s="230"/>
      <c r="AT346" s="84">
        <f>AK346+AL346+AM346+AN346+AO346+AP346+AQ346+AR346+AS346</f>
        <v>23039775.75</v>
      </c>
      <c r="AU346" s="455"/>
      <c r="AV346" s="455"/>
      <c r="AW346" s="455">
        <v>24845469.022999998</v>
      </c>
      <c r="AX346" s="455"/>
      <c r="AY346" s="455"/>
      <c r="AZ346" s="455"/>
      <c r="BA346" s="455"/>
      <c r="BB346" s="455"/>
      <c r="BC346" s="455"/>
      <c r="BD346" s="455">
        <f>SUM(AU346:BC346)</f>
        <v>24845469.022999998</v>
      </c>
      <c r="BE346" s="90"/>
      <c r="BF346" s="90"/>
      <c r="BG346" s="90">
        <v>25381333.09</v>
      </c>
      <c r="BH346" s="90"/>
      <c r="BI346" s="90"/>
      <c r="BJ346" s="90"/>
      <c r="BK346" s="90"/>
      <c r="BL346" s="90"/>
      <c r="BM346" s="90"/>
      <c r="BN346" s="90">
        <f>SUM(BE346:BM346)</f>
        <v>25381333.09</v>
      </c>
      <c r="BO346" s="546">
        <f>AJ346+AT346+BD346+BN346</f>
        <v>101766577.86300001</v>
      </c>
    </row>
    <row r="347" spans="1:67" ht="24.75" customHeight="1" x14ac:dyDescent="0.2">
      <c r="A347" s="547"/>
      <c r="B347" s="69"/>
      <c r="C347" s="136"/>
      <c r="D347" s="136"/>
      <c r="E347" s="57">
        <v>79</v>
      </c>
      <c r="F347" s="58" t="s">
        <v>787</v>
      </c>
      <c r="G347" s="61"/>
      <c r="H347" s="61"/>
      <c r="I347" s="62"/>
      <c r="J347" s="61"/>
      <c r="K347" s="61"/>
      <c r="L347" s="60"/>
      <c r="M347" s="62"/>
      <c r="N347" s="63"/>
      <c r="O347" s="61"/>
      <c r="P347" s="61"/>
      <c r="Q347" s="342"/>
      <c r="R347" s="343"/>
      <c r="S347" s="517"/>
      <c r="T347" s="343"/>
      <c r="U347" s="343"/>
      <c r="V347" s="344"/>
      <c r="W347" s="344"/>
      <c r="X347" s="137"/>
      <c r="Y347" s="62"/>
      <c r="Z347" s="62"/>
      <c r="AA347" s="66">
        <f t="shared" ref="AA347:AI347" si="512">SUM(AA348:AA350)</f>
        <v>0</v>
      </c>
      <c r="AB347" s="66">
        <f t="shared" si="512"/>
        <v>0</v>
      </c>
      <c r="AC347" s="66">
        <f t="shared" si="512"/>
        <v>36000000</v>
      </c>
      <c r="AD347" s="66">
        <f t="shared" si="512"/>
        <v>0</v>
      </c>
      <c r="AE347" s="66">
        <f t="shared" si="512"/>
        <v>0</v>
      </c>
      <c r="AF347" s="66">
        <f t="shared" si="512"/>
        <v>0</v>
      </c>
      <c r="AG347" s="66">
        <f t="shared" si="512"/>
        <v>0</v>
      </c>
      <c r="AH347" s="66">
        <f t="shared" si="512"/>
        <v>0</v>
      </c>
      <c r="AI347" s="66">
        <f t="shared" si="512"/>
        <v>0</v>
      </c>
      <c r="AJ347" s="67">
        <f>SUM(AJ348:AJ350)</f>
        <v>36000000</v>
      </c>
      <c r="AK347" s="66">
        <f t="shared" ref="AK347:AT347" si="513">SUM(AK348:AK350)</f>
        <v>0</v>
      </c>
      <c r="AL347" s="66">
        <f t="shared" si="513"/>
        <v>0</v>
      </c>
      <c r="AM347" s="66">
        <f t="shared" si="513"/>
        <v>37080000</v>
      </c>
      <c r="AN347" s="66">
        <f t="shared" si="513"/>
        <v>0</v>
      </c>
      <c r="AO347" s="66">
        <f t="shared" si="513"/>
        <v>0</v>
      </c>
      <c r="AP347" s="66">
        <f t="shared" si="513"/>
        <v>0</v>
      </c>
      <c r="AQ347" s="66">
        <f t="shared" si="513"/>
        <v>0</v>
      </c>
      <c r="AR347" s="66">
        <f t="shared" si="513"/>
        <v>0</v>
      </c>
      <c r="AS347" s="66">
        <f t="shared" si="513"/>
        <v>0</v>
      </c>
      <c r="AT347" s="66">
        <f t="shared" si="513"/>
        <v>37080000</v>
      </c>
      <c r="AU347" s="68"/>
      <c r="AV347" s="68"/>
      <c r="AW347" s="68"/>
      <c r="AX347" s="68"/>
      <c r="AY347" s="68"/>
      <c r="AZ347" s="68"/>
      <c r="BA347" s="68"/>
      <c r="BB347" s="68"/>
      <c r="BC347" s="68"/>
      <c r="BD347" s="66">
        <f t="shared" ref="BD347" si="514">SUM(BD348:BD350)</f>
        <v>38192400</v>
      </c>
      <c r="BE347" s="68"/>
      <c r="BF347" s="68"/>
      <c r="BG347" s="68"/>
      <c r="BH347" s="68"/>
      <c r="BI347" s="68"/>
      <c r="BJ347" s="68"/>
      <c r="BK347" s="68"/>
      <c r="BL347" s="68"/>
      <c r="BM347" s="68"/>
      <c r="BN347" s="66">
        <f t="shared" ref="BN347:BO347" si="515">SUM(BN348:BN350)</f>
        <v>39338172</v>
      </c>
      <c r="BO347" s="544">
        <f t="shared" si="515"/>
        <v>150610572</v>
      </c>
    </row>
    <row r="348" spans="1:67" ht="99.75" customHeight="1" x14ac:dyDescent="0.2">
      <c r="A348" s="545">
        <v>229</v>
      </c>
      <c r="B348" s="69">
        <v>4</v>
      </c>
      <c r="C348" s="136"/>
      <c r="D348" s="136"/>
      <c r="E348" s="478">
        <v>13</v>
      </c>
      <c r="F348" s="443" t="s">
        <v>537</v>
      </c>
      <c r="G348" s="636">
        <v>0.71040000000000003</v>
      </c>
      <c r="H348" s="636">
        <v>0.88170000000000004</v>
      </c>
      <c r="I348" s="77">
        <v>231</v>
      </c>
      <c r="J348" s="73" t="s">
        <v>788</v>
      </c>
      <c r="K348" s="262" t="s">
        <v>789</v>
      </c>
      <c r="L348" s="73" t="s">
        <v>696</v>
      </c>
      <c r="M348" s="196">
        <v>14</v>
      </c>
      <c r="N348" s="330" t="s">
        <v>54</v>
      </c>
      <c r="O348" s="331">
        <v>1</v>
      </c>
      <c r="P348" s="331">
        <v>1</v>
      </c>
      <c r="Q348" s="196">
        <v>1</v>
      </c>
      <c r="R348" s="93">
        <v>1</v>
      </c>
      <c r="S348" s="500"/>
      <c r="T348" s="93">
        <v>1</v>
      </c>
      <c r="U348" s="93"/>
      <c r="V348" s="93">
        <v>1</v>
      </c>
      <c r="W348" s="330"/>
      <c r="X348" s="286">
        <f>AJ348/$AJ$347</f>
        <v>8.3333333333333329E-2</v>
      </c>
      <c r="Y348" s="78">
        <v>16</v>
      </c>
      <c r="Z348" s="166" t="s">
        <v>372</v>
      </c>
      <c r="AA348" s="287"/>
      <c r="AB348" s="287"/>
      <c r="AC348" s="108">
        <v>3000000</v>
      </c>
      <c r="AD348" s="170"/>
      <c r="AE348" s="287"/>
      <c r="AF348" s="287"/>
      <c r="AG348" s="287"/>
      <c r="AH348" s="287"/>
      <c r="AI348" s="287"/>
      <c r="AJ348" s="82">
        <f>+AA348+AB348+AC348+AD348+AE348+AF348+AG348+AH348+AI348</f>
        <v>3000000</v>
      </c>
      <c r="AK348" s="90"/>
      <c r="AL348" s="90"/>
      <c r="AM348" s="455">
        <v>3090000</v>
      </c>
      <c r="AN348" s="90"/>
      <c r="AO348" s="90"/>
      <c r="AP348" s="90"/>
      <c r="AQ348" s="90"/>
      <c r="AR348" s="90"/>
      <c r="AS348" s="90"/>
      <c r="AT348" s="84">
        <f>AK348+AL348+AM348+AN348+AO348+AP348+AQ348+AR348+AS348</f>
        <v>3090000</v>
      </c>
      <c r="AU348" s="455"/>
      <c r="AV348" s="455"/>
      <c r="AW348" s="455">
        <v>3180000</v>
      </c>
      <c r="AX348" s="455"/>
      <c r="AY348" s="455"/>
      <c r="AZ348" s="455"/>
      <c r="BA348" s="455"/>
      <c r="BB348" s="455"/>
      <c r="BC348" s="455"/>
      <c r="BD348" s="455">
        <f>SUM(AU348:BC348)</f>
        <v>3180000</v>
      </c>
      <c r="BE348" s="90"/>
      <c r="BF348" s="90"/>
      <c r="BG348" s="90">
        <v>3300000</v>
      </c>
      <c r="BH348" s="90"/>
      <c r="BI348" s="90"/>
      <c r="BJ348" s="90"/>
      <c r="BK348" s="90"/>
      <c r="BL348" s="90"/>
      <c r="BM348" s="90"/>
      <c r="BN348" s="90">
        <f>SUM(BE348:BM348)</f>
        <v>3300000</v>
      </c>
      <c r="BO348" s="546">
        <f>AJ348+AT348+BD348+BN348</f>
        <v>12570000</v>
      </c>
    </row>
    <row r="349" spans="1:67" ht="92.25" customHeight="1" x14ac:dyDescent="0.2">
      <c r="A349" s="547">
        <v>230</v>
      </c>
      <c r="B349" s="69">
        <v>4</v>
      </c>
      <c r="C349" s="136"/>
      <c r="D349" s="136"/>
      <c r="E349" s="91"/>
      <c r="F349" s="339"/>
      <c r="G349" s="345"/>
      <c r="H349" s="345"/>
      <c r="I349" s="77">
        <v>232</v>
      </c>
      <c r="J349" s="73" t="s">
        <v>790</v>
      </c>
      <c r="K349" s="262" t="s">
        <v>791</v>
      </c>
      <c r="L349" s="73" t="s">
        <v>696</v>
      </c>
      <c r="M349" s="196">
        <v>14</v>
      </c>
      <c r="N349" s="330" t="s">
        <v>54</v>
      </c>
      <c r="O349" s="331">
        <v>12</v>
      </c>
      <c r="P349" s="331">
        <v>12</v>
      </c>
      <c r="Q349" s="196">
        <v>12</v>
      </c>
      <c r="R349" s="93">
        <v>12</v>
      </c>
      <c r="S349" s="500"/>
      <c r="T349" s="93">
        <v>12</v>
      </c>
      <c r="U349" s="93"/>
      <c r="V349" s="93">
        <v>12</v>
      </c>
      <c r="W349" s="330"/>
      <c r="X349" s="286">
        <f>AJ349/$AJ$347</f>
        <v>0.51111111111111107</v>
      </c>
      <c r="Y349" s="78">
        <v>16</v>
      </c>
      <c r="Z349" s="166" t="s">
        <v>372</v>
      </c>
      <c r="AA349" s="287"/>
      <c r="AB349" s="287"/>
      <c r="AC349" s="108">
        <v>18400000</v>
      </c>
      <c r="AD349" s="170"/>
      <c r="AE349" s="287"/>
      <c r="AF349" s="287"/>
      <c r="AG349" s="287"/>
      <c r="AH349" s="287"/>
      <c r="AI349" s="287"/>
      <c r="AJ349" s="82">
        <f>+AA349+AB349+AC349+AD349+AE349+AF349+AG349+AH349+AI349</f>
        <v>18400000</v>
      </c>
      <c r="AK349" s="90"/>
      <c r="AL349" s="90"/>
      <c r="AM349" s="455">
        <v>18952000</v>
      </c>
      <c r="AN349" s="90"/>
      <c r="AO349" s="90"/>
      <c r="AP349" s="90"/>
      <c r="AQ349" s="90"/>
      <c r="AR349" s="90"/>
      <c r="AS349" s="90"/>
      <c r="AT349" s="84">
        <f>AK349+AL349+AM349+AN349+AO349+AP349+AQ349+AR349+AS349</f>
        <v>18952000</v>
      </c>
      <c r="AU349" s="455"/>
      <c r="AV349" s="455"/>
      <c r="AW349" s="455">
        <v>19520000</v>
      </c>
      <c r="AX349" s="455"/>
      <c r="AY349" s="455"/>
      <c r="AZ349" s="455"/>
      <c r="BA349" s="455"/>
      <c r="BB349" s="455"/>
      <c r="BC349" s="455"/>
      <c r="BD349" s="455">
        <f>SUM(AU349:BC349)</f>
        <v>19520000</v>
      </c>
      <c r="BE349" s="90"/>
      <c r="BF349" s="90"/>
      <c r="BG349" s="90">
        <v>20100000</v>
      </c>
      <c r="BH349" s="90"/>
      <c r="BI349" s="90"/>
      <c r="BJ349" s="90"/>
      <c r="BK349" s="90"/>
      <c r="BL349" s="90"/>
      <c r="BM349" s="90"/>
      <c r="BN349" s="90">
        <f>SUM(BE349:BM349)</f>
        <v>20100000</v>
      </c>
      <c r="BO349" s="546">
        <f>AJ349+AT349+BD349+BN349</f>
        <v>76972000</v>
      </c>
    </row>
    <row r="350" spans="1:67" ht="89.25" customHeight="1" x14ac:dyDescent="0.2">
      <c r="A350" s="545">
        <v>231</v>
      </c>
      <c r="B350" s="69">
        <v>4</v>
      </c>
      <c r="C350" s="136"/>
      <c r="D350" s="136"/>
      <c r="E350" s="451"/>
      <c r="F350" s="444"/>
      <c r="G350" s="346"/>
      <c r="H350" s="346"/>
      <c r="I350" s="77">
        <v>233</v>
      </c>
      <c r="J350" s="73" t="s">
        <v>792</v>
      </c>
      <c r="K350" s="262" t="s">
        <v>793</v>
      </c>
      <c r="L350" s="73" t="s">
        <v>696</v>
      </c>
      <c r="M350" s="196">
        <v>14</v>
      </c>
      <c r="N350" s="430" t="s">
        <v>54</v>
      </c>
      <c r="O350" s="331">
        <v>1</v>
      </c>
      <c r="P350" s="331">
        <v>1</v>
      </c>
      <c r="Q350" s="196">
        <v>1</v>
      </c>
      <c r="R350" s="93">
        <v>1</v>
      </c>
      <c r="S350" s="500"/>
      <c r="T350" s="93">
        <v>1</v>
      </c>
      <c r="U350" s="93"/>
      <c r="V350" s="93">
        <v>1</v>
      </c>
      <c r="W350" s="330"/>
      <c r="X350" s="286">
        <f>AJ350/$AJ$347</f>
        <v>0.40555555555555556</v>
      </c>
      <c r="Y350" s="78">
        <v>16</v>
      </c>
      <c r="Z350" s="166" t="s">
        <v>372</v>
      </c>
      <c r="AA350" s="287"/>
      <c r="AB350" s="287"/>
      <c r="AC350" s="108">
        <f>9600000+5000000</f>
        <v>14600000</v>
      </c>
      <c r="AD350" s="170"/>
      <c r="AE350" s="287"/>
      <c r="AF350" s="287"/>
      <c r="AG350" s="287"/>
      <c r="AH350" s="287"/>
      <c r="AI350" s="287"/>
      <c r="AJ350" s="82">
        <f>+AA350+AB350+AC350+AD350+AE350+AF350+AG350+AH350+AI350</f>
        <v>14600000</v>
      </c>
      <c r="AK350" s="90"/>
      <c r="AL350" s="90"/>
      <c r="AM350" s="455">
        <v>15038000</v>
      </c>
      <c r="AN350" s="90"/>
      <c r="AO350" s="90"/>
      <c r="AP350" s="90"/>
      <c r="AQ350" s="90"/>
      <c r="AR350" s="90"/>
      <c r="AS350" s="90"/>
      <c r="AT350" s="84">
        <f>AK350+AL350+AM350+AN350+AO350+AP350+AQ350+AR350+AS350</f>
        <v>15038000</v>
      </c>
      <c r="AU350" s="455"/>
      <c r="AV350" s="455"/>
      <c r="AW350" s="455">
        <v>15492400</v>
      </c>
      <c r="AX350" s="455"/>
      <c r="AY350" s="455"/>
      <c r="AZ350" s="455"/>
      <c r="BA350" s="455"/>
      <c r="BB350" s="455"/>
      <c r="BC350" s="455"/>
      <c r="BD350" s="455">
        <f>SUM(AU350:BC350)</f>
        <v>15492400</v>
      </c>
      <c r="BE350" s="90"/>
      <c r="BF350" s="90"/>
      <c r="BG350" s="90">
        <v>15938172</v>
      </c>
      <c r="BH350" s="90"/>
      <c r="BI350" s="90"/>
      <c r="BJ350" s="90"/>
      <c r="BK350" s="90"/>
      <c r="BL350" s="90"/>
      <c r="BM350" s="90"/>
      <c r="BN350" s="90">
        <f>SUM(BE350:BM350)</f>
        <v>15938172</v>
      </c>
      <c r="BO350" s="546">
        <f>AJ350+AT350+BD350+BN350</f>
        <v>61068572</v>
      </c>
    </row>
    <row r="351" spans="1:67" ht="24.75" customHeight="1" x14ac:dyDescent="0.2">
      <c r="A351" s="545"/>
      <c r="B351" s="69"/>
      <c r="C351" s="136"/>
      <c r="D351" s="136"/>
      <c r="E351" s="57">
        <v>80</v>
      </c>
      <c r="F351" s="58" t="s">
        <v>794</v>
      </c>
      <c r="G351" s="61"/>
      <c r="H351" s="61"/>
      <c r="I351" s="60"/>
      <c r="J351" s="61"/>
      <c r="K351" s="61"/>
      <c r="L351" s="60"/>
      <c r="M351" s="62"/>
      <c r="N351" s="63"/>
      <c r="O351" s="61"/>
      <c r="P351" s="61"/>
      <c r="Q351" s="347"/>
      <c r="R351" s="61"/>
      <c r="S351" s="518"/>
      <c r="T351" s="145"/>
      <c r="U351" s="145"/>
      <c r="V351" s="348"/>
      <c r="W351" s="348"/>
      <c r="X351" s="137"/>
      <c r="Y351" s="62"/>
      <c r="Z351" s="62"/>
      <c r="AA351" s="66">
        <f t="shared" ref="AA351:AI351" si="516">SUM(AA352:AA353)</f>
        <v>0</v>
      </c>
      <c r="AB351" s="66">
        <f t="shared" si="516"/>
        <v>0</v>
      </c>
      <c r="AC351" s="66">
        <f t="shared" si="516"/>
        <v>36000000</v>
      </c>
      <c r="AD351" s="66">
        <f t="shared" si="516"/>
        <v>0</v>
      </c>
      <c r="AE351" s="66">
        <f t="shared" si="516"/>
        <v>0</v>
      </c>
      <c r="AF351" s="66">
        <f t="shared" si="516"/>
        <v>0</v>
      </c>
      <c r="AG351" s="66">
        <f t="shared" si="516"/>
        <v>0</v>
      </c>
      <c r="AH351" s="66">
        <f t="shared" si="516"/>
        <v>0</v>
      </c>
      <c r="AI351" s="66">
        <f t="shared" si="516"/>
        <v>0</v>
      </c>
      <c r="AJ351" s="67">
        <f>SUM(AJ352:AJ353)</f>
        <v>36000000</v>
      </c>
      <c r="AK351" s="66">
        <f t="shared" ref="AK351:AT351" si="517">SUM(AK352:AK353)</f>
        <v>0</v>
      </c>
      <c r="AL351" s="66">
        <f t="shared" si="517"/>
        <v>0</v>
      </c>
      <c r="AM351" s="66">
        <f t="shared" si="517"/>
        <v>37080000</v>
      </c>
      <c r="AN351" s="66">
        <f t="shared" si="517"/>
        <v>0</v>
      </c>
      <c r="AO351" s="66">
        <f t="shared" si="517"/>
        <v>0</v>
      </c>
      <c r="AP351" s="66">
        <f t="shared" si="517"/>
        <v>0</v>
      </c>
      <c r="AQ351" s="66">
        <f t="shared" si="517"/>
        <v>0</v>
      </c>
      <c r="AR351" s="66">
        <f t="shared" si="517"/>
        <v>0</v>
      </c>
      <c r="AS351" s="66">
        <f t="shared" si="517"/>
        <v>0</v>
      </c>
      <c r="AT351" s="66">
        <f t="shared" si="517"/>
        <v>37080000</v>
      </c>
      <c r="AU351" s="68"/>
      <c r="AV351" s="68"/>
      <c r="AW351" s="68"/>
      <c r="AX351" s="68"/>
      <c r="AY351" s="68"/>
      <c r="AZ351" s="68"/>
      <c r="BA351" s="68"/>
      <c r="BB351" s="68"/>
      <c r="BC351" s="68"/>
      <c r="BD351" s="66">
        <f t="shared" ref="BD351" si="518">SUM(BD352:BD353)</f>
        <v>38192400</v>
      </c>
      <c r="BE351" s="68"/>
      <c r="BF351" s="68"/>
      <c r="BG351" s="68"/>
      <c r="BH351" s="68"/>
      <c r="BI351" s="68"/>
      <c r="BJ351" s="68"/>
      <c r="BK351" s="68"/>
      <c r="BL351" s="68"/>
      <c r="BM351" s="68"/>
      <c r="BN351" s="66">
        <f t="shared" ref="BN351:BO351" si="519">SUM(BN352:BN353)</f>
        <v>39338172</v>
      </c>
      <c r="BO351" s="544">
        <f t="shared" si="519"/>
        <v>150610572</v>
      </c>
    </row>
    <row r="352" spans="1:67" ht="91.5" customHeight="1" x14ac:dyDescent="0.2">
      <c r="A352" s="547">
        <v>232</v>
      </c>
      <c r="B352" s="69">
        <v>4</v>
      </c>
      <c r="C352" s="136"/>
      <c r="D352" s="136"/>
      <c r="E352" s="478">
        <v>13</v>
      </c>
      <c r="F352" s="439" t="s">
        <v>537</v>
      </c>
      <c r="G352" s="636">
        <v>0.71040000000000003</v>
      </c>
      <c r="H352" s="636">
        <v>0.88170000000000004</v>
      </c>
      <c r="I352" s="77">
        <v>234</v>
      </c>
      <c r="J352" s="73" t="s">
        <v>795</v>
      </c>
      <c r="K352" s="262" t="s">
        <v>796</v>
      </c>
      <c r="L352" s="73" t="s">
        <v>696</v>
      </c>
      <c r="M352" s="196">
        <v>14</v>
      </c>
      <c r="N352" s="330" t="s">
        <v>69</v>
      </c>
      <c r="O352" s="331" t="s">
        <v>49</v>
      </c>
      <c r="P352" s="331">
        <v>12</v>
      </c>
      <c r="Q352" s="427">
        <v>1</v>
      </c>
      <c r="R352" s="451">
        <v>7</v>
      </c>
      <c r="S352" s="500"/>
      <c r="T352" s="451">
        <v>2</v>
      </c>
      <c r="U352" s="451"/>
      <c r="V352" s="451">
        <v>2</v>
      </c>
      <c r="W352" s="330"/>
      <c r="X352" s="286">
        <f>AJ352/$AJ$351</f>
        <v>0.3611111111111111</v>
      </c>
      <c r="Y352" s="78">
        <v>16</v>
      </c>
      <c r="Z352" s="166" t="s">
        <v>372</v>
      </c>
      <c r="AA352" s="287"/>
      <c r="AB352" s="287"/>
      <c r="AC352" s="108">
        <f>3000000+10000000</f>
        <v>13000000</v>
      </c>
      <c r="AD352" s="170"/>
      <c r="AE352" s="287"/>
      <c r="AF352" s="287"/>
      <c r="AG352" s="287"/>
      <c r="AH352" s="287"/>
      <c r="AI352" s="287"/>
      <c r="AJ352" s="82">
        <f>+AA352+AB352+AC352+AD352+AE352+AF352+AG352+AH352+AI352</f>
        <v>13000000</v>
      </c>
      <c r="AK352" s="90"/>
      <c r="AL352" s="90"/>
      <c r="AM352" s="455">
        <v>13390000</v>
      </c>
      <c r="AN352" s="90"/>
      <c r="AO352" s="90"/>
      <c r="AP352" s="90"/>
      <c r="AQ352" s="90"/>
      <c r="AR352" s="90"/>
      <c r="AS352" s="90"/>
      <c r="AT352" s="84">
        <f>AK352+AL352+AM352+AN352+AO352+AP352+AQ352+AR352+AS352</f>
        <v>13390000</v>
      </c>
      <c r="AU352" s="455"/>
      <c r="AV352" s="455"/>
      <c r="AW352" s="455">
        <v>13700000</v>
      </c>
      <c r="AX352" s="455"/>
      <c r="AY352" s="455"/>
      <c r="AZ352" s="455"/>
      <c r="BA352" s="455"/>
      <c r="BB352" s="455"/>
      <c r="BC352" s="455"/>
      <c r="BD352" s="455">
        <f>SUM(AU352:BC352)</f>
        <v>13700000</v>
      </c>
      <c r="BE352" s="90"/>
      <c r="BF352" s="90"/>
      <c r="BG352" s="90">
        <v>14205000</v>
      </c>
      <c r="BH352" s="90"/>
      <c r="BI352" s="90"/>
      <c r="BJ352" s="90"/>
      <c r="BK352" s="90"/>
      <c r="BL352" s="90"/>
      <c r="BM352" s="90"/>
      <c r="BN352" s="90">
        <f>SUM(BE352:BM352)</f>
        <v>14205000</v>
      </c>
      <c r="BO352" s="546">
        <f>AJ352+AT352+BD352+BN352</f>
        <v>54295000</v>
      </c>
    </row>
    <row r="353" spans="1:67" ht="66.75" customHeight="1" x14ac:dyDescent="0.2">
      <c r="A353" s="545">
        <v>233</v>
      </c>
      <c r="B353" s="69">
        <v>4</v>
      </c>
      <c r="C353" s="136"/>
      <c r="D353" s="192"/>
      <c r="E353" s="451"/>
      <c r="F353" s="529"/>
      <c r="G353" s="346"/>
      <c r="H353" s="346"/>
      <c r="I353" s="77">
        <v>235</v>
      </c>
      <c r="J353" s="73" t="s">
        <v>797</v>
      </c>
      <c r="K353" s="262" t="s">
        <v>798</v>
      </c>
      <c r="L353" s="73" t="s">
        <v>696</v>
      </c>
      <c r="M353" s="196">
        <v>14</v>
      </c>
      <c r="N353" s="430" t="s">
        <v>69</v>
      </c>
      <c r="O353" s="331" t="s">
        <v>49</v>
      </c>
      <c r="P353" s="331">
        <v>12</v>
      </c>
      <c r="Q353" s="349">
        <v>1</v>
      </c>
      <c r="R353" s="91">
        <v>7</v>
      </c>
      <c r="S353" s="500"/>
      <c r="T353" s="91">
        <v>2</v>
      </c>
      <c r="U353" s="91"/>
      <c r="V353" s="91">
        <v>2</v>
      </c>
      <c r="W353" s="430"/>
      <c r="X353" s="286">
        <f>AJ353/$AJ$351</f>
        <v>0.63888888888888884</v>
      </c>
      <c r="Y353" s="78">
        <v>16</v>
      </c>
      <c r="Z353" s="166" t="s">
        <v>372</v>
      </c>
      <c r="AA353" s="287"/>
      <c r="AB353" s="287"/>
      <c r="AC353" s="108">
        <f>13000000+10000000</f>
        <v>23000000</v>
      </c>
      <c r="AD353" s="170"/>
      <c r="AE353" s="287"/>
      <c r="AF353" s="287"/>
      <c r="AG353" s="287"/>
      <c r="AH353" s="287"/>
      <c r="AI353" s="287"/>
      <c r="AJ353" s="82">
        <f>+AA353+AB353+AC353+AD353+AE353+AF353+AG353+AH353+AI353</f>
        <v>23000000</v>
      </c>
      <c r="AK353" s="90"/>
      <c r="AL353" s="90"/>
      <c r="AM353" s="455">
        <v>23690000</v>
      </c>
      <c r="AN353" s="90"/>
      <c r="AO353" s="90"/>
      <c r="AP353" s="90"/>
      <c r="AQ353" s="90"/>
      <c r="AR353" s="90"/>
      <c r="AS353" s="90"/>
      <c r="AT353" s="84">
        <f>AK353+AL353+AM353+AN353+AO353+AP353+AQ353+AR353+AS353</f>
        <v>23690000</v>
      </c>
      <c r="AU353" s="455"/>
      <c r="AV353" s="455"/>
      <c r="AW353" s="455">
        <f>24400700+91700</f>
        <v>24492400</v>
      </c>
      <c r="AX353" s="455"/>
      <c r="AY353" s="455"/>
      <c r="AZ353" s="455"/>
      <c r="BA353" s="455"/>
      <c r="BB353" s="455"/>
      <c r="BC353" s="455"/>
      <c r="BD353" s="455">
        <f>SUM(AU353:BC353)</f>
        <v>24492400</v>
      </c>
      <c r="BE353" s="90"/>
      <c r="BF353" s="90"/>
      <c r="BG353" s="90">
        <v>25133171.999999996</v>
      </c>
      <c r="BH353" s="90"/>
      <c r="BI353" s="90"/>
      <c r="BJ353" s="90"/>
      <c r="BK353" s="90"/>
      <c r="BL353" s="90"/>
      <c r="BM353" s="90"/>
      <c r="BN353" s="90">
        <f>SUM(BE353:BM353)</f>
        <v>25133171.999999996</v>
      </c>
      <c r="BO353" s="546">
        <f>AJ353+AT353+BD353+BN353</f>
        <v>96315572</v>
      </c>
    </row>
    <row r="354" spans="1:67" ht="24.75" customHeight="1" x14ac:dyDescent="0.2">
      <c r="A354" s="545"/>
      <c r="B354" s="69"/>
      <c r="C354" s="136"/>
      <c r="D354" s="43">
        <v>25</v>
      </c>
      <c r="E354" s="134" t="s">
        <v>799</v>
      </c>
      <c r="F354" s="48"/>
      <c r="G354" s="45"/>
      <c r="H354" s="46"/>
      <c r="I354" s="47"/>
      <c r="J354" s="48"/>
      <c r="K354" s="48"/>
      <c r="L354" s="49"/>
      <c r="M354" s="47"/>
      <c r="N354" s="50"/>
      <c r="O354" s="48"/>
      <c r="P354" s="48"/>
      <c r="Q354" s="51"/>
      <c r="R354" s="48"/>
      <c r="S354" s="498"/>
      <c r="T354" s="51"/>
      <c r="U354" s="51"/>
      <c r="V354" s="51"/>
      <c r="W354" s="51"/>
      <c r="X354" s="51"/>
      <c r="Y354" s="51"/>
      <c r="Z354" s="51"/>
      <c r="AA354" s="401">
        <f>AA355+AA361</f>
        <v>0</v>
      </c>
      <c r="AB354" s="401">
        <f t="shared" ref="AB354:AJ354" si="520">AB355+AB361</f>
        <v>0</v>
      </c>
      <c r="AC354" s="401">
        <f t="shared" si="520"/>
        <v>480000000</v>
      </c>
      <c r="AD354" s="401">
        <f t="shared" si="520"/>
        <v>0</v>
      </c>
      <c r="AE354" s="401">
        <f t="shared" si="520"/>
        <v>0</v>
      </c>
      <c r="AF354" s="401">
        <f t="shared" si="520"/>
        <v>0</v>
      </c>
      <c r="AG354" s="401">
        <f t="shared" si="520"/>
        <v>0</v>
      </c>
      <c r="AH354" s="401">
        <f t="shared" si="520"/>
        <v>0</v>
      </c>
      <c r="AI354" s="401">
        <f t="shared" si="520"/>
        <v>0</v>
      </c>
      <c r="AJ354" s="401">
        <f t="shared" si="520"/>
        <v>480000000</v>
      </c>
      <c r="AK354" s="401">
        <f t="shared" ref="AK354:AT354" si="521">AK355+AK361</f>
        <v>0</v>
      </c>
      <c r="AL354" s="401">
        <f t="shared" si="521"/>
        <v>0</v>
      </c>
      <c r="AM354" s="401">
        <f t="shared" si="521"/>
        <v>490000000</v>
      </c>
      <c r="AN354" s="401">
        <f t="shared" si="521"/>
        <v>0</v>
      </c>
      <c r="AO354" s="401">
        <f t="shared" si="521"/>
        <v>0</v>
      </c>
      <c r="AP354" s="401">
        <f t="shared" si="521"/>
        <v>0</v>
      </c>
      <c r="AQ354" s="401">
        <f t="shared" si="521"/>
        <v>0</v>
      </c>
      <c r="AR354" s="401">
        <f t="shared" si="521"/>
        <v>0</v>
      </c>
      <c r="AS354" s="401">
        <f t="shared" si="521"/>
        <v>0</v>
      </c>
      <c r="AT354" s="401">
        <f t="shared" si="521"/>
        <v>490000000</v>
      </c>
      <c r="AU354" s="51"/>
      <c r="AV354" s="51"/>
      <c r="AW354" s="51"/>
      <c r="AX354" s="51"/>
      <c r="AY354" s="51"/>
      <c r="AZ354" s="51"/>
      <c r="BA354" s="51"/>
      <c r="BB354" s="51"/>
      <c r="BC354" s="51"/>
      <c r="BD354" s="401">
        <f t="shared" ref="BD354" si="522">BD355+BD361</f>
        <v>280000000</v>
      </c>
      <c r="BE354" s="51"/>
      <c r="BF354" s="51"/>
      <c r="BG354" s="51"/>
      <c r="BH354" s="51"/>
      <c r="BI354" s="51"/>
      <c r="BJ354" s="51"/>
      <c r="BK354" s="51"/>
      <c r="BL354" s="51"/>
      <c r="BM354" s="51"/>
      <c r="BN354" s="401">
        <f t="shared" ref="BN354" si="523">BN355+BN361</f>
        <v>230000000</v>
      </c>
      <c r="BO354" s="610">
        <f t="shared" ref="BO354" si="524">BO355+BO361</f>
        <v>1480000000</v>
      </c>
    </row>
    <row r="355" spans="1:67" ht="24.75" customHeight="1" x14ac:dyDescent="0.2">
      <c r="A355" s="545"/>
      <c r="B355" s="69"/>
      <c r="C355" s="136"/>
      <c r="D355" s="562"/>
      <c r="E355" s="57">
        <v>81</v>
      </c>
      <c r="F355" s="58" t="s">
        <v>800</v>
      </c>
      <c r="G355" s="61"/>
      <c r="H355" s="61"/>
      <c r="I355" s="62"/>
      <c r="J355" s="61"/>
      <c r="K355" s="61"/>
      <c r="L355" s="593"/>
      <c r="M355" s="487"/>
      <c r="N355" s="594"/>
      <c r="O355" s="61"/>
      <c r="P355" s="61"/>
      <c r="Q355" s="485"/>
      <c r="R355" s="481"/>
      <c r="S355" s="510"/>
      <c r="T355" s="481"/>
      <c r="U355" s="481"/>
      <c r="V355" s="487"/>
      <c r="W355" s="62"/>
      <c r="X355" s="137"/>
      <c r="Y355" s="62"/>
      <c r="Z355" s="62"/>
      <c r="AA355" s="66">
        <f t="shared" ref="AA355:AI355" si="525">SUM(AA356:AA360)</f>
        <v>0</v>
      </c>
      <c r="AB355" s="66">
        <f t="shared" si="525"/>
        <v>0</v>
      </c>
      <c r="AC355" s="66">
        <f t="shared" si="525"/>
        <v>400000000</v>
      </c>
      <c r="AD355" s="66">
        <f t="shared" si="525"/>
        <v>0</v>
      </c>
      <c r="AE355" s="66">
        <f t="shared" si="525"/>
        <v>0</v>
      </c>
      <c r="AF355" s="66">
        <f t="shared" si="525"/>
        <v>0</v>
      </c>
      <c r="AG355" s="66">
        <f t="shared" si="525"/>
        <v>0</v>
      </c>
      <c r="AH355" s="66">
        <f t="shared" si="525"/>
        <v>0</v>
      </c>
      <c r="AI355" s="66">
        <f t="shared" si="525"/>
        <v>0</v>
      </c>
      <c r="AJ355" s="67">
        <f>SUM(AJ356:AJ360)</f>
        <v>400000000</v>
      </c>
      <c r="AK355" s="66">
        <f t="shared" ref="AK355:AT355" si="526">SUM(AK356:AK360)</f>
        <v>0</v>
      </c>
      <c r="AL355" s="66">
        <f t="shared" si="526"/>
        <v>0</v>
      </c>
      <c r="AM355" s="66">
        <f t="shared" si="526"/>
        <v>400000000</v>
      </c>
      <c r="AN355" s="66">
        <f t="shared" si="526"/>
        <v>0</v>
      </c>
      <c r="AO355" s="66">
        <f t="shared" si="526"/>
        <v>0</v>
      </c>
      <c r="AP355" s="66">
        <f t="shared" si="526"/>
        <v>0</v>
      </c>
      <c r="AQ355" s="66">
        <f t="shared" si="526"/>
        <v>0</v>
      </c>
      <c r="AR355" s="66">
        <f t="shared" si="526"/>
        <v>0</v>
      </c>
      <c r="AS355" s="66">
        <f t="shared" si="526"/>
        <v>0</v>
      </c>
      <c r="AT355" s="66">
        <f t="shared" si="526"/>
        <v>400000000</v>
      </c>
      <c r="AU355" s="68"/>
      <c r="AV355" s="68"/>
      <c r="AW355" s="68"/>
      <c r="AX355" s="68"/>
      <c r="AY355" s="68"/>
      <c r="AZ355" s="68"/>
      <c r="BA355" s="68"/>
      <c r="BB355" s="68"/>
      <c r="BC355" s="68"/>
      <c r="BD355" s="66">
        <f t="shared" ref="BD355" si="527">SUM(BD356:BD360)</f>
        <v>200000000</v>
      </c>
      <c r="BE355" s="68"/>
      <c r="BF355" s="68"/>
      <c r="BG355" s="68"/>
      <c r="BH355" s="68"/>
      <c r="BI355" s="68"/>
      <c r="BJ355" s="68"/>
      <c r="BK355" s="68"/>
      <c r="BL355" s="68"/>
      <c r="BM355" s="68"/>
      <c r="BN355" s="66">
        <f t="shared" ref="BN355:BO355" si="528">SUM(BN356:BN360)</f>
        <v>150000000</v>
      </c>
      <c r="BO355" s="544">
        <f t="shared" si="528"/>
        <v>1150000000</v>
      </c>
    </row>
    <row r="356" spans="1:67" ht="60.75" customHeight="1" x14ac:dyDescent="0.2">
      <c r="A356" s="547">
        <v>234</v>
      </c>
      <c r="B356" s="69">
        <v>4</v>
      </c>
      <c r="C356" s="136"/>
      <c r="D356" s="136"/>
      <c r="E356" s="489">
        <v>38</v>
      </c>
      <c r="F356" s="637" t="s">
        <v>801</v>
      </c>
      <c r="G356" s="478">
        <v>0</v>
      </c>
      <c r="H356" s="478">
        <v>2</v>
      </c>
      <c r="I356" s="77">
        <v>236</v>
      </c>
      <c r="J356" s="73" t="s">
        <v>802</v>
      </c>
      <c r="K356" s="262" t="s">
        <v>803</v>
      </c>
      <c r="L356" s="77" t="s">
        <v>804</v>
      </c>
      <c r="M356" s="196">
        <v>12</v>
      </c>
      <c r="N356" s="93" t="s">
        <v>69</v>
      </c>
      <c r="O356" s="331">
        <v>1</v>
      </c>
      <c r="P356" s="331">
        <v>14</v>
      </c>
      <c r="Q356" s="196">
        <v>4</v>
      </c>
      <c r="R356" s="93">
        <v>7</v>
      </c>
      <c r="S356" s="500"/>
      <c r="T356" s="93">
        <v>2</v>
      </c>
      <c r="U356" s="93">
        <v>5</v>
      </c>
      <c r="V356" s="93">
        <v>1</v>
      </c>
      <c r="W356" s="330"/>
      <c r="X356" s="298">
        <f>AJ356/$AJ$355</f>
        <v>0.14374999999999999</v>
      </c>
      <c r="Y356" s="78">
        <v>11</v>
      </c>
      <c r="Z356" s="166" t="s">
        <v>225</v>
      </c>
      <c r="AA356" s="170"/>
      <c r="AB356" s="170"/>
      <c r="AC356" s="108">
        <v>57500000</v>
      </c>
      <c r="AD356" s="170"/>
      <c r="AE356" s="170"/>
      <c r="AF356" s="170"/>
      <c r="AG356" s="170"/>
      <c r="AH356" s="170"/>
      <c r="AI356" s="170"/>
      <c r="AJ356" s="82">
        <f>+AA356+AB356+AC356+AD356+AE356+AF356+AG356+AH356+AI356</f>
        <v>57500000</v>
      </c>
      <c r="AK356" s="90"/>
      <c r="AL356" s="90"/>
      <c r="AM356" s="90">
        <v>57499999.999999993</v>
      </c>
      <c r="AN356" s="90"/>
      <c r="AO356" s="90"/>
      <c r="AP356" s="90"/>
      <c r="AQ356" s="90"/>
      <c r="AR356" s="90"/>
      <c r="AS356" s="90"/>
      <c r="AT356" s="84">
        <f>AK356+AL356+AM356+AN356+AO356+AP356+AQ356+AR356+AS356</f>
        <v>57499999.999999993</v>
      </c>
      <c r="AU356" s="90"/>
      <c r="AV356" s="90"/>
      <c r="AW356" s="455">
        <v>28749999.999999996</v>
      </c>
      <c r="AX356" s="90"/>
      <c r="AY356" s="90"/>
      <c r="AZ356" s="90"/>
      <c r="BA356" s="90"/>
      <c r="BB356" s="90"/>
      <c r="BC356" s="90"/>
      <c r="BD356" s="90">
        <f>SUM(AU356:BC356)</f>
        <v>28749999.999999996</v>
      </c>
      <c r="BE356" s="90"/>
      <c r="BF356" s="90"/>
      <c r="BG356" s="90">
        <v>21500000</v>
      </c>
      <c r="BH356" s="90"/>
      <c r="BI356" s="90"/>
      <c r="BJ356" s="90"/>
      <c r="BK356" s="90"/>
      <c r="BL356" s="90"/>
      <c r="BM356" s="90"/>
      <c r="BN356" s="90">
        <f>SUM(BE356:BM356)</f>
        <v>21500000</v>
      </c>
      <c r="BO356" s="546">
        <f>AJ356+AT356+BD356+BN356</f>
        <v>165250000</v>
      </c>
    </row>
    <row r="357" spans="1:67" ht="218.25" customHeight="1" x14ac:dyDescent="0.2">
      <c r="A357" s="545">
        <v>235</v>
      </c>
      <c r="B357" s="69">
        <v>4</v>
      </c>
      <c r="C357" s="136"/>
      <c r="D357" s="136"/>
      <c r="E357" s="430"/>
      <c r="F357" s="140"/>
      <c r="G357" s="136"/>
      <c r="H357" s="136"/>
      <c r="I357" s="77">
        <v>237</v>
      </c>
      <c r="J357" s="73" t="s">
        <v>805</v>
      </c>
      <c r="K357" s="262" t="s">
        <v>806</v>
      </c>
      <c r="L357" s="77" t="s">
        <v>804</v>
      </c>
      <c r="M357" s="196">
        <v>12</v>
      </c>
      <c r="N357" s="93" t="s">
        <v>69</v>
      </c>
      <c r="O357" s="331" t="s">
        <v>49</v>
      </c>
      <c r="P357" s="341">
        <v>150</v>
      </c>
      <c r="Q357" s="196">
        <v>50</v>
      </c>
      <c r="R357" s="93">
        <v>70</v>
      </c>
      <c r="S357" s="504">
        <v>89</v>
      </c>
      <c r="T357" s="93">
        <v>20</v>
      </c>
      <c r="U357" s="93"/>
      <c r="V357" s="93">
        <v>10</v>
      </c>
      <c r="W357" s="330"/>
      <c r="X357" s="298">
        <f>AJ357/$AJ$355</f>
        <v>0.1605</v>
      </c>
      <c r="Y357" s="78">
        <v>4</v>
      </c>
      <c r="Z357" s="166" t="s">
        <v>110</v>
      </c>
      <c r="AA357" s="170"/>
      <c r="AB357" s="170"/>
      <c r="AC357" s="108">
        <f>49000000+15200000</f>
        <v>64200000</v>
      </c>
      <c r="AD357" s="170"/>
      <c r="AE357" s="170"/>
      <c r="AF357" s="170"/>
      <c r="AG357" s="170"/>
      <c r="AH357" s="170"/>
      <c r="AI357" s="170"/>
      <c r="AJ357" s="82">
        <f>+AA357+AB357+AC357+AD357+AE357+AF357+AG357+AH357+AI357</f>
        <v>64200000</v>
      </c>
      <c r="AK357" s="90"/>
      <c r="AL357" s="90"/>
      <c r="AM357" s="90">
        <v>64200000</v>
      </c>
      <c r="AN357" s="90"/>
      <c r="AO357" s="90"/>
      <c r="AP357" s="90"/>
      <c r="AQ357" s="90"/>
      <c r="AR357" s="90"/>
      <c r="AS357" s="90"/>
      <c r="AT357" s="84">
        <f>AK357+AL357+AM357+AN357+AO357+AP357+AQ357+AR357+AS357</f>
        <v>64200000</v>
      </c>
      <c r="AU357" s="90"/>
      <c r="AV357" s="90"/>
      <c r="AW357" s="455">
        <v>32100000</v>
      </c>
      <c r="AX357" s="90"/>
      <c r="AY357" s="90"/>
      <c r="AZ357" s="90"/>
      <c r="BA357" s="90"/>
      <c r="BB357" s="90"/>
      <c r="BC357" s="90"/>
      <c r="BD357" s="90">
        <f>SUM(AU357:BC357)</f>
        <v>32100000</v>
      </c>
      <c r="BE357" s="90"/>
      <c r="BF357" s="90"/>
      <c r="BG357" s="90">
        <v>24000000</v>
      </c>
      <c r="BH357" s="90"/>
      <c r="BI357" s="90"/>
      <c r="BJ357" s="90"/>
      <c r="BK357" s="90"/>
      <c r="BL357" s="90"/>
      <c r="BM357" s="90"/>
      <c r="BN357" s="90">
        <f>SUM(BE357:BM357)</f>
        <v>24000000</v>
      </c>
      <c r="BO357" s="546">
        <f>AJ357+AT357+BD357+BN357</f>
        <v>184500000</v>
      </c>
    </row>
    <row r="358" spans="1:67" ht="203.25" customHeight="1" x14ac:dyDescent="0.2">
      <c r="A358" s="547">
        <v>236</v>
      </c>
      <c r="B358" s="69">
        <v>4</v>
      </c>
      <c r="C358" s="136"/>
      <c r="D358" s="136"/>
      <c r="E358" s="430"/>
      <c r="F358" s="140"/>
      <c r="G358" s="136"/>
      <c r="H358" s="136"/>
      <c r="I358" s="77">
        <v>238</v>
      </c>
      <c r="J358" s="73" t="s">
        <v>807</v>
      </c>
      <c r="K358" s="262" t="s">
        <v>808</v>
      </c>
      <c r="L358" s="77" t="s">
        <v>804</v>
      </c>
      <c r="M358" s="196">
        <v>12</v>
      </c>
      <c r="N358" s="93" t="s">
        <v>54</v>
      </c>
      <c r="O358" s="331" t="s">
        <v>49</v>
      </c>
      <c r="P358" s="331">
        <v>12</v>
      </c>
      <c r="Q358" s="196">
        <v>12</v>
      </c>
      <c r="R358" s="93">
        <v>12</v>
      </c>
      <c r="S358" s="500"/>
      <c r="T358" s="93">
        <v>12</v>
      </c>
      <c r="U358" s="93"/>
      <c r="V358" s="93">
        <v>12</v>
      </c>
      <c r="W358" s="330"/>
      <c r="X358" s="298">
        <f>AJ358/$AJ$355</f>
        <v>0.24399999999999999</v>
      </c>
      <c r="Y358" s="78">
        <v>11</v>
      </c>
      <c r="Z358" s="166" t="s">
        <v>225</v>
      </c>
      <c r="AA358" s="170"/>
      <c r="AB358" s="170"/>
      <c r="AC358" s="108">
        <f>67600000+30000000</f>
        <v>97600000</v>
      </c>
      <c r="AD358" s="170"/>
      <c r="AE358" s="170"/>
      <c r="AF358" s="170"/>
      <c r="AG358" s="170"/>
      <c r="AH358" s="170"/>
      <c r="AI358" s="170"/>
      <c r="AJ358" s="82">
        <f>+AA358+AB358+AC358+AD358+AE358+AF358+AG358+AH358+AI358</f>
        <v>97600000</v>
      </c>
      <c r="AK358" s="90"/>
      <c r="AL358" s="90"/>
      <c r="AM358" s="90">
        <v>97600000</v>
      </c>
      <c r="AN358" s="90"/>
      <c r="AO358" s="90"/>
      <c r="AP358" s="90"/>
      <c r="AQ358" s="90"/>
      <c r="AR358" s="90"/>
      <c r="AS358" s="90"/>
      <c r="AT358" s="84">
        <f>AK358+AL358+AM358+AN358+AO358+AP358+AQ358+AR358+AS358</f>
        <v>97600000</v>
      </c>
      <c r="AU358" s="90"/>
      <c r="AV358" s="90"/>
      <c r="AW358" s="455">
        <v>48800000</v>
      </c>
      <c r="AX358" s="90"/>
      <c r="AY358" s="90"/>
      <c r="AZ358" s="90"/>
      <c r="BA358" s="90"/>
      <c r="BB358" s="90"/>
      <c r="BC358" s="90"/>
      <c r="BD358" s="90">
        <f>SUM(AU358:BC358)</f>
        <v>48800000</v>
      </c>
      <c r="BE358" s="90"/>
      <c r="BF358" s="90"/>
      <c r="BG358" s="90">
        <v>36600000</v>
      </c>
      <c r="BH358" s="90"/>
      <c r="BI358" s="90"/>
      <c r="BJ358" s="90"/>
      <c r="BK358" s="90"/>
      <c r="BL358" s="90"/>
      <c r="BM358" s="90"/>
      <c r="BN358" s="90">
        <f>SUM(BE358:BM358)</f>
        <v>36600000</v>
      </c>
      <c r="BO358" s="546">
        <f>AJ358+AT358+BD358+BN358</f>
        <v>280600000</v>
      </c>
    </row>
    <row r="359" spans="1:67" ht="60.75" customHeight="1" x14ac:dyDescent="0.2">
      <c r="A359" s="545">
        <v>237</v>
      </c>
      <c r="B359" s="69">
        <v>4</v>
      </c>
      <c r="C359" s="136"/>
      <c r="D359" s="136"/>
      <c r="E359" s="430"/>
      <c r="F359" s="140"/>
      <c r="G359" s="136"/>
      <c r="H359" s="136"/>
      <c r="I359" s="77">
        <v>239</v>
      </c>
      <c r="J359" s="73" t="s">
        <v>809</v>
      </c>
      <c r="K359" s="262" t="s">
        <v>810</v>
      </c>
      <c r="L359" s="77" t="s">
        <v>804</v>
      </c>
      <c r="M359" s="196">
        <v>12</v>
      </c>
      <c r="N359" s="93" t="s">
        <v>69</v>
      </c>
      <c r="O359" s="331" t="s">
        <v>49</v>
      </c>
      <c r="P359" s="331">
        <v>10</v>
      </c>
      <c r="Q359" s="196">
        <v>1</v>
      </c>
      <c r="R359" s="93">
        <v>6</v>
      </c>
      <c r="S359" s="500"/>
      <c r="T359" s="93">
        <v>2</v>
      </c>
      <c r="U359" s="93"/>
      <c r="V359" s="93">
        <v>1</v>
      </c>
      <c r="W359" s="297">
        <v>1.98</v>
      </c>
      <c r="X359" s="298">
        <f>AJ359/$AJ$355</f>
        <v>0.15007000000000001</v>
      </c>
      <c r="Y359" s="78">
        <v>11</v>
      </c>
      <c r="Z359" s="166" t="s">
        <v>225</v>
      </c>
      <c r="AA359" s="170"/>
      <c r="AB359" s="170"/>
      <c r="AC359" s="108">
        <v>60028000</v>
      </c>
      <c r="AD359" s="170"/>
      <c r="AE359" s="170"/>
      <c r="AF359" s="170"/>
      <c r="AG359" s="170"/>
      <c r="AH359" s="170"/>
      <c r="AI359" s="170"/>
      <c r="AJ359" s="82">
        <f>+AA359+AB359+AC359+AD359+AE359+AF359+AG359+AH359+AI359</f>
        <v>60028000</v>
      </c>
      <c r="AK359" s="90"/>
      <c r="AL359" s="90"/>
      <c r="AM359" s="90">
        <v>60028000</v>
      </c>
      <c r="AN359" s="90"/>
      <c r="AO359" s="90"/>
      <c r="AP359" s="90"/>
      <c r="AQ359" s="90"/>
      <c r="AR359" s="90"/>
      <c r="AS359" s="90"/>
      <c r="AT359" s="84">
        <f>AK359+AL359+AM359+AN359+AO359+AP359+AQ359+AR359+AS359</f>
        <v>60028000</v>
      </c>
      <c r="AU359" s="90"/>
      <c r="AV359" s="90"/>
      <c r="AW359" s="455">
        <v>30014000</v>
      </c>
      <c r="AX359" s="90"/>
      <c r="AY359" s="90"/>
      <c r="AZ359" s="90"/>
      <c r="BA359" s="90"/>
      <c r="BB359" s="90"/>
      <c r="BC359" s="90"/>
      <c r="BD359" s="90">
        <f>SUM(AU359:BC359)</f>
        <v>30014000</v>
      </c>
      <c r="BE359" s="90"/>
      <c r="BF359" s="90"/>
      <c r="BG359" s="90">
        <v>22600000</v>
      </c>
      <c r="BH359" s="90"/>
      <c r="BI359" s="90"/>
      <c r="BJ359" s="90"/>
      <c r="BK359" s="90"/>
      <c r="BL359" s="90"/>
      <c r="BM359" s="90"/>
      <c r="BN359" s="90">
        <f>SUM(BE359:BM359)</f>
        <v>22600000</v>
      </c>
      <c r="BO359" s="546">
        <f>AJ359+AT359+BD359+BN359</f>
        <v>172670000</v>
      </c>
    </row>
    <row r="360" spans="1:67" ht="60.75" customHeight="1" x14ac:dyDescent="0.2">
      <c r="A360" s="547">
        <v>238</v>
      </c>
      <c r="B360" s="69">
        <v>4</v>
      </c>
      <c r="C360" s="136"/>
      <c r="D360" s="136"/>
      <c r="E360" s="330"/>
      <c r="F360" s="258"/>
      <c r="G360" s="136"/>
      <c r="H360" s="136"/>
      <c r="I360" s="77">
        <v>240</v>
      </c>
      <c r="J360" s="73" t="s">
        <v>811</v>
      </c>
      <c r="K360" s="350" t="s">
        <v>812</v>
      </c>
      <c r="L360" s="77" t="s">
        <v>804</v>
      </c>
      <c r="M360" s="196">
        <v>12</v>
      </c>
      <c r="N360" s="93" t="s">
        <v>54</v>
      </c>
      <c r="O360" s="331">
        <v>1</v>
      </c>
      <c r="P360" s="331">
        <v>1</v>
      </c>
      <c r="Q360" s="196">
        <v>1</v>
      </c>
      <c r="R360" s="93">
        <v>1</v>
      </c>
      <c r="S360" s="500"/>
      <c r="T360" s="93">
        <v>1</v>
      </c>
      <c r="U360" s="93"/>
      <c r="V360" s="93">
        <v>1</v>
      </c>
      <c r="W360" s="330"/>
      <c r="X360" s="298">
        <f>AJ360/$AJ$355</f>
        <v>0.30168</v>
      </c>
      <c r="Y360" s="78">
        <v>11</v>
      </c>
      <c r="Z360" s="166" t="s">
        <v>225</v>
      </c>
      <c r="AA360" s="170"/>
      <c r="AB360" s="170"/>
      <c r="AC360" s="108">
        <f>80800000+39872000</f>
        <v>120672000</v>
      </c>
      <c r="AD360" s="170"/>
      <c r="AE360" s="170"/>
      <c r="AF360" s="170"/>
      <c r="AG360" s="170"/>
      <c r="AH360" s="170"/>
      <c r="AI360" s="170"/>
      <c r="AJ360" s="82">
        <f>+AA360+AB360+AC360+AD360+AE360+AF360+AG360+AH360+AI360</f>
        <v>120672000</v>
      </c>
      <c r="AK360" s="90"/>
      <c r="AL360" s="90"/>
      <c r="AM360" s="90">
        <v>120672000</v>
      </c>
      <c r="AN360" s="90"/>
      <c r="AO360" s="90"/>
      <c r="AP360" s="90"/>
      <c r="AQ360" s="90"/>
      <c r="AR360" s="90"/>
      <c r="AS360" s="90"/>
      <c r="AT360" s="84">
        <f>AK360+AL360+AM360+AN360+AO360+AP360+AQ360+AR360+AS360</f>
        <v>120672000</v>
      </c>
      <c r="AU360" s="90"/>
      <c r="AV360" s="90"/>
      <c r="AW360" s="455">
        <v>60336000</v>
      </c>
      <c r="AX360" s="90"/>
      <c r="AY360" s="90"/>
      <c r="AZ360" s="90"/>
      <c r="BA360" s="90"/>
      <c r="BB360" s="90"/>
      <c r="BC360" s="90"/>
      <c r="BD360" s="90">
        <f>SUM(AU360:BC360)</f>
        <v>60336000</v>
      </c>
      <c r="BE360" s="90"/>
      <c r="BF360" s="90"/>
      <c r="BG360" s="90">
        <v>45300000</v>
      </c>
      <c r="BH360" s="90"/>
      <c r="BI360" s="90"/>
      <c r="BJ360" s="90"/>
      <c r="BK360" s="90"/>
      <c r="BL360" s="90"/>
      <c r="BM360" s="90"/>
      <c r="BN360" s="90">
        <f>SUM(BE360:BM360)</f>
        <v>45300000</v>
      </c>
      <c r="BO360" s="546">
        <f>AJ360+AT360+BD360+BN360</f>
        <v>346980000</v>
      </c>
    </row>
    <row r="361" spans="1:67" ht="24.75" customHeight="1" x14ac:dyDescent="0.2">
      <c r="A361" s="547"/>
      <c r="B361" s="69"/>
      <c r="C361" s="136"/>
      <c r="D361" s="136"/>
      <c r="E361" s="57">
        <v>82</v>
      </c>
      <c r="F361" s="333" t="s">
        <v>813</v>
      </c>
      <c r="G361" s="145"/>
      <c r="H361" s="145"/>
      <c r="I361" s="62"/>
      <c r="J361" s="58"/>
      <c r="K361" s="61"/>
      <c r="L361" s="175"/>
      <c r="M361" s="348"/>
      <c r="N361" s="351"/>
      <c r="O361" s="61"/>
      <c r="P361" s="61"/>
      <c r="Q361" s="347"/>
      <c r="R361" s="145"/>
      <c r="S361" s="518"/>
      <c r="T361" s="145"/>
      <c r="U361" s="145"/>
      <c r="V361" s="348"/>
      <c r="W361" s="348"/>
      <c r="X361" s="137"/>
      <c r="Y361" s="62"/>
      <c r="Z361" s="62"/>
      <c r="AA361" s="66">
        <f t="shared" ref="AA361:AI361" si="529">SUM(AA362:AA363)</f>
        <v>0</v>
      </c>
      <c r="AB361" s="66">
        <f t="shared" si="529"/>
        <v>0</v>
      </c>
      <c r="AC361" s="66">
        <f t="shared" si="529"/>
        <v>80000000</v>
      </c>
      <c r="AD361" s="66">
        <f t="shared" si="529"/>
        <v>0</v>
      </c>
      <c r="AE361" s="66">
        <f t="shared" si="529"/>
        <v>0</v>
      </c>
      <c r="AF361" s="66">
        <f t="shared" si="529"/>
        <v>0</v>
      </c>
      <c r="AG361" s="66">
        <f t="shared" si="529"/>
        <v>0</v>
      </c>
      <c r="AH361" s="66">
        <f t="shared" si="529"/>
        <v>0</v>
      </c>
      <c r="AI361" s="66">
        <f t="shared" si="529"/>
        <v>0</v>
      </c>
      <c r="AJ361" s="67">
        <f>SUM(AJ362:AJ363)</f>
        <v>80000000</v>
      </c>
      <c r="AK361" s="66">
        <f t="shared" ref="AK361:AT361" si="530">SUM(AK362:AK363)</f>
        <v>0</v>
      </c>
      <c r="AL361" s="66">
        <f t="shared" si="530"/>
        <v>0</v>
      </c>
      <c r="AM361" s="66">
        <f t="shared" si="530"/>
        <v>90000000</v>
      </c>
      <c r="AN361" s="66">
        <f t="shared" si="530"/>
        <v>0</v>
      </c>
      <c r="AO361" s="66">
        <f t="shared" si="530"/>
        <v>0</v>
      </c>
      <c r="AP361" s="66">
        <f t="shared" si="530"/>
        <v>0</v>
      </c>
      <c r="AQ361" s="66">
        <f t="shared" si="530"/>
        <v>0</v>
      </c>
      <c r="AR361" s="66">
        <f t="shared" si="530"/>
        <v>0</v>
      </c>
      <c r="AS361" s="66">
        <f t="shared" si="530"/>
        <v>0</v>
      </c>
      <c r="AT361" s="66">
        <f t="shared" si="530"/>
        <v>90000000</v>
      </c>
      <c r="AU361" s="68"/>
      <c r="AV361" s="68"/>
      <c r="AW361" s="68"/>
      <c r="AX361" s="68"/>
      <c r="AY361" s="68"/>
      <c r="AZ361" s="68"/>
      <c r="BA361" s="68"/>
      <c r="BB361" s="68"/>
      <c r="BC361" s="68"/>
      <c r="BD361" s="66">
        <f t="shared" ref="BD361" si="531">SUM(BD362:BD363)</f>
        <v>80000000</v>
      </c>
      <c r="BE361" s="68"/>
      <c r="BF361" s="68"/>
      <c r="BG361" s="68"/>
      <c r="BH361" s="68"/>
      <c r="BI361" s="68"/>
      <c r="BJ361" s="68"/>
      <c r="BK361" s="68"/>
      <c r="BL361" s="68"/>
      <c r="BM361" s="68"/>
      <c r="BN361" s="66">
        <f t="shared" ref="BN361:BO361" si="532">SUM(BN362:BN363)</f>
        <v>80000000</v>
      </c>
      <c r="BO361" s="544">
        <f t="shared" si="532"/>
        <v>330000000</v>
      </c>
    </row>
    <row r="362" spans="1:67" ht="120.75" customHeight="1" x14ac:dyDescent="0.2">
      <c r="A362" s="545">
        <v>239</v>
      </c>
      <c r="B362" s="69">
        <v>4</v>
      </c>
      <c r="C362" s="136"/>
      <c r="D362" s="136"/>
      <c r="E362" s="480">
        <v>38</v>
      </c>
      <c r="F362" s="637" t="s">
        <v>801</v>
      </c>
      <c r="G362" s="478">
        <v>0</v>
      </c>
      <c r="H362" s="478">
        <v>2</v>
      </c>
      <c r="I362" s="77">
        <v>241</v>
      </c>
      <c r="J362" s="73" t="s">
        <v>814</v>
      </c>
      <c r="K362" s="262" t="s">
        <v>815</v>
      </c>
      <c r="L362" s="77" t="s">
        <v>804</v>
      </c>
      <c r="M362" s="196">
        <v>12</v>
      </c>
      <c r="N362" s="93" t="s">
        <v>54</v>
      </c>
      <c r="O362" s="331">
        <v>1</v>
      </c>
      <c r="P362" s="331">
        <v>1</v>
      </c>
      <c r="Q362" s="349">
        <v>1</v>
      </c>
      <c r="R362" s="91">
        <v>1</v>
      </c>
      <c r="S362" s="500"/>
      <c r="T362" s="91">
        <v>1</v>
      </c>
      <c r="U362" s="91"/>
      <c r="V362" s="91">
        <v>1</v>
      </c>
      <c r="W362" s="91"/>
      <c r="X362" s="303">
        <f>AJ362/AJ361</f>
        <v>0.5625</v>
      </c>
      <c r="Y362" s="78">
        <v>11</v>
      </c>
      <c r="Z362" s="75" t="s">
        <v>225</v>
      </c>
      <c r="AA362" s="108"/>
      <c r="AB362" s="108"/>
      <c r="AC362" s="108">
        <v>45000000</v>
      </c>
      <c r="AD362" s="108"/>
      <c r="AE362" s="108"/>
      <c r="AF362" s="108"/>
      <c r="AG362" s="108"/>
      <c r="AH362" s="108"/>
      <c r="AI362" s="108"/>
      <c r="AJ362" s="82">
        <f>+AA362+AB362+AC362+AD362+AE362+AF362+AG362+AH362+AI362</f>
        <v>45000000</v>
      </c>
      <c r="AK362" s="90"/>
      <c r="AL362" s="90"/>
      <c r="AM362" s="455">
        <v>50625000</v>
      </c>
      <c r="AN362" s="90"/>
      <c r="AO362" s="90"/>
      <c r="AP362" s="90"/>
      <c r="AQ362" s="90"/>
      <c r="AR362" s="90"/>
      <c r="AS362" s="90"/>
      <c r="AT362" s="84">
        <f>AK362+AL362+AM362+AN362+AO362+AP362+AQ362+AR362+AS362</f>
        <v>50625000</v>
      </c>
      <c r="AU362" s="90"/>
      <c r="AV362" s="90"/>
      <c r="AW362" s="90">
        <v>45000000</v>
      </c>
      <c r="AX362" s="90"/>
      <c r="AY362" s="90"/>
      <c r="AZ362" s="90"/>
      <c r="BA362" s="90"/>
      <c r="BB362" s="90"/>
      <c r="BC362" s="90"/>
      <c r="BD362" s="90">
        <f>SUM(AU362:BC362)</f>
        <v>45000000</v>
      </c>
      <c r="BE362" s="90"/>
      <c r="BF362" s="90"/>
      <c r="BG362" s="90">
        <v>45000000</v>
      </c>
      <c r="BH362" s="90"/>
      <c r="BI362" s="90"/>
      <c r="BJ362" s="90"/>
      <c r="BK362" s="90"/>
      <c r="BL362" s="90"/>
      <c r="BM362" s="90"/>
      <c r="BN362" s="90">
        <f>SUM(BE362:BM362)</f>
        <v>45000000</v>
      </c>
      <c r="BO362" s="546">
        <f>AJ362+AT362+BD362+BN362</f>
        <v>185625000</v>
      </c>
    </row>
    <row r="363" spans="1:67" ht="80.25" customHeight="1" x14ac:dyDescent="0.2">
      <c r="A363" s="545">
        <v>240</v>
      </c>
      <c r="B363" s="69">
        <v>4</v>
      </c>
      <c r="C363" s="192"/>
      <c r="D363" s="192"/>
      <c r="E363" s="166"/>
      <c r="F363" s="140"/>
      <c r="G363" s="140"/>
      <c r="H363" s="140"/>
      <c r="I363" s="77">
        <v>242</v>
      </c>
      <c r="J363" s="73" t="s">
        <v>816</v>
      </c>
      <c r="K363" s="70" t="s">
        <v>817</v>
      </c>
      <c r="L363" s="77" t="s">
        <v>804</v>
      </c>
      <c r="M363" s="196">
        <v>12</v>
      </c>
      <c r="N363" s="93" t="s">
        <v>54</v>
      </c>
      <c r="O363" s="331">
        <v>1</v>
      </c>
      <c r="P363" s="331">
        <v>1</v>
      </c>
      <c r="Q363" s="477">
        <v>1</v>
      </c>
      <c r="R363" s="478">
        <v>1</v>
      </c>
      <c r="S363" s="500"/>
      <c r="T363" s="478">
        <v>1</v>
      </c>
      <c r="U363" s="478"/>
      <c r="V363" s="478">
        <v>1</v>
      </c>
      <c r="W363" s="478"/>
      <c r="X363" s="303">
        <f>AJ363/AJ361</f>
        <v>0.4375</v>
      </c>
      <c r="Y363" s="78">
        <v>11</v>
      </c>
      <c r="Z363" s="75" t="s">
        <v>225</v>
      </c>
      <c r="AA363" s="108"/>
      <c r="AB363" s="108"/>
      <c r="AC363" s="108">
        <v>35000000</v>
      </c>
      <c r="AD363" s="108"/>
      <c r="AE363" s="108"/>
      <c r="AF363" s="108"/>
      <c r="AG363" s="108"/>
      <c r="AH363" s="108"/>
      <c r="AI363" s="108"/>
      <c r="AJ363" s="82">
        <f>+AA363+AB363+AC363+AD363+AE363+AF363+AG363+AH363+AI363</f>
        <v>35000000</v>
      </c>
      <c r="AK363" s="90"/>
      <c r="AL363" s="90"/>
      <c r="AM363" s="455">
        <v>39375000</v>
      </c>
      <c r="AN363" s="90"/>
      <c r="AO363" s="90"/>
      <c r="AP363" s="90"/>
      <c r="AQ363" s="90"/>
      <c r="AR363" s="90"/>
      <c r="AS363" s="90"/>
      <c r="AT363" s="84">
        <f>AK363+AL363+AM363+AN363+AO363+AP363+AQ363+AR363+AS363</f>
        <v>39375000</v>
      </c>
      <c r="AU363" s="90"/>
      <c r="AV363" s="90"/>
      <c r="AW363" s="90">
        <v>35000000</v>
      </c>
      <c r="AX363" s="90"/>
      <c r="AY363" s="90"/>
      <c r="AZ363" s="90"/>
      <c r="BA363" s="90"/>
      <c r="BB363" s="90"/>
      <c r="BC363" s="90"/>
      <c r="BD363" s="90">
        <f>SUM(AU363:BC363)</f>
        <v>35000000</v>
      </c>
      <c r="BE363" s="90"/>
      <c r="BF363" s="90"/>
      <c r="BG363" s="90">
        <v>35000000</v>
      </c>
      <c r="BH363" s="90"/>
      <c r="BI363" s="90"/>
      <c r="BJ363" s="90"/>
      <c r="BK363" s="90"/>
      <c r="BL363" s="90"/>
      <c r="BM363" s="90"/>
      <c r="BN363" s="90">
        <f>SUM(BE363:BM363)</f>
        <v>35000000</v>
      </c>
      <c r="BO363" s="546">
        <f>AJ363+AT363+BD363+BN363</f>
        <v>144375000</v>
      </c>
    </row>
    <row r="364" spans="1:67" ht="24.75" customHeight="1" x14ac:dyDescent="0.2">
      <c r="A364" s="545"/>
      <c r="B364" s="69"/>
      <c r="C364" s="125">
        <v>5</v>
      </c>
      <c r="D364" s="126" t="s">
        <v>818</v>
      </c>
      <c r="E364" s="127"/>
      <c r="F364" s="35"/>
      <c r="G364" s="35"/>
      <c r="H364" s="35"/>
      <c r="I364" s="127"/>
      <c r="J364" s="128"/>
      <c r="K364" s="128"/>
      <c r="L364" s="129"/>
      <c r="M364" s="127"/>
      <c r="N364" s="130"/>
      <c r="O364" s="128"/>
      <c r="P364" s="128"/>
      <c r="Q364" s="131"/>
      <c r="R364" s="128"/>
      <c r="S364" s="506"/>
      <c r="T364" s="128"/>
      <c r="U364" s="128"/>
      <c r="V364" s="127"/>
      <c r="W364" s="127"/>
      <c r="X364" s="132"/>
      <c r="Y364" s="127"/>
      <c r="Z364" s="127"/>
      <c r="AA364" s="40">
        <f t="shared" ref="AA364:AI364" si="533">AA365+AA374+AA384</f>
        <v>0</v>
      </c>
      <c r="AB364" s="40">
        <f t="shared" si="533"/>
        <v>64260244</v>
      </c>
      <c r="AC364" s="40">
        <f t="shared" si="533"/>
        <v>3467251891</v>
      </c>
      <c r="AD364" s="40">
        <f t="shared" si="533"/>
        <v>435000000</v>
      </c>
      <c r="AE364" s="40">
        <f t="shared" si="533"/>
        <v>0</v>
      </c>
      <c r="AF364" s="40">
        <f t="shared" si="533"/>
        <v>0</v>
      </c>
      <c r="AG364" s="40">
        <f t="shared" si="533"/>
        <v>0</v>
      </c>
      <c r="AH364" s="40">
        <f t="shared" si="533"/>
        <v>0</v>
      </c>
      <c r="AI364" s="40">
        <f t="shared" si="533"/>
        <v>5097000000</v>
      </c>
      <c r="AJ364" s="133">
        <f>AJ365+AJ374+AJ384</f>
        <v>9063512135</v>
      </c>
      <c r="AK364" s="40">
        <f t="shared" ref="AK364:AT364" si="534">AK365+AK374+AK384</f>
        <v>4000000000</v>
      </c>
      <c r="AL364" s="40">
        <f t="shared" si="534"/>
        <v>41200000</v>
      </c>
      <c r="AM364" s="40">
        <f t="shared" si="534"/>
        <v>2784152274</v>
      </c>
      <c r="AN364" s="40">
        <f t="shared" si="534"/>
        <v>200000000</v>
      </c>
      <c r="AO364" s="40">
        <f t="shared" si="534"/>
        <v>0</v>
      </c>
      <c r="AP364" s="40">
        <f t="shared" si="534"/>
        <v>0</v>
      </c>
      <c r="AQ364" s="40">
        <f t="shared" si="534"/>
        <v>0</v>
      </c>
      <c r="AR364" s="40">
        <f t="shared" si="534"/>
        <v>0</v>
      </c>
      <c r="AS364" s="40">
        <f t="shared" si="534"/>
        <v>3000000000</v>
      </c>
      <c r="AT364" s="40">
        <f t="shared" si="534"/>
        <v>10025352274</v>
      </c>
      <c r="AU364" s="42"/>
      <c r="AV364" s="42"/>
      <c r="AW364" s="42"/>
      <c r="AX364" s="42"/>
      <c r="AY364" s="42"/>
      <c r="AZ364" s="42"/>
      <c r="BA364" s="42"/>
      <c r="BB364" s="42"/>
      <c r="BC364" s="42"/>
      <c r="BD364" s="40">
        <f t="shared" ref="BD364" si="535">BD365+BD374+BD384</f>
        <v>5407740749</v>
      </c>
      <c r="BE364" s="42"/>
      <c r="BF364" s="42"/>
      <c r="BG364" s="42"/>
      <c r="BH364" s="42"/>
      <c r="BI364" s="42"/>
      <c r="BJ364" s="42"/>
      <c r="BK364" s="42"/>
      <c r="BL364" s="42"/>
      <c r="BM364" s="42"/>
      <c r="BN364" s="40">
        <f t="shared" ref="BN364:BO364" si="536">BN365+BN374+BN384</f>
        <v>5303709080</v>
      </c>
      <c r="BO364" s="541">
        <f t="shared" si="536"/>
        <v>29800314238</v>
      </c>
    </row>
    <row r="365" spans="1:67" ht="24.75" customHeight="1" x14ac:dyDescent="0.2">
      <c r="A365" s="545"/>
      <c r="B365" s="69"/>
      <c r="C365" s="562"/>
      <c r="D365" s="43">
        <v>26</v>
      </c>
      <c r="E365" s="134" t="s">
        <v>819</v>
      </c>
      <c r="F365" s="48"/>
      <c r="G365" s="48"/>
      <c r="H365" s="46"/>
      <c r="I365" s="47"/>
      <c r="J365" s="48"/>
      <c r="K365" s="48"/>
      <c r="L365" s="49"/>
      <c r="M365" s="47"/>
      <c r="N365" s="50"/>
      <c r="O365" s="48"/>
      <c r="P365" s="48"/>
      <c r="Q365" s="51"/>
      <c r="R365" s="48"/>
      <c r="S365" s="498"/>
      <c r="T365" s="48"/>
      <c r="U365" s="48"/>
      <c r="V365" s="47"/>
      <c r="W365" s="47"/>
      <c r="X365" s="135"/>
      <c r="Y365" s="47"/>
      <c r="Z365" s="47"/>
      <c r="AA365" s="53">
        <f t="shared" ref="AA365:AI365" si="537">AA366+AA371</f>
        <v>0</v>
      </c>
      <c r="AB365" s="53">
        <f t="shared" si="537"/>
        <v>0</v>
      </c>
      <c r="AC365" s="53">
        <f t="shared" si="537"/>
        <v>400000000</v>
      </c>
      <c r="AD365" s="53">
        <f t="shared" si="537"/>
        <v>0</v>
      </c>
      <c r="AE365" s="53">
        <f t="shared" si="537"/>
        <v>0</v>
      </c>
      <c r="AF365" s="53">
        <f t="shared" si="537"/>
        <v>0</v>
      </c>
      <c r="AG365" s="53">
        <f t="shared" si="537"/>
        <v>0</v>
      </c>
      <c r="AH365" s="53">
        <f t="shared" si="537"/>
        <v>0</v>
      </c>
      <c r="AI365" s="53">
        <f t="shared" si="537"/>
        <v>0</v>
      </c>
      <c r="AJ365" s="54">
        <f>AJ366+AJ371</f>
        <v>400000000</v>
      </c>
      <c r="AK365" s="53">
        <f t="shared" ref="AK365:AT365" si="538">AK366+AK371</f>
        <v>0</v>
      </c>
      <c r="AL365" s="53">
        <f t="shared" si="538"/>
        <v>0</v>
      </c>
      <c r="AM365" s="53">
        <f t="shared" si="538"/>
        <v>430000000</v>
      </c>
      <c r="AN365" s="53">
        <f t="shared" si="538"/>
        <v>0</v>
      </c>
      <c r="AO365" s="53">
        <f t="shared" si="538"/>
        <v>0</v>
      </c>
      <c r="AP365" s="53">
        <f t="shared" si="538"/>
        <v>0</v>
      </c>
      <c r="AQ365" s="53">
        <f t="shared" si="538"/>
        <v>0</v>
      </c>
      <c r="AR365" s="53">
        <f t="shared" si="538"/>
        <v>0</v>
      </c>
      <c r="AS365" s="53">
        <f t="shared" si="538"/>
        <v>0</v>
      </c>
      <c r="AT365" s="53">
        <f t="shared" si="538"/>
        <v>430000000</v>
      </c>
      <c r="AU365" s="55"/>
      <c r="AV365" s="55"/>
      <c r="AW365" s="55"/>
      <c r="AX365" s="55"/>
      <c r="AY365" s="55"/>
      <c r="AZ365" s="55"/>
      <c r="BA365" s="55"/>
      <c r="BB365" s="55"/>
      <c r="BC365" s="55"/>
      <c r="BD365" s="53">
        <f t="shared" ref="BD365" si="539">BD366+BD371</f>
        <v>350000000</v>
      </c>
      <c r="BE365" s="55"/>
      <c r="BF365" s="55"/>
      <c r="BG365" s="55"/>
      <c r="BH365" s="55"/>
      <c r="BI365" s="55"/>
      <c r="BJ365" s="55"/>
      <c r="BK365" s="55"/>
      <c r="BL365" s="55"/>
      <c r="BM365" s="55"/>
      <c r="BN365" s="53">
        <f t="shared" ref="BN365:BO365" si="540">BN366+BN371</f>
        <v>330000000</v>
      </c>
      <c r="BO365" s="543">
        <f t="shared" si="540"/>
        <v>1510000000</v>
      </c>
    </row>
    <row r="366" spans="1:67" ht="24.75" customHeight="1" x14ac:dyDescent="0.2">
      <c r="A366" s="545"/>
      <c r="B366" s="69"/>
      <c r="C366" s="136"/>
      <c r="D366" s="562"/>
      <c r="E366" s="57">
        <v>83</v>
      </c>
      <c r="F366" s="58" t="s">
        <v>820</v>
      </c>
      <c r="G366" s="61"/>
      <c r="H366" s="61"/>
      <c r="I366" s="60"/>
      <c r="J366" s="61"/>
      <c r="K366" s="61"/>
      <c r="L366" s="60"/>
      <c r="M366" s="62"/>
      <c r="N366" s="63"/>
      <c r="O366" s="61"/>
      <c r="P366" s="61"/>
      <c r="Q366" s="64"/>
      <c r="R366" s="61"/>
      <c r="S366" s="499"/>
      <c r="T366" s="61"/>
      <c r="U366" s="61"/>
      <c r="V366" s="62"/>
      <c r="W366" s="62"/>
      <c r="X366" s="137"/>
      <c r="Y366" s="62"/>
      <c r="Z366" s="62"/>
      <c r="AA366" s="66">
        <f t="shared" ref="AA366:AI366" si="541">SUM(AA367:AA370)</f>
        <v>0</v>
      </c>
      <c r="AB366" s="66">
        <f t="shared" si="541"/>
        <v>0</v>
      </c>
      <c r="AC366" s="66">
        <f t="shared" si="541"/>
        <v>350000000</v>
      </c>
      <c r="AD366" s="66">
        <f t="shared" si="541"/>
        <v>0</v>
      </c>
      <c r="AE366" s="66">
        <f t="shared" si="541"/>
        <v>0</v>
      </c>
      <c r="AF366" s="66">
        <f t="shared" si="541"/>
        <v>0</v>
      </c>
      <c r="AG366" s="66">
        <f t="shared" si="541"/>
        <v>0</v>
      </c>
      <c r="AH366" s="66">
        <f t="shared" si="541"/>
        <v>0</v>
      </c>
      <c r="AI366" s="66">
        <f t="shared" si="541"/>
        <v>0</v>
      </c>
      <c r="AJ366" s="67">
        <f>SUM(AJ367:AJ370)</f>
        <v>350000000</v>
      </c>
      <c r="AK366" s="66">
        <f t="shared" ref="AK366:AT366" si="542">SUM(AK367:AK370)</f>
        <v>0</v>
      </c>
      <c r="AL366" s="66">
        <f t="shared" si="542"/>
        <v>0</v>
      </c>
      <c r="AM366" s="66">
        <f t="shared" si="542"/>
        <v>350000000</v>
      </c>
      <c r="AN366" s="66">
        <f t="shared" si="542"/>
        <v>0</v>
      </c>
      <c r="AO366" s="66">
        <f t="shared" si="542"/>
        <v>0</v>
      </c>
      <c r="AP366" s="66">
        <f t="shared" si="542"/>
        <v>0</v>
      </c>
      <c r="AQ366" s="66">
        <f t="shared" si="542"/>
        <v>0</v>
      </c>
      <c r="AR366" s="66">
        <f t="shared" si="542"/>
        <v>0</v>
      </c>
      <c r="AS366" s="66">
        <f t="shared" si="542"/>
        <v>0</v>
      </c>
      <c r="AT366" s="66">
        <f t="shared" si="542"/>
        <v>350000000</v>
      </c>
      <c r="AU366" s="68"/>
      <c r="AV366" s="68"/>
      <c r="AW366" s="68"/>
      <c r="AX366" s="68"/>
      <c r="AY366" s="68"/>
      <c r="AZ366" s="68"/>
      <c r="BA366" s="68"/>
      <c r="BB366" s="68"/>
      <c r="BC366" s="68"/>
      <c r="BD366" s="66">
        <f t="shared" ref="BD366" si="543">SUM(BD367:BD370)</f>
        <v>300000000</v>
      </c>
      <c r="BE366" s="68"/>
      <c r="BF366" s="68"/>
      <c r="BG366" s="68"/>
      <c r="BH366" s="68"/>
      <c r="BI366" s="68"/>
      <c r="BJ366" s="68"/>
      <c r="BK366" s="68"/>
      <c r="BL366" s="68"/>
      <c r="BM366" s="68"/>
      <c r="BN366" s="66">
        <f t="shared" ref="BN366:BO366" si="544">SUM(BN367:BN370)</f>
        <v>280000000</v>
      </c>
      <c r="BO366" s="544">
        <f t="shared" si="544"/>
        <v>1280000000</v>
      </c>
    </row>
    <row r="367" spans="1:67" ht="93.75" customHeight="1" x14ac:dyDescent="0.2">
      <c r="A367" s="547">
        <v>242</v>
      </c>
      <c r="B367" s="69">
        <v>5</v>
      </c>
      <c r="C367" s="136"/>
      <c r="D367" s="136"/>
      <c r="E367" s="478">
        <v>37</v>
      </c>
      <c r="F367" s="70" t="s">
        <v>533</v>
      </c>
      <c r="G367" s="621" t="s">
        <v>534</v>
      </c>
      <c r="H367" s="255">
        <v>0.6</v>
      </c>
      <c r="I367" s="77">
        <v>243</v>
      </c>
      <c r="J367" s="73" t="s">
        <v>821</v>
      </c>
      <c r="K367" s="262" t="s">
        <v>822</v>
      </c>
      <c r="L367" s="74" t="s">
        <v>823</v>
      </c>
      <c r="M367" s="74">
        <v>17</v>
      </c>
      <c r="N367" s="337" t="s">
        <v>69</v>
      </c>
      <c r="O367" s="331" t="s">
        <v>49</v>
      </c>
      <c r="P367" s="331">
        <v>20</v>
      </c>
      <c r="Q367" s="276">
        <v>2</v>
      </c>
      <c r="R367" s="331">
        <v>6</v>
      </c>
      <c r="S367" s="500"/>
      <c r="T367" s="331">
        <v>6</v>
      </c>
      <c r="U367" s="331"/>
      <c r="V367" s="331">
        <v>6</v>
      </c>
      <c r="W367" s="337"/>
      <c r="X367" s="257">
        <f>AJ367/$AJ$366</f>
        <v>0.2857142857142857</v>
      </c>
      <c r="Y367" s="78">
        <v>16</v>
      </c>
      <c r="Z367" s="75" t="s">
        <v>372</v>
      </c>
      <c r="AA367" s="108"/>
      <c r="AB367" s="108"/>
      <c r="AC367" s="108">
        <f>48000000+52000000</f>
        <v>100000000</v>
      </c>
      <c r="AD367" s="108"/>
      <c r="AE367" s="108"/>
      <c r="AF367" s="108"/>
      <c r="AG367" s="108"/>
      <c r="AH367" s="108"/>
      <c r="AI367" s="108"/>
      <c r="AJ367" s="82">
        <f>+AA367+AB367+AC367+AD367+AE367+AF367+AG367+AH367+AI367</f>
        <v>100000000</v>
      </c>
      <c r="AK367" s="90"/>
      <c r="AL367" s="90"/>
      <c r="AM367" s="90">
        <v>100000000</v>
      </c>
      <c r="AN367" s="90"/>
      <c r="AO367" s="90"/>
      <c r="AP367" s="90"/>
      <c r="AQ367" s="90"/>
      <c r="AR367" s="90"/>
      <c r="AS367" s="90"/>
      <c r="AT367" s="84">
        <f>AK367+AL367+AM367+AN367+AO367+AP367+AQ367+AR367+AS367</f>
        <v>100000000</v>
      </c>
      <c r="AU367" s="90"/>
      <c r="AV367" s="90"/>
      <c r="AW367" s="90">
        <v>85700000</v>
      </c>
      <c r="AX367" s="90"/>
      <c r="AY367" s="90"/>
      <c r="AZ367" s="90"/>
      <c r="BA367" s="90"/>
      <c r="BB367" s="90"/>
      <c r="BC367" s="90"/>
      <c r="BD367" s="90">
        <f>SUM(AU367:BC367)</f>
        <v>85700000</v>
      </c>
      <c r="BE367" s="90"/>
      <c r="BF367" s="90"/>
      <c r="BG367" s="90">
        <v>80000000</v>
      </c>
      <c r="BH367" s="90"/>
      <c r="BI367" s="90"/>
      <c r="BJ367" s="90"/>
      <c r="BK367" s="90"/>
      <c r="BL367" s="90"/>
      <c r="BM367" s="90"/>
      <c r="BN367" s="90">
        <f>SUM(BE367:BM367)</f>
        <v>80000000</v>
      </c>
      <c r="BO367" s="546">
        <f>AJ367+AT367+BD367+BN367</f>
        <v>365700000</v>
      </c>
    </row>
    <row r="368" spans="1:67" ht="93.75" customHeight="1" x14ac:dyDescent="0.2">
      <c r="A368" s="545">
        <v>243</v>
      </c>
      <c r="B368" s="69">
        <v>5</v>
      </c>
      <c r="C368" s="136"/>
      <c r="D368" s="136"/>
      <c r="E368" s="91">
        <v>37</v>
      </c>
      <c r="F368" s="439" t="s">
        <v>824</v>
      </c>
      <c r="G368" s="548" t="s">
        <v>534</v>
      </c>
      <c r="H368" s="623">
        <v>0.6</v>
      </c>
      <c r="I368" s="77">
        <v>244</v>
      </c>
      <c r="J368" s="73" t="s">
        <v>825</v>
      </c>
      <c r="K368" s="70" t="s">
        <v>826</v>
      </c>
      <c r="L368" s="74" t="s">
        <v>823</v>
      </c>
      <c r="M368" s="74">
        <v>17</v>
      </c>
      <c r="N368" s="275" t="s">
        <v>69</v>
      </c>
      <c r="O368" s="276" t="s">
        <v>49</v>
      </c>
      <c r="P368" s="276">
        <v>40</v>
      </c>
      <c r="Q368" s="276">
        <v>4</v>
      </c>
      <c r="R368" s="276">
        <v>12</v>
      </c>
      <c r="S368" s="500"/>
      <c r="T368" s="276">
        <v>12</v>
      </c>
      <c r="U368" s="276"/>
      <c r="V368" s="276">
        <v>12</v>
      </c>
      <c r="W368" s="275"/>
      <c r="X368" s="257">
        <f>AJ368/$AJ$366</f>
        <v>0.11428571428571428</v>
      </c>
      <c r="Y368" s="78">
        <v>16</v>
      </c>
      <c r="Z368" s="75" t="s">
        <v>372</v>
      </c>
      <c r="AA368" s="108"/>
      <c r="AB368" s="108"/>
      <c r="AC368" s="108">
        <v>40000000</v>
      </c>
      <c r="AD368" s="108"/>
      <c r="AE368" s="108"/>
      <c r="AF368" s="108"/>
      <c r="AG368" s="108"/>
      <c r="AH368" s="108"/>
      <c r="AI368" s="108"/>
      <c r="AJ368" s="82">
        <f>+AA368+AB368+AC368+AD368+AE368+AF368+AG368+AH368+AI368</f>
        <v>40000000</v>
      </c>
      <c r="AK368" s="90"/>
      <c r="AL368" s="90"/>
      <c r="AM368" s="90">
        <v>40000000</v>
      </c>
      <c r="AN368" s="90"/>
      <c r="AO368" s="90"/>
      <c r="AP368" s="90"/>
      <c r="AQ368" s="90"/>
      <c r="AR368" s="90"/>
      <c r="AS368" s="90"/>
      <c r="AT368" s="84">
        <f>AK368+AL368+AM368+AN368+AO368+AP368+AQ368+AR368+AS368</f>
        <v>40000000</v>
      </c>
      <c r="AU368" s="90"/>
      <c r="AV368" s="90"/>
      <c r="AW368" s="90">
        <v>34250000</v>
      </c>
      <c r="AX368" s="90"/>
      <c r="AY368" s="90"/>
      <c r="AZ368" s="90"/>
      <c r="BA368" s="90"/>
      <c r="BB368" s="90"/>
      <c r="BC368" s="90"/>
      <c r="BD368" s="90">
        <f>SUM(AU368:BC368)</f>
        <v>34250000</v>
      </c>
      <c r="BE368" s="90"/>
      <c r="BF368" s="90"/>
      <c r="BG368" s="90">
        <v>32000000</v>
      </c>
      <c r="BH368" s="90"/>
      <c r="BI368" s="90"/>
      <c r="BJ368" s="90"/>
      <c r="BK368" s="90"/>
      <c r="BL368" s="90"/>
      <c r="BM368" s="90"/>
      <c r="BN368" s="90">
        <f>SUM(BE368:BM368)</f>
        <v>32000000</v>
      </c>
      <c r="BO368" s="546">
        <f>AJ368+AT368+BD368+BN368</f>
        <v>146250000</v>
      </c>
    </row>
    <row r="369" spans="1:67" ht="69.75" customHeight="1" x14ac:dyDescent="0.2">
      <c r="A369" s="547">
        <v>244</v>
      </c>
      <c r="B369" s="69">
        <v>5</v>
      </c>
      <c r="C369" s="136"/>
      <c r="D369" s="136"/>
      <c r="E369" s="91"/>
      <c r="F369" s="119"/>
      <c r="G369" s="114"/>
      <c r="H369" s="326"/>
      <c r="I369" s="77">
        <v>245</v>
      </c>
      <c r="J369" s="73" t="s">
        <v>827</v>
      </c>
      <c r="K369" s="262" t="s">
        <v>828</v>
      </c>
      <c r="L369" s="74" t="s">
        <v>823</v>
      </c>
      <c r="M369" s="74">
        <v>17</v>
      </c>
      <c r="N369" s="275" t="s">
        <v>54</v>
      </c>
      <c r="O369" s="276" t="s">
        <v>49</v>
      </c>
      <c r="P369" s="276">
        <v>1</v>
      </c>
      <c r="Q369" s="276">
        <v>1</v>
      </c>
      <c r="R369" s="331">
        <v>1</v>
      </c>
      <c r="S369" s="500"/>
      <c r="T369" s="331">
        <v>1</v>
      </c>
      <c r="U369" s="331"/>
      <c r="V369" s="331">
        <v>1</v>
      </c>
      <c r="W369" s="337"/>
      <c r="X369" s="257">
        <f>AJ369/$AJ$366</f>
        <v>0.51428571428571423</v>
      </c>
      <c r="Y369" s="78">
        <v>16</v>
      </c>
      <c r="Z369" s="75" t="s">
        <v>372</v>
      </c>
      <c r="AA369" s="108"/>
      <c r="AB369" s="108"/>
      <c r="AC369" s="108">
        <v>180000000</v>
      </c>
      <c r="AD369" s="108"/>
      <c r="AE369" s="108"/>
      <c r="AF369" s="108"/>
      <c r="AG369" s="108"/>
      <c r="AH369" s="108"/>
      <c r="AI369" s="108"/>
      <c r="AJ369" s="82">
        <f>+AA369+AB369+AC369+AD369+AE369+AF369+AG369+AH369+AI369</f>
        <v>180000000</v>
      </c>
      <c r="AK369" s="90"/>
      <c r="AL369" s="90"/>
      <c r="AM369" s="90">
        <v>179999999.99999997</v>
      </c>
      <c r="AN369" s="90"/>
      <c r="AO369" s="90"/>
      <c r="AP369" s="90"/>
      <c r="AQ369" s="90"/>
      <c r="AR369" s="90"/>
      <c r="AS369" s="90"/>
      <c r="AT369" s="84">
        <f>AK369+AL369+AM369+AN369+AO369+AP369+AQ369+AR369+AS369</f>
        <v>179999999.99999997</v>
      </c>
      <c r="AU369" s="90"/>
      <c r="AV369" s="90"/>
      <c r="AW369" s="90">
        <v>154250000</v>
      </c>
      <c r="AX369" s="90"/>
      <c r="AY369" s="90"/>
      <c r="AZ369" s="90"/>
      <c r="BA369" s="90"/>
      <c r="BB369" s="90"/>
      <c r="BC369" s="90"/>
      <c r="BD369" s="90">
        <f>SUM(AU369:BC369)</f>
        <v>154250000</v>
      </c>
      <c r="BE369" s="90"/>
      <c r="BF369" s="90"/>
      <c r="BG369" s="90">
        <v>144000000</v>
      </c>
      <c r="BH369" s="90"/>
      <c r="BI369" s="90"/>
      <c r="BJ369" s="90"/>
      <c r="BK369" s="90"/>
      <c r="BL369" s="90"/>
      <c r="BM369" s="90"/>
      <c r="BN369" s="90">
        <f>SUM(BE369:BM369)</f>
        <v>144000000</v>
      </c>
      <c r="BO369" s="546">
        <f>AJ369+AT369+BD369+BN369</f>
        <v>658250000</v>
      </c>
    </row>
    <row r="370" spans="1:67" s="159" customFormat="1" ht="93.75" customHeight="1" x14ac:dyDescent="0.2">
      <c r="A370" s="565">
        <v>245</v>
      </c>
      <c r="B370" s="152">
        <v>5</v>
      </c>
      <c r="C370" s="153"/>
      <c r="D370" s="153"/>
      <c r="E370" s="427"/>
      <c r="F370" s="442"/>
      <c r="G370" s="427"/>
      <c r="H370" s="352"/>
      <c r="I370" s="77">
        <v>246</v>
      </c>
      <c r="J370" s="73" t="s">
        <v>829</v>
      </c>
      <c r="K370" s="195" t="s">
        <v>830</v>
      </c>
      <c r="L370" s="74" t="s">
        <v>823</v>
      </c>
      <c r="M370" s="245">
        <v>17</v>
      </c>
      <c r="N370" s="275" t="s">
        <v>54</v>
      </c>
      <c r="O370" s="276" t="s">
        <v>49</v>
      </c>
      <c r="P370" s="276">
        <v>13</v>
      </c>
      <c r="Q370" s="276">
        <v>13</v>
      </c>
      <c r="R370" s="276">
        <v>13</v>
      </c>
      <c r="S370" s="500"/>
      <c r="T370" s="276">
        <v>13</v>
      </c>
      <c r="U370" s="276"/>
      <c r="V370" s="276">
        <v>13</v>
      </c>
      <c r="W370" s="275"/>
      <c r="X370" s="257">
        <f>AJ370/$AJ$366</f>
        <v>8.5714285714285715E-2</v>
      </c>
      <c r="Y370" s="77">
        <v>16</v>
      </c>
      <c r="Z370" s="74" t="s">
        <v>372</v>
      </c>
      <c r="AA370" s="185"/>
      <c r="AB370" s="185"/>
      <c r="AC370" s="185">
        <v>30000000</v>
      </c>
      <c r="AD370" s="185"/>
      <c r="AE370" s="185"/>
      <c r="AF370" s="185"/>
      <c r="AG370" s="185"/>
      <c r="AH370" s="185"/>
      <c r="AI370" s="185"/>
      <c r="AJ370" s="82">
        <f>+AA370+AB370+AC370+AD370+AE370+AF370+AG370+AH370+AI370</f>
        <v>30000000</v>
      </c>
      <c r="AK370" s="158"/>
      <c r="AL370" s="158"/>
      <c r="AM370" s="158">
        <v>30000000</v>
      </c>
      <c r="AN370" s="158"/>
      <c r="AO370" s="158"/>
      <c r="AP370" s="158"/>
      <c r="AQ370" s="158"/>
      <c r="AR370" s="158"/>
      <c r="AS370" s="158"/>
      <c r="AT370" s="84">
        <f>AK370+AL370+AM370+AN370+AO370+AP370+AQ370+AR370+AS370</f>
        <v>30000000</v>
      </c>
      <c r="AU370" s="158"/>
      <c r="AV370" s="158"/>
      <c r="AW370" s="158">
        <f>25700000+100000</f>
        <v>25800000</v>
      </c>
      <c r="AX370" s="158"/>
      <c r="AY370" s="158"/>
      <c r="AZ370" s="158"/>
      <c r="BA370" s="158"/>
      <c r="BB370" s="158"/>
      <c r="BC370" s="158"/>
      <c r="BD370" s="90">
        <f>SUM(AU370:BC370)</f>
        <v>25800000</v>
      </c>
      <c r="BE370" s="90"/>
      <c r="BF370" s="90"/>
      <c r="BG370" s="158">
        <v>24000000</v>
      </c>
      <c r="BH370" s="158"/>
      <c r="BI370" s="90"/>
      <c r="BJ370" s="90"/>
      <c r="BK370" s="90"/>
      <c r="BL370" s="90"/>
      <c r="BM370" s="90"/>
      <c r="BN370" s="90">
        <f>SUM(BE370:BM370)</f>
        <v>24000000</v>
      </c>
      <c r="BO370" s="546">
        <f>AJ370+AT370+BD370+BN370</f>
        <v>109800000</v>
      </c>
    </row>
    <row r="371" spans="1:67" ht="24.75" customHeight="1" x14ac:dyDescent="0.2">
      <c r="A371" s="545"/>
      <c r="B371" s="69"/>
      <c r="C371" s="136"/>
      <c r="D371" s="136"/>
      <c r="E371" s="57">
        <v>84</v>
      </c>
      <c r="F371" s="58" t="s">
        <v>831</v>
      </c>
      <c r="G371" s="61"/>
      <c r="H371" s="61"/>
      <c r="I371" s="62"/>
      <c r="J371" s="61"/>
      <c r="K371" s="61"/>
      <c r="L371" s="593"/>
      <c r="M371" s="487"/>
      <c r="N371" s="594"/>
      <c r="O371" s="61"/>
      <c r="P371" s="61"/>
      <c r="Q371" s="485"/>
      <c r="R371" s="593"/>
      <c r="S371" s="519"/>
      <c r="T371" s="485"/>
      <c r="U371" s="485"/>
      <c r="V371" s="493"/>
      <c r="W371" s="493"/>
      <c r="X371" s="137"/>
      <c r="Y371" s="62"/>
      <c r="Z371" s="62"/>
      <c r="AA371" s="66">
        <f t="shared" ref="AA371:AI371" si="545">SUM(AA372:AA373)</f>
        <v>0</v>
      </c>
      <c r="AB371" s="66">
        <f t="shared" si="545"/>
        <v>0</v>
      </c>
      <c r="AC371" s="66">
        <f t="shared" si="545"/>
        <v>50000000</v>
      </c>
      <c r="AD371" s="66">
        <f t="shared" si="545"/>
        <v>0</v>
      </c>
      <c r="AE371" s="66">
        <f t="shared" si="545"/>
        <v>0</v>
      </c>
      <c r="AF371" s="66">
        <f t="shared" si="545"/>
        <v>0</v>
      </c>
      <c r="AG371" s="66">
        <f t="shared" si="545"/>
        <v>0</v>
      </c>
      <c r="AH371" s="66">
        <f t="shared" si="545"/>
        <v>0</v>
      </c>
      <c r="AI371" s="66">
        <f t="shared" si="545"/>
        <v>0</v>
      </c>
      <c r="AJ371" s="67">
        <f>SUM(AJ372:AJ373)</f>
        <v>50000000</v>
      </c>
      <c r="AK371" s="66">
        <f t="shared" ref="AK371:AT371" si="546">SUM(AK372:AK373)</f>
        <v>0</v>
      </c>
      <c r="AL371" s="66">
        <f t="shared" si="546"/>
        <v>0</v>
      </c>
      <c r="AM371" s="66">
        <f t="shared" si="546"/>
        <v>80000000</v>
      </c>
      <c r="AN371" s="66">
        <f t="shared" si="546"/>
        <v>0</v>
      </c>
      <c r="AO371" s="66">
        <f t="shared" si="546"/>
        <v>0</v>
      </c>
      <c r="AP371" s="66">
        <f t="shared" si="546"/>
        <v>0</v>
      </c>
      <c r="AQ371" s="66">
        <f t="shared" si="546"/>
        <v>0</v>
      </c>
      <c r="AR371" s="66">
        <f t="shared" si="546"/>
        <v>0</v>
      </c>
      <c r="AS371" s="66">
        <f t="shared" si="546"/>
        <v>0</v>
      </c>
      <c r="AT371" s="66">
        <f t="shared" si="546"/>
        <v>80000000</v>
      </c>
      <c r="AU371" s="68"/>
      <c r="AV371" s="68"/>
      <c r="AW371" s="68"/>
      <c r="AX371" s="68"/>
      <c r="AY371" s="68"/>
      <c r="AZ371" s="68"/>
      <c r="BA371" s="68"/>
      <c r="BB371" s="68"/>
      <c r="BC371" s="68"/>
      <c r="BD371" s="66">
        <f t="shared" ref="BD371" si="547">SUM(BD372:BD373)</f>
        <v>50000000</v>
      </c>
      <c r="BE371" s="68"/>
      <c r="BF371" s="68"/>
      <c r="BG371" s="68"/>
      <c r="BH371" s="68"/>
      <c r="BI371" s="68"/>
      <c r="BJ371" s="68"/>
      <c r="BK371" s="68"/>
      <c r="BL371" s="68"/>
      <c r="BM371" s="68"/>
      <c r="BN371" s="66">
        <f t="shared" ref="BN371:BO371" si="548">SUM(BN372:BN373)</f>
        <v>50000000</v>
      </c>
      <c r="BO371" s="544">
        <f t="shared" si="548"/>
        <v>230000000</v>
      </c>
    </row>
    <row r="372" spans="1:67" ht="65.25" customHeight="1" x14ac:dyDescent="0.2">
      <c r="A372" s="547">
        <v>246</v>
      </c>
      <c r="B372" s="69">
        <v>5</v>
      </c>
      <c r="C372" s="136"/>
      <c r="D372" s="136"/>
      <c r="E372" s="478">
        <v>37</v>
      </c>
      <c r="F372" s="439" t="s">
        <v>832</v>
      </c>
      <c r="G372" s="548" t="s">
        <v>534</v>
      </c>
      <c r="H372" s="623">
        <v>0.6</v>
      </c>
      <c r="I372" s="77">
        <v>247</v>
      </c>
      <c r="J372" s="73" t="s">
        <v>833</v>
      </c>
      <c r="K372" s="262" t="s">
        <v>834</v>
      </c>
      <c r="L372" s="77" t="s">
        <v>835</v>
      </c>
      <c r="M372" s="196">
        <v>16</v>
      </c>
      <c r="N372" s="271" t="s">
        <v>54</v>
      </c>
      <c r="O372" s="331" t="s">
        <v>49</v>
      </c>
      <c r="P372" s="331">
        <v>1</v>
      </c>
      <c r="Q372" s="270">
        <v>1</v>
      </c>
      <c r="R372" s="271">
        <v>1</v>
      </c>
      <c r="S372" s="500"/>
      <c r="T372" s="271">
        <v>1</v>
      </c>
      <c r="U372" s="271"/>
      <c r="V372" s="271">
        <v>1</v>
      </c>
      <c r="W372" s="271"/>
      <c r="X372" s="303">
        <f>AJ372/AJ371</f>
        <v>0.5</v>
      </c>
      <c r="Y372" s="78">
        <v>16</v>
      </c>
      <c r="Z372" s="75" t="s">
        <v>372</v>
      </c>
      <c r="AA372" s="108"/>
      <c r="AB372" s="108"/>
      <c r="AC372" s="108">
        <v>25000000</v>
      </c>
      <c r="AD372" s="108"/>
      <c r="AE372" s="108"/>
      <c r="AF372" s="108"/>
      <c r="AG372" s="108"/>
      <c r="AH372" s="108"/>
      <c r="AI372" s="108"/>
      <c r="AJ372" s="82">
        <f>+AA372+AB372+AC372+AD372+AE372+AF372+AG372+AH372+AI372</f>
        <v>25000000</v>
      </c>
      <c r="AK372" s="90"/>
      <c r="AL372" s="90"/>
      <c r="AM372" s="455">
        <v>40000000</v>
      </c>
      <c r="AN372" s="90"/>
      <c r="AO372" s="90"/>
      <c r="AP372" s="90"/>
      <c r="AQ372" s="90"/>
      <c r="AR372" s="90"/>
      <c r="AS372" s="90"/>
      <c r="AT372" s="84">
        <f>AK372+AL372+AM372+AN372+AO372+AP372+AQ372+AR372+AS372</f>
        <v>40000000</v>
      </c>
      <c r="AU372" s="90"/>
      <c r="AV372" s="90"/>
      <c r="AW372" s="90">
        <v>25000000</v>
      </c>
      <c r="AX372" s="90"/>
      <c r="AY372" s="90"/>
      <c r="AZ372" s="90"/>
      <c r="BA372" s="90"/>
      <c r="BB372" s="90"/>
      <c r="BC372" s="90"/>
      <c r="BD372" s="90">
        <f>SUM(AU372:BC372)</f>
        <v>25000000</v>
      </c>
      <c r="BE372" s="90"/>
      <c r="BF372" s="90"/>
      <c r="BG372" s="90">
        <v>25000000</v>
      </c>
      <c r="BH372" s="90"/>
      <c r="BI372" s="90"/>
      <c r="BJ372" s="90"/>
      <c r="BK372" s="90"/>
      <c r="BL372" s="90"/>
      <c r="BM372" s="90"/>
      <c r="BN372" s="90">
        <f>SUM(BE372:BM372)</f>
        <v>25000000</v>
      </c>
      <c r="BO372" s="546">
        <f>AJ372+AT372+BD372+BN372</f>
        <v>115000000</v>
      </c>
    </row>
    <row r="373" spans="1:67" ht="65.25" customHeight="1" x14ac:dyDescent="0.2">
      <c r="A373" s="545">
        <v>247</v>
      </c>
      <c r="B373" s="69">
        <v>5</v>
      </c>
      <c r="C373" s="136"/>
      <c r="D373" s="192"/>
      <c r="E373" s="451"/>
      <c r="F373" s="529"/>
      <c r="G373" s="92"/>
      <c r="H373" s="203"/>
      <c r="I373" s="77">
        <v>248</v>
      </c>
      <c r="J373" s="73" t="s">
        <v>836</v>
      </c>
      <c r="K373" s="262" t="s">
        <v>837</v>
      </c>
      <c r="L373" s="74" t="s">
        <v>823</v>
      </c>
      <c r="M373" s="245">
        <v>17</v>
      </c>
      <c r="N373" s="331" t="s">
        <v>54</v>
      </c>
      <c r="O373" s="331" t="s">
        <v>49</v>
      </c>
      <c r="P373" s="331">
        <v>12</v>
      </c>
      <c r="Q373" s="276">
        <v>12</v>
      </c>
      <c r="R373" s="331">
        <v>12</v>
      </c>
      <c r="S373" s="500"/>
      <c r="T373" s="331">
        <v>12</v>
      </c>
      <c r="U373" s="331"/>
      <c r="V373" s="331">
        <v>12</v>
      </c>
      <c r="W373" s="331"/>
      <c r="X373" s="303">
        <f>AJ373/AJ371</f>
        <v>0.5</v>
      </c>
      <c r="Y373" s="77">
        <v>17</v>
      </c>
      <c r="Z373" s="74" t="s">
        <v>838</v>
      </c>
      <c r="AA373" s="108"/>
      <c r="AB373" s="108"/>
      <c r="AC373" s="108">
        <v>25000000</v>
      </c>
      <c r="AD373" s="108"/>
      <c r="AE373" s="108"/>
      <c r="AF373" s="108"/>
      <c r="AG373" s="108"/>
      <c r="AH373" s="108"/>
      <c r="AI373" s="108"/>
      <c r="AJ373" s="82">
        <f>+AA373+AB373+AC373+AD373+AE373+AF373+AG373+AH373+AI373</f>
        <v>25000000</v>
      </c>
      <c r="AK373" s="90"/>
      <c r="AL373" s="90"/>
      <c r="AM373" s="455">
        <v>40000000</v>
      </c>
      <c r="AN373" s="90"/>
      <c r="AO373" s="90"/>
      <c r="AP373" s="90"/>
      <c r="AQ373" s="90"/>
      <c r="AR373" s="90"/>
      <c r="AS373" s="90"/>
      <c r="AT373" s="84">
        <f>AK373+AL373+AM373+AN373+AO373+AP373+AQ373+AR373+AS373</f>
        <v>40000000</v>
      </c>
      <c r="AU373" s="90"/>
      <c r="AV373" s="90"/>
      <c r="AW373" s="90">
        <v>25000000</v>
      </c>
      <c r="AX373" s="90"/>
      <c r="AY373" s="90"/>
      <c r="AZ373" s="90"/>
      <c r="BA373" s="90"/>
      <c r="BB373" s="90"/>
      <c r="BC373" s="90"/>
      <c r="BD373" s="90">
        <f>SUM(AU373:BC373)</f>
        <v>25000000</v>
      </c>
      <c r="BE373" s="90"/>
      <c r="BF373" s="90"/>
      <c r="BG373" s="90">
        <v>25000000</v>
      </c>
      <c r="BH373" s="90"/>
      <c r="BI373" s="90"/>
      <c r="BJ373" s="90"/>
      <c r="BK373" s="90"/>
      <c r="BL373" s="90"/>
      <c r="BM373" s="90"/>
      <c r="BN373" s="90">
        <f>SUM(BE373:BM373)</f>
        <v>25000000</v>
      </c>
      <c r="BO373" s="546">
        <f>AJ373+AT373+BD373+BN373</f>
        <v>115000000</v>
      </c>
    </row>
    <row r="374" spans="1:67" ht="24.75" customHeight="1" x14ac:dyDescent="0.2">
      <c r="A374" s="545"/>
      <c r="B374" s="69"/>
      <c r="C374" s="136"/>
      <c r="D374" s="43">
        <v>27</v>
      </c>
      <c r="E374" s="134" t="s">
        <v>839</v>
      </c>
      <c r="F374" s="46"/>
      <c r="G374" s="46"/>
      <c r="H374" s="46"/>
      <c r="I374" s="47"/>
      <c r="J374" s="48"/>
      <c r="K374" s="48"/>
      <c r="L374" s="49"/>
      <c r="M374" s="47"/>
      <c r="N374" s="50"/>
      <c r="O374" s="48"/>
      <c r="P374" s="48"/>
      <c r="Q374" s="51"/>
      <c r="R374" s="48"/>
      <c r="S374" s="498"/>
      <c r="T374" s="48"/>
      <c r="U374" s="48"/>
      <c r="V374" s="47"/>
      <c r="W374" s="47"/>
      <c r="X374" s="135"/>
      <c r="Y374" s="47"/>
      <c r="Z374" s="47"/>
      <c r="AA374" s="53">
        <f t="shared" ref="AA374:AI374" si="549">AA375+AA382</f>
        <v>0</v>
      </c>
      <c r="AB374" s="53">
        <f t="shared" si="549"/>
        <v>0</v>
      </c>
      <c r="AC374" s="53">
        <f t="shared" si="549"/>
        <v>580000000</v>
      </c>
      <c r="AD374" s="53">
        <f t="shared" si="549"/>
        <v>0</v>
      </c>
      <c r="AE374" s="53">
        <f t="shared" si="549"/>
        <v>0</v>
      </c>
      <c r="AF374" s="53">
        <f t="shared" si="549"/>
        <v>0</v>
      </c>
      <c r="AG374" s="53">
        <f t="shared" si="549"/>
        <v>0</v>
      </c>
      <c r="AH374" s="53">
        <f t="shared" si="549"/>
        <v>0</v>
      </c>
      <c r="AI374" s="53">
        <f t="shared" si="549"/>
        <v>1000000000</v>
      </c>
      <c r="AJ374" s="54">
        <f>AJ375+AJ382</f>
        <v>1580000000</v>
      </c>
      <c r="AK374" s="53">
        <f t="shared" ref="AK374:AT374" si="550">AK375+AK382</f>
        <v>0</v>
      </c>
      <c r="AL374" s="53">
        <f t="shared" si="550"/>
        <v>0</v>
      </c>
      <c r="AM374" s="53">
        <f t="shared" si="550"/>
        <v>580000000</v>
      </c>
      <c r="AN374" s="53">
        <f t="shared" si="550"/>
        <v>0</v>
      </c>
      <c r="AO374" s="53">
        <f t="shared" si="550"/>
        <v>0</v>
      </c>
      <c r="AP374" s="53">
        <f t="shared" si="550"/>
        <v>0</v>
      </c>
      <c r="AQ374" s="53">
        <f t="shared" si="550"/>
        <v>0</v>
      </c>
      <c r="AR374" s="53">
        <f t="shared" si="550"/>
        <v>0</v>
      </c>
      <c r="AS374" s="53">
        <f t="shared" si="550"/>
        <v>1000000000</v>
      </c>
      <c r="AT374" s="53">
        <f t="shared" si="550"/>
        <v>1580000000</v>
      </c>
      <c r="AU374" s="55"/>
      <c r="AV374" s="55"/>
      <c r="AW374" s="55"/>
      <c r="AX374" s="55"/>
      <c r="AY374" s="55"/>
      <c r="AZ374" s="55"/>
      <c r="BA374" s="55"/>
      <c r="BB374" s="55"/>
      <c r="BC374" s="55"/>
      <c r="BD374" s="53">
        <f t="shared" ref="BD374" si="551">BD375+BD382</f>
        <v>1580000000</v>
      </c>
      <c r="BE374" s="55"/>
      <c r="BF374" s="55"/>
      <c r="BG374" s="55"/>
      <c r="BH374" s="55"/>
      <c r="BI374" s="55"/>
      <c r="BJ374" s="55"/>
      <c r="BK374" s="55"/>
      <c r="BL374" s="55"/>
      <c r="BM374" s="55"/>
      <c r="BN374" s="53">
        <f t="shared" ref="BN374:BO374" si="552">BN375+BN382</f>
        <v>1580000000</v>
      </c>
      <c r="BO374" s="543">
        <f t="shared" si="552"/>
        <v>6320000000</v>
      </c>
    </row>
    <row r="375" spans="1:67" ht="24.75" customHeight="1" x14ac:dyDescent="0.2">
      <c r="A375" s="545"/>
      <c r="B375" s="69"/>
      <c r="C375" s="136"/>
      <c r="D375" s="562"/>
      <c r="E375" s="57">
        <v>85</v>
      </c>
      <c r="F375" s="58" t="s">
        <v>840</v>
      </c>
      <c r="G375" s="61"/>
      <c r="H375" s="61"/>
      <c r="I375" s="62"/>
      <c r="J375" s="61"/>
      <c r="K375" s="61"/>
      <c r="L375" s="60"/>
      <c r="M375" s="62"/>
      <c r="N375" s="63"/>
      <c r="O375" s="61"/>
      <c r="P375" s="61"/>
      <c r="Q375" s="64"/>
      <c r="R375" s="61"/>
      <c r="S375" s="499"/>
      <c r="T375" s="61"/>
      <c r="U375" s="61"/>
      <c r="V375" s="62"/>
      <c r="W375" s="62"/>
      <c r="X375" s="137"/>
      <c r="Y375" s="62"/>
      <c r="Z375" s="62"/>
      <c r="AA375" s="66">
        <f t="shared" ref="AA375:AI375" si="553">SUM(AA376:AA381)</f>
        <v>0</v>
      </c>
      <c r="AB375" s="66">
        <f t="shared" si="553"/>
        <v>0</v>
      </c>
      <c r="AC375" s="66">
        <f t="shared" si="553"/>
        <v>500000000</v>
      </c>
      <c r="AD375" s="66">
        <f t="shared" si="553"/>
        <v>0</v>
      </c>
      <c r="AE375" s="66">
        <f t="shared" si="553"/>
        <v>0</v>
      </c>
      <c r="AF375" s="66">
        <f t="shared" si="553"/>
        <v>0</v>
      </c>
      <c r="AG375" s="66">
        <f t="shared" si="553"/>
        <v>0</v>
      </c>
      <c r="AH375" s="66">
        <f t="shared" si="553"/>
        <v>0</v>
      </c>
      <c r="AI375" s="66">
        <f t="shared" si="553"/>
        <v>1000000000</v>
      </c>
      <c r="AJ375" s="67">
        <f>SUM(AJ376:AJ381)</f>
        <v>1500000000</v>
      </c>
      <c r="AK375" s="66">
        <f t="shared" ref="AK375:AT375" si="554">SUM(AK376:AK381)</f>
        <v>0</v>
      </c>
      <c r="AL375" s="66">
        <f t="shared" si="554"/>
        <v>0</v>
      </c>
      <c r="AM375" s="66">
        <f t="shared" si="554"/>
        <v>500000000</v>
      </c>
      <c r="AN375" s="66">
        <f t="shared" si="554"/>
        <v>0</v>
      </c>
      <c r="AO375" s="66">
        <f t="shared" si="554"/>
        <v>0</v>
      </c>
      <c r="AP375" s="66">
        <f t="shared" si="554"/>
        <v>0</v>
      </c>
      <c r="AQ375" s="66">
        <f t="shared" si="554"/>
        <v>0</v>
      </c>
      <c r="AR375" s="66">
        <f t="shared" si="554"/>
        <v>0</v>
      </c>
      <c r="AS375" s="66">
        <f t="shared" si="554"/>
        <v>1000000000</v>
      </c>
      <c r="AT375" s="66">
        <f t="shared" si="554"/>
        <v>1500000000</v>
      </c>
      <c r="AU375" s="68"/>
      <c r="AV375" s="68"/>
      <c r="AW375" s="68"/>
      <c r="AX375" s="68"/>
      <c r="AY375" s="68"/>
      <c r="AZ375" s="68"/>
      <c r="BA375" s="68"/>
      <c r="BB375" s="68"/>
      <c r="BC375" s="68"/>
      <c r="BD375" s="66">
        <f t="shared" ref="BD375" si="555">SUM(BD376:BD381)</f>
        <v>1500000000</v>
      </c>
      <c r="BE375" s="68"/>
      <c r="BF375" s="68"/>
      <c r="BG375" s="68"/>
      <c r="BH375" s="68"/>
      <c r="BI375" s="68"/>
      <c r="BJ375" s="68"/>
      <c r="BK375" s="68"/>
      <c r="BL375" s="68"/>
      <c r="BM375" s="68"/>
      <c r="BN375" s="66">
        <f t="shared" ref="BN375:BO375" si="556">SUM(BN376:BN381)</f>
        <v>1500000000</v>
      </c>
      <c r="BO375" s="544">
        <f t="shared" si="556"/>
        <v>6000000000</v>
      </c>
    </row>
    <row r="376" spans="1:67" ht="78.75" customHeight="1" x14ac:dyDescent="0.2">
      <c r="A376" s="547">
        <v>248</v>
      </c>
      <c r="B376" s="69">
        <v>5</v>
      </c>
      <c r="C376" s="136"/>
      <c r="D376" s="136"/>
      <c r="E376" s="478">
        <v>37</v>
      </c>
      <c r="F376" s="439" t="s">
        <v>832</v>
      </c>
      <c r="G376" s="548" t="s">
        <v>534</v>
      </c>
      <c r="H376" s="623">
        <v>0.6</v>
      </c>
      <c r="I376" s="77">
        <v>249</v>
      </c>
      <c r="J376" s="73" t="s">
        <v>841</v>
      </c>
      <c r="K376" s="262" t="s">
        <v>842</v>
      </c>
      <c r="L376" s="74" t="s">
        <v>843</v>
      </c>
      <c r="M376" s="245">
        <v>16</v>
      </c>
      <c r="N376" s="331" t="s">
        <v>54</v>
      </c>
      <c r="O376" s="331">
        <v>1</v>
      </c>
      <c r="P376" s="331">
        <v>1</v>
      </c>
      <c r="Q376" s="276">
        <v>1</v>
      </c>
      <c r="R376" s="331">
        <v>1</v>
      </c>
      <c r="S376" s="500"/>
      <c r="T376" s="331">
        <v>1</v>
      </c>
      <c r="U376" s="331"/>
      <c r="V376" s="331">
        <v>1</v>
      </c>
      <c r="W376" s="337"/>
      <c r="X376" s="218">
        <f t="shared" ref="X376:X381" si="557">AJ376/$AJ$375</f>
        <v>0.13333333333333333</v>
      </c>
      <c r="Y376" s="77">
        <v>16</v>
      </c>
      <c r="Z376" s="74" t="s">
        <v>372</v>
      </c>
      <c r="AA376" s="185"/>
      <c r="AB376" s="185"/>
      <c r="AC376" s="108">
        <v>200000000</v>
      </c>
      <c r="AD376" s="108"/>
      <c r="AE376" s="185"/>
      <c r="AF376" s="185"/>
      <c r="AG376" s="185"/>
      <c r="AH376" s="185"/>
      <c r="AI376" s="185"/>
      <c r="AJ376" s="82">
        <f t="shared" ref="AJ376:AJ381" si="558">+AA376+AB376+AC376+AD376+AE376+AF376+AG376+AH376+AI376</f>
        <v>200000000</v>
      </c>
      <c r="AK376" s="90"/>
      <c r="AL376" s="90"/>
      <c r="AM376" s="90">
        <v>200000000</v>
      </c>
      <c r="AN376" s="90"/>
      <c r="AO376" s="90"/>
      <c r="AP376" s="90"/>
      <c r="AQ376" s="90"/>
      <c r="AR376" s="90"/>
      <c r="AS376" s="90"/>
      <c r="AT376" s="84">
        <f t="shared" ref="AT376:AT381" si="559">AK376+AL376+AM376+AN376+AO376+AP376+AQ376+AR376+AS376</f>
        <v>200000000</v>
      </c>
      <c r="AU376" s="90"/>
      <c r="AV376" s="90"/>
      <c r="AW376" s="90">
        <v>200000000</v>
      </c>
      <c r="AX376" s="90"/>
      <c r="AY376" s="90"/>
      <c r="AZ376" s="90"/>
      <c r="BA376" s="90"/>
      <c r="BB376" s="90"/>
      <c r="BC376" s="90"/>
      <c r="BD376" s="90">
        <f t="shared" ref="BD376:BD381" si="560">SUM(AU376:BC376)</f>
        <v>200000000</v>
      </c>
      <c r="BE376" s="90"/>
      <c r="BF376" s="90"/>
      <c r="BG376" s="90">
        <v>200000000</v>
      </c>
      <c r="BH376" s="90"/>
      <c r="BI376" s="90"/>
      <c r="BJ376" s="90"/>
      <c r="BK376" s="90"/>
      <c r="BL376" s="90"/>
      <c r="BM376" s="90"/>
      <c r="BN376" s="90">
        <f t="shared" ref="BN376:BN381" si="561">SUM(BE376:BM376)</f>
        <v>200000000</v>
      </c>
      <c r="BO376" s="546">
        <f t="shared" ref="BO376:BO381" si="562">AJ376+AT376+BD376+BN376</f>
        <v>800000000</v>
      </c>
    </row>
    <row r="377" spans="1:67" ht="78.75" customHeight="1" x14ac:dyDescent="0.2">
      <c r="A377" s="545">
        <v>249</v>
      </c>
      <c r="B377" s="69">
        <v>5</v>
      </c>
      <c r="C377" s="136"/>
      <c r="D377" s="136"/>
      <c r="E377" s="91"/>
      <c r="F377" s="119"/>
      <c r="G377" s="114"/>
      <c r="H377" s="326"/>
      <c r="I377" s="77">
        <v>250</v>
      </c>
      <c r="J377" s="73" t="s">
        <v>844</v>
      </c>
      <c r="K377" s="262" t="s">
        <v>845</v>
      </c>
      <c r="L377" s="74" t="s">
        <v>843</v>
      </c>
      <c r="M377" s="245">
        <v>16</v>
      </c>
      <c r="N377" s="93" t="s">
        <v>54</v>
      </c>
      <c r="O377" s="331">
        <v>1</v>
      </c>
      <c r="P377" s="331">
        <v>3</v>
      </c>
      <c r="Q377" s="196">
        <v>3</v>
      </c>
      <c r="R377" s="93">
        <v>3</v>
      </c>
      <c r="S377" s="500"/>
      <c r="T377" s="451">
        <v>3</v>
      </c>
      <c r="U377" s="451"/>
      <c r="V377" s="451">
        <v>3</v>
      </c>
      <c r="W377" s="330"/>
      <c r="X377" s="218">
        <f t="shared" si="557"/>
        <v>4.6166666666666668E-2</v>
      </c>
      <c r="Y377" s="77">
        <v>16</v>
      </c>
      <c r="Z377" s="74" t="s">
        <v>372</v>
      </c>
      <c r="AA377" s="185"/>
      <c r="AB377" s="185"/>
      <c r="AC377" s="108">
        <v>69250000</v>
      </c>
      <c r="AD377" s="108"/>
      <c r="AE377" s="185"/>
      <c r="AF377" s="185"/>
      <c r="AG377" s="185"/>
      <c r="AH377" s="185"/>
      <c r="AI377" s="185"/>
      <c r="AJ377" s="82">
        <f t="shared" si="558"/>
        <v>69250000</v>
      </c>
      <c r="AK377" s="90"/>
      <c r="AL377" s="90"/>
      <c r="AM377" s="90">
        <v>69250000</v>
      </c>
      <c r="AN377" s="90"/>
      <c r="AO377" s="90"/>
      <c r="AP377" s="90"/>
      <c r="AQ377" s="90"/>
      <c r="AR377" s="90"/>
      <c r="AS377" s="90"/>
      <c r="AT377" s="84">
        <f t="shared" si="559"/>
        <v>69250000</v>
      </c>
      <c r="AU377" s="90"/>
      <c r="AV377" s="90"/>
      <c r="AW377" s="90">
        <v>60000000</v>
      </c>
      <c r="AX377" s="90"/>
      <c r="AY377" s="90"/>
      <c r="AZ377" s="90"/>
      <c r="BA377" s="90"/>
      <c r="BB377" s="90"/>
      <c r="BC377" s="90"/>
      <c r="BD377" s="90">
        <f t="shared" si="560"/>
        <v>60000000</v>
      </c>
      <c r="BE377" s="90"/>
      <c r="BF377" s="90"/>
      <c r="BG377" s="90">
        <v>60000000</v>
      </c>
      <c r="BH377" s="90"/>
      <c r="BI377" s="90"/>
      <c r="BJ377" s="90"/>
      <c r="BK377" s="90"/>
      <c r="BL377" s="90"/>
      <c r="BM377" s="90"/>
      <c r="BN377" s="90">
        <f t="shared" si="561"/>
        <v>60000000</v>
      </c>
      <c r="BO377" s="546">
        <f t="shared" si="562"/>
        <v>258500000</v>
      </c>
    </row>
    <row r="378" spans="1:67" ht="68.25" customHeight="1" x14ac:dyDescent="0.2">
      <c r="A378" s="547">
        <v>250</v>
      </c>
      <c r="B378" s="69">
        <v>5</v>
      </c>
      <c r="C378" s="136"/>
      <c r="D378" s="136"/>
      <c r="E378" s="91"/>
      <c r="F378" s="119"/>
      <c r="G378" s="114"/>
      <c r="H378" s="326"/>
      <c r="I378" s="77">
        <v>251</v>
      </c>
      <c r="J378" s="73" t="s">
        <v>846</v>
      </c>
      <c r="K378" s="262" t="s">
        <v>847</v>
      </c>
      <c r="L378" s="74" t="s">
        <v>843</v>
      </c>
      <c r="M378" s="245">
        <v>16</v>
      </c>
      <c r="N378" s="93" t="s">
        <v>54</v>
      </c>
      <c r="O378" s="331">
        <v>0</v>
      </c>
      <c r="P378" s="331">
        <v>1</v>
      </c>
      <c r="Q378" s="196">
        <v>1</v>
      </c>
      <c r="R378" s="478">
        <v>1</v>
      </c>
      <c r="S378" s="500"/>
      <c r="T378" s="93">
        <v>1</v>
      </c>
      <c r="U378" s="93"/>
      <c r="V378" s="93">
        <v>1</v>
      </c>
      <c r="W378" s="112"/>
      <c r="X378" s="218">
        <f t="shared" si="557"/>
        <v>0.13716666666666666</v>
      </c>
      <c r="Y378" s="77">
        <v>16</v>
      </c>
      <c r="Z378" s="74" t="s">
        <v>372</v>
      </c>
      <c r="AA378" s="185"/>
      <c r="AB378" s="185"/>
      <c r="AC378" s="108">
        <v>205750000</v>
      </c>
      <c r="AD378" s="108"/>
      <c r="AE378" s="185"/>
      <c r="AF378" s="185"/>
      <c r="AG378" s="185"/>
      <c r="AH378" s="185"/>
      <c r="AI378" s="185"/>
      <c r="AJ378" s="82">
        <f t="shared" si="558"/>
        <v>205750000</v>
      </c>
      <c r="AK378" s="90"/>
      <c r="AL378" s="90"/>
      <c r="AM378" s="90">
        <v>205750000</v>
      </c>
      <c r="AN378" s="90"/>
      <c r="AO378" s="90"/>
      <c r="AP378" s="90"/>
      <c r="AQ378" s="90"/>
      <c r="AR378" s="90"/>
      <c r="AS378" s="90"/>
      <c r="AT378" s="84">
        <f t="shared" si="559"/>
        <v>205750000</v>
      </c>
      <c r="AU378" s="90"/>
      <c r="AV378" s="90"/>
      <c r="AW378" s="90">
        <v>205000000</v>
      </c>
      <c r="AX378" s="90"/>
      <c r="AY378" s="90"/>
      <c r="AZ378" s="90"/>
      <c r="BA378" s="90"/>
      <c r="BB378" s="90"/>
      <c r="BC378" s="90"/>
      <c r="BD378" s="90">
        <f t="shared" si="560"/>
        <v>205000000</v>
      </c>
      <c r="BE378" s="90"/>
      <c r="BF378" s="90"/>
      <c r="BG378" s="90">
        <v>205000000</v>
      </c>
      <c r="BH378" s="90"/>
      <c r="BI378" s="90"/>
      <c r="BJ378" s="90"/>
      <c r="BK378" s="90"/>
      <c r="BL378" s="90"/>
      <c r="BM378" s="90"/>
      <c r="BN378" s="90">
        <f t="shared" si="561"/>
        <v>205000000</v>
      </c>
      <c r="BO378" s="546">
        <f t="shared" si="562"/>
        <v>821500000</v>
      </c>
    </row>
    <row r="379" spans="1:67" ht="83.25" customHeight="1" x14ac:dyDescent="0.2">
      <c r="A379" s="545">
        <v>251</v>
      </c>
      <c r="B379" s="69">
        <v>5</v>
      </c>
      <c r="C379" s="136"/>
      <c r="D379" s="136"/>
      <c r="E379" s="91"/>
      <c r="F379" s="119"/>
      <c r="G379" s="114"/>
      <c r="H379" s="326"/>
      <c r="I379" s="77">
        <v>252</v>
      </c>
      <c r="J379" s="73" t="s">
        <v>848</v>
      </c>
      <c r="K379" s="262" t="s">
        <v>849</v>
      </c>
      <c r="L379" s="74" t="s">
        <v>843</v>
      </c>
      <c r="M379" s="245">
        <v>16</v>
      </c>
      <c r="N379" s="112" t="s">
        <v>69</v>
      </c>
      <c r="O379" s="331">
        <v>4</v>
      </c>
      <c r="P379" s="331">
        <v>3</v>
      </c>
      <c r="Q379" s="93">
        <v>0</v>
      </c>
      <c r="R379" s="93">
        <v>0</v>
      </c>
      <c r="S379" s="520"/>
      <c r="T379" s="204">
        <v>1</v>
      </c>
      <c r="U379" s="204"/>
      <c r="V379" s="93">
        <v>2</v>
      </c>
      <c r="W379" s="112"/>
      <c r="X379" s="218">
        <f t="shared" si="557"/>
        <v>0</v>
      </c>
      <c r="Y379" s="77">
        <v>16</v>
      </c>
      <c r="Z379" s="74" t="s">
        <v>372</v>
      </c>
      <c r="AA379" s="185"/>
      <c r="AB379" s="185"/>
      <c r="AC379" s="108"/>
      <c r="AD379" s="108"/>
      <c r="AE379" s="185"/>
      <c r="AF379" s="185"/>
      <c r="AG379" s="185"/>
      <c r="AH379" s="185"/>
      <c r="AI379" s="185"/>
      <c r="AJ379" s="82">
        <f t="shared" si="558"/>
        <v>0</v>
      </c>
      <c r="AK379" s="90"/>
      <c r="AL379" s="90"/>
      <c r="AM379" s="90"/>
      <c r="AN379" s="90"/>
      <c r="AO379" s="90"/>
      <c r="AP379" s="90"/>
      <c r="AQ379" s="90"/>
      <c r="AR379" s="90"/>
      <c r="AS379" s="90"/>
      <c r="AT379" s="84">
        <f t="shared" si="559"/>
        <v>0</v>
      </c>
      <c r="AU379" s="90"/>
      <c r="AV379" s="90"/>
      <c r="AW379" s="90">
        <v>10000000</v>
      </c>
      <c r="AX379" s="90"/>
      <c r="AY379" s="90"/>
      <c r="AZ379" s="90"/>
      <c r="BA379" s="90"/>
      <c r="BB379" s="90"/>
      <c r="BC379" s="90"/>
      <c r="BD379" s="90">
        <f t="shared" si="560"/>
        <v>10000000</v>
      </c>
      <c r="BE379" s="90"/>
      <c r="BF379" s="90"/>
      <c r="BG379" s="90">
        <v>10000000</v>
      </c>
      <c r="BH379" s="90"/>
      <c r="BI379" s="90"/>
      <c r="BJ379" s="90"/>
      <c r="BK379" s="90"/>
      <c r="BL379" s="90"/>
      <c r="BM379" s="90"/>
      <c r="BN379" s="90">
        <f t="shared" si="561"/>
        <v>10000000</v>
      </c>
      <c r="BO379" s="546">
        <f t="shared" si="562"/>
        <v>20000000</v>
      </c>
    </row>
    <row r="380" spans="1:67" ht="51.75" customHeight="1" x14ac:dyDescent="0.2">
      <c r="A380" s="545"/>
      <c r="B380" s="69"/>
      <c r="C380" s="136"/>
      <c r="D380" s="136"/>
      <c r="E380" s="91"/>
      <c r="F380" s="119"/>
      <c r="G380" s="114"/>
      <c r="H380" s="326"/>
      <c r="I380" s="77">
        <v>253</v>
      </c>
      <c r="J380" s="195" t="s">
        <v>850</v>
      </c>
      <c r="K380" s="262" t="s">
        <v>851</v>
      </c>
      <c r="L380" s="74" t="s">
        <v>843</v>
      </c>
      <c r="M380" s="245">
        <v>16</v>
      </c>
      <c r="N380" s="353" t="s">
        <v>69</v>
      </c>
      <c r="O380" s="276">
        <v>0</v>
      </c>
      <c r="P380" s="275">
        <v>1</v>
      </c>
      <c r="Q380" s="354">
        <v>0.25</v>
      </c>
      <c r="R380" s="435">
        <v>0.25</v>
      </c>
      <c r="S380" s="513"/>
      <c r="T380" s="354">
        <v>0.25</v>
      </c>
      <c r="U380" s="354"/>
      <c r="V380" s="354">
        <v>0.25</v>
      </c>
      <c r="W380" s="494">
        <f>Q380+V380</f>
        <v>0.5</v>
      </c>
      <c r="X380" s="218">
        <f t="shared" si="557"/>
        <v>0.66666666666666663</v>
      </c>
      <c r="Y380" s="77">
        <v>16</v>
      </c>
      <c r="Z380" s="74" t="s">
        <v>372</v>
      </c>
      <c r="AA380" s="185"/>
      <c r="AB380" s="185"/>
      <c r="AC380" s="108"/>
      <c r="AD380" s="108"/>
      <c r="AE380" s="185"/>
      <c r="AF380" s="185"/>
      <c r="AG380" s="185"/>
      <c r="AH380" s="185"/>
      <c r="AI380" s="185">
        <v>1000000000</v>
      </c>
      <c r="AJ380" s="82">
        <f t="shared" si="558"/>
        <v>1000000000</v>
      </c>
      <c r="AK380" s="90">
        <v>0</v>
      </c>
      <c r="AL380" s="90">
        <v>0</v>
      </c>
      <c r="AM380" s="90">
        <v>0</v>
      </c>
      <c r="AN380" s="90">
        <v>0</v>
      </c>
      <c r="AO380" s="90">
        <v>0</v>
      </c>
      <c r="AP380" s="90">
        <v>0</v>
      </c>
      <c r="AQ380" s="90">
        <v>0</v>
      </c>
      <c r="AR380" s="90">
        <v>0</v>
      </c>
      <c r="AS380" s="90">
        <v>1000000000</v>
      </c>
      <c r="AT380" s="84">
        <f t="shared" si="559"/>
        <v>1000000000</v>
      </c>
      <c r="AU380" s="90"/>
      <c r="AV380" s="90"/>
      <c r="AW380" s="90" t="s">
        <v>61</v>
      </c>
      <c r="AX380" s="90"/>
      <c r="AY380" s="90"/>
      <c r="AZ380" s="90"/>
      <c r="BA380" s="90"/>
      <c r="BB380" s="90"/>
      <c r="BC380" s="90">
        <v>1000000000</v>
      </c>
      <c r="BD380" s="90">
        <f t="shared" si="560"/>
        <v>1000000000</v>
      </c>
      <c r="BE380" s="90"/>
      <c r="BF380" s="90"/>
      <c r="BG380" s="90" t="s">
        <v>61</v>
      </c>
      <c r="BH380" s="90"/>
      <c r="BI380" s="90"/>
      <c r="BJ380" s="90"/>
      <c r="BK380" s="90"/>
      <c r="BL380" s="90"/>
      <c r="BM380" s="90">
        <v>1000000000</v>
      </c>
      <c r="BN380" s="90">
        <f t="shared" si="561"/>
        <v>1000000000</v>
      </c>
      <c r="BO380" s="546">
        <f t="shared" si="562"/>
        <v>4000000000</v>
      </c>
    </row>
    <row r="381" spans="1:67" ht="98.25" customHeight="1" x14ac:dyDescent="0.2">
      <c r="A381" s="547">
        <v>252</v>
      </c>
      <c r="B381" s="69">
        <v>5</v>
      </c>
      <c r="C381" s="136"/>
      <c r="D381" s="136"/>
      <c r="E381" s="451"/>
      <c r="F381" s="529"/>
      <c r="G381" s="92"/>
      <c r="H381" s="203"/>
      <c r="I381" s="77">
        <v>254</v>
      </c>
      <c r="J381" s="195" t="s">
        <v>852</v>
      </c>
      <c r="K381" s="262" t="s">
        <v>853</v>
      </c>
      <c r="L381" s="74" t="s">
        <v>843</v>
      </c>
      <c r="M381" s="245">
        <v>16</v>
      </c>
      <c r="N381" s="196" t="s">
        <v>54</v>
      </c>
      <c r="O381" s="276">
        <v>0</v>
      </c>
      <c r="P381" s="275">
        <v>1</v>
      </c>
      <c r="Q381" s="196">
        <v>1</v>
      </c>
      <c r="R381" s="93">
        <v>1</v>
      </c>
      <c r="S381" s="500"/>
      <c r="T381" s="93">
        <v>1</v>
      </c>
      <c r="U381" s="93"/>
      <c r="V381" s="93">
        <v>1</v>
      </c>
      <c r="W381" s="112"/>
      <c r="X381" s="218">
        <f t="shared" si="557"/>
        <v>1.6666666666666666E-2</v>
      </c>
      <c r="Y381" s="77">
        <v>16</v>
      </c>
      <c r="Z381" s="74" t="s">
        <v>372</v>
      </c>
      <c r="AA381" s="185"/>
      <c r="AB381" s="185"/>
      <c r="AC381" s="108">
        <v>25000000</v>
      </c>
      <c r="AD381" s="108"/>
      <c r="AE381" s="185"/>
      <c r="AF381" s="185"/>
      <c r="AG381" s="185"/>
      <c r="AH381" s="185"/>
      <c r="AI381" s="185"/>
      <c r="AJ381" s="82">
        <f t="shared" si="558"/>
        <v>25000000</v>
      </c>
      <c r="AK381" s="90"/>
      <c r="AL381" s="90"/>
      <c r="AM381" s="90">
        <v>25000000</v>
      </c>
      <c r="AN381" s="90"/>
      <c r="AO381" s="90"/>
      <c r="AP381" s="90"/>
      <c r="AQ381" s="90"/>
      <c r="AR381" s="90"/>
      <c r="AS381" s="90"/>
      <c r="AT381" s="84">
        <f t="shared" si="559"/>
        <v>25000000</v>
      </c>
      <c r="AU381" s="90"/>
      <c r="AV381" s="90"/>
      <c r="AW381" s="90">
        <v>25000000</v>
      </c>
      <c r="AX381" s="90"/>
      <c r="AY381" s="90"/>
      <c r="AZ381" s="90"/>
      <c r="BA381" s="90"/>
      <c r="BB381" s="90"/>
      <c r="BC381" s="90"/>
      <c r="BD381" s="90">
        <f t="shared" si="560"/>
        <v>25000000</v>
      </c>
      <c r="BE381" s="90"/>
      <c r="BF381" s="90"/>
      <c r="BG381" s="90">
        <v>25000000</v>
      </c>
      <c r="BH381" s="90"/>
      <c r="BI381" s="90"/>
      <c r="BJ381" s="90"/>
      <c r="BK381" s="90"/>
      <c r="BL381" s="90"/>
      <c r="BM381" s="90"/>
      <c r="BN381" s="90">
        <f t="shared" si="561"/>
        <v>25000000</v>
      </c>
      <c r="BO381" s="546">
        <f t="shared" si="562"/>
        <v>100000000</v>
      </c>
    </row>
    <row r="382" spans="1:67" ht="24.75" customHeight="1" x14ac:dyDescent="0.2">
      <c r="A382" s="547"/>
      <c r="B382" s="69"/>
      <c r="C382" s="136"/>
      <c r="D382" s="136"/>
      <c r="E382" s="57">
        <v>86</v>
      </c>
      <c r="F382" s="58" t="s">
        <v>854</v>
      </c>
      <c r="G382" s="61"/>
      <c r="H382" s="61"/>
      <c r="I382" s="60"/>
      <c r="J382" s="61"/>
      <c r="K382" s="61"/>
      <c r="L382" s="175"/>
      <c r="M382" s="348"/>
      <c r="N382" s="351"/>
      <c r="O382" s="61"/>
      <c r="P382" s="61"/>
      <c r="Q382" s="61"/>
      <c r="R382" s="348"/>
      <c r="S382" s="499"/>
      <c r="T382" s="355"/>
      <c r="U382" s="355"/>
      <c r="V382" s="348"/>
      <c r="W382" s="348"/>
      <c r="X382" s="356"/>
      <c r="Y382" s="348"/>
      <c r="Z382" s="348"/>
      <c r="AA382" s="66">
        <f t="shared" ref="AA382:AI382" si="563">SUM(AA383)</f>
        <v>0</v>
      </c>
      <c r="AB382" s="66">
        <f t="shared" si="563"/>
        <v>0</v>
      </c>
      <c r="AC382" s="66">
        <f t="shared" si="563"/>
        <v>80000000</v>
      </c>
      <c r="AD382" s="66">
        <f t="shared" si="563"/>
        <v>0</v>
      </c>
      <c r="AE382" s="66">
        <f t="shared" si="563"/>
        <v>0</v>
      </c>
      <c r="AF382" s="66">
        <f t="shared" si="563"/>
        <v>0</v>
      </c>
      <c r="AG382" s="66">
        <f t="shared" si="563"/>
        <v>0</v>
      </c>
      <c r="AH382" s="66">
        <f t="shared" si="563"/>
        <v>0</v>
      </c>
      <c r="AI382" s="66">
        <f t="shared" si="563"/>
        <v>0</v>
      </c>
      <c r="AJ382" s="67">
        <f>SUM(AJ383)</f>
        <v>80000000</v>
      </c>
      <c r="AK382" s="66">
        <f t="shared" ref="AK382:AT382" si="564">SUM(AK383)</f>
        <v>0</v>
      </c>
      <c r="AL382" s="66">
        <f t="shared" si="564"/>
        <v>0</v>
      </c>
      <c r="AM382" s="66">
        <f t="shared" si="564"/>
        <v>80000000</v>
      </c>
      <c r="AN382" s="66">
        <f t="shared" si="564"/>
        <v>0</v>
      </c>
      <c r="AO382" s="66">
        <f t="shared" si="564"/>
        <v>0</v>
      </c>
      <c r="AP382" s="66">
        <f t="shared" si="564"/>
        <v>0</v>
      </c>
      <c r="AQ382" s="66">
        <f t="shared" si="564"/>
        <v>0</v>
      </c>
      <c r="AR382" s="66">
        <f t="shared" si="564"/>
        <v>0</v>
      </c>
      <c r="AS382" s="66">
        <f t="shared" si="564"/>
        <v>0</v>
      </c>
      <c r="AT382" s="66">
        <f t="shared" si="564"/>
        <v>80000000</v>
      </c>
      <c r="AU382" s="68"/>
      <c r="AV382" s="68"/>
      <c r="AW382" s="68"/>
      <c r="AX382" s="68"/>
      <c r="AY382" s="68"/>
      <c r="AZ382" s="68"/>
      <c r="BA382" s="68"/>
      <c r="BB382" s="68"/>
      <c r="BC382" s="68"/>
      <c r="BD382" s="66">
        <f t="shared" ref="BD382" si="565">SUM(BD383)</f>
        <v>80000000</v>
      </c>
      <c r="BE382" s="68"/>
      <c r="BF382" s="68"/>
      <c r="BG382" s="68"/>
      <c r="BH382" s="68"/>
      <c r="BI382" s="68"/>
      <c r="BJ382" s="68"/>
      <c r="BK382" s="68"/>
      <c r="BL382" s="68"/>
      <c r="BM382" s="68"/>
      <c r="BN382" s="66">
        <f t="shared" ref="BN382:BO382" si="566">SUM(BN383)</f>
        <v>80000000</v>
      </c>
      <c r="BO382" s="544">
        <f t="shared" si="566"/>
        <v>320000000</v>
      </c>
    </row>
    <row r="383" spans="1:67" ht="161.25" customHeight="1" x14ac:dyDescent="0.2">
      <c r="A383" s="545">
        <v>253</v>
      </c>
      <c r="B383" s="69">
        <v>5</v>
      </c>
      <c r="C383" s="136"/>
      <c r="D383" s="192"/>
      <c r="E383" s="93">
        <v>37</v>
      </c>
      <c r="F383" s="70" t="s">
        <v>832</v>
      </c>
      <c r="G383" s="621" t="s">
        <v>534</v>
      </c>
      <c r="H383" s="255">
        <v>0.6</v>
      </c>
      <c r="I383" s="77">
        <v>255</v>
      </c>
      <c r="J383" s="73" t="s">
        <v>855</v>
      </c>
      <c r="K383" s="262" t="s">
        <v>856</v>
      </c>
      <c r="L383" s="77" t="s">
        <v>835</v>
      </c>
      <c r="M383" s="196">
        <v>16</v>
      </c>
      <c r="N383" s="93" t="s">
        <v>54</v>
      </c>
      <c r="O383" s="331">
        <v>12</v>
      </c>
      <c r="P383" s="331">
        <v>12</v>
      </c>
      <c r="Q383" s="196">
        <v>12</v>
      </c>
      <c r="R383" s="93">
        <v>12</v>
      </c>
      <c r="S383" s="500"/>
      <c r="T383" s="93">
        <v>12</v>
      </c>
      <c r="U383" s="93"/>
      <c r="V383" s="93">
        <v>12</v>
      </c>
      <c r="W383" s="112"/>
      <c r="X383" s="218">
        <f>AJ383/AJ382</f>
        <v>1</v>
      </c>
      <c r="Y383" s="78">
        <v>16</v>
      </c>
      <c r="Z383" s="75" t="s">
        <v>372</v>
      </c>
      <c r="AA383" s="185"/>
      <c r="AB383" s="185"/>
      <c r="AC383" s="108">
        <f>76685000+3315000</f>
        <v>80000000</v>
      </c>
      <c r="AD383" s="108"/>
      <c r="AE383" s="185"/>
      <c r="AF383" s="185"/>
      <c r="AG383" s="185"/>
      <c r="AH383" s="185"/>
      <c r="AI383" s="185"/>
      <c r="AJ383" s="82">
        <f>+AA383+AB383+AC383+AD383+AE383+AF383+AG383+AH383+AI383</f>
        <v>80000000</v>
      </c>
      <c r="AK383" s="90"/>
      <c r="AL383" s="90"/>
      <c r="AM383" s="90">
        <v>80000000</v>
      </c>
      <c r="AN383" s="90"/>
      <c r="AO383" s="90"/>
      <c r="AP383" s="90"/>
      <c r="AQ383" s="90"/>
      <c r="AR383" s="90"/>
      <c r="AS383" s="90"/>
      <c r="AT383" s="84">
        <f>AK383+AL383+AM383+AN383+AO383+AP383+AQ383+AR383+AS383</f>
        <v>80000000</v>
      </c>
      <c r="AU383" s="90"/>
      <c r="AV383" s="90"/>
      <c r="AW383" s="90">
        <v>80000000</v>
      </c>
      <c r="AX383" s="90"/>
      <c r="AY383" s="90"/>
      <c r="AZ383" s="90"/>
      <c r="BA383" s="90"/>
      <c r="BB383" s="90"/>
      <c r="BC383" s="90"/>
      <c r="BD383" s="90">
        <f>SUM(AU383:BC383)</f>
        <v>80000000</v>
      </c>
      <c r="BE383" s="90"/>
      <c r="BF383" s="90"/>
      <c r="BG383" s="90">
        <v>80000000</v>
      </c>
      <c r="BH383" s="90"/>
      <c r="BI383" s="90"/>
      <c r="BJ383" s="90"/>
      <c r="BK383" s="90"/>
      <c r="BL383" s="90"/>
      <c r="BM383" s="90"/>
      <c r="BN383" s="90">
        <f>SUM(BE383:BM383)</f>
        <v>80000000</v>
      </c>
      <c r="BO383" s="546">
        <f>AJ383+AT383+BD383+BN383</f>
        <v>320000000</v>
      </c>
    </row>
    <row r="384" spans="1:67" s="159" customFormat="1" ht="24.75" customHeight="1" x14ac:dyDescent="0.2">
      <c r="A384" s="565"/>
      <c r="B384" s="152"/>
      <c r="C384" s="136"/>
      <c r="D384" s="43">
        <v>28</v>
      </c>
      <c r="E384" s="134" t="s">
        <v>857</v>
      </c>
      <c r="F384" s="45"/>
      <c r="G384" s="46"/>
      <c r="H384" s="46"/>
      <c r="I384" s="47"/>
      <c r="J384" s="48"/>
      <c r="K384" s="48"/>
      <c r="L384" s="357"/>
      <c r="M384" s="358"/>
      <c r="N384" s="359"/>
      <c r="O384" s="48"/>
      <c r="P384" s="48"/>
      <c r="Q384" s="360"/>
      <c r="R384" s="358"/>
      <c r="S384" s="498"/>
      <c r="T384" s="361"/>
      <c r="U384" s="361"/>
      <c r="V384" s="358"/>
      <c r="W384" s="358"/>
      <c r="X384" s="135"/>
      <c r="Y384" s="47"/>
      <c r="Z384" s="47"/>
      <c r="AA384" s="53">
        <f t="shared" ref="AA384:AI384" si="567">AA385+AA405+AA411</f>
        <v>0</v>
      </c>
      <c r="AB384" s="53">
        <f t="shared" si="567"/>
        <v>64260244</v>
      </c>
      <c r="AC384" s="53">
        <f t="shared" si="567"/>
        <v>2487251891</v>
      </c>
      <c r="AD384" s="53">
        <f t="shared" si="567"/>
        <v>435000000</v>
      </c>
      <c r="AE384" s="53">
        <f t="shared" si="567"/>
        <v>0</v>
      </c>
      <c r="AF384" s="53">
        <f t="shared" si="567"/>
        <v>0</v>
      </c>
      <c r="AG384" s="53">
        <f t="shared" si="567"/>
        <v>0</v>
      </c>
      <c r="AH384" s="53">
        <f t="shared" si="567"/>
        <v>0</v>
      </c>
      <c r="AI384" s="53">
        <f t="shared" si="567"/>
        <v>4097000000</v>
      </c>
      <c r="AJ384" s="54">
        <f>AJ385+AJ405+AJ411</f>
        <v>7083512135</v>
      </c>
      <c r="AK384" s="53">
        <f t="shared" ref="AK384:AT384" si="568">AK385+AK405+AK411</f>
        <v>4000000000</v>
      </c>
      <c r="AL384" s="53">
        <f t="shared" si="568"/>
        <v>41200000</v>
      </c>
      <c r="AM384" s="53">
        <f t="shared" si="568"/>
        <v>1774152274</v>
      </c>
      <c r="AN384" s="53">
        <f t="shared" si="568"/>
        <v>200000000</v>
      </c>
      <c r="AO384" s="53">
        <f t="shared" si="568"/>
        <v>0</v>
      </c>
      <c r="AP384" s="53">
        <f t="shared" si="568"/>
        <v>0</v>
      </c>
      <c r="AQ384" s="53">
        <f t="shared" si="568"/>
        <v>0</v>
      </c>
      <c r="AR384" s="53">
        <f t="shared" si="568"/>
        <v>0</v>
      </c>
      <c r="AS384" s="53">
        <f t="shared" si="568"/>
        <v>2000000000</v>
      </c>
      <c r="AT384" s="53">
        <f t="shared" si="568"/>
        <v>8015352274</v>
      </c>
      <c r="AU384" s="55"/>
      <c r="AV384" s="55"/>
      <c r="AW384" s="55"/>
      <c r="AX384" s="55"/>
      <c r="AY384" s="55"/>
      <c r="AZ384" s="55"/>
      <c r="BA384" s="55"/>
      <c r="BB384" s="55"/>
      <c r="BC384" s="55"/>
      <c r="BD384" s="53">
        <f t="shared" ref="BD384" si="569">BD385+BD405+BD411</f>
        <v>3477740749</v>
      </c>
      <c r="BE384" s="55"/>
      <c r="BF384" s="55"/>
      <c r="BG384" s="55"/>
      <c r="BH384" s="55"/>
      <c r="BI384" s="55"/>
      <c r="BJ384" s="55"/>
      <c r="BK384" s="55"/>
      <c r="BL384" s="55"/>
      <c r="BM384" s="55"/>
      <c r="BN384" s="53">
        <f t="shared" ref="BN384:BO384" si="570">BN385+BN405+BN411</f>
        <v>3393709080</v>
      </c>
      <c r="BO384" s="543">
        <f t="shared" si="570"/>
        <v>21970314238</v>
      </c>
    </row>
    <row r="385" spans="1:67" s="159" customFormat="1" ht="24.75" customHeight="1" x14ac:dyDescent="0.2">
      <c r="A385" s="565"/>
      <c r="B385" s="152"/>
      <c r="C385" s="136"/>
      <c r="D385" s="572"/>
      <c r="E385" s="57">
        <v>87</v>
      </c>
      <c r="F385" s="58" t="s">
        <v>858</v>
      </c>
      <c r="G385" s="61"/>
      <c r="H385" s="61"/>
      <c r="I385" s="62"/>
      <c r="J385" s="58"/>
      <c r="K385" s="61"/>
      <c r="L385" s="60"/>
      <c r="M385" s="62"/>
      <c r="N385" s="63"/>
      <c r="O385" s="61"/>
      <c r="P385" s="61"/>
      <c r="Q385" s="64"/>
      <c r="R385" s="62"/>
      <c r="S385" s="499"/>
      <c r="T385" s="362"/>
      <c r="U385" s="362"/>
      <c r="V385" s="62"/>
      <c r="W385" s="62"/>
      <c r="X385" s="137"/>
      <c r="Y385" s="62"/>
      <c r="Z385" s="62"/>
      <c r="AA385" s="66">
        <f t="shared" ref="AA385:AI385" si="571">SUM(AA386:AA404)</f>
        <v>0</v>
      </c>
      <c r="AB385" s="66">
        <f t="shared" si="571"/>
        <v>0</v>
      </c>
      <c r="AC385" s="66">
        <f t="shared" si="571"/>
        <v>700000000</v>
      </c>
      <c r="AD385" s="66">
        <f t="shared" si="571"/>
        <v>0</v>
      </c>
      <c r="AE385" s="66">
        <f t="shared" si="571"/>
        <v>0</v>
      </c>
      <c r="AF385" s="66">
        <f t="shared" si="571"/>
        <v>0</v>
      </c>
      <c r="AG385" s="66">
        <f t="shared" si="571"/>
        <v>0</v>
      </c>
      <c r="AH385" s="66">
        <f t="shared" si="571"/>
        <v>0</v>
      </c>
      <c r="AI385" s="66">
        <f t="shared" si="571"/>
        <v>4097000000</v>
      </c>
      <c r="AJ385" s="67">
        <f>SUM(AJ386:AJ404)</f>
        <v>4797000000</v>
      </c>
      <c r="AK385" s="66">
        <f t="shared" ref="AK385:AT385" si="572">SUM(AK386:AK404)</f>
        <v>0</v>
      </c>
      <c r="AL385" s="66">
        <f t="shared" si="572"/>
        <v>0</v>
      </c>
      <c r="AM385" s="66">
        <f t="shared" si="572"/>
        <v>420000000</v>
      </c>
      <c r="AN385" s="66">
        <f t="shared" si="572"/>
        <v>0</v>
      </c>
      <c r="AO385" s="66">
        <f t="shared" si="572"/>
        <v>0</v>
      </c>
      <c r="AP385" s="66">
        <f t="shared" si="572"/>
        <v>0</v>
      </c>
      <c r="AQ385" s="66">
        <f t="shared" si="572"/>
        <v>0</v>
      </c>
      <c r="AR385" s="66">
        <f t="shared" si="572"/>
        <v>0</v>
      </c>
      <c r="AS385" s="66">
        <f t="shared" si="572"/>
        <v>2000000000</v>
      </c>
      <c r="AT385" s="66">
        <f t="shared" si="572"/>
        <v>2420000000</v>
      </c>
      <c r="AU385" s="68"/>
      <c r="AV385" s="68"/>
      <c r="AW385" s="68"/>
      <c r="AX385" s="68"/>
      <c r="AY385" s="68"/>
      <c r="AZ385" s="68"/>
      <c r="BA385" s="68"/>
      <c r="BB385" s="68"/>
      <c r="BC385" s="68"/>
      <c r="BD385" s="66">
        <f t="shared" ref="BD385" si="573">SUM(BD386:BD404)</f>
        <v>2420000000</v>
      </c>
      <c r="BE385" s="68"/>
      <c r="BF385" s="68"/>
      <c r="BG385" s="68"/>
      <c r="BH385" s="68"/>
      <c r="BI385" s="68"/>
      <c r="BJ385" s="68"/>
      <c r="BK385" s="68"/>
      <c r="BL385" s="68"/>
      <c r="BM385" s="68"/>
      <c r="BN385" s="66">
        <f t="shared" ref="BN385:BO385" si="574">SUM(BN386:BN404)</f>
        <v>2400000000</v>
      </c>
      <c r="BO385" s="544">
        <f t="shared" si="574"/>
        <v>12037000000</v>
      </c>
    </row>
    <row r="386" spans="1:67" ht="54.75" customHeight="1" x14ac:dyDescent="0.2">
      <c r="A386" s="547">
        <v>254</v>
      </c>
      <c r="B386" s="69">
        <v>5</v>
      </c>
      <c r="C386" s="136"/>
      <c r="D386" s="153"/>
      <c r="E386" s="478">
        <v>38</v>
      </c>
      <c r="F386" s="439" t="s">
        <v>801</v>
      </c>
      <c r="G386" s="478">
        <v>0</v>
      </c>
      <c r="H386" s="478">
        <v>2</v>
      </c>
      <c r="I386" s="77">
        <v>256</v>
      </c>
      <c r="J386" s="73" t="s">
        <v>859</v>
      </c>
      <c r="K386" s="262" t="s">
        <v>860</v>
      </c>
      <c r="L386" s="74" t="s">
        <v>823</v>
      </c>
      <c r="M386" s="245">
        <v>17</v>
      </c>
      <c r="N386" s="337" t="s">
        <v>69</v>
      </c>
      <c r="O386" s="331">
        <v>1</v>
      </c>
      <c r="P386" s="331">
        <v>1</v>
      </c>
      <c r="Q386" s="276">
        <v>1</v>
      </c>
      <c r="R386" s="331">
        <v>0</v>
      </c>
      <c r="S386" s="521"/>
      <c r="T386" s="331">
        <v>0</v>
      </c>
      <c r="U386" s="331"/>
      <c r="V386" s="331">
        <v>0</v>
      </c>
      <c r="W386" s="337"/>
      <c r="X386" s="218">
        <f t="shared" ref="X386:X404" si="575">AJ386/$AJ$385</f>
        <v>4.0973525119866586E-2</v>
      </c>
      <c r="Y386" s="77">
        <v>16</v>
      </c>
      <c r="Z386" s="74" t="s">
        <v>372</v>
      </c>
      <c r="AA386" s="185"/>
      <c r="AB386" s="185"/>
      <c r="AC386" s="448">
        <v>196550000</v>
      </c>
      <c r="AD386" s="201"/>
      <c r="AE386" s="185"/>
      <c r="AF386" s="185"/>
      <c r="AG386" s="185"/>
      <c r="AH386" s="185"/>
      <c r="AI386" s="185"/>
      <c r="AJ386" s="82">
        <f t="shared" ref="AJ386:AJ404" si="576">+AA386+AB386+AC386+AD386+AE386+AF386+AG386+AH386+AI386</f>
        <v>196550000</v>
      </c>
      <c r="AK386" s="90">
        <v>0</v>
      </c>
      <c r="AL386" s="90">
        <v>0</v>
      </c>
      <c r="AM386" s="90">
        <v>0</v>
      </c>
      <c r="AN386" s="90">
        <v>0</v>
      </c>
      <c r="AO386" s="90">
        <v>0</v>
      </c>
      <c r="AP386" s="90">
        <v>0</v>
      </c>
      <c r="AQ386" s="90">
        <v>0</v>
      </c>
      <c r="AR386" s="90">
        <v>0</v>
      </c>
      <c r="AS386" s="90">
        <v>0</v>
      </c>
      <c r="AT386" s="84">
        <f t="shared" ref="AT386:AT404" si="577">AK386+AL386+AM386+AN386+AO386+AP386+AQ386+AR386+AS386</f>
        <v>0</v>
      </c>
      <c r="AU386" s="455"/>
      <c r="AV386" s="455"/>
      <c r="AW386" s="455" t="s">
        <v>61</v>
      </c>
      <c r="AX386" s="455"/>
      <c r="AY386" s="455"/>
      <c r="AZ386" s="455"/>
      <c r="BA386" s="455"/>
      <c r="BB386" s="455"/>
      <c r="BC386" s="455"/>
      <c r="BD386" s="455">
        <f t="shared" ref="BD386:BD404" si="578">SUM(AU386:BC386)</f>
        <v>0</v>
      </c>
      <c r="BE386" s="90"/>
      <c r="BF386" s="90"/>
      <c r="BG386" s="455" t="s">
        <v>61</v>
      </c>
      <c r="BH386" s="90"/>
      <c r="BI386" s="90"/>
      <c r="BJ386" s="90"/>
      <c r="BK386" s="90"/>
      <c r="BL386" s="90"/>
      <c r="BM386" s="455"/>
      <c r="BN386" s="90">
        <f t="shared" ref="BN386:BN404" si="579">SUM(BE386:BM386)</f>
        <v>0</v>
      </c>
      <c r="BO386" s="546">
        <f t="shared" ref="BO386:BO404" si="580">AJ386+AT386+BD386+BN386</f>
        <v>196550000</v>
      </c>
    </row>
    <row r="387" spans="1:67" ht="54.75" customHeight="1" x14ac:dyDescent="0.2">
      <c r="A387" s="547"/>
      <c r="B387" s="69">
        <v>5</v>
      </c>
      <c r="C387" s="136"/>
      <c r="D387" s="153"/>
      <c r="E387" s="91"/>
      <c r="F387" s="119"/>
      <c r="G387" s="91"/>
      <c r="H387" s="91"/>
      <c r="I387" s="77">
        <v>257</v>
      </c>
      <c r="J387" s="73" t="s">
        <v>861</v>
      </c>
      <c r="K387" s="70" t="s">
        <v>281</v>
      </c>
      <c r="L387" s="74" t="s">
        <v>823</v>
      </c>
      <c r="M387" s="245">
        <v>17</v>
      </c>
      <c r="N387" s="88" t="s">
        <v>54</v>
      </c>
      <c r="O387" s="76">
        <v>0</v>
      </c>
      <c r="P387" s="76">
        <v>1</v>
      </c>
      <c r="Q387" s="89">
        <v>1</v>
      </c>
      <c r="R387" s="76">
        <v>1</v>
      </c>
      <c r="S387" s="500"/>
      <c r="T387" s="76">
        <v>1</v>
      </c>
      <c r="U387" s="76"/>
      <c r="V387" s="76">
        <v>1</v>
      </c>
      <c r="W387" s="88"/>
      <c r="X387" s="218">
        <f t="shared" si="575"/>
        <v>0.32013758599124453</v>
      </c>
      <c r="Y387" s="77">
        <v>13</v>
      </c>
      <c r="Z387" s="74" t="s">
        <v>151</v>
      </c>
      <c r="AA387" s="185"/>
      <c r="AB387" s="185"/>
      <c r="AC387" s="447">
        <v>35700000</v>
      </c>
      <c r="AD387" s="363"/>
      <c r="AE387" s="185"/>
      <c r="AF387" s="185"/>
      <c r="AG387" s="185"/>
      <c r="AH387" s="185"/>
      <c r="AI387" s="185">
        <v>1500000000</v>
      </c>
      <c r="AJ387" s="82">
        <f t="shared" si="576"/>
        <v>1535700000</v>
      </c>
      <c r="AK387" s="90"/>
      <c r="AL387" s="90"/>
      <c r="AM387" s="455">
        <v>35700000</v>
      </c>
      <c r="AN387" s="90"/>
      <c r="AO387" s="90"/>
      <c r="AP387" s="90"/>
      <c r="AQ387" s="90"/>
      <c r="AR387" s="90"/>
      <c r="AS387" s="90">
        <v>500000000</v>
      </c>
      <c r="AT387" s="84">
        <f t="shared" si="577"/>
        <v>535700000</v>
      </c>
      <c r="AU387" s="455"/>
      <c r="AV387" s="455"/>
      <c r="AW387" s="455">
        <v>35700000</v>
      </c>
      <c r="AX387" s="455"/>
      <c r="AY387" s="455"/>
      <c r="AZ387" s="455"/>
      <c r="BA387" s="455"/>
      <c r="BB387" s="455"/>
      <c r="BC387" s="90">
        <v>500000000</v>
      </c>
      <c r="BD387" s="455">
        <f t="shared" si="578"/>
        <v>535700000</v>
      </c>
      <c r="BE387" s="90"/>
      <c r="BF387" s="90"/>
      <c r="BG387" s="455">
        <v>35700000</v>
      </c>
      <c r="BH387" s="90"/>
      <c r="BI387" s="90"/>
      <c r="BJ387" s="90"/>
      <c r="BK387" s="90"/>
      <c r="BL387" s="90"/>
      <c r="BM387" s="90">
        <v>500000000</v>
      </c>
      <c r="BN387" s="90">
        <f t="shared" si="579"/>
        <v>535700000</v>
      </c>
      <c r="BO387" s="546">
        <f t="shared" si="580"/>
        <v>3142800000</v>
      </c>
    </row>
    <row r="388" spans="1:67" ht="68.25" customHeight="1" x14ac:dyDescent="0.2">
      <c r="A388" s="547"/>
      <c r="B388" s="69">
        <v>5</v>
      </c>
      <c r="C388" s="136"/>
      <c r="D388" s="153"/>
      <c r="E388" s="91"/>
      <c r="F388" s="119"/>
      <c r="G388" s="91"/>
      <c r="H388" s="91"/>
      <c r="I388" s="77">
        <v>258</v>
      </c>
      <c r="J388" s="73" t="s">
        <v>862</v>
      </c>
      <c r="K388" s="70" t="s">
        <v>863</v>
      </c>
      <c r="L388" s="74" t="s">
        <v>823</v>
      </c>
      <c r="M388" s="245">
        <v>17</v>
      </c>
      <c r="N388" s="88" t="s">
        <v>54</v>
      </c>
      <c r="O388" s="76">
        <v>0</v>
      </c>
      <c r="P388" s="89">
        <v>1</v>
      </c>
      <c r="Q388" s="89">
        <v>1</v>
      </c>
      <c r="R388" s="89">
        <v>1</v>
      </c>
      <c r="S388" s="500"/>
      <c r="T388" s="89">
        <v>1</v>
      </c>
      <c r="U388" s="89"/>
      <c r="V388" s="76">
        <v>1</v>
      </c>
      <c r="W388" s="88"/>
      <c r="X388" s="218">
        <f t="shared" si="575"/>
        <v>0.20846362309776945</v>
      </c>
      <c r="Y388" s="78">
        <v>15</v>
      </c>
      <c r="Z388" s="75" t="s">
        <v>55</v>
      </c>
      <c r="AA388" s="185"/>
      <c r="AB388" s="185"/>
      <c r="AC388" s="448">
        <v>0</v>
      </c>
      <c r="AD388" s="104"/>
      <c r="AE388" s="185"/>
      <c r="AF388" s="185"/>
      <c r="AG388" s="185"/>
      <c r="AH388" s="185"/>
      <c r="AI388" s="185">
        <v>1000000000</v>
      </c>
      <c r="AJ388" s="82">
        <f t="shared" si="576"/>
        <v>1000000000</v>
      </c>
      <c r="AK388" s="90"/>
      <c r="AL388" s="90"/>
      <c r="AM388" s="455">
        <v>20000000</v>
      </c>
      <c r="AN388" s="90"/>
      <c r="AO388" s="90"/>
      <c r="AP388" s="90"/>
      <c r="AQ388" s="90"/>
      <c r="AR388" s="90"/>
      <c r="AS388" s="90"/>
      <c r="AT388" s="84">
        <f t="shared" si="577"/>
        <v>20000000</v>
      </c>
      <c r="AU388" s="455"/>
      <c r="AV388" s="455"/>
      <c r="AW388" s="455">
        <v>20000000</v>
      </c>
      <c r="AX388" s="455"/>
      <c r="AY388" s="455"/>
      <c r="AZ388" s="455"/>
      <c r="BA388" s="455"/>
      <c r="BB388" s="455"/>
      <c r="BC388" s="90"/>
      <c r="BD388" s="455">
        <f t="shared" si="578"/>
        <v>20000000</v>
      </c>
      <c r="BE388" s="90"/>
      <c r="BF388" s="90"/>
      <c r="BG388" s="455">
        <v>20000000</v>
      </c>
      <c r="BH388" s="90"/>
      <c r="BI388" s="90"/>
      <c r="BJ388" s="90"/>
      <c r="BK388" s="90"/>
      <c r="BL388" s="90"/>
      <c r="BM388" s="90"/>
      <c r="BN388" s="90">
        <f t="shared" si="579"/>
        <v>20000000</v>
      </c>
      <c r="BO388" s="546">
        <f t="shared" si="580"/>
        <v>1060000000</v>
      </c>
    </row>
    <row r="389" spans="1:67" ht="68.25" customHeight="1" x14ac:dyDescent="0.2">
      <c r="A389" s="545">
        <v>255</v>
      </c>
      <c r="B389" s="69">
        <v>5</v>
      </c>
      <c r="C389" s="136"/>
      <c r="D389" s="153"/>
      <c r="E389" s="91"/>
      <c r="F389" s="119"/>
      <c r="G389" s="91"/>
      <c r="H389" s="91"/>
      <c r="I389" s="77">
        <v>259</v>
      </c>
      <c r="J389" s="73" t="s">
        <v>864</v>
      </c>
      <c r="K389" s="262" t="s">
        <v>865</v>
      </c>
      <c r="L389" s="74" t="s">
        <v>823</v>
      </c>
      <c r="M389" s="245">
        <v>17</v>
      </c>
      <c r="N389" s="337" t="s">
        <v>54</v>
      </c>
      <c r="O389" s="331">
        <v>1</v>
      </c>
      <c r="P389" s="331">
        <v>1</v>
      </c>
      <c r="Q389" s="276">
        <v>1</v>
      </c>
      <c r="R389" s="331">
        <v>1</v>
      </c>
      <c r="S389" s="500"/>
      <c r="T389" s="331">
        <v>1</v>
      </c>
      <c r="U389" s="331"/>
      <c r="V389" s="331">
        <v>1</v>
      </c>
      <c r="W389" s="337"/>
      <c r="X389" s="218">
        <f t="shared" si="575"/>
        <v>1.876172607879925E-3</v>
      </c>
      <c r="Y389" s="77">
        <v>13</v>
      </c>
      <c r="Z389" s="74" t="s">
        <v>151</v>
      </c>
      <c r="AA389" s="185"/>
      <c r="AB389" s="185"/>
      <c r="AC389" s="447">
        <v>9000000</v>
      </c>
      <c r="AD389" s="118"/>
      <c r="AE389" s="185"/>
      <c r="AF389" s="185"/>
      <c r="AG389" s="185"/>
      <c r="AH389" s="185"/>
      <c r="AI389" s="185"/>
      <c r="AJ389" s="82">
        <f t="shared" si="576"/>
        <v>9000000</v>
      </c>
      <c r="AK389" s="90"/>
      <c r="AL389" s="90"/>
      <c r="AM389" s="455">
        <v>9000000</v>
      </c>
      <c r="AN389" s="90"/>
      <c r="AO389" s="90"/>
      <c r="AP389" s="90"/>
      <c r="AQ389" s="90"/>
      <c r="AR389" s="90"/>
      <c r="AS389" s="90"/>
      <c r="AT389" s="84">
        <f t="shared" si="577"/>
        <v>9000000</v>
      </c>
      <c r="AU389" s="455"/>
      <c r="AV389" s="455"/>
      <c r="AW389" s="455">
        <v>9000000</v>
      </c>
      <c r="AX389" s="455"/>
      <c r="AY389" s="455"/>
      <c r="AZ389" s="455"/>
      <c r="BA389" s="455"/>
      <c r="BB389" s="455"/>
      <c r="BC389" s="90"/>
      <c r="BD389" s="455">
        <f t="shared" si="578"/>
        <v>9000000</v>
      </c>
      <c r="BE389" s="90"/>
      <c r="BF389" s="90"/>
      <c r="BG389" s="455">
        <v>9000000</v>
      </c>
      <c r="BH389" s="90"/>
      <c r="BI389" s="90"/>
      <c r="BJ389" s="90"/>
      <c r="BK389" s="90"/>
      <c r="BL389" s="90"/>
      <c r="BM389" s="90"/>
      <c r="BN389" s="90">
        <f t="shared" si="579"/>
        <v>9000000</v>
      </c>
      <c r="BO389" s="546">
        <f t="shared" si="580"/>
        <v>36000000</v>
      </c>
    </row>
    <row r="390" spans="1:67" ht="78.75" customHeight="1" x14ac:dyDescent="0.2">
      <c r="A390" s="547">
        <v>256</v>
      </c>
      <c r="B390" s="69">
        <v>5</v>
      </c>
      <c r="C390" s="136"/>
      <c r="D390" s="153"/>
      <c r="E390" s="91"/>
      <c r="F390" s="119"/>
      <c r="G390" s="91"/>
      <c r="H390" s="91"/>
      <c r="I390" s="77">
        <v>260</v>
      </c>
      <c r="J390" s="73" t="s">
        <v>866</v>
      </c>
      <c r="K390" s="262" t="s">
        <v>867</v>
      </c>
      <c r="L390" s="74" t="s">
        <v>823</v>
      </c>
      <c r="M390" s="245">
        <v>17</v>
      </c>
      <c r="N390" s="337" t="s">
        <v>54</v>
      </c>
      <c r="O390" s="331">
        <v>12</v>
      </c>
      <c r="P390" s="331">
        <v>12</v>
      </c>
      <c r="Q390" s="276">
        <v>12</v>
      </c>
      <c r="R390" s="331">
        <v>12</v>
      </c>
      <c r="S390" s="500"/>
      <c r="T390" s="331">
        <v>12</v>
      </c>
      <c r="U390" s="331"/>
      <c r="V390" s="331">
        <v>12</v>
      </c>
      <c r="W390" s="337"/>
      <c r="X390" s="218">
        <f t="shared" si="575"/>
        <v>3.8925370022930999E-3</v>
      </c>
      <c r="Y390" s="77">
        <v>13</v>
      </c>
      <c r="Z390" s="74" t="s">
        <v>151</v>
      </c>
      <c r="AA390" s="185"/>
      <c r="AB390" s="185"/>
      <c r="AC390" s="447">
        <v>18672500</v>
      </c>
      <c r="AD390" s="118"/>
      <c r="AE390" s="185"/>
      <c r="AF390" s="185"/>
      <c r="AG390" s="185"/>
      <c r="AH390" s="185"/>
      <c r="AI390" s="185"/>
      <c r="AJ390" s="82">
        <f t="shared" si="576"/>
        <v>18672500</v>
      </c>
      <c r="AK390" s="90"/>
      <c r="AL390" s="90"/>
      <c r="AM390" s="455">
        <v>18000000</v>
      </c>
      <c r="AN390" s="90"/>
      <c r="AO390" s="90"/>
      <c r="AP390" s="90"/>
      <c r="AQ390" s="90"/>
      <c r="AR390" s="90"/>
      <c r="AS390" s="90"/>
      <c r="AT390" s="84">
        <f t="shared" si="577"/>
        <v>18000000</v>
      </c>
      <c r="AU390" s="455"/>
      <c r="AV390" s="455"/>
      <c r="AW390" s="455">
        <v>18000000</v>
      </c>
      <c r="AX390" s="455"/>
      <c r="AY390" s="455"/>
      <c r="AZ390" s="455"/>
      <c r="BA390" s="455"/>
      <c r="BB390" s="455"/>
      <c r="BC390" s="90"/>
      <c r="BD390" s="455">
        <f t="shared" si="578"/>
        <v>18000000</v>
      </c>
      <c r="BE390" s="90"/>
      <c r="BF390" s="90"/>
      <c r="BG390" s="455">
        <v>18000000</v>
      </c>
      <c r="BH390" s="90"/>
      <c r="BI390" s="90"/>
      <c r="BJ390" s="90"/>
      <c r="BK390" s="90"/>
      <c r="BL390" s="90"/>
      <c r="BM390" s="90"/>
      <c r="BN390" s="90">
        <f t="shared" si="579"/>
        <v>18000000</v>
      </c>
      <c r="BO390" s="546">
        <f t="shared" si="580"/>
        <v>72672500</v>
      </c>
    </row>
    <row r="391" spans="1:67" ht="54.75" customHeight="1" x14ac:dyDescent="0.2">
      <c r="A391" s="545">
        <v>257</v>
      </c>
      <c r="B391" s="69">
        <v>5</v>
      </c>
      <c r="C391" s="136"/>
      <c r="D391" s="153"/>
      <c r="E391" s="91"/>
      <c r="F391" s="119"/>
      <c r="G391" s="91"/>
      <c r="H391" s="91"/>
      <c r="I391" s="77">
        <v>261</v>
      </c>
      <c r="J391" s="73" t="s">
        <v>868</v>
      </c>
      <c r="K391" s="262" t="s">
        <v>869</v>
      </c>
      <c r="L391" s="74" t="s">
        <v>823</v>
      </c>
      <c r="M391" s="245">
        <v>17</v>
      </c>
      <c r="N391" s="337" t="s">
        <v>54</v>
      </c>
      <c r="O391" s="331">
        <v>1</v>
      </c>
      <c r="P391" s="331">
        <v>2</v>
      </c>
      <c r="Q391" s="276">
        <v>2</v>
      </c>
      <c r="R391" s="331">
        <v>2</v>
      </c>
      <c r="S391" s="500"/>
      <c r="T391" s="331">
        <v>2</v>
      </c>
      <c r="U391" s="331"/>
      <c r="V391" s="331">
        <v>2</v>
      </c>
      <c r="W391" s="337"/>
      <c r="X391" s="218">
        <f t="shared" si="575"/>
        <v>5.6702105482593287E-3</v>
      </c>
      <c r="Y391" s="77">
        <v>17</v>
      </c>
      <c r="Z391" s="74" t="s">
        <v>838</v>
      </c>
      <c r="AA391" s="185"/>
      <c r="AB391" s="185"/>
      <c r="AC391" s="447">
        <v>27200000</v>
      </c>
      <c r="AD391" s="82"/>
      <c r="AE391" s="185"/>
      <c r="AF391" s="185"/>
      <c r="AG391" s="185"/>
      <c r="AH391" s="185"/>
      <c r="AI391" s="185"/>
      <c r="AJ391" s="82">
        <f t="shared" si="576"/>
        <v>27200000</v>
      </c>
      <c r="AK391" s="90"/>
      <c r="AL391" s="90"/>
      <c r="AM391" s="90">
        <v>25000000</v>
      </c>
      <c r="AN391" s="90"/>
      <c r="AO391" s="90"/>
      <c r="AP391" s="90"/>
      <c r="AQ391" s="90"/>
      <c r="AR391" s="90"/>
      <c r="AS391" s="90"/>
      <c r="AT391" s="84">
        <f t="shared" si="577"/>
        <v>25000000</v>
      </c>
      <c r="AU391" s="90"/>
      <c r="AV391" s="90"/>
      <c r="AW391" s="90">
        <v>25000000</v>
      </c>
      <c r="AX391" s="90"/>
      <c r="AY391" s="90"/>
      <c r="AZ391" s="90"/>
      <c r="BA391" s="90"/>
      <c r="BB391" s="90"/>
      <c r="BC391" s="90"/>
      <c r="BD391" s="455">
        <f t="shared" si="578"/>
        <v>25000000</v>
      </c>
      <c r="BE391" s="90"/>
      <c r="BF391" s="90"/>
      <c r="BG391" s="90">
        <v>25000000</v>
      </c>
      <c r="BH391" s="90"/>
      <c r="BI391" s="90"/>
      <c r="BJ391" s="90"/>
      <c r="BK391" s="90"/>
      <c r="BL391" s="90"/>
      <c r="BM391" s="90"/>
      <c r="BN391" s="90">
        <f t="shared" si="579"/>
        <v>25000000</v>
      </c>
      <c r="BO391" s="546">
        <f t="shared" si="580"/>
        <v>102200000</v>
      </c>
    </row>
    <row r="392" spans="1:67" ht="78.75" customHeight="1" x14ac:dyDescent="0.2">
      <c r="A392" s="547">
        <v>258</v>
      </c>
      <c r="B392" s="69">
        <v>5</v>
      </c>
      <c r="C392" s="136"/>
      <c r="D392" s="153"/>
      <c r="E392" s="91"/>
      <c r="F392" s="119"/>
      <c r="G392" s="91"/>
      <c r="H392" s="91"/>
      <c r="I392" s="77">
        <v>262</v>
      </c>
      <c r="J392" s="73" t="s">
        <v>870</v>
      </c>
      <c r="K392" s="262" t="s">
        <v>871</v>
      </c>
      <c r="L392" s="74" t="s">
        <v>823</v>
      </c>
      <c r="M392" s="245">
        <v>17</v>
      </c>
      <c r="N392" s="337" t="s">
        <v>54</v>
      </c>
      <c r="O392" s="331">
        <v>1</v>
      </c>
      <c r="P392" s="331">
        <v>1</v>
      </c>
      <c r="Q392" s="276">
        <v>1</v>
      </c>
      <c r="R392" s="331">
        <v>1</v>
      </c>
      <c r="S392" s="500"/>
      <c r="T392" s="331">
        <v>1</v>
      </c>
      <c r="U392" s="331"/>
      <c r="V392" s="331">
        <v>1</v>
      </c>
      <c r="W392" s="337"/>
      <c r="X392" s="218">
        <f t="shared" si="575"/>
        <v>0.10944340212632896</v>
      </c>
      <c r="Y392" s="77">
        <v>17</v>
      </c>
      <c r="Z392" s="74" t="s">
        <v>838</v>
      </c>
      <c r="AA392" s="185"/>
      <c r="AB392" s="185"/>
      <c r="AC392" s="448">
        <v>25000000</v>
      </c>
      <c r="AD392" s="201"/>
      <c r="AE392" s="185"/>
      <c r="AF392" s="185"/>
      <c r="AG392" s="185"/>
      <c r="AH392" s="185"/>
      <c r="AI392" s="185">
        <v>500000000</v>
      </c>
      <c r="AJ392" s="82">
        <f t="shared" si="576"/>
        <v>525000000</v>
      </c>
      <c r="AK392" s="90"/>
      <c r="AL392" s="90"/>
      <c r="AM392" s="90">
        <v>25000000</v>
      </c>
      <c r="AN392" s="90"/>
      <c r="AO392" s="90"/>
      <c r="AP392" s="90"/>
      <c r="AQ392" s="90"/>
      <c r="AR392" s="90"/>
      <c r="AS392" s="90">
        <v>500000000</v>
      </c>
      <c r="AT392" s="84">
        <f t="shared" si="577"/>
        <v>525000000</v>
      </c>
      <c r="AU392" s="90"/>
      <c r="AV392" s="90"/>
      <c r="AW392" s="90">
        <v>25000000</v>
      </c>
      <c r="AX392" s="90"/>
      <c r="AY392" s="90"/>
      <c r="AZ392" s="90"/>
      <c r="BA392" s="90"/>
      <c r="BB392" s="90"/>
      <c r="BC392" s="90">
        <v>500000000</v>
      </c>
      <c r="BD392" s="455">
        <f t="shared" si="578"/>
        <v>525000000</v>
      </c>
      <c r="BE392" s="90"/>
      <c r="BF392" s="90"/>
      <c r="BG392" s="90">
        <v>25000000</v>
      </c>
      <c r="BH392" s="90"/>
      <c r="BI392" s="90"/>
      <c r="BJ392" s="90"/>
      <c r="BK392" s="90"/>
      <c r="BL392" s="90"/>
      <c r="BM392" s="90">
        <v>500000000</v>
      </c>
      <c r="BN392" s="90">
        <f t="shared" si="579"/>
        <v>525000000</v>
      </c>
      <c r="BO392" s="546">
        <f t="shared" si="580"/>
        <v>2100000000</v>
      </c>
    </row>
    <row r="393" spans="1:67" ht="54.75" customHeight="1" x14ac:dyDescent="0.2">
      <c r="A393" s="545">
        <v>259</v>
      </c>
      <c r="B393" s="69">
        <v>5</v>
      </c>
      <c r="C393" s="136"/>
      <c r="D393" s="153"/>
      <c r="E393" s="91"/>
      <c r="F393" s="119"/>
      <c r="G393" s="91"/>
      <c r="H393" s="91"/>
      <c r="I393" s="77">
        <v>263</v>
      </c>
      <c r="J393" s="73" t="s">
        <v>872</v>
      </c>
      <c r="K393" s="262" t="s">
        <v>873</v>
      </c>
      <c r="L393" s="74" t="s">
        <v>823</v>
      </c>
      <c r="M393" s="245">
        <v>17</v>
      </c>
      <c r="N393" s="337" t="s">
        <v>54</v>
      </c>
      <c r="O393" s="331">
        <v>1</v>
      </c>
      <c r="P393" s="331">
        <v>1</v>
      </c>
      <c r="Q393" s="276">
        <v>1</v>
      </c>
      <c r="R393" s="331">
        <v>1</v>
      </c>
      <c r="S393" s="500"/>
      <c r="T393" s="331">
        <v>1</v>
      </c>
      <c r="U393" s="331"/>
      <c r="V393" s="331">
        <v>1</v>
      </c>
      <c r="W393" s="337"/>
      <c r="X393" s="218">
        <f t="shared" si="575"/>
        <v>1.2486971023556389E-2</v>
      </c>
      <c r="Y393" s="77">
        <v>17</v>
      </c>
      <c r="Z393" s="74" t="s">
        <v>838</v>
      </c>
      <c r="AA393" s="185"/>
      <c r="AB393" s="185"/>
      <c r="AC393" s="448">
        <v>59900000</v>
      </c>
      <c r="AD393" s="201"/>
      <c r="AE393" s="185"/>
      <c r="AF393" s="185"/>
      <c r="AG393" s="185"/>
      <c r="AH393" s="185"/>
      <c r="AI393" s="185"/>
      <c r="AJ393" s="82">
        <f t="shared" si="576"/>
        <v>59900000</v>
      </c>
      <c r="AK393" s="90"/>
      <c r="AL393" s="90"/>
      <c r="AM393" s="455">
        <v>35000000</v>
      </c>
      <c r="AN393" s="90"/>
      <c r="AO393" s="90"/>
      <c r="AP393" s="90"/>
      <c r="AQ393" s="90"/>
      <c r="AR393" s="90"/>
      <c r="AS393" s="90">
        <v>400000000</v>
      </c>
      <c r="AT393" s="84">
        <f t="shared" si="577"/>
        <v>435000000</v>
      </c>
      <c r="AU393" s="455"/>
      <c r="AV393" s="455"/>
      <c r="AW393" s="455">
        <v>35000000</v>
      </c>
      <c r="AX393" s="455"/>
      <c r="AY393" s="455"/>
      <c r="AZ393" s="455"/>
      <c r="BA393" s="455"/>
      <c r="BB393" s="455"/>
      <c r="BC393" s="90">
        <v>400000000</v>
      </c>
      <c r="BD393" s="455">
        <f t="shared" si="578"/>
        <v>435000000</v>
      </c>
      <c r="BE393" s="90"/>
      <c r="BF393" s="90"/>
      <c r="BG393" s="455">
        <v>35000000</v>
      </c>
      <c r="BH393" s="90"/>
      <c r="BI393" s="90"/>
      <c r="BJ393" s="90"/>
      <c r="BK393" s="90"/>
      <c r="BL393" s="90"/>
      <c r="BM393" s="90">
        <v>400000000</v>
      </c>
      <c r="BN393" s="90">
        <f t="shared" si="579"/>
        <v>435000000</v>
      </c>
      <c r="BO393" s="546">
        <f t="shared" si="580"/>
        <v>1364900000</v>
      </c>
    </row>
    <row r="394" spans="1:67" ht="75" customHeight="1" x14ac:dyDescent="0.2">
      <c r="A394" s="547">
        <v>260</v>
      </c>
      <c r="B394" s="69">
        <v>5</v>
      </c>
      <c r="C394" s="136"/>
      <c r="D394" s="153"/>
      <c r="E394" s="91"/>
      <c r="F394" s="119"/>
      <c r="G394" s="91"/>
      <c r="H394" s="91"/>
      <c r="I394" s="77">
        <v>264</v>
      </c>
      <c r="J394" s="73" t="s">
        <v>874</v>
      </c>
      <c r="K394" s="262" t="s">
        <v>875</v>
      </c>
      <c r="L394" s="74" t="s">
        <v>823</v>
      </c>
      <c r="M394" s="245">
        <v>17</v>
      </c>
      <c r="N394" s="337" t="s">
        <v>54</v>
      </c>
      <c r="O394" s="331">
        <v>0</v>
      </c>
      <c r="P394" s="331">
        <v>1</v>
      </c>
      <c r="Q394" s="276">
        <v>1</v>
      </c>
      <c r="R394" s="331">
        <v>1</v>
      </c>
      <c r="S394" s="500"/>
      <c r="T394" s="331">
        <v>1</v>
      </c>
      <c r="U394" s="331"/>
      <c r="V394" s="331">
        <v>1</v>
      </c>
      <c r="W394" s="337"/>
      <c r="X394" s="218">
        <f t="shared" si="575"/>
        <v>0.10944340212632896</v>
      </c>
      <c r="Y394" s="77">
        <v>17</v>
      </c>
      <c r="Z394" s="74" t="s">
        <v>838</v>
      </c>
      <c r="AA394" s="185"/>
      <c r="AB394" s="185"/>
      <c r="AC394" s="193">
        <v>25000000</v>
      </c>
      <c r="AD394" s="193"/>
      <c r="AE394" s="185"/>
      <c r="AF394" s="185"/>
      <c r="AG394" s="185"/>
      <c r="AH394" s="185"/>
      <c r="AI394" s="185">
        <v>500000000</v>
      </c>
      <c r="AJ394" s="82">
        <f t="shared" si="576"/>
        <v>525000000</v>
      </c>
      <c r="AK394" s="90"/>
      <c r="AL394" s="90"/>
      <c r="AM394" s="455">
        <v>25000000</v>
      </c>
      <c r="AN394" s="90"/>
      <c r="AO394" s="90"/>
      <c r="AP394" s="90"/>
      <c r="AQ394" s="90"/>
      <c r="AR394" s="90"/>
      <c r="AS394" s="90">
        <v>300000000</v>
      </c>
      <c r="AT394" s="84">
        <f t="shared" si="577"/>
        <v>325000000</v>
      </c>
      <c r="AU394" s="455"/>
      <c r="AV394" s="455"/>
      <c r="AW394" s="455">
        <v>25000000</v>
      </c>
      <c r="AX394" s="455"/>
      <c r="AY394" s="455"/>
      <c r="AZ394" s="455"/>
      <c r="BA394" s="455"/>
      <c r="BB394" s="455"/>
      <c r="BC394" s="90">
        <v>300000000</v>
      </c>
      <c r="BD394" s="455">
        <f t="shared" si="578"/>
        <v>325000000</v>
      </c>
      <c r="BE394" s="90"/>
      <c r="BF394" s="90"/>
      <c r="BG394" s="455">
        <v>25000000</v>
      </c>
      <c r="BH394" s="90"/>
      <c r="BI394" s="90"/>
      <c r="BJ394" s="90"/>
      <c r="BK394" s="90"/>
      <c r="BL394" s="90"/>
      <c r="BM394" s="90">
        <v>300000000</v>
      </c>
      <c r="BN394" s="90">
        <f t="shared" si="579"/>
        <v>325000000</v>
      </c>
      <c r="BO394" s="546">
        <f t="shared" si="580"/>
        <v>1500000000</v>
      </c>
    </row>
    <row r="395" spans="1:67" ht="102.75" customHeight="1" x14ac:dyDescent="0.2">
      <c r="A395" s="545"/>
      <c r="B395" s="69"/>
      <c r="C395" s="136"/>
      <c r="D395" s="153"/>
      <c r="E395" s="91"/>
      <c r="F395" s="119"/>
      <c r="G395" s="91"/>
      <c r="H395" s="91"/>
      <c r="I395" s="77">
        <v>265</v>
      </c>
      <c r="J395" s="73" t="s">
        <v>876</v>
      </c>
      <c r="K395" s="70" t="s">
        <v>877</v>
      </c>
      <c r="L395" s="74" t="s">
        <v>121</v>
      </c>
      <c r="M395" s="74">
        <v>13</v>
      </c>
      <c r="N395" s="88" t="s">
        <v>54</v>
      </c>
      <c r="O395" s="76">
        <v>0</v>
      </c>
      <c r="P395" s="76">
        <v>1</v>
      </c>
      <c r="Q395" s="89">
        <v>1</v>
      </c>
      <c r="R395" s="76">
        <v>1</v>
      </c>
      <c r="S395" s="500"/>
      <c r="T395" s="76">
        <v>1</v>
      </c>
      <c r="U395" s="76"/>
      <c r="V395" s="76">
        <v>1</v>
      </c>
      <c r="W395" s="88"/>
      <c r="X395" s="218">
        <f t="shared" si="575"/>
        <v>0.15810923493850323</v>
      </c>
      <c r="Y395" s="77">
        <v>17</v>
      </c>
      <c r="Z395" s="74" t="s">
        <v>838</v>
      </c>
      <c r="AA395" s="185"/>
      <c r="AB395" s="185"/>
      <c r="AC395" s="448">
        <v>161450000</v>
      </c>
      <c r="AD395" s="201"/>
      <c r="AE395" s="185"/>
      <c r="AF395" s="185"/>
      <c r="AG395" s="185"/>
      <c r="AH395" s="185"/>
      <c r="AI395" s="185">
        <v>597000000</v>
      </c>
      <c r="AJ395" s="82">
        <f t="shared" si="576"/>
        <v>758450000</v>
      </c>
      <c r="AK395" s="90"/>
      <c r="AL395" s="90"/>
      <c r="AM395" s="150">
        <v>100000000</v>
      </c>
      <c r="AN395" s="158"/>
      <c r="AO395" s="158"/>
      <c r="AP395" s="90"/>
      <c r="AQ395" s="90"/>
      <c r="AR395" s="90"/>
      <c r="AS395" s="90">
        <v>300000000</v>
      </c>
      <c r="AT395" s="84">
        <f t="shared" si="577"/>
        <v>400000000</v>
      </c>
      <c r="AU395" s="455"/>
      <c r="AV395" s="455"/>
      <c r="AW395" s="150">
        <v>100000000</v>
      </c>
      <c r="AX395" s="150"/>
      <c r="AY395" s="455"/>
      <c r="AZ395" s="455"/>
      <c r="BA395" s="455"/>
      <c r="BB395" s="455"/>
      <c r="BC395" s="90">
        <v>300000000</v>
      </c>
      <c r="BD395" s="455">
        <f t="shared" si="578"/>
        <v>400000000</v>
      </c>
      <c r="BE395" s="90"/>
      <c r="BF395" s="90"/>
      <c r="BG395" s="150">
        <v>80000000</v>
      </c>
      <c r="BH395" s="158"/>
      <c r="BI395" s="90"/>
      <c r="BJ395" s="90"/>
      <c r="BK395" s="90"/>
      <c r="BL395" s="90"/>
      <c r="BM395" s="90">
        <v>300000000</v>
      </c>
      <c r="BN395" s="90">
        <f t="shared" si="579"/>
        <v>380000000</v>
      </c>
      <c r="BO395" s="546">
        <f t="shared" si="580"/>
        <v>1938450000</v>
      </c>
    </row>
    <row r="396" spans="1:67" ht="95.25" customHeight="1" x14ac:dyDescent="0.2">
      <c r="A396" s="547">
        <v>262</v>
      </c>
      <c r="B396" s="69">
        <v>5</v>
      </c>
      <c r="C396" s="136"/>
      <c r="D396" s="153"/>
      <c r="E396" s="91"/>
      <c r="F396" s="119"/>
      <c r="G396" s="91"/>
      <c r="H396" s="91"/>
      <c r="I396" s="77">
        <v>266</v>
      </c>
      <c r="J396" s="73" t="s">
        <v>878</v>
      </c>
      <c r="K396" s="262" t="s">
        <v>879</v>
      </c>
      <c r="L396" s="74" t="s">
        <v>823</v>
      </c>
      <c r="M396" s="245">
        <v>17</v>
      </c>
      <c r="N396" s="337" t="s">
        <v>54</v>
      </c>
      <c r="O396" s="331">
        <v>1</v>
      </c>
      <c r="P396" s="331">
        <v>1</v>
      </c>
      <c r="Q396" s="276">
        <v>1</v>
      </c>
      <c r="R396" s="331">
        <v>1</v>
      </c>
      <c r="S396" s="500"/>
      <c r="T396" s="331">
        <v>1</v>
      </c>
      <c r="U396" s="331"/>
      <c r="V396" s="331">
        <v>1</v>
      </c>
      <c r="W396" s="337"/>
      <c r="X396" s="218">
        <f t="shared" si="575"/>
        <v>3.335417969564311E-3</v>
      </c>
      <c r="Y396" s="77">
        <v>16</v>
      </c>
      <c r="Z396" s="74" t="s">
        <v>372</v>
      </c>
      <c r="AA396" s="185"/>
      <c r="AB396" s="185"/>
      <c r="AC396" s="447">
        <v>16000000</v>
      </c>
      <c r="AD396" s="118"/>
      <c r="AE396" s="185"/>
      <c r="AF396" s="185"/>
      <c r="AG396" s="185"/>
      <c r="AH396" s="185"/>
      <c r="AI396" s="185"/>
      <c r="AJ396" s="82">
        <f t="shared" si="576"/>
        <v>16000000</v>
      </c>
      <c r="AK396" s="90"/>
      <c r="AL396" s="90"/>
      <c r="AM396" s="455">
        <v>16000000</v>
      </c>
      <c r="AN396" s="90"/>
      <c r="AO396" s="90"/>
      <c r="AP396" s="90"/>
      <c r="AQ396" s="90"/>
      <c r="AR396" s="90"/>
      <c r="AS396" s="90"/>
      <c r="AT396" s="84">
        <f t="shared" si="577"/>
        <v>16000000</v>
      </c>
      <c r="AU396" s="455"/>
      <c r="AV396" s="455"/>
      <c r="AW396" s="455">
        <v>16000000</v>
      </c>
      <c r="AX396" s="455"/>
      <c r="AY396" s="455"/>
      <c r="AZ396" s="455"/>
      <c r="BA396" s="455"/>
      <c r="BB396" s="455"/>
      <c r="BC396" s="90"/>
      <c r="BD396" s="455">
        <f t="shared" si="578"/>
        <v>16000000</v>
      </c>
      <c r="BE396" s="90"/>
      <c r="BF396" s="90"/>
      <c r="BG396" s="455">
        <v>16000000</v>
      </c>
      <c r="BH396" s="90"/>
      <c r="BI396" s="90"/>
      <c r="BJ396" s="90"/>
      <c r="BK396" s="90"/>
      <c r="BL396" s="90"/>
      <c r="BM396" s="90"/>
      <c r="BN396" s="90">
        <f t="shared" si="579"/>
        <v>16000000</v>
      </c>
      <c r="BO396" s="546">
        <f t="shared" si="580"/>
        <v>64000000</v>
      </c>
    </row>
    <row r="397" spans="1:67" ht="54.75" customHeight="1" x14ac:dyDescent="0.2">
      <c r="A397" s="545">
        <v>263</v>
      </c>
      <c r="B397" s="69">
        <v>5</v>
      </c>
      <c r="C397" s="136"/>
      <c r="D397" s="153"/>
      <c r="E397" s="91"/>
      <c r="F397" s="119"/>
      <c r="G397" s="91"/>
      <c r="H397" s="91"/>
      <c r="I397" s="77">
        <v>267</v>
      </c>
      <c r="J397" s="73" t="s">
        <v>880</v>
      </c>
      <c r="K397" s="262" t="s">
        <v>881</v>
      </c>
      <c r="L397" s="74" t="s">
        <v>823</v>
      </c>
      <c r="M397" s="245">
        <v>17</v>
      </c>
      <c r="N397" s="337" t="s">
        <v>54</v>
      </c>
      <c r="O397" s="331">
        <v>1</v>
      </c>
      <c r="P397" s="331">
        <v>1</v>
      </c>
      <c r="Q397" s="276">
        <v>1</v>
      </c>
      <c r="R397" s="331">
        <v>1</v>
      </c>
      <c r="S397" s="500"/>
      <c r="T397" s="331">
        <v>1</v>
      </c>
      <c r="U397" s="331"/>
      <c r="V397" s="331">
        <v>1</v>
      </c>
      <c r="W397" s="337"/>
      <c r="X397" s="218">
        <f t="shared" si="575"/>
        <v>3.6481134042109652E-3</v>
      </c>
      <c r="Y397" s="77">
        <v>17</v>
      </c>
      <c r="Z397" s="74" t="s">
        <v>838</v>
      </c>
      <c r="AA397" s="185"/>
      <c r="AB397" s="185"/>
      <c r="AC397" s="447">
        <v>17500000</v>
      </c>
      <c r="AD397" s="118"/>
      <c r="AE397" s="185"/>
      <c r="AF397" s="185"/>
      <c r="AG397" s="185"/>
      <c r="AH397" s="185"/>
      <c r="AI397" s="185"/>
      <c r="AJ397" s="82">
        <f t="shared" si="576"/>
        <v>17500000</v>
      </c>
      <c r="AK397" s="90"/>
      <c r="AL397" s="90"/>
      <c r="AM397" s="455">
        <v>12000000</v>
      </c>
      <c r="AN397" s="90"/>
      <c r="AO397" s="90"/>
      <c r="AP397" s="90"/>
      <c r="AQ397" s="90"/>
      <c r="AR397" s="90"/>
      <c r="AS397" s="90"/>
      <c r="AT397" s="84">
        <f t="shared" si="577"/>
        <v>12000000</v>
      </c>
      <c r="AU397" s="455"/>
      <c r="AV397" s="455"/>
      <c r="AW397" s="455">
        <v>12000000</v>
      </c>
      <c r="AX397" s="455"/>
      <c r="AY397" s="455"/>
      <c r="AZ397" s="455"/>
      <c r="BA397" s="455"/>
      <c r="BB397" s="455"/>
      <c r="BC397" s="90"/>
      <c r="BD397" s="455">
        <f t="shared" si="578"/>
        <v>12000000</v>
      </c>
      <c r="BE397" s="90"/>
      <c r="BF397" s="90"/>
      <c r="BG397" s="455">
        <v>12000000</v>
      </c>
      <c r="BH397" s="90"/>
      <c r="BI397" s="90"/>
      <c r="BJ397" s="90"/>
      <c r="BK397" s="90"/>
      <c r="BL397" s="90"/>
      <c r="BM397" s="90"/>
      <c r="BN397" s="90">
        <f t="shared" si="579"/>
        <v>12000000</v>
      </c>
      <c r="BO397" s="546">
        <f t="shared" si="580"/>
        <v>53500000</v>
      </c>
    </row>
    <row r="398" spans="1:67" ht="102.75" customHeight="1" x14ac:dyDescent="0.2">
      <c r="A398" s="547">
        <v>264</v>
      </c>
      <c r="B398" s="69">
        <v>5</v>
      </c>
      <c r="C398" s="136"/>
      <c r="D398" s="153"/>
      <c r="E398" s="91"/>
      <c r="F398" s="119"/>
      <c r="G398" s="91"/>
      <c r="H398" s="91"/>
      <c r="I398" s="77">
        <v>268</v>
      </c>
      <c r="J398" s="73" t="s">
        <v>882</v>
      </c>
      <c r="K398" s="262" t="s">
        <v>883</v>
      </c>
      <c r="L398" s="74" t="s">
        <v>823</v>
      </c>
      <c r="M398" s="245">
        <v>17</v>
      </c>
      <c r="N398" s="337" t="s">
        <v>54</v>
      </c>
      <c r="O398" s="331">
        <v>12</v>
      </c>
      <c r="P398" s="331">
        <v>12</v>
      </c>
      <c r="Q398" s="276">
        <v>12</v>
      </c>
      <c r="R398" s="331">
        <v>12</v>
      </c>
      <c r="S398" s="500"/>
      <c r="T398" s="331">
        <v>12</v>
      </c>
      <c r="U398" s="331"/>
      <c r="V398" s="331">
        <v>12</v>
      </c>
      <c r="W398" s="337"/>
      <c r="X398" s="218">
        <f t="shared" si="575"/>
        <v>3.8925370022930999E-3</v>
      </c>
      <c r="Y398" s="77">
        <v>13</v>
      </c>
      <c r="Z398" s="74" t="s">
        <v>151</v>
      </c>
      <c r="AA398" s="185"/>
      <c r="AB398" s="448"/>
      <c r="AC398" s="83">
        <v>18672500</v>
      </c>
      <c r="AD398" s="104"/>
      <c r="AE398" s="185"/>
      <c r="AF398" s="185"/>
      <c r="AG398" s="185"/>
      <c r="AH398" s="185"/>
      <c r="AI398" s="185"/>
      <c r="AJ398" s="82">
        <f t="shared" si="576"/>
        <v>18672500</v>
      </c>
      <c r="AK398" s="90"/>
      <c r="AL398" s="90"/>
      <c r="AM398" s="455">
        <v>12000000</v>
      </c>
      <c r="AN398" s="90"/>
      <c r="AO398" s="90"/>
      <c r="AP398" s="90"/>
      <c r="AQ398" s="90"/>
      <c r="AR398" s="90"/>
      <c r="AS398" s="90"/>
      <c r="AT398" s="84">
        <f t="shared" si="577"/>
        <v>12000000</v>
      </c>
      <c r="AU398" s="455"/>
      <c r="AV398" s="455"/>
      <c r="AW398" s="455">
        <v>12000000</v>
      </c>
      <c r="AX398" s="455"/>
      <c r="AY398" s="455"/>
      <c r="AZ398" s="455"/>
      <c r="BA398" s="455"/>
      <c r="BB398" s="455"/>
      <c r="BC398" s="90"/>
      <c r="BD398" s="455">
        <f t="shared" si="578"/>
        <v>12000000</v>
      </c>
      <c r="BE398" s="90"/>
      <c r="BF398" s="90"/>
      <c r="BG398" s="455">
        <v>12000000</v>
      </c>
      <c r="BH398" s="90"/>
      <c r="BI398" s="90"/>
      <c r="BJ398" s="90"/>
      <c r="BK398" s="90"/>
      <c r="BL398" s="90"/>
      <c r="BM398" s="90"/>
      <c r="BN398" s="90">
        <f t="shared" si="579"/>
        <v>12000000</v>
      </c>
      <c r="BO398" s="546">
        <f t="shared" si="580"/>
        <v>54672500</v>
      </c>
    </row>
    <row r="399" spans="1:67" ht="97.5" customHeight="1" x14ac:dyDescent="0.2">
      <c r="A399" s="545">
        <v>265</v>
      </c>
      <c r="B399" s="69">
        <v>5</v>
      </c>
      <c r="C399" s="136"/>
      <c r="D399" s="153"/>
      <c r="E399" s="91"/>
      <c r="F399" s="119"/>
      <c r="G399" s="91"/>
      <c r="H399" s="91"/>
      <c r="I399" s="77">
        <v>269</v>
      </c>
      <c r="J399" s="73" t="s">
        <v>884</v>
      </c>
      <c r="K399" s="262" t="s">
        <v>885</v>
      </c>
      <c r="L399" s="74" t="s">
        <v>823</v>
      </c>
      <c r="M399" s="245">
        <v>17</v>
      </c>
      <c r="N399" s="337" t="s">
        <v>54</v>
      </c>
      <c r="O399" s="331">
        <v>12</v>
      </c>
      <c r="P399" s="331">
        <v>12</v>
      </c>
      <c r="Q399" s="276">
        <v>12</v>
      </c>
      <c r="R399" s="331">
        <v>12</v>
      </c>
      <c r="S399" s="500"/>
      <c r="T399" s="331">
        <v>12</v>
      </c>
      <c r="U399" s="331"/>
      <c r="V399" s="331">
        <v>12</v>
      </c>
      <c r="W399" s="337"/>
      <c r="X399" s="218">
        <f t="shared" si="575"/>
        <v>3.2254534083802377E-3</v>
      </c>
      <c r="Y399" s="77">
        <v>16</v>
      </c>
      <c r="Z399" s="74" t="s">
        <v>372</v>
      </c>
      <c r="AA399" s="185"/>
      <c r="AB399" s="448"/>
      <c r="AC399" s="452">
        <v>15472500</v>
      </c>
      <c r="AD399" s="364"/>
      <c r="AE399" s="185"/>
      <c r="AF399" s="185"/>
      <c r="AG399" s="185"/>
      <c r="AH399" s="185"/>
      <c r="AI399" s="185"/>
      <c r="AJ399" s="82">
        <f t="shared" si="576"/>
        <v>15472500</v>
      </c>
      <c r="AK399" s="90"/>
      <c r="AL399" s="90"/>
      <c r="AM399" s="455">
        <v>12000000</v>
      </c>
      <c r="AN399" s="90"/>
      <c r="AO399" s="90"/>
      <c r="AP399" s="90"/>
      <c r="AQ399" s="90"/>
      <c r="AR399" s="90"/>
      <c r="AS399" s="90"/>
      <c r="AT399" s="84">
        <f t="shared" si="577"/>
        <v>12000000</v>
      </c>
      <c r="AU399" s="455"/>
      <c r="AV399" s="455"/>
      <c r="AW399" s="455">
        <v>12000000</v>
      </c>
      <c r="AX399" s="455"/>
      <c r="AY399" s="455"/>
      <c r="AZ399" s="455"/>
      <c r="BA399" s="455"/>
      <c r="BB399" s="455"/>
      <c r="BC399" s="90"/>
      <c r="BD399" s="455">
        <f t="shared" si="578"/>
        <v>12000000</v>
      </c>
      <c r="BE399" s="90"/>
      <c r="BF399" s="90"/>
      <c r="BG399" s="455">
        <v>12000000</v>
      </c>
      <c r="BH399" s="90"/>
      <c r="BI399" s="90"/>
      <c r="BJ399" s="90"/>
      <c r="BK399" s="90"/>
      <c r="BL399" s="90"/>
      <c r="BM399" s="90"/>
      <c r="BN399" s="90">
        <f t="shared" si="579"/>
        <v>12000000</v>
      </c>
      <c r="BO399" s="546">
        <f t="shared" si="580"/>
        <v>51472500</v>
      </c>
    </row>
    <row r="400" spans="1:67" ht="141" customHeight="1" x14ac:dyDescent="0.2">
      <c r="A400" s="547">
        <v>266</v>
      </c>
      <c r="B400" s="69">
        <v>5</v>
      </c>
      <c r="C400" s="136"/>
      <c r="D400" s="153"/>
      <c r="E400" s="91"/>
      <c r="F400" s="119"/>
      <c r="G400" s="91"/>
      <c r="H400" s="91"/>
      <c r="I400" s="77">
        <v>270</v>
      </c>
      <c r="J400" s="73" t="s">
        <v>886</v>
      </c>
      <c r="K400" s="262" t="s">
        <v>887</v>
      </c>
      <c r="L400" s="74" t="s">
        <v>823</v>
      </c>
      <c r="M400" s="245">
        <v>17</v>
      </c>
      <c r="N400" s="337" t="s">
        <v>54</v>
      </c>
      <c r="O400" s="331" t="s">
        <v>49</v>
      </c>
      <c r="P400" s="331">
        <v>12</v>
      </c>
      <c r="Q400" s="276">
        <v>12</v>
      </c>
      <c r="R400" s="331">
        <v>12</v>
      </c>
      <c r="S400" s="500"/>
      <c r="T400" s="331">
        <v>12</v>
      </c>
      <c r="U400" s="331"/>
      <c r="V400" s="331">
        <v>12</v>
      </c>
      <c r="W400" s="337"/>
      <c r="X400" s="218">
        <f t="shared" si="575"/>
        <v>3.1629143214509069E-3</v>
      </c>
      <c r="Y400" s="77">
        <v>16</v>
      </c>
      <c r="Z400" s="74" t="s">
        <v>372</v>
      </c>
      <c r="AA400" s="185"/>
      <c r="AB400" s="448"/>
      <c r="AC400" s="452">
        <v>15172500</v>
      </c>
      <c r="AD400" s="118"/>
      <c r="AE400" s="185"/>
      <c r="AF400" s="185"/>
      <c r="AG400" s="185"/>
      <c r="AH400" s="185"/>
      <c r="AI400" s="185"/>
      <c r="AJ400" s="82">
        <f t="shared" si="576"/>
        <v>15172500</v>
      </c>
      <c r="AK400" s="90"/>
      <c r="AL400" s="90"/>
      <c r="AM400" s="455">
        <v>15000000</v>
      </c>
      <c r="AN400" s="90"/>
      <c r="AO400" s="90"/>
      <c r="AP400" s="90"/>
      <c r="AQ400" s="90"/>
      <c r="AR400" s="90"/>
      <c r="AS400" s="90"/>
      <c r="AT400" s="84">
        <f t="shared" si="577"/>
        <v>15000000</v>
      </c>
      <c r="AU400" s="455"/>
      <c r="AV400" s="455"/>
      <c r="AW400" s="455">
        <v>15000000</v>
      </c>
      <c r="AX400" s="455"/>
      <c r="AY400" s="455"/>
      <c r="AZ400" s="455"/>
      <c r="BA400" s="455"/>
      <c r="BB400" s="455"/>
      <c r="BC400" s="90"/>
      <c r="BD400" s="455">
        <f t="shared" si="578"/>
        <v>15000000</v>
      </c>
      <c r="BE400" s="90"/>
      <c r="BF400" s="90"/>
      <c r="BG400" s="455">
        <v>15000000</v>
      </c>
      <c r="BH400" s="90"/>
      <c r="BI400" s="90"/>
      <c r="BJ400" s="90"/>
      <c r="BK400" s="90"/>
      <c r="BL400" s="90"/>
      <c r="BM400" s="90"/>
      <c r="BN400" s="90">
        <f t="shared" si="579"/>
        <v>15000000</v>
      </c>
      <c r="BO400" s="546">
        <f t="shared" si="580"/>
        <v>60172500</v>
      </c>
    </row>
    <row r="401" spans="1:67" ht="149.25" customHeight="1" x14ac:dyDescent="0.2">
      <c r="A401" s="545">
        <v>267</v>
      </c>
      <c r="B401" s="69">
        <v>5</v>
      </c>
      <c r="C401" s="136"/>
      <c r="D401" s="153"/>
      <c r="E401" s="91"/>
      <c r="F401" s="119"/>
      <c r="G401" s="91"/>
      <c r="H401" s="91"/>
      <c r="I401" s="77">
        <v>271</v>
      </c>
      <c r="J401" s="73" t="s">
        <v>888</v>
      </c>
      <c r="K401" s="262" t="s">
        <v>887</v>
      </c>
      <c r="L401" s="74" t="s">
        <v>823</v>
      </c>
      <c r="M401" s="245">
        <v>17</v>
      </c>
      <c r="N401" s="337" t="s">
        <v>54</v>
      </c>
      <c r="O401" s="331">
        <v>12</v>
      </c>
      <c r="P401" s="331">
        <v>12</v>
      </c>
      <c r="Q401" s="276">
        <v>12</v>
      </c>
      <c r="R401" s="331">
        <v>12</v>
      </c>
      <c r="S401" s="500"/>
      <c r="T401" s="331">
        <v>12</v>
      </c>
      <c r="U401" s="331"/>
      <c r="V401" s="331">
        <v>12</v>
      </c>
      <c r="W401" s="337"/>
      <c r="X401" s="218">
        <f t="shared" si="575"/>
        <v>5.5644152595372108E-3</v>
      </c>
      <c r="Y401" s="77">
        <v>3</v>
      </c>
      <c r="Z401" s="74" t="s">
        <v>452</v>
      </c>
      <c r="AA401" s="185"/>
      <c r="AB401" s="448"/>
      <c r="AC401" s="452">
        <v>26692500</v>
      </c>
      <c r="AD401" s="118"/>
      <c r="AE401" s="185"/>
      <c r="AF401" s="185"/>
      <c r="AG401" s="185"/>
      <c r="AH401" s="185"/>
      <c r="AI401" s="185"/>
      <c r="AJ401" s="82">
        <f t="shared" si="576"/>
        <v>26692500</v>
      </c>
      <c r="AK401" s="90"/>
      <c r="AL401" s="90"/>
      <c r="AM401" s="455">
        <v>28492500</v>
      </c>
      <c r="AN401" s="90"/>
      <c r="AO401" s="90"/>
      <c r="AP401" s="90"/>
      <c r="AQ401" s="90"/>
      <c r="AR401" s="90"/>
      <c r="AS401" s="90"/>
      <c r="AT401" s="84">
        <f t="shared" si="577"/>
        <v>28492500</v>
      </c>
      <c r="AU401" s="90"/>
      <c r="AV401" s="90"/>
      <c r="AW401" s="455">
        <v>28492500</v>
      </c>
      <c r="AX401" s="90"/>
      <c r="AY401" s="90"/>
      <c r="AZ401" s="90"/>
      <c r="BA401" s="90"/>
      <c r="BB401" s="90"/>
      <c r="BC401" s="90"/>
      <c r="BD401" s="455">
        <f t="shared" si="578"/>
        <v>28492500</v>
      </c>
      <c r="BE401" s="90"/>
      <c r="BF401" s="90"/>
      <c r="BG401" s="455">
        <v>28492500</v>
      </c>
      <c r="BH401" s="90"/>
      <c r="BI401" s="90"/>
      <c r="BJ401" s="90"/>
      <c r="BK401" s="90"/>
      <c r="BL401" s="90"/>
      <c r="BM401" s="90"/>
      <c r="BN401" s="90">
        <f t="shared" si="579"/>
        <v>28492500</v>
      </c>
      <c r="BO401" s="546">
        <f t="shared" si="580"/>
        <v>112170000</v>
      </c>
    </row>
    <row r="402" spans="1:67" ht="192.75" customHeight="1" x14ac:dyDescent="0.2">
      <c r="A402" s="547">
        <v>268</v>
      </c>
      <c r="B402" s="69">
        <v>5</v>
      </c>
      <c r="C402" s="136"/>
      <c r="D402" s="153"/>
      <c r="E402" s="91"/>
      <c r="F402" s="119"/>
      <c r="G402" s="91"/>
      <c r="H402" s="91"/>
      <c r="I402" s="77">
        <v>272</v>
      </c>
      <c r="J402" s="73" t="s">
        <v>889</v>
      </c>
      <c r="K402" s="262" t="s">
        <v>887</v>
      </c>
      <c r="L402" s="74" t="s">
        <v>823</v>
      </c>
      <c r="M402" s="245">
        <v>17</v>
      </c>
      <c r="N402" s="337" t="s">
        <v>54</v>
      </c>
      <c r="O402" s="331" t="s">
        <v>49</v>
      </c>
      <c r="P402" s="331">
        <v>12</v>
      </c>
      <c r="Q402" s="276">
        <v>12</v>
      </c>
      <c r="R402" s="331">
        <v>12</v>
      </c>
      <c r="S402" s="500"/>
      <c r="T402" s="331">
        <v>12</v>
      </c>
      <c r="U402" s="331"/>
      <c r="V402" s="331">
        <v>12</v>
      </c>
      <c r="W402" s="337"/>
      <c r="X402" s="218">
        <f t="shared" si="575"/>
        <v>3.475609756097561E-3</v>
      </c>
      <c r="Y402" s="77">
        <v>16</v>
      </c>
      <c r="Z402" s="74" t="s">
        <v>372</v>
      </c>
      <c r="AA402" s="185"/>
      <c r="AB402" s="448"/>
      <c r="AC402" s="452">
        <v>16672500</v>
      </c>
      <c r="AD402" s="104"/>
      <c r="AE402" s="185"/>
      <c r="AF402" s="185"/>
      <c r="AG402" s="185"/>
      <c r="AH402" s="185"/>
      <c r="AI402" s="185"/>
      <c r="AJ402" s="82">
        <f t="shared" si="576"/>
        <v>16672500</v>
      </c>
      <c r="AK402" s="90"/>
      <c r="AL402" s="90"/>
      <c r="AM402" s="455">
        <v>15000000</v>
      </c>
      <c r="AN402" s="90"/>
      <c r="AO402" s="90"/>
      <c r="AP402" s="90"/>
      <c r="AQ402" s="90"/>
      <c r="AR402" s="90"/>
      <c r="AS402" s="90"/>
      <c r="AT402" s="84">
        <f t="shared" si="577"/>
        <v>15000000</v>
      </c>
      <c r="AU402" s="90"/>
      <c r="AV402" s="90"/>
      <c r="AW402" s="455">
        <v>15000000</v>
      </c>
      <c r="AX402" s="90"/>
      <c r="AY402" s="90"/>
      <c r="AZ402" s="90"/>
      <c r="BA402" s="90"/>
      <c r="BB402" s="90"/>
      <c r="BC402" s="90"/>
      <c r="BD402" s="455">
        <f t="shared" si="578"/>
        <v>15000000</v>
      </c>
      <c r="BE402" s="90"/>
      <c r="BF402" s="90"/>
      <c r="BG402" s="455">
        <v>15000000</v>
      </c>
      <c r="BH402" s="90"/>
      <c r="BI402" s="90"/>
      <c r="BJ402" s="90"/>
      <c r="BK402" s="90"/>
      <c r="BL402" s="90"/>
      <c r="BM402" s="90"/>
      <c r="BN402" s="90">
        <f t="shared" si="579"/>
        <v>15000000</v>
      </c>
      <c r="BO402" s="546">
        <f t="shared" si="580"/>
        <v>61672500</v>
      </c>
    </row>
    <row r="403" spans="1:67" ht="102.75" customHeight="1" x14ac:dyDescent="0.2">
      <c r="A403" s="545">
        <v>269</v>
      </c>
      <c r="B403" s="69">
        <v>5</v>
      </c>
      <c r="C403" s="136"/>
      <c r="D403" s="153"/>
      <c r="E403" s="91"/>
      <c r="F403" s="119"/>
      <c r="G403" s="91"/>
      <c r="H403" s="91"/>
      <c r="I403" s="77">
        <v>273</v>
      </c>
      <c r="J403" s="73" t="s">
        <v>890</v>
      </c>
      <c r="K403" s="262" t="s">
        <v>885</v>
      </c>
      <c r="L403" s="74" t="s">
        <v>823</v>
      </c>
      <c r="M403" s="245">
        <v>17</v>
      </c>
      <c r="N403" s="337" t="s">
        <v>54</v>
      </c>
      <c r="O403" s="331">
        <v>12</v>
      </c>
      <c r="P403" s="331">
        <v>12</v>
      </c>
      <c r="Q403" s="276">
        <v>12</v>
      </c>
      <c r="R403" s="331">
        <v>12</v>
      </c>
      <c r="S403" s="500"/>
      <c r="T403" s="331">
        <v>12</v>
      </c>
      <c r="U403" s="331"/>
      <c r="V403" s="331">
        <v>12</v>
      </c>
      <c r="W403" s="337"/>
      <c r="X403" s="218">
        <f t="shared" si="575"/>
        <v>5.5711903272878888E-4</v>
      </c>
      <c r="Y403" s="77">
        <v>17</v>
      </c>
      <c r="Z403" s="74" t="s">
        <v>838</v>
      </c>
      <c r="AA403" s="185"/>
      <c r="AB403" s="185"/>
      <c r="AC403" s="452">
        <v>2672500</v>
      </c>
      <c r="AD403" s="118"/>
      <c r="AE403" s="185"/>
      <c r="AF403" s="185"/>
      <c r="AG403" s="185"/>
      <c r="AH403" s="185"/>
      <c r="AI403" s="185"/>
      <c r="AJ403" s="82">
        <f t="shared" si="576"/>
        <v>2672500</v>
      </c>
      <c r="AK403" s="90"/>
      <c r="AL403" s="90"/>
      <c r="AM403" s="455">
        <v>2672500</v>
      </c>
      <c r="AN403" s="90"/>
      <c r="AO403" s="90"/>
      <c r="AP403" s="90"/>
      <c r="AQ403" s="90"/>
      <c r="AR403" s="90"/>
      <c r="AS403" s="90"/>
      <c r="AT403" s="84">
        <f t="shared" si="577"/>
        <v>2672500</v>
      </c>
      <c r="AU403" s="90"/>
      <c r="AV403" s="90"/>
      <c r="AW403" s="455">
        <v>2672500</v>
      </c>
      <c r="AX403" s="90"/>
      <c r="AY403" s="90"/>
      <c r="AZ403" s="90"/>
      <c r="BA403" s="90"/>
      <c r="BB403" s="90"/>
      <c r="BC403" s="90"/>
      <c r="BD403" s="455">
        <f t="shared" si="578"/>
        <v>2672500</v>
      </c>
      <c r="BE403" s="90"/>
      <c r="BF403" s="90"/>
      <c r="BG403" s="455">
        <v>2672500</v>
      </c>
      <c r="BH403" s="90"/>
      <c r="BI403" s="90"/>
      <c r="BJ403" s="90"/>
      <c r="BK403" s="90"/>
      <c r="BL403" s="90"/>
      <c r="BM403" s="90"/>
      <c r="BN403" s="90">
        <f t="shared" si="579"/>
        <v>2672500</v>
      </c>
      <c r="BO403" s="546">
        <f t="shared" si="580"/>
        <v>10690000</v>
      </c>
    </row>
    <row r="404" spans="1:67" ht="83.25" customHeight="1" x14ac:dyDescent="0.2">
      <c r="A404" s="547">
        <v>270</v>
      </c>
      <c r="B404" s="69">
        <v>5</v>
      </c>
      <c r="C404" s="136"/>
      <c r="D404" s="153"/>
      <c r="E404" s="451"/>
      <c r="F404" s="529"/>
      <c r="G404" s="451"/>
      <c r="H404" s="451"/>
      <c r="I404" s="77">
        <v>274</v>
      </c>
      <c r="J404" s="73" t="s">
        <v>891</v>
      </c>
      <c r="K404" s="262" t="s">
        <v>885</v>
      </c>
      <c r="L404" s="74" t="s">
        <v>823</v>
      </c>
      <c r="M404" s="245">
        <v>17</v>
      </c>
      <c r="N404" s="337" t="s">
        <v>54</v>
      </c>
      <c r="O404" s="331" t="s">
        <v>49</v>
      </c>
      <c r="P404" s="331">
        <v>12</v>
      </c>
      <c r="Q404" s="276">
        <v>12</v>
      </c>
      <c r="R404" s="331">
        <v>12</v>
      </c>
      <c r="S404" s="500"/>
      <c r="T404" s="331">
        <v>12</v>
      </c>
      <c r="U404" s="331"/>
      <c r="V404" s="331">
        <v>12</v>
      </c>
      <c r="W404" s="337"/>
      <c r="X404" s="218">
        <f t="shared" si="575"/>
        <v>2.6417552637064833E-3</v>
      </c>
      <c r="Y404" s="78">
        <v>16</v>
      </c>
      <c r="Z404" s="75" t="s">
        <v>372</v>
      </c>
      <c r="AA404" s="185"/>
      <c r="AB404" s="185"/>
      <c r="AC404" s="452">
        <v>12672500</v>
      </c>
      <c r="AD404" s="118"/>
      <c r="AE404" s="185"/>
      <c r="AF404" s="185"/>
      <c r="AG404" s="185"/>
      <c r="AH404" s="185"/>
      <c r="AI404" s="185"/>
      <c r="AJ404" s="82">
        <f t="shared" si="576"/>
        <v>12672500</v>
      </c>
      <c r="AK404" s="90"/>
      <c r="AL404" s="90"/>
      <c r="AM404" s="455">
        <v>14135000</v>
      </c>
      <c r="AN404" s="90"/>
      <c r="AO404" s="90"/>
      <c r="AP404" s="90"/>
      <c r="AQ404" s="90"/>
      <c r="AR404" s="90"/>
      <c r="AS404" s="90"/>
      <c r="AT404" s="84">
        <f t="shared" si="577"/>
        <v>14135000</v>
      </c>
      <c r="AU404" s="90"/>
      <c r="AV404" s="90"/>
      <c r="AW404" s="455">
        <v>14135000</v>
      </c>
      <c r="AX404" s="90"/>
      <c r="AY404" s="90"/>
      <c r="AZ404" s="90"/>
      <c r="BA404" s="90"/>
      <c r="BB404" s="90"/>
      <c r="BC404" s="90"/>
      <c r="BD404" s="455">
        <f t="shared" si="578"/>
        <v>14135000</v>
      </c>
      <c r="BE404" s="90"/>
      <c r="BF404" s="90"/>
      <c r="BG404" s="455">
        <v>14135000</v>
      </c>
      <c r="BH404" s="90"/>
      <c r="BI404" s="90"/>
      <c r="BJ404" s="90"/>
      <c r="BK404" s="90"/>
      <c r="BL404" s="90"/>
      <c r="BM404" s="90"/>
      <c r="BN404" s="90">
        <f t="shared" si="579"/>
        <v>14135000</v>
      </c>
      <c r="BO404" s="546">
        <f t="shared" si="580"/>
        <v>55077500</v>
      </c>
    </row>
    <row r="405" spans="1:67" ht="24.75" customHeight="1" x14ac:dyDescent="0.2">
      <c r="A405" s="547"/>
      <c r="B405" s="69"/>
      <c r="C405" s="136"/>
      <c r="D405" s="153"/>
      <c r="E405" s="57">
        <v>88</v>
      </c>
      <c r="F405" s="58" t="s">
        <v>892</v>
      </c>
      <c r="G405" s="61"/>
      <c r="H405" s="61"/>
      <c r="I405" s="62"/>
      <c r="J405" s="61"/>
      <c r="K405" s="61"/>
      <c r="L405" s="60"/>
      <c r="M405" s="62"/>
      <c r="N405" s="63"/>
      <c r="O405" s="61"/>
      <c r="P405" s="61"/>
      <c r="Q405" s="61"/>
      <c r="R405" s="63"/>
      <c r="S405" s="499"/>
      <c r="T405" s="61"/>
      <c r="U405" s="61"/>
      <c r="V405" s="62"/>
      <c r="W405" s="62"/>
      <c r="X405" s="137"/>
      <c r="Y405" s="62"/>
      <c r="Z405" s="62"/>
      <c r="AA405" s="66">
        <f t="shared" ref="AA405:AI405" si="581">SUM(AA406:AA410)</f>
        <v>0</v>
      </c>
      <c r="AB405" s="66">
        <f t="shared" si="581"/>
        <v>64260244</v>
      </c>
      <c r="AC405" s="66">
        <f t="shared" si="581"/>
        <v>955795535</v>
      </c>
      <c r="AD405" s="66">
        <f t="shared" si="581"/>
        <v>435000000</v>
      </c>
      <c r="AE405" s="66">
        <f t="shared" si="581"/>
        <v>0</v>
      </c>
      <c r="AF405" s="66">
        <f t="shared" si="581"/>
        <v>0</v>
      </c>
      <c r="AG405" s="66">
        <f t="shared" si="581"/>
        <v>0</v>
      </c>
      <c r="AH405" s="66">
        <f t="shared" si="581"/>
        <v>0</v>
      </c>
      <c r="AI405" s="66">
        <f t="shared" si="581"/>
        <v>0</v>
      </c>
      <c r="AJ405" s="67">
        <f>SUM(AJ406:AJ410)</f>
        <v>1455055779</v>
      </c>
      <c r="AK405" s="66">
        <f t="shared" ref="AK405:AT405" si="582">SUM(AK406:AK410)</f>
        <v>0</v>
      </c>
      <c r="AL405" s="66">
        <f t="shared" si="582"/>
        <v>41200000</v>
      </c>
      <c r="AM405" s="66">
        <f t="shared" si="582"/>
        <v>800000000</v>
      </c>
      <c r="AN405" s="66">
        <f t="shared" si="582"/>
        <v>200000000</v>
      </c>
      <c r="AO405" s="66">
        <f t="shared" si="582"/>
        <v>0</v>
      </c>
      <c r="AP405" s="66">
        <f t="shared" si="582"/>
        <v>0</v>
      </c>
      <c r="AQ405" s="66">
        <f t="shared" si="582"/>
        <v>0</v>
      </c>
      <c r="AR405" s="66">
        <f t="shared" si="582"/>
        <v>0</v>
      </c>
      <c r="AS405" s="66">
        <f t="shared" si="582"/>
        <v>0</v>
      </c>
      <c r="AT405" s="66">
        <f t="shared" si="582"/>
        <v>1041200000</v>
      </c>
      <c r="AU405" s="68"/>
      <c r="AV405" s="68"/>
      <c r="AW405" s="68"/>
      <c r="AX405" s="68"/>
      <c r="AY405" s="68"/>
      <c r="AZ405" s="68"/>
      <c r="BA405" s="68"/>
      <c r="BB405" s="68"/>
      <c r="BC405" s="68"/>
      <c r="BD405" s="66">
        <f t="shared" ref="BD405" si="583">SUM(BD406:BD410)</f>
        <v>842436000</v>
      </c>
      <c r="BE405" s="68"/>
      <c r="BF405" s="68"/>
      <c r="BG405" s="68"/>
      <c r="BH405" s="68"/>
      <c r="BI405" s="68"/>
      <c r="BJ405" s="68"/>
      <c r="BK405" s="68"/>
      <c r="BL405" s="68"/>
      <c r="BM405" s="68"/>
      <c r="BN405" s="66">
        <f t="shared" ref="BN405:BO405" si="584">SUM(BN406:BN410)</f>
        <v>843709080</v>
      </c>
      <c r="BO405" s="544">
        <f t="shared" si="584"/>
        <v>4182400859</v>
      </c>
    </row>
    <row r="406" spans="1:67" ht="54.75" customHeight="1" x14ac:dyDescent="0.2">
      <c r="A406" s="545">
        <v>271</v>
      </c>
      <c r="B406" s="69">
        <v>5</v>
      </c>
      <c r="C406" s="136"/>
      <c r="D406" s="153"/>
      <c r="E406" s="478">
        <v>38</v>
      </c>
      <c r="F406" s="439" t="s">
        <v>801</v>
      </c>
      <c r="G406" s="478">
        <v>0</v>
      </c>
      <c r="H406" s="478">
        <v>2</v>
      </c>
      <c r="I406" s="77">
        <v>275</v>
      </c>
      <c r="J406" s="73" t="s">
        <v>893</v>
      </c>
      <c r="K406" s="262" t="s">
        <v>894</v>
      </c>
      <c r="L406" s="74" t="s">
        <v>823</v>
      </c>
      <c r="M406" s="245">
        <v>17</v>
      </c>
      <c r="N406" s="337" t="s">
        <v>54</v>
      </c>
      <c r="O406" s="331" t="s">
        <v>49</v>
      </c>
      <c r="P406" s="331">
        <v>4</v>
      </c>
      <c r="Q406" s="276">
        <v>4</v>
      </c>
      <c r="R406" s="331">
        <v>4</v>
      </c>
      <c r="S406" s="500"/>
      <c r="T406" s="331">
        <v>4</v>
      </c>
      <c r="U406" s="331"/>
      <c r="V406" s="331">
        <v>4</v>
      </c>
      <c r="W406" s="337"/>
      <c r="X406" s="257">
        <f>AJ406/$AJ$405</f>
        <v>0.59649200843454397</v>
      </c>
      <c r="Y406" s="78">
        <v>16</v>
      </c>
      <c r="Z406" s="75" t="s">
        <v>372</v>
      </c>
      <c r="AA406" s="108"/>
      <c r="AB406" s="108">
        <v>0</v>
      </c>
      <c r="AC406" s="449">
        <v>867929144</v>
      </c>
      <c r="AD406" s="108"/>
      <c r="AE406" s="108"/>
      <c r="AF406" s="108"/>
      <c r="AG406" s="108"/>
      <c r="AH406" s="108"/>
      <c r="AI406" s="108"/>
      <c r="AJ406" s="82">
        <f>+AA406+AB406+AC406+AD406+AE406+AF406+AG406+AH406+AI406</f>
        <v>867929144</v>
      </c>
      <c r="AK406" s="90"/>
      <c r="AL406" s="90"/>
      <c r="AM406" s="455">
        <v>621000000</v>
      </c>
      <c r="AN406" s="90"/>
      <c r="AO406" s="90"/>
      <c r="AP406" s="90"/>
      <c r="AQ406" s="90"/>
      <c r="AR406" s="90"/>
      <c r="AS406" s="90"/>
      <c r="AT406" s="84">
        <f>AK406+AL406+AM406+AN406+AO406+AP406+AQ406+AR406+AS406</f>
        <v>621000000</v>
      </c>
      <c r="AU406" s="455"/>
      <c r="AV406" s="455"/>
      <c r="AW406" s="455">
        <v>502500000</v>
      </c>
      <c r="AX406" s="455"/>
      <c r="AY406" s="455"/>
      <c r="AZ406" s="455"/>
      <c r="BA406" s="455"/>
      <c r="BB406" s="455"/>
      <c r="BC406" s="455"/>
      <c r="BD406" s="455">
        <f>SUM(AU406:BC406)</f>
        <v>502500000</v>
      </c>
      <c r="BE406" s="90"/>
      <c r="BF406" s="90"/>
      <c r="BG406" s="90">
        <v>503773080</v>
      </c>
      <c r="BH406" s="90"/>
      <c r="BI406" s="90"/>
      <c r="BJ406" s="90"/>
      <c r="BK406" s="90"/>
      <c r="BL406" s="90"/>
      <c r="BM406" s="90"/>
      <c r="BN406" s="90">
        <f>SUM(BE406:BM406)</f>
        <v>503773080</v>
      </c>
      <c r="BO406" s="546">
        <f>AJ406+AT406+BD406+BN406</f>
        <v>2495202224</v>
      </c>
    </row>
    <row r="407" spans="1:67" ht="54.75" customHeight="1" x14ac:dyDescent="0.2">
      <c r="A407" s="547">
        <v>272</v>
      </c>
      <c r="B407" s="69">
        <v>5</v>
      </c>
      <c r="C407" s="136"/>
      <c r="D407" s="153"/>
      <c r="E407" s="91"/>
      <c r="F407" s="119"/>
      <c r="G407" s="91"/>
      <c r="H407" s="91"/>
      <c r="I407" s="77">
        <v>276</v>
      </c>
      <c r="J407" s="73" t="s">
        <v>895</v>
      </c>
      <c r="K407" s="262" t="s">
        <v>896</v>
      </c>
      <c r="L407" s="74" t="s">
        <v>823</v>
      </c>
      <c r="M407" s="245">
        <v>17</v>
      </c>
      <c r="N407" s="337" t="s">
        <v>54</v>
      </c>
      <c r="O407" s="331">
        <v>1</v>
      </c>
      <c r="P407" s="331">
        <v>1</v>
      </c>
      <c r="Q407" s="276">
        <v>1</v>
      </c>
      <c r="R407" s="331">
        <v>1</v>
      </c>
      <c r="S407" s="500"/>
      <c r="T407" s="331">
        <v>1</v>
      </c>
      <c r="U407" s="331"/>
      <c r="V407" s="331">
        <v>1</v>
      </c>
      <c r="W407" s="337"/>
      <c r="X407" s="257">
        <f>AJ407/$AJ$405</f>
        <v>4.3068222472590172E-2</v>
      </c>
      <c r="Y407" s="77">
        <v>16</v>
      </c>
      <c r="Z407" s="75" t="s">
        <v>372</v>
      </c>
      <c r="AA407" s="108"/>
      <c r="AB407" s="365">
        <v>32666666</v>
      </c>
      <c r="AC407" s="449">
        <v>30000000</v>
      </c>
      <c r="AD407" s="108"/>
      <c r="AE407" s="108"/>
      <c r="AF407" s="108"/>
      <c r="AG407" s="108"/>
      <c r="AH407" s="108"/>
      <c r="AI407" s="108"/>
      <c r="AJ407" s="82">
        <f>+AA407+AB407+AC407+AD407+AE407+AF407+AG407+AH407+AI407</f>
        <v>62666666</v>
      </c>
      <c r="AK407" s="90"/>
      <c r="AL407" s="90">
        <v>41200000</v>
      </c>
      <c r="AM407" s="455">
        <v>3600000</v>
      </c>
      <c r="AN407" s="90"/>
      <c r="AO407" s="90"/>
      <c r="AP407" s="90"/>
      <c r="AQ407" s="90"/>
      <c r="AR407" s="90"/>
      <c r="AS407" s="90"/>
      <c r="AT407" s="84">
        <f>AK407+AL407+AM407+AN407+AO407+AP407+AQ407+AR407+AS407</f>
        <v>44800000</v>
      </c>
      <c r="AU407" s="455"/>
      <c r="AV407" s="111" t="s">
        <v>61</v>
      </c>
      <c r="AW407" s="455">
        <v>36250000</v>
      </c>
      <c r="AX407" s="455"/>
      <c r="AY407" s="455"/>
      <c r="AZ407" s="455"/>
      <c r="BA407" s="455"/>
      <c r="BB407" s="455"/>
      <c r="BC407" s="455"/>
      <c r="BD407" s="455">
        <f>SUM(AU407:BC407)</f>
        <v>36250000</v>
      </c>
      <c r="BE407" s="90"/>
      <c r="BF407" s="90"/>
      <c r="BG407" s="90">
        <v>36250000</v>
      </c>
      <c r="BH407" s="90"/>
      <c r="BI407" s="90"/>
      <c r="BJ407" s="90"/>
      <c r="BK407" s="90"/>
      <c r="BL407" s="90"/>
      <c r="BM407" s="90"/>
      <c r="BN407" s="90">
        <f>SUM(BE407:BM407)</f>
        <v>36250000</v>
      </c>
      <c r="BO407" s="546">
        <f>AJ407+AT407+BD407+BN407</f>
        <v>179966666</v>
      </c>
    </row>
    <row r="408" spans="1:67" ht="54.75" customHeight="1" x14ac:dyDescent="0.2">
      <c r="A408" s="545">
        <v>273</v>
      </c>
      <c r="B408" s="69">
        <v>5</v>
      </c>
      <c r="C408" s="136"/>
      <c r="D408" s="153"/>
      <c r="E408" s="91"/>
      <c r="F408" s="119"/>
      <c r="G408" s="91"/>
      <c r="H408" s="91"/>
      <c r="I408" s="77">
        <v>277</v>
      </c>
      <c r="J408" s="73" t="s">
        <v>897</v>
      </c>
      <c r="K408" s="262" t="s">
        <v>898</v>
      </c>
      <c r="L408" s="74" t="s">
        <v>823</v>
      </c>
      <c r="M408" s="245">
        <v>17</v>
      </c>
      <c r="N408" s="337" t="s">
        <v>54</v>
      </c>
      <c r="O408" s="331">
        <v>1</v>
      </c>
      <c r="P408" s="331">
        <v>1</v>
      </c>
      <c r="Q408" s="276">
        <v>1</v>
      </c>
      <c r="R408" s="331">
        <v>1</v>
      </c>
      <c r="S408" s="500"/>
      <c r="T408" s="331">
        <v>1</v>
      </c>
      <c r="U408" s="331"/>
      <c r="V408" s="331">
        <v>1</v>
      </c>
      <c r="W408" s="337"/>
      <c r="X408" s="257">
        <f>AJ408/$AJ$405</f>
        <v>0.33294941403067685</v>
      </c>
      <c r="Y408" s="77">
        <v>16</v>
      </c>
      <c r="Z408" s="75" t="s">
        <v>372</v>
      </c>
      <c r="AA408" s="108"/>
      <c r="AB408" s="365">
        <v>31593578</v>
      </c>
      <c r="AC408" s="448">
        <v>17866391</v>
      </c>
      <c r="AD408" s="108">
        <v>435000000</v>
      </c>
      <c r="AE408" s="108"/>
      <c r="AF408" s="108"/>
      <c r="AG408" s="108"/>
      <c r="AH408" s="108"/>
      <c r="AI408" s="108"/>
      <c r="AJ408" s="82">
        <f>+AA408+AB408+AC408+AD408+AE408+AF408+AG408+AH408+AI408</f>
        <v>484459969</v>
      </c>
      <c r="AK408" s="90"/>
      <c r="AL408" s="90"/>
      <c r="AM408" s="455">
        <v>146600000</v>
      </c>
      <c r="AN408" s="90">
        <v>200000000</v>
      </c>
      <c r="AO408" s="90"/>
      <c r="AP408" s="90"/>
      <c r="AQ408" s="90"/>
      <c r="AR408" s="90"/>
      <c r="AS408" s="90"/>
      <c r="AT408" s="84">
        <f>AK408+AL408+AM408+AN408+AO408+AP408+AQ408+AR408+AS408</f>
        <v>346600000</v>
      </c>
      <c r="AU408" s="455"/>
      <c r="AV408" s="111">
        <v>42436000</v>
      </c>
      <c r="AW408" s="455">
        <v>37964000</v>
      </c>
      <c r="AX408" s="455">
        <v>200000000</v>
      </c>
      <c r="AY408" s="455"/>
      <c r="AZ408" s="455"/>
      <c r="BA408" s="455"/>
      <c r="BB408" s="455"/>
      <c r="BC408" s="455"/>
      <c r="BD408" s="455">
        <f>SUM(AU408:BC408)</f>
        <v>280400000</v>
      </c>
      <c r="BE408" s="90"/>
      <c r="BF408" s="111">
        <v>43709080</v>
      </c>
      <c r="BG408" s="90">
        <v>36690920</v>
      </c>
      <c r="BH408" s="90">
        <v>200000000</v>
      </c>
      <c r="BI408" s="90"/>
      <c r="BJ408" s="90"/>
      <c r="BK408" s="90"/>
      <c r="BL408" s="90"/>
      <c r="BM408" s="90"/>
      <c r="BN408" s="90">
        <f>SUM(BE408:BM408)</f>
        <v>280400000</v>
      </c>
      <c r="BO408" s="546">
        <f>AJ408+AT408+BD408+BN408</f>
        <v>1391859969</v>
      </c>
    </row>
    <row r="409" spans="1:67" ht="72.75" customHeight="1" x14ac:dyDescent="0.2">
      <c r="A409" s="547">
        <v>274</v>
      </c>
      <c r="B409" s="69">
        <v>5</v>
      </c>
      <c r="C409" s="136"/>
      <c r="D409" s="153"/>
      <c r="E409" s="91"/>
      <c r="F409" s="119"/>
      <c r="G409" s="91"/>
      <c r="H409" s="91"/>
      <c r="I409" s="77">
        <v>278</v>
      </c>
      <c r="J409" s="73" t="s">
        <v>899</v>
      </c>
      <c r="K409" s="262" t="s">
        <v>900</v>
      </c>
      <c r="L409" s="74" t="s">
        <v>823</v>
      </c>
      <c r="M409" s="245">
        <v>17</v>
      </c>
      <c r="N409" s="337" t="s">
        <v>54</v>
      </c>
      <c r="O409" s="331" t="s">
        <v>49</v>
      </c>
      <c r="P409" s="331">
        <v>1</v>
      </c>
      <c r="Q409" s="276">
        <v>1</v>
      </c>
      <c r="R409" s="331">
        <v>1</v>
      </c>
      <c r="S409" s="500"/>
      <c r="T409" s="331">
        <v>1</v>
      </c>
      <c r="U409" s="331"/>
      <c r="V409" s="331">
        <v>1</v>
      </c>
      <c r="W409" s="337"/>
      <c r="X409" s="257">
        <f>AJ409/$AJ$405</f>
        <v>5.4980710124377984E-3</v>
      </c>
      <c r="Y409" s="77">
        <v>16</v>
      </c>
      <c r="Z409" s="75" t="s">
        <v>372</v>
      </c>
      <c r="AA409" s="185"/>
      <c r="AB409" s="185"/>
      <c r="AC409" s="108">
        <v>8000000</v>
      </c>
      <c r="AD409" s="108"/>
      <c r="AE409" s="185"/>
      <c r="AF409" s="185"/>
      <c r="AG409" s="185"/>
      <c r="AH409" s="185"/>
      <c r="AI409" s="185"/>
      <c r="AJ409" s="82">
        <f>+AA409+AB409+AC409+AD409+AE409+AF409+AG409+AH409+AI409</f>
        <v>8000000</v>
      </c>
      <c r="AK409" s="90"/>
      <c r="AL409" s="90"/>
      <c r="AM409" s="455">
        <v>5700000</v>
      </c>
      <c r="AN409" s="90"/>
      <c r="AO409" s="90"/>
      <c r="AP409" s="90"/>
      <c r="AQ409" s="90"/>
      <c r="AR409" s="90"/>
      <c r="AS409" s="90"/>
      <c r="AT409" s="84">
        <f>AK409+AL409+AM409+AN409+AO409+AP409+AQ409+AR409+AS409</f>
        <v>5700000</v>
      </c>
      <c r="AU409" s="455"/>
      <c r="AV409" s="455"/>
      <c r="AW409" s="455">
        <v>4600000</v>
      </c>
      <c r="AX409" s="455"/>
      <c r="AY409" s="455"/>
      <c r="AZ409" s="455"/>
      <c r="BA409" s="455"/>
      <c r="BB409" s="455"/>
      <c r="BC409" s="455"/>
      <c r="BD409" s="455">
        <f>SUM(AU409:BC409)</f>
        <v>4600000</v>
      </c>
      <c r="BE409" s="90"/>
      <c r="BF409" s="90"/>
      <c r="BG409" s="90">
        <v>4600000</v>
      </c>
      <c r="BH409" s="90"/>
      <c r="BI409" s="90"/>
      <c r="BJ409" s="90"/>
      <c r="BK409" s="90"/>
      <c r="BL409" s="90"/>
      <c r="BM409" s="90"/>
      <c r="BN409" s="90">
        <f>SUM(BE409:BM409)</f>
        <v>4600000</v>
      </c>
      <c r="BO409" s="546">
        <f>AJ409+AT409+BD409+BN409</f>
        <v>22900000</v>
      </c>
    </row>
    <row r="410" spans="1:67" ht="98.25" customHeight="1" x14ac:dyDescent="0.2">
      <c r="A410" s="545">
        <v>275</v>
      </c>
      <c r="B410" s="69">
        <v>5</v>
      </c>
      <c r="C410" s="136"/>
      <c r="D410" s="153"/>
      <c r="E410" s="451"/>
      <c r="F410" s="529"/>
      <c r="G410" s="451"/>
      <c r="H410" s="451"/>
      <c r="I410" s="77">
        <v>279</v>
      </c>
      <c r="J410" s="73" t="s">
        <v>901</v>
      </c>
      <c r="K410" s="262" t="s">
        <v>902</v>
      </c>
      <c r="L410" s="74" t="s">
        <v>823</v>
      </c>
      <c r="M410" s="245">
        <v>17</v>
      </c>
      <c r="N410" s="337" t="s">
        <v>54</v>
      </c>
      <c r="O410" s="331" t="s">
        <v>49</v>
      </c>
      <c r="P410" s="331">
        <v>1</v>
      </c>
      <c r="Q410" s="276">
        <v>1</v>
      </c>
      <c r="R410" s="331">
        <v>1</v>
      </c>
      <c r="S410" s="500"/>
      <c r="T410" s="331">
        <v>1</v>
      </c>
      <c r="U410" s="331"/>
      <c r="V410" s="331">
        <v>1</v>
      </c>
      <c r="W410" s="337"/>
      <c r="X410" s="257">
        <f>AJ410/$AJ$405</f>
        <v>2.1992284049751194E-2</v>
      </c>
      <c r="Y410" s="77">
        <v>16</v>
      </c>
      <c r="Z410" s="75" t="s">
        <v>372</v>
      </c>
      <c r="AA410" s="185"/>
      <c r="AB410" s="185"/>
      <c r="AC410" s="108">
        <v>32000000</v>
      </c>
      <c r="AD410" s="108"/>
      <c r="AE410" s="185"/>
      <c r="AF410" s="185"/>
      <c r="AG410" s="185"/>
      <c r="AH410" s="185"/>
      <c r="AI410" s="185"/>
      <c r="AJ410" s="82">
        <f>+AA410+AB410+AC410+AD410+AE410+AF410+AG410+AH410+AI410</f>
        <v>32000000</v>
      </c>
      <c r="AK410" s="90"/>
      <c r="AL410" s="90"/>
      <c r="AM410" s="455">
        <v>23100000</v>
      </c>
      <c r="AN410" s="90"/>
      <c r="AO410" s="90"/>
      <c r="AP410" s="90"/>
      <c r="AQ410" s="90"/>
      <c r="AR410" s="90"/>
      <c r="AS410" s="90"/>
      <c r="AT410" s="84">
        <f>AK410+AL410+AM410+AN410+AO410+AP410+AQ410+AR410+AS410</f>
        <v>23100000</v>
      </c>
      <c r="AU410" s="455"/>
      <c r="AV410" s="455"/>
      <c r="AW410" s="455">
        <f>18500000+186000</f>
        <v>18686000</v>
      </c>
      <c r="AX410" s="455"/>
      <c r="AY410" s="455"/>
      <c r="AZ410" s="455"/>
      <c r="BA410" s="455"/>
      <c r="BB410" s="455"/>
      <c r="BC410" s="455"/>
      <c r="BD410" s="455">
        <f>SUM(AU410:BC410)</f>
        <v>18686000</v>
      </c>
      <c r="BE410" s="90"/>
      <c r="BF410" s="90"/>
      <c r="BG410" s="90">
        <v>18686000</v>
      </c>
      <c r="BH410" s="90"/>
      <c r="BI410" s="90"/>
      <c r="BJ410" s="90"/>
      <c r="BK410" s="90"/>
      <c r="BL410" s="90"/>
      <c r="BM410" s="90"/>
      <c r="BN410" s="90">
        <f>SUM(BE410:BM410)</f>
        <v>18686000</v>
      </c>
      <c r="BO410" s="546">
        <f>AJ410+AT410+BD410+BN410</f>
        <v>92472000</v>
      </c>
    </row>
    <row r="411" spans="1:67" ht="24.75" customHeight="1" x14ac:dyDescent="0.2">
      <c r="A411" s="545"/>
      <c r="B411" s="69"/>
      <c r="C411" s="136"/>
      <c r="D411" s="153"/>
      <c r="E411" s="57">
        <v>89</v>
      </c>
      <c r="F411" s="58" t="s">
        <v>903</v>
      </c>
      <c r="G411" s="61"/>
      <c r="H411" s="61"/>
      <c r="I411" s="62"/>
      <c r="J411" s="61"/>
      <c r="K411" s="61"/>
      <c r="L411" s="60"/>
      <c r="M411" s="62"/>
      <c r="N411" s="63"/>
      <c r="O411" s="61"/>
      <c r="P411" s="61"/>
      <c r="Q411" s="64"/>
      <c r="R411" s="61"/>
      <c r="S411" s="499"/>
      <c r="T411" s="61"/>
      <c r="U411" s="61"/>
      <c r="V411" s="62"/>
      <c r="W411" s="62"/>
      <c r="X411" s="137"/>
      <c r="Y411" s="62"/>
      <c r="Z411" s="62"/>
      <c r="AA411" s="66">
        <f t="shared" ref="AA411:AI411" si="585">SUM(AA412:AA421)</f>
        <v>0</v>
      </c>
      <c r="AB411" s="66">
        <f t="shared" si="585"/>
        <v>0</v>
      </c>
      <c r="AC411" s="66">
        <f t="shared" si="585"/>
        <v>831456356</v>
      </c>
      <c r="AD411" s="66">
        <f t="shared" si="585"/>
        <v>0</v>
      </c>
      <c r="AE411" s="66">
        <f t="shared" si="585"/>
        <v>0</v>
      </c>
      <c r="AF411" s="66">
        <f t="shared" si="585"/>
        <v>0</v>
      </c>
      <c r="AG411" s="66">
        <f t="shared" si="585"/>
        <v>0</v>
      </c>
      <c r="AH411" s="66">
        <f t="shared" si="585"/>
        <v>0</v>
      </c>
      <c r="AI411" s="66">
        <f t="shared" si="585"/>
        <v>0</v>
      </c>
      <c r="AJ411" s="67">
        <f>SUM(AJ412:AJ421)</f>
        <v>831456356</v>
      </c>
      <c r="AK411" s="66">
        <f t="shared" ref="AK411:AT411" si="586">SUM(AK412:AK421)</f>
        <v>4000000000</v>
      </c>
      <c r="AL411" s="66">
        <f t="shared" si="586"/>
        <v>0</v>
      </c>
      <c r="AM411" s="66">
        <f t="shared" si="586"/>
        <v>554152274</v>
      </c>
      <c r="AN411" s="66">
        <f t="shared" si="586"/>
        <v>0</v>
      </c>
      <c r="AO411" s="66">
        <f t="shared" si="586"/>
        <v>0</v>
      </c>
      <c r="AP411" s="66">
        <f t="shared" si="586"/>
        <v>0</v>
      </c>
      <c r="AQ411" s="66">
        <f t="shared" si="586"/>
        <v>0</v>
      </c>
      <c r="AR411" s="66">
        <f t="shared" si="586"/>
        <v>0</v>
      </c>
      <c r="AS411" s="66">
        <f t="shared" si="586"/>
        <v>0</v>
      </c>
      <c r="AT411" s="66">
        <f t="shared" si="586"/>
        <v>4554152274</v>
      </c>
      <c r="AU411" s="68"/>
      <c r="AV411" s="68"/>
      <c r="AW411" s="68"/>
      <c r="AX411" s="68"/>
      <c r="AY411" s="68"/>
      <c r="AZ411" s="68"/>
      <c r="BA411" s="68"/>
      <c r="BB411" s="68"/>
      <c r="BC411" s="68"/>
      <c r="BD411" s="66">
        <f t="shared" ref="BD411" si="587">SUM(BD412:BD421)</f>
        <v>215304749</v>
      </c>
      <c r="BE411" s="68"/>
      <c r="BF411" s="68"/>
      <c r="BG411" s="68"/>
      <c r="BH411" s="68"/>
      <c r="BI411" s="68"/>
      <c r="BJ411" s="68"/>
      <c r="BK411" s="68"/>
      <c r="BL411" s="68"/>
      <c r="BM411" s="68"/>
      <c r="BN411" s="66">
        <f t="shared" ref="BN411:BO411" si="588">SUM(BN412:BN421)</f>
        <v>150000000</v>
      </c>
      <c r="BO411" s="544">
        <f t="shared" si="588"/>
        <v>5750913379</v>
      </c>
    </row>
    <row r="412" spans="1:67" s="86" customFormat="1" ht="97.5" customHeight="1" x14ac:dyDescent="0.2">
      <c r="A412" s="547">
        <v>276</v>
      </c>
      <c r="B412" s="69">
        <v>5</v>
      </c>
      <c r="C412" s="136"/>
      <c r="D412" s="153"/>
      <c r="E412" s="478">
        <v>38</v>
      </c>
      <c r="F412" s="439" t="s">
        <v>801</v>
      </c>
      <c r="G412" s="478">
        <v>0</v>
      </c>
      <c r="H412" s="478">
        <v>2</v>
      </c>
      <c r="I412" s="77">
        <v>280</v>
      </c>
      <c r="J412" s="73" t="s">
        <v>904</v>
      </c>
      <c r="K412" s="262" t="s">
        <v>905</v>
      </c>
      <c r="L412" s="74" t="s">
        <v>906</v>
      </c>
      <c r="M412" s="245">
        <v>17</v>
      </c>
      <c r="N412" s="275" t="s">
        <v>54</v>
      </c>
      <c r="O412" s="276">
        <v>0</v>
      </c>
      <c r="P412" s="276">
        <v>1</v>
      </c>
      <c r="Q412" s="276">
        <v>0</v>
      </c>
      <c r="R412" s="276">
        <v>1</v>
      </c>
      <c r="S412" s="500"/>
      <c r="T412" s="276">
        <v>1</v>
      </c>
      <c r="U412" s="276"/>
      <c r="V412" s="276">
        <v>1</v>
      </c>
      <c r="W412" s="275"/>
      <c r="X412" s="218">
        <f t="shared" ref="X412:X421" si="589">AJ412/$AJ$411</f>
        <v>0</v>
      </c>
      <c r="Y412" s="78">
        <v>10</v>
      </c>
      <c r="Z412" s="75" t="s">
        <v>385</v>
      </c>
      <c r="AA412" s="185"/>
      <c r="AB412" s="185"/>
      <c r="AC412" s="108"/>
      <c r="AD412" s="108"/>
      <c r="AE412" s="185"/>
      <c r="AF412" s="185"/>
      <c r="AG412" s="185"/>
      <c r="AH412" s="185"/>
      <c r="AI412" s="185"/>
      <c r="AJ412" s="82">
        <f t="shared" ref="AJ412:AJ421" si="590">+AA412+AB412+AC412+AD412+AE412+AF412+AG412+AH412+AI412</f>
        <v>0</v>
      </c>
      <c r="AK412" s="90"/>
      <c r="AL412" s="90"/>
      <c r="AM412" s="455">
        <v>20000000</v>
      </c>
      <c r="AN412" s="90"/>
      <c r="AO412" s="90"/>
      <c r="AP412" s="90"/>
      <c r="AQ412" s="90"/>
      <c r="AR412" s="90"/>
      <c r="AS412" s="90"/>
      <c r="AT412" s="84">
        <f t="shared" ref="AT412:AT421" si="591">AK412+AL412+AM412+AN412+AO412+AP412+AQ412+AR412+AS412</f>
        <v>20000000</v>
      </c>
      <c r="AU412" s="455"/>
      <c r="AV412" s="455"/>
      <c r="AW412" s="455">
        <v>15000000</v>
      </c>
      <c r="AX412" s="455"/>
      <c r="AY412" s="455"/>
      <c r="AZ412" s="455"/>
      <c r="BA412" s="455"/>
      <c r="BB412" s="455"/>
      <c r="BC412" s="455"/>
      <c r="BD412" s="455">
        <f t="shared" ref="BD412:BD421" si="592">SUM(AU412:BC412)</f>
        <v>15000000</v>
      </c>
      <c r="BE412" s="90"/>
      <c r="BF412" s="90"/>
      <c r="BG412" s="90">
        <v>10000000</v>
      </c>
      <c r="BH412" s="90"/>
      <c r="BI412" s="90"/>
      <c r="BJ412" s="90"/>
      <c r="BK412" s="90"/>
      <c r="BL412" s="90"/>
      <c r="BM412" s="90"/>
      <c r="BN412" s="90">
        <f t="shared" ref="BN412:BN421" si="593">SUM(BE412:BM412)</f>
        <v>10000000</v>
      </c>
      <c r="BO412" s="546">
        <f t="shared" ref="BO412:BO421" si="594">AJ412+AT412+BD412+BN412</f>
        <v>45000000</v>
      </c>
    </row>
    <row r="413" spans="1:67" ht="98.25" customHeight="1" x14ac:dyDescent="0.2">
      <c r="A413" s="545">
        <v>277</v>
      </c>
      <c r="B413" s="69">
        <v>5</v>
      </c>
      <c r="C413" s="136"/>
      <c r="D413" s="153"/>
      <c r="E413" s="91"/>
      <c r="F413" s="119"/>
      <c r="G413" s="91"/>
      <c r="H413" s="91"/>
      <c r="I413" s="77">
        <v>281</v>
      </c>
      <c r="J413" s="73" t="s">
        <v>907</v>
      </c>
      <c r="K413" s="262" t="s">
        <v>908</v>
      </c>
      <c r="L413" s="74" t="s">
        <v>906</v>
      </c>
      <c r="M413" s="245">
        <v>17</v>
      </c>
      <c r="N413" s="275" t="s">
        <v>54</v>
      </c>
      <c r="O413" s="276">
        <v>0</v>
      </c>
      <c r="P413" s="276">
        <v>1</v>
      </c>
      <c r="Q413" s="276">
        <v>0</v>
      </c>
      <c r="R413" s="276">
        <v>1</v>
      </c>
      <c r="S413" s="500"/>
      <c r="T413" s="276">
        <v>1</v>
      </c>
      <c r="U413" s="276"/>
      <c r="V413" s="276">
        <v>1</v>
      </c>
      <c r="W413" s="275"/>
      <c r="X413" s="218">
        <f t="shared" si="589"/>
        <v>0</v>
      </c>
      <c r="Y413" s="78">
        <v>16</v>
      </c>
      <c r="Z413" s="75" t="s">
        <v>372</v>
      </c>
      <c r="AA413" s="185"/>
      <c r="AB413" s="185"/>
      <c r="AC413" s="108"/>
      <c r="AD413" s="108"/>
      <c r="AE413" s="185"/>
      <c r="AF413" s="185"/>
      <c r="AG413" s="185"/>
      <c r="AH413" s="185"/>
      <c r="AI413" s="185"/>
      <c r="AJ413" s="82">
        <f t="shared" si="590"/>
        <v>0</v>
      </c>
      <c r="AK413" s="90"/>
      <c r="AL413" s="90"/>
      <c r="AM413" s="455">
        <v>20000000</v>
      </c>
      <c r="AN413" s="90"/>
      <c r="AO413" s="90"/>
      <c r="AP413" s="90"/>
      <c r="AQ413" s="90"/>
      <c r="AR413" s="90"/>
      <c r="AS413" s="90"/>
      <c r="AT413" s="84">
        <f t="shared" si="591"/>
        <v>20000000</v>
      </c>
      <c r="AU413" s="455"/>
      <c r="AV413" s="455"/>
      <c r="AW413" s="455">
        <v>15000000</v>
      </c>
      <c r="AX413" s="455"/>
      <c r="AY413" s="455"/>
      <c r="AZ413" s="455"/>
      <c r="BA413" s="455"/>
      <c r="BB413" s="455"/>
      <c r="BC413" s="455"/>
      <c r="BD413" s="455">
        <f t="shared" si="592"/>
        <v>15000000</v>
      </c>
      <c r="BE413" s="90"/>
      <c r="BF413" s="90"/>
      <c r="BG413" s="90">
        <v>10000000</v>
      </c>
      <c r="BH413" s="90"/>
      <c r="BI413" s="90"/>
      <c r="BJ413" s="90"/>
      <c r="BK413" s="90"/>
      <c r="BL413" s="90"/>
      <c r="BM413" s="90"/>
      <c r="BN413" s="90">
        <f t="shared" si="593"/>
        <v>10000000</v>
      </c>
      <c r="BO413" s="546">
        <f t="shared" si="594"/>
        <v>45000000</v>
      </c>
    </row>
    <row r="414" spans="1:67" s="159" customFormat="1" ht="108.75" customHeight="1" x14ac:dyDescent="0.2">
      <c r="A414" s="566">
        <v>278</v>
      </c>
      <c r="B414" s="152">
        <v>5</v>
      </c>
      <c r="C414" s="153"/>
      <c r="D414" s="153"/>
      <c r="E414" s="349"/>
      <c r="F414" s="429"/>
      <c r="G414" s="349"/>
      <c r="H414" s="349"/>
      <c r="I414" s="77">
        <v>282</v>
      </c>
      <c r="J414" s="73" t="s">
        <v>909</v>
      </c>
      <c r="K414" s="195" t="s">
        <v>910</v>
      </c>
      <c r="L414" s="74" t="s">
        <v>906</v>
      </c>
      <c r="M414" s="245">
        <v>17</v>
      </c>
      <c r="N414" s="275" t="s">
        <v>69</v>
      </c>
      <c r="O414" s="276" t="s">
        <v>49</v>
      </c>
      <c r="P414" s="276">
        <v>8</v>
      </c>
      <c r="Q414" s="276">
        <v>2</v>
      </c>
      <c r="R414" s="276">
        <v>2</v>
      </c>
      <c r="S414" s="500"/>
      <c r="T414" s="276">
        <v>2</v>
      </c>
      <c r="U414" s="276"/>
      <c r="V414" s="276">
        <v>2</v>
      </c>
      <c r="W414" s="275"/>
      <c r="X414" s="218">
        <f t="shared" si="589"/>
        <v>7.2162536935372223E-2</v>
      </c>
      <c r="Y414" s="77">
        <v>16</v>
      </c>
      <c r="Z414" s="74" t="s">
        <v>372</v>
      </c>
      <c r="AA414" s="185"/>
      <c r="AB414" s="185"/>
      <c r="AC414" s="185">
        <v>60000000</v>
      </c>
      <c r="AD414" s="185"/>
      <c r="AE414" s="185"/>
      <c r="AF414" s="185"/>
      <c r="AG414" s="185"/>
      <c r="AH414" s="185"/>
      <c r="AI414" s="185"/>
      <c r="AJ414" s="82">
        <f t="shared" si="590"/>
        <v>60000000</v>
      </c>
      <c r="AK414" s="158"/>
      <c r="AL414" s="158"/>
      <c r="AM414" s="150">
        <v>39989033.940345511</v>
      </c>
      <c r="AN414" s="158"/>
      <c r="AO414" s="158"/>
      <c r="AP414" s="158"/>
      <c r="AQ414" s="158"/>
      <c r="AR414" s="158"/>
      <c r="AS414" s="158"/>
      <c r="AT414" s="84">
        <f t="shared" si="591"/>
        <v>39989033.940345511</v>
      </c>
      <c r="AU414" s="150"/>
      <c r="AV414" s="150"/>
      <c r="AW414" s="150">
        <v>15000000</v>
      </c>
      <c r="AX414" s="150"/>
      <c r="AY414" s="150"/>
      <c r="AZ414" s="150"/>
      <c r="BA414" s="150"/>
      <c r="BB414" s="150"/>
      <c r="BC414" s="150"/>
      <c r="BD414" s="455">
        <f t="shared" si="592"/>
        <v>15000000</v>
      </c>
      <c r="BE414" s="90"/>
      <c r="BF414" s="90"/>
      <c r="BG414" s="158">
        <v>10000000</v>
      </c>
      <c r="BH414" s="158"/>
      <c r="BI414" s="90"/>
      <c r="BJ414" s="90"/>
      <c r="BK414" s="90"/>
      <c r="BL414" s="90"/>
      <c r="BM414" s="90"/>
      <c r="BN414" s="90">
        <f t="shared" si="593"/>
        <v>10000000</v>
      </c>
      <c r="BO414" s="546">
        <f t="shared" si="594"/>
        <v>124989033.94034551</v>
      </c>
    </row>
    <row r="415" spans="1:67" s="159" customFormat="1" ht="126.75" customHeight="1" x14ac:dyDescent="0.2">
      <c r="A415" s="566">
        <v>280</v>
      </c>
      <c r="B415" s="152">
        <v>5</v>
      </c>
      <c r="C415" s="153"/>
      <c r="D415" s="153"/>
      <c r="E415" s="349"/>
      <c r="F415" s="429"/>
      <c r="G415" s="349"/>
      <c r="H415" s="349"/>
      <c r="I415" s="77">
        <v>283</v>
      </c>
      <c r="J415" s="73" t="s">
        <v>911</v>
      </c>
      <c r="K415" s="195" t="s">
        <v>912</v>
      </c>
      <c r="L415" s="74" t="s">
        <v>906</v>
      </c>
      <c r="M415" s="245">
        <v>17</v>
      </c>
      <c r="N415" s="275" t="s">
        <v>54</v>
      </c>
      <c r="O415" s="276" t="s">
        <v>49</v>
      </c>
      <c r="P415" s="276">
        <v>1</v>
      </c>
      <c r="Q415" s="276">
        <v>1</v>
      </c>
      <c r="R415" s="276">
        <v>1</v>
      </c>
      <c r="S415" s="500"/>
      <c r="T415" s="276">
        <v>1</v>
      </c>
      <c r="U415" s="276"/>
      <c r="V415" s="276">
        <v>1</v>
      </c>
      <c r="W415" s="275"/>
      <c r="X415" s="218">
        <f t="shared" si="589"/>
        <v>0.10523703303075116</v>
      </c>
      <c r="Y415" s="77">
        <v>10</v>
      </c>
      <c r="Z415" s="74" t="s">
        <v>385</v>
      </c>
      <c r="AA415" s="185"/>
      <c r="AB415" s="185"/>
      <c r="AC415" s="185">
        <v>87500000</v>
      </c>
      <c r="AD415" s="185"/>
      <c r="AE415" s="185"/>
      <c r="AF415" s="185"/>
      <c r="AG415" s="185"/>
      <c r="AH415" s="185"/>
      <c r="AI415" s="185"/>
      <c r="AJ415" s="82">
        <f t="shared" si="590"/>
        <v>87500000</v>
      </c>
      <c r="AK415" s="158"/>
      <c r="AL415" s="158"/>
      <c r="AM415" s="150">
        <v>48317341.163003899</v>
      </c>
      <c r="AN415" s="158"/>
      <c r="AO415" s="158"/>
      <c r="AP415" s="158"/>
      <c r="AQ415" s="158"/>
      <c r="AR415" s="158"/>
      <c r="AS415" s="158"/>
      <c r="AT415" s="84">
        <f t="shared" si="591"/>
        <v>48317341.163003899</v>
      </c>
      <c r="AU415" s="150"/>
      <c r="AV415" s="150"/>
      <c r="AW415" s="150">
        <v>20000000</v>
      </c>
      <c r="AX415" s="150"/>
      <c r="AY415" s="150"/>
      <c r="AZ415" s="150"/>
      <c r="BA415" s="150"/>
      <c r="BB415" s="150"/>
      <c r="BC415" s="150"/>
      <c r="BD415" s="455">
        <f t="shared" si="592"/>
        <v>20000000</v>
      </c>
      <c r="BE415" s="90"/>
      <c r="BF415" s="90"/>
      <c r="BG415" s="158">
        <v>15000000</v>
      </c>
      <c r="BH415" s="158"/>
      <c r="BI415" s="90"/>
      <c r="BJ415" s="90"/>
      <c r="BK415" s="90"/>
      <c r="BL415" s="90"/>
      <c r="BM415" s="90"/>
      <c r="BN415" s="90">
        <f t="shared" si="593"/>
        <v>15000000</v>
      </c>
      <c r="BO415" s="546">
        <f t="shared" si="594"/>
        <v>170817341.16300389</v>
      </c>
    </row>
    <row r="416" spans="1:67" s="159" customFormat="1" ht="75" customHeight="1" x14ac:dyDescent="0.2">
      <c r="A416" s="565">
        <v>281</v>
      </c>
      <c r="B416" s="152">
        <v>5</v>
      </c>
      <c r="C416" s="153"/>
      <c r="D416" s="153"/>
      <c r="E416" s="349"/>
      <c r="F416" s="429"/>
      <c r="G416" s="349"/>
      <c r="H416" s="349"/>
      <c r="I416" s="77">
        <v>284</v>
      </c>
      <c r="J416" s="73" t="s">
        <v>913</v>
      </c>
      <c r="K416" s="195" t="s">
        <v>914</v>
      </c>
      <c r="L416" s="74" t="s">
        <v>906</v>
      </c>
      <c r="M416" s="245">
        <v>17</v>
      </c>
      <c r="N416" s="275" t="s">
        <v>54</v>
      </c>
      <c r="O416" s="276">
        <v>1</v>
      </c>
      <c r="P416" s="276">
        <v>1</v>
      </c>
      <c r="Q416" s="366">
        <v>1</v>
      </c>
      <c r="R416" s="276">
        <v>1</v>
      </c>
      <c r="S416" s="500"/>
      <c r="T416" s="276">
        <v>1</v>
      </c>
      <c r="U416" s="276"/>
      <c r="V416" s="276">
        <v>1</v>
      </c>
      <c r="W416" s="275"/>
      <c r="X416" s="218">
        <f t="shared" si="589"/>
        <v>0.1232429077732614</v>
      </c>
      <c r="Y416" s="77">
        <v>16</v>
      </c>
      <c r="Z416" s="74" t="s">
        <v>372</v>
      </c>
      <c r="AA416" s="185"/>
      <c r="AB416" s="185"/>
      <c r="AC416" s="185">
        <v>102471099</v>
      </c>
      <c r="AD416" s="185"/>
      <c r="AE416" s="185"/>
      <c r="AF416" s="185"/>
      <c r="AG416" s="185"/>
      <c r="AH416" s="185"/>
      <c r="AI416" s="185"/>
      <c r="AJ416" s="82">
        <f t="shared" si="590"/>
        <v>102471099</v>
      </c>
      <c r="AK416" s="158"/>
      <c r="AL416" s="158"/>
      <c r="AM416" s="150">
        <v>68295337.59692508</v>
      </c>
      <c r="AN416" s="158"/>
      <c r="AO416" s="158"/>
      <c r="AP416" s="158"/>
      <c r="AQ416" s="158"/>
      <c r="AR416" s="158"/>
      <c r="AS416" s="158"/>
      <c r="AT416" s="84">
        <f t="shared" si="591"/>
        <v>68295337.59692508</v>
      </c>
      <c r="AU416" s="150"/>
      <c r="AV416" s="150"/>
      <c r="AW416" s="150">
        <v>20000000</v>
      </c>
      <c r="AX416" s="150"/>
      <c r="AY416" s="150"/>
      <c r="AZ416" s="150"/>
      <c r="BA416" s="150"/>
      <c r="BB416" s="150"/>
      <c r="BC416" s="150"/>
      <c r="BD416" s="455">
        <f t="shared" si="592"/>
        <v>20000000</v>
      </c>
      <c r="BE416" s="90"/>
      <c r="BF416" s="90"/>
      <c r="BG416" s="158">
        <v>15000000</v>
      </c>
      <c r="BH416" s="158"/>
      <c r="BI416" s="90"/>
      <c r="BJ416" s="90"/>
      <c r="BK416" s="90"/>
      <c r="BL416" s="90"/>
      <c r="BM416" s="90"/>
      <c r="BN416" s="90">
        <f t="shared" si="593"/>
        <v>15000000</v>
      </c>
      <c r="BO416" s="546">
        <f t="shared" si="594"/>
        <v>205766436.59692508</v>
      </c>
    </row>
    <row r="417" spans="1:67" s="159" customFormat="1" ht="77.25" customHeight="1" x14ac:dyDescent="0.2">
      <c r="A417" s="566">
        <v>282</v>
      </c>
      <c r="B417" s="152">
        <v>5</v>
      </c>
      <c r="C417" s="153"/>
      <c r="D417" s="153"/>
      <c r="E417" s="349"/>
      <c r="F417" s="429"/>
      <c r="G417" s="349"/>
      <c r="H417" s="349"/>
      <c r="I417" s="77">
        <v>285</v>
      </c>
      <c r="J417" s="73" t="s">
        <v>915</v>
      </c>
      <c r="K417" s="195" t="s">
        <v>916</v>
      </c>
      <c r="L417" s="74" t="s">
        <v>906</v>
      </c>
      <c r="M417" s="245">
        <v>17</v>
      </c>
      <c r="N417" s="275" t="s">
        <v>54</v>
      </c>
      <c r="O417" s="276">
        <v>1</v>
      </c>
      <c r="P417" s="276">
        <v>1</v>
      </c>
      <c r="Q417" s="275">
        <v>1</v>
      </c>
      <c r="R417" s="276">
        <v>1</v>
      </c>
      <c r="S417" s="500"/>
      <c r="T417" s="276">
        <v>1</v>
      </c>
      <c r="U417" s="276"/>
      <c r="V417" s="276">
        <v>1</v>
      </c>
      <c r="W417" s="275"/>
      <c r="X417" s="218">
        <f t="shared" si="589"/>
        <v>0.14509198844827881</v>
      </c>
      <c r="Y417" s="77">
        <v>17</v>
      </c>
      <c r="Z417" s="74" t="s">
        <v>838</v>
      </c>
      <c r="AA417" s="185"/>
      <c r="AB417" s="185"/>
      <c r="AC417" s="185">
        <v>120637656</v>
      </c>
      <c r="AD417" s="185"/>
      <c r="AE417" s="185"/>
      <c r="AF417" s="185"/>
      <c r="AG417" s="185"/>
      <c r="AH417" s="185"/>
      <c r="AI417" s="185"/>
      <c r="AJ417" s="82">
        <f t="shared" si="590"/>
        <v>120637656</v>
      </c>
      <c r="AK417" s="158"/>
      <c r="AL417" s="158"/>
      <c r="AM417" s="150">
        <v>60403055.337795399</v>
      </c>
      <c r="AN417" s="158"/>
      <c r="AO417" s="158"/>
      <c r="AP417" s="158"/>
      <c r="AQ417" s="158"/>
      <c r="AR417" s="158"/>
      <c r="AS417" s="158"/>
      <c r="AT417" s="84">
        <f t="shared" si="591"/>
        <v>60403055.337795399</v>
      </c>
      <c r="AU417" s="150"/>
      <c r="AV417" s="150"/>
      <c r="AW417" s="150">
        <v>20000000</v>
      </c>
      <c r="AX417" s="150"/>
      <c r="AY417" s="150"/>
      <c r="AZ417" s="150"/>
      <c r="BA417" s="150"/>
      <c r="BB417" s="150"/>
      <c r="BC417" s="150"/>
      <c r="BD417" s="455">
        <f t="shared" si="592"/>
        <v>20000000</v>
      </c>
      <c r="BE417" s="90"/>
      <c r="BF417" s="90"/>
      <c r="BG417" s="158">
        <v>15000000</v>
      </c>
      <c r="BH417" s="158"/>
      <c r="BI417" s="90"/>
      <c r="BJ417" s="90"/>
      <c r="BK417" s="90"/>
      <c r="BL417" s="90"/>
      <c r="BM417" s="90"/>
      <c r="BN417" s="90">
        <f t="shared" si="593"/>
        <v>15000000</v>
      </c>
      <c r="BO417" s="546">
        <f t="shared" si="594"/>
        <v>216040711.33779541</v>
      </c>
    </row>
    <row r="418" spans="1:67" ht="54.75" customHeight="1" x14ac:dyDescent="0.2">
      <c r="A418" s="545">
        <v>283</v>
      </c>
      <c r="B418" s="69">
        <v>5</v>
      </c>
      <c r="C418" s="136"/>
      <c r="D418" s="153"/>
      <c r="E418" s="91"/>
      <c r="F418" s="119"/>
      <c r="G418" s="91"/>
      <c r="H418" s="91"/>
      <c r="I418" s="77">
        <v>286</v>
      </c>
      <c r="J418" s="73" t="s">
        <v>917</v>
      </c>
      <c r="K418" s="262" t="s">
        <v>918</v>
      </c>
      <c r="L418" s="74" t="s">
        <v>906</v>
      </c>
      <c r="M418" s="245">
        <v>17</v>
      </c>
      <c r="N418" s="337" t="s">
        <v>69</v>
      </c>
      <c r="O418" s="331">
        <v>1</v>
      </c>
      <c r="P418" s="331">
        <v>1</v>
      </c>
      <c r="Q418" s="276">
        <v>0</v>
      </c>
      <c r="R418" s="331">
        <v>1</v>
      </c>
      <c r="S418" s="500"/>
      <c r="T418" s="331">
        <v>0</v>
      </c>
      <c r="U418" s="331"/>
      <c r="V418" s="331">
        <v>0</v>
      </c>
      <c r="W418" s="337"/>
      <c r="X418" s="218">
        <f t="shared" si="589"/>
        <v>0</v>
      </c>
      <c r="Y418" s="78">
        <v>16</v>
      </c>
      <c r="Z418" s="75" t="s">
        <v>372</v>
      </c>
      <c r="AA418" s="185"/>
      <c r="AB418" s="185"/>
      <c r="AC418" s="108"/>
      <c r="AD418" s="108"/>
      <c r="AE418" s="185"/>
      <c r="AF418" s="185"/>
      <c r="AG418" s="185"/>
      <c r="AH418" s="185"/>
      <c r="AI418" s="185"/>
      <c r="AJ418" s="82">
        <f t="shared" si="590"/>
        <v>0</v>
      </c>
      <c r="AK418" s="90"/>
      <c r="AL418" s="90"/>
      <c r="AM418" s="455">
        <v>20000000</v>
      </c>
      <c r="AN418" s="90"/>
      <c r="AO418" s="90"/>
      <c r="AP418" s="90"/>
      <c r="AQ418" s="90"/>
      <c r="AR418" s="90"/>
      <c r="AS418" s="90"/>
      <c r="AT418" s="84">
        <f t="shared" si="591"/>
        <v>20000000</v>
      </c>
      <c r="AU418" s="455"/>
      <c r="AV418" s="455"/>
      <c r="AW418" s="455">
        <v>0</v>
      </c>
      <c r="AX418" s="455"/>
      <c r="AY418" s="455"/>
      <c r="AZ418" s="455"/>
      <c r="BA418" s="455"/>
      <c r="BB418" s="455"/>
      <c r="BC418" s="455"/>
      <c r="BD418" s="455">
        <f t="shared" si="592"/>
        <v>0</v>
      </c>
      <c r="BE418" s="90"/>
      <c r="BF418" s="90"/>
      <c r="BG418" s="90">
        <v>0</v>
      </c>
      <c r="BH418" s="90"/>
      <c r="BI418" s="90"/>
      <c r="BJ418" s="90"/>
      <c r="BK418" s="90"/>
      <c r="BL418" s="90"/>
      <c r="BM418" s="90"/>
      <c r="BN418" s="90">
        <f t="shared" si="593"/>
        <v>0</v>
      </c>
      <c r="BO418" s="546">
        <f t="shared" si="594"/>
        <v>20000000</v>
      </c>
    </row>
    <row r="419" spans="1:67" s="159" customFormat="1" ht="54.75" customHeight="1" x14ac:dyDescent="0.2">
      <c r="A419" s="566">
        <v>284</v>
      </c>
      <c r="B419" s="152">
        <v>5</v>
      </c>
      <c r="C419" s="140"/>
      <c r="D419" s="153"/>
      <c r="E419" s="263"/>
      <c r="F419" s="429"/>
      <c r="G419" s="349"/>
      <c r="H419" s="349"/>
      <c r="I419" s="77">
        <v>287</v>
      </c>
      <c r="J419" s="73" t="s">
        <v>919</v>
      </c>
      <c r="K419" s="195" t="s">
        <v>920</v>
      </c>
      <c r="L419" s="74" t="s">
        <v>906</v>
      </c>
      <c r="M419" s="245">
        <v>17</v>
      </c>
      <c r="N419" s="275" t="s">
        <v>54</v>
      </c>
      <c r="O419" s="276">
        <v>1</v>
      </c>
      <c r="P419" s="276">
        <v>1</v>
      </c>
      <c r="Q419" s="276">
        <v>1</v>
      </c>
      <c r="R419" s="276">
        <v>1</v>
      </c>
      <c r="S419" s="500"/>
      <c r="T419" s="276">
        <v>1</v>
      </c>
      <c r="U419" s="276"/>
      <c r="V419" s="276">
        <v>1</v>
      </c>
      <c r="W419" s="275"/>
      <c r="X419" s="218">
        <f t="shared" si="589"/>
        <v>0.15815622678335747</v>
      </c>
      <c r="Y419" s="77">
        <v>16</v>
      </c>
      <c r="Z419" s="75" t="s">
        <v>372</v>
      </c>
      <c r="AA419" s="185"/>
      <c r="AB419" s="185"/>
      <c r="AC419" s="185">
        <v>131500000</v>
      </c>
      <c r="AD419" s="185"/>
      <c r="AE419" s="185"/>
      <c r="AF419" s="185"/>
      <c r="AG419" s="185"/>
      <c r="AH419" s="185"/>
      <c r="AI419" s="185"/>
      <c r="AJ419" s="82">
        <f t="shared" si="590"/>
        <v>131500000</v>
      </c>
      <c r="AK419" s="158"/>
      <c r="AL419" s="158"/>
      <c r="AM419" s="150">
        <v>57642632.719257303</v>
      </c>
      <c r="AN419" s="158"/>
      <c r="AO419" s="158"/>
      <c r="AP419" s="158"/>
      <c r="AQ419" s="158"/>
      <c r="AR419" s="158"/>
      <c r="AS419" s="158"/>
      <c r="AT419" s="84">
        <f t="shared" si="591"/>
        <v>57642632.719257303</v>
      </c>
      <c r="AU419" s="150"/>
      <c r="AV419" s="150"/>
      <c r="AW419" s="150">
        <v>30000000</v>
      </c>
      <c r="AX419" s="150"/>
      <c r="AY419" s="150"/>
      <c r="AZ419" s="150"/>
      <c r="BA419" s="150"/>
      <c r="BB419" s="150"/>
      <c r="BC419" s="150"/>
      <c r="BD419" s="455">
        <f t="shared" si="592"/>
        <v>30000000</v>
      </c>
      <c r="BE419" s="90"/>
      <c r="BF419" s="90"/>
      <c r="BG419" s="158">
        <v>20000000</v>
      </c>
      <c r="BH419" s="158"/>
      <c r="BI419" s="90"/>
      <c r="BJ419" s="90"/>
      <c r="BK419" s="90"/>
      <c r="BL419" s="90"/>
      <c r="BM419" s="90"/>
      <c r="BN419" s="90">
        <f t="shared" si="593"/>
        <v>20000000</v>
      </c>
      <c r="BO419" s="546">
        <f t="shared" si="594"/>
        <v>239142632.7192573</v>
      </c>
    </row>
    <row r="420" spans="1:67" ht="54.75" customHeight="1" x14ac:dyDescent="0.2">
      <c r="A420" s="547"/>
      <c r="B420" s="69">
        <v>5</v>
      </c>
      <c r="C420" s="140"/>
      <c r="D420" s="153"/>
      <c r="E420" s="264"/>
      <c r="F420" s="119"/>
      <c r="G420" s="91"/>
      <c r="H420" s="91"/>
      <c r="I420" s="77">
        <v>288</v>
      </c>
      <c r="J420" s="73" t="s">
        <v>921</v>
      </c>
      <c r="K420" s="262" t="s">
        <v>922</v>
      </c>
      <c r="L420" s="74" t="s">
        <v>906</v>
      </c>
      <c r="M420" s="245">
        <v>17</v>
      </c>
      <c r="N420" s="337" t="s">
        <v>54</v>
      </c>
      <c r="O420" s="331">
        <v>1</v>
      </c>
      <c r="P420" s="331">
        <v>1</v>
      </c>
      <c r="Q420" s="276">
        <v>1</v>
      </c>
      <c r="R420" s="331">
        <v>1</v>
      </c>
      <c r="S420" s="500"/>
      <c r="T420" s="331">
        <v>1</v>
      </c>
      <c r="U420" s="331"/>
      <c r="V420" s="331">
        <v>1</v>
      </c>
      <c r="W420" s="337"/>
      <c r="X420" s="218">
        <f t="shared" si="589"/>
        <v>0.3961093070289789</v>
      </c>
      <c r="Y420" s="78">
        <v>16</v>
      </c>
      <c r="Z420" s="75" t="s">
        <v>372</v>
      </c>
      <c r="AA420" s="185"/>
      <c r="AB420" s="185"/>
      <c r="AC420" s="108">
        <f>329347601</f>
        <v>329347601</v>
      </c>
      <c r="AD420" s="108"/>
      <c r="AE420" s="185"/>
      <c r="AF420" s="185"/>
      <c r="AG420" s="185"/>
      <c r="AH420" s="185"/>
      <c r="AI420" s="185"/>
      <c r="AJ420" s="82">
        <f t="shared" si="590"/>
        <v>329347601</v>
      </c>
      <c r="AK420" s="90"/>
      <c r="AL420" s="90"/>
      <c r="AM420" s="455">
        <v>219504873.24267283</v>
      </c>
      <c r="AN420" s="90"/>
      <c r="AO420" s="90"/>
      <c r="AP420" s="90"/>
      <c r="AQ420" s="90"/>
      <c r="AR420" s="90"/>
      <c r="AS420" s="90"/>
      <c r="AT420" s="84">
        <f t="shared" si="591"/>
        <v>219504873.24267283</v>
      </c>
      <c r="AU420" s="455"/>
      <c r="AV420" s="455"/>
      <c r="AW420" s="455">
        <v>80304749</v>
      </c>
      <c r="AX420" s="455"/>
      <c r="AY420" s="455"/>
      <c r="AZ420" s="455"/>
      <c r="BA420" s="455"/>
      <c r="BB420" s="455"/>
      <c r="BC420" s="455"/>
      <c r="BD420" s="455">
        <f t="shared" si="592"/>
        <v>80304749</v>
      </c>
      <c r="BE420" s="90"/>
      <c r="BF420" s="90"/>
      <c r="BG420" s="90">
        <v>55000000</v>
      </c>
      <c r="BH420" s="90"/>
      <c r="BI420" s="90"/>
      <c r="BJ420" s="90"/>
      <c r="BK420" s="90"/>
      <c r="BL420" s="90"/>
      <c r="BM420" s="90"/>
      <c r="BN420" s="90">
        <f t="shared" si="593"/>
        <v>55000000</v>
      </c>
      <c r="BO420" s="546">
        <f t="shared" si="594"/>
        <v>684157223.2426728</v>
      </c>
    </row>
    <row r="421" spans="1:67" ht="143.25" customHeight="1" x14ac:dyDescent="0.2">
      <c r="A421" s="545">
        <v>285</v>
      </c>
      <c r="B421" s="367">
        <v>5</v>
      </c>
      <c r="C421" s="86"/>
      <c r="D421" s="208"/>
      <c r="E421" s="451"/>
      <c r="F421" s="529"/>
      <c r="G421" s="451"/>
      <c r="H421" s="451"/>
      <c r="I421" s="77">
        <v>289</v>
      </c>
      <c r="J421" s="73" t="s">
        <v>923</v>
      </c>
      <c r="K421" s="262" t="s">
        <v>924</v>
      </c>
      <c r="L421" s="74" t="s">
        <v>906</v>
      </c>
      <c r="M421" s="245">
        <v>17</v>
      </c>
      <c r="N421" s="337" t="s">
        <v>69</v>
      </c>
      <c r="O421" s="331" t="s">
        <v>49</v>
      </c>
      <c r="P421" s="331">
        <v>1</v>
      </c>
      <c r="Q421" s="331">
        <v>0</v>
      </c>
      <c r="R421" s="331">
        <v>1</v>
      </c>
      <c r="S421" s="500"/>
      <c r="T421" s="331">
        <v>0</v>
      </c>
      <c r="U421" s="331"/>
      <c r="V421" s="331">
        <v>0</v>
      </c>
      <c r="W421" s="337"/>
      <c r="X421" s="218">
        <f t="shared" si="589"/>
        <v>0</v>
      </c>
      <c r="Y421" s="78">
        <v>9</v>
      </c>
      <c r="Z421" s="75" t="s">
        <v>176</v>
      </c>
      <c r="AA421" s="185"/>
      <c r="AB421" s="185"/>
      <c r="AC421" s="108"/>
      <c r="AD421" s="108"/>
      <c r="AE421" s="185"/>
      <c r="AF421" s="185"/>
      <c r="AG421" s="185"/>
      <c r="AH421" s="185"/>
      <c r="AI421" s="185"/>
      <c r="AJ421" s="82">
        <f t="shared" si="590"/>
        <v>0</v>
      </c>
      <c r="AK421" s="90">
        <v>4000000000</v>
      </c>
      <c r="AL421" s="455"/>
      <c r="AM421" s="455"/>
      <c r="AN421" s="90"/>
      <c r="AO421" s="90"/>
      <c r="AP421" s="90"/>
      <c r="AQ421" s="90"/>
      <c r="AR421" s="90"/>
      <c r="AS421" s="455">
        <v>0</v>
      </c>
      <c r="AT421" s="84">
        <f t="shared" si="591"/>
        <v>4000000000</v>
      </c>
      <c r="AU421" s="455"/>
      <c r="AV421" s="455"/>
      <c r="AW421" s="455">
        <v>0</v>
      </c>
      <c r="AX421" s="455"/>
      <c r="AY421" s="455"/>
      <c r="AZ421" s="455"/>
      <c r="BA421" s="455"/>
      <c r="BB421" s="455"/>
      <c r="BC421" s="455"/>
      <c r="BD421" s="455">
        <f t="shared" si="592"/>
        <v>0</v>
      </c>
      <c r="BE421" s="90"/>
      <c r="BF421" s="90"/>
      <c r="BG421" s="90">
        <v>0</v>
      </c>
      <c r="BH421" s="90"/>
      <c r="BI421" s="90"/>
      <c r="BJ421" s="90"/>
      <c r="BK421" s="90"/>
      <c r="BL421" s="90"/>
      <c r="BM421" s="90"/>
      <c r="BN421" s="90">
        <f t="shared" si="593"/>
        <v>0</v>
      </c>
      <c r="BO421" s="546">
        <f t="shared" si="594"/>
        <v>4000000000</v>
      </c>
    </row>
    <row r="422" spans="1:67" s="368" customFormat="1" ht="24.75" customHeight="1" x14ac:dyDescent="0.25">
      <c r="A422" s="638"/>
      <c r="D422" s="369"/>
      <c r="E422" s="370"/>
      <c r="F422" s="369"/>
      <c r="G422" s="369"/>
      <c r="H422" s="369"/>
      <c r="I422" s="371"/>
      <c r="J422" s="372" t="s">
        <v>925</v>
      </c>
      <c r="K422" s="373"/>
      <c r="L422" s="374"/>
      <c r="M422" s="375"/>
      <c r="N422" s="376"/>
      <c r="O422" s="377"/>
      <c r="P422" s="377"/>
      <c r="Q422" s="376"/>
      <c r="R422" s="377"/>
      <c r="S422" s="522"/>
      <c r="T422" s="377" t="s">
        <v>61</v>
      </c>
      <c r="U422" s="377"/>
      <c r="V422" s="377"/>
      <c r="W422" s="377"/>
      <c r="X422" s="378"/>
      <c r="Y422" s="377"/>
      <c r="Z422" s="377"/>
      <c r="AA422" s="379">
        <f t="shared" ref="AA422:AH422" si="595">AA364+AA323+AA96+AA36+AA11</f>
        <v>0</v>
      </c>
      <c r="AB422" s="379">
        <f t="shared" si="595"/>
        <v>47919111022</v>
      </c>
      <c r="AC422" s="379">
        <f t="shared" si="595"/>
        <v>12564576694.639999</v>
      </c>
      <c r="AD422" s="379">
        <f t="shared" si="595"/>
        <v>1615474143</v>
      </c>
      <c r="AE422" s="379">
        <f t="shared" si="595"/>
        <v>4987433131</v>
      </c>
      <c r="AF422" s="379">
        <f t="shared" si="595"/>
        <v>2248717121</v>
      </c>
      <c r="AG422" s="379">
        <f t="shared" si="595"/>
        <v>112952913595</v>
      </c>
      <c r="AH422" s="379">
        <f t="shared" si="595"/>
        <v>11365979119</v>
      </c>
      <c r="AI422" s="379">
        <f t="shared" ref="AI422:AP422" si="596">AI364+AI323+AI96+AI36+AI11</f>
        <v>33076572379</v>
      </c>
      <c r="AJ422" s="379">
        <f t="shared" si="596"/>
        <v>226730777204.64001</v>
      </c>
      <c r="AK422" s="379">
        <f t="shared" si="596"/>
        <v>10000000000</v>
      </c>
      <c r="AL422" s="379">
        <f t="shared" si="596"/>
        <v>38456371357.440002</v>
      </c>
      <c r="AM422" s="379">
        <f t="shared" si="596"/>
        <v>10848685819.088402</v>
      </c>
      <c r="AN422" s="379">
        <f t="shared" si="596"/>
        <v>200000000</v>
      </c>
      <c r="AO422" s="379">
        <f t="shared" si="596"/>
        <v>233587702.31</v>
      </c>
      <c r="AP422" s="379">
        <f t="shared" si="596"/>
        <v>2207217417.7399998</v>
      </c>
      <c r="AQ422" s="379">
        <f t="shared" ref="AQ422:AT422" si="597">AQ364+AQ323+AQ96+AQ36+AQ11</f>
        <v>116291155143.60001</v>
      </c>
      <c r="AR422" s="379">
        <f t="shared" si="597"/>
        <v>10799941036.780186</v>
      </c>
      <c r="AS422" s="379">
        <f t="shared" si="597"/>
        <v>32045276423</v>
      </c>
      <c r="AT422" s="379">
        <f t="shared" si="597"/>
        <v>221082234899.59845</v>
      </c>
      <c r="AU422" s="380">
        <f t="shared" ref="AU422:BC422" si="598">SUM(AU14:AU421)</f>
        <v>13000000000</v>
      </c>
      <c r="AV422" s="380">
        <f t="shared" si="598"/>
        <v>39390679044.36499</v>
      </c>
      <c r="AW422" s="380">
        <f t="shared" si="598"/>
        <v>8196763724.441576</v>
      </c>
      <c r="AX422" s="380">
        <f t="shared" si="598"/>
        <v>200000000</v>
      </c>
      <c r="AY422" s="380">
        <f t="shared" si="598"/>
        <v>240595333.3793</v>
      </c>
      <c r="AZ422" s="380">
        <f t="shared" si="598"/>
        <v>2272403940.2722001</v>
      </c>
      <c r="BA422" s="380">
        <f t="shared" si="598"/>
        <v>119779889797.90849</v>
      </c>
      <c r="BB422" s="380">
        <f t="shared" si="598"/>
        <v>11123939268.595118</v>
      </c>
      <c r="BC422" s="380">
        <f t="shared" si="598"/>
        <v>33654449896</v>
      </c>
      <c r="BD422" s="380">
        <f>BD411+BD405+BD385+BD375+BD371+BD366+BD361+BD355+BD351+BD347+BD341+BD336+BD331+BD325+BD321+BD318+BD314+BD309+BD307+BD305+BD302+BD296+BD293+BD291+BD289+BD286+BD283+BD280+BD276+BD272+BD270+BD267+BD264+BD259+BD255+BD252+BD248+BD246+BD242+BD239+BD237+BD235+BD230+BD227+BD222+BD218+BD215+BD212+BD206+BD202+BD198+BD193+BD190+BD185+BD179+BD175+BD173+BD170+BD168+BD164+BD160+BD158+BD156+BD153+BD146+BD140+BD137+BD132+BD121+BD112+BD109+BD102+BD98+BD87+BD83+BD80+BD78+BD75+BD70+BD65+BD59+BD55+BD50+BD28+BD20+BD13+BD38+BD43+BD382</f>
        <v>227858721004.96167</v>
      </c>
      <c r="BE422" s="380">
        <f t="shared" ref="BE422:BM422" si="599">SUM(BE14:BE421)</f>
        <v>10000000000</v>
      </c>
      <c r="BF422" s="380">
        <f t="shared" si="599"/>
        <v>40735593529.225174</v>
      </c>
      <c r="BG422" s="380">
        <f t="shared" si="599"/>
        <v>7199072744.5355549</v>
      </c>
      <c r="BH422" s="380">
        <f t="shared" si="599"/>
        <v>200000000</v>
      </c>
      <c r="BI422" s="380">
        <f t="shared" si="599"/>
        <v>247813193.38067901</v>
      </c>
      <c r="BJ422" s="380">
        <f t="shared" si="599"/>
        <v>2341576058.48</v>
      </c>
      <c r="BK422" s="380">
        <f t="shared" si="599"/>
        <v>123373286491.84402</v>
      </c>
      <c r="BL422" s="380">
        <f t="shared" si="599"/>
        <v>11457657446.024429</v>
      </c>
      <c r="BM422" s="380">
        <f t="shared" si="599"/>
        <v>34802379885</v>
      </c>
      <c r="BN422" s="380">
        <f>BN411+BN405+BN385+BN375+BN371+BN366+BN361+BN355+BN351+BN347+BN341+BN336+BN331+BN325+BN321+BN318+BN314+BN309+BN307+BN305+BN302+BN296+BN293+BN291+BN289+BN286+BN283+BN280+BN276+BN272+BN270+BN267+BN264+BN259+BN255+BN252+BN248+BN246+BN242+BN239+BN237+BN235+BN230+BN227+BN222+BN218+BN215+BN212+BN206+BN202+BN198+BN193+BN190+BN185+BN179+BN175+BN173+BN170+BN168+BN164+BN160+BN158+BN156+BN153+BN146+BN140+BN137+BN132+BN121+BN112+BN109+BN102+BN98+BN87+BN83+BN80+BN78+BN75+BN70+BN65+BN59+BN55+BN50+BN28+BN20+BN13+BN38+BN43+BN382</f>
        <v>230357379348.48987</v>
      </c>
      <c r="BO422" s="639">
        <f>BO364+BO323+BO96+BO36+BO11</f>
        <v>906029112457.68982</v>
      </c>
    </row>
    <row r="423" spans="1:67" ht="24.75" customHeight="1" thickBot="1" x14ac:dyDescent="0.3">
      <c r="A423" s="640"/>
      <c r="B423" s="641"/>
      <c r="C423" s="641"/>
      <c r="D423" s="642"/>
      <c r="E423" s="643"/>
      <c r="F423" s="643"/>
      <c r="G423" s="644"/>
      <c r="H423" s="644"/>
      <c r="I423" s="645"/>
      <c r="J423" s="646" t="s">
        <v>926</v>
      </c>
      <c r="K423" s="647"/>
      <c r="L423" s="648"/>
      <c r="M423" s="649"/>
      <c r="N423" s="650"/>
      <c r="O423" s="651"/>
      <c r="P423" s="651"/>
      <c r="Q423" s="650"/>
      <c r="R423" s="651" t="s">
        <v>61</v>
      </c>
      <c r="S423" s="652"/>
      <c r="T423" s="651" t="s">
        <v>61</v>
      </c>
      <c r="U423" s="651"/>
      <c r="V423" s="651"/>
      <c r="W423" s="651"/>
      <c r="X423" s="653"/>
      <c r="Y423" s="651"/>
      <c r="Z423" s="651"/>
      <c r="AA423" s="654"/>
      <c r="AB423" s="654">
        <f>AB422+AC422+AD422+AE422++AH422+AI422</f>
        <v>111529146488.64</v>
      </c>
      <c r="AC423" s="654"/>
      <c r="AD423" s="654"/>
      <c r="AE423" s="654"/>
      <c r="AF423" s="654"/>
      <c r="AG423" s="654"/>
      <c r="AH423" s="654"/>
      <c r="AI423" s="654"/>
      <c r="AJ423" s="655">
        <f>220730777204.64+6000000000</f>
        <v>226730777204.64001</v>
      </c>
      <c r="AK423" s="656"/>
      <c r="AL423" s="656"/>
      <c r="AM423" s="656"/>
      <c r="AN423" s="656"/>
      <c r="AO423" s="656"/>
      <c r="AP423" s="656"/>
      <c r="AQ423" s="656"/>
      <c r="AR423" s="656"/>
      <c r="AS423" s="656"/>
      <c r="AT423" s="656">
        <v>221082234899</v>
      </c>
      <c r="AU423" s="656"/>
      <c r="AV423" s="656"/>
      <c r="AW423" s="656"/>
      <c r="AX423" s="656"/>
      <c r="AY423" s="656"/>
      <c r="AZ423" s="656"/>
      <c r="BA423" s="656"/>
      <c r="BB423" s="656"/>
      <c r="BC423" s="656"/>
      <c r="BD423" s="656">
        <v>227858721005</v>
      </c>
      <c r="BE423" s="656"/>
      <c r="BF423" s="656"/>
      <c r="BG423" s="656"/>
      <c r="BH423" s="656"/>
      <c r="BI423" s="656"/>
      <c r="BJ423" s="656"/>
      <c r="BK423" s="656"/>
      <c r="BL423" s="656"/>
      <c r="BM423" s="656"/>
      <c r="BN423" s="656">
        <v>230357379349</v>
      </c>
      <c r="BO423" s="657">
        <f>BO364+BO323+BO96+BO36+BO11</f>
        <v>906029112457.68982</v>
      </c>
    </row>
    <row r="424" spans="1:67" s="86" customFormat="1" ht="24.75" customHeight="1" x14ac:dyDescent="0.25">
      <c r="E424" s="381"/>
      <c r="I424" s="382"/>
      <c r="J424" s="3"/>
      <c r="K424" s="3"/>
      <c r="L424" s="382"/>
      <c r="M424" s="381"/>
      <c r="N424" s="383"/>
      <c r="O424" s="384"/>
      <c r="P424" s="384"/>
      <c r="Q424" s="383"/>
      <c r="R424" s="384"/>
      <c r="S424" s="523"/>
      <c r="T424" s="384"/>
      <c r="U424" s="384"/>
      <c r="V424" s="384"/>
      <c r="W424" s="384"/>
      <c r="X424" s="385"/>
      <c r="Y424" s="366"/>
      <c r="Z424" s="366"/>
      <c r="AA424" s="386"/>
      <c r="AB424" s="387"/>
      <c r="AC424" s="388"/>
      <c r="AD424" s="386"/>
      <c r="AE424" s="386"/>
      <c r="AF424" s="386"/>
      <c r="AG424" s="386"/>
      <c r="AH424" s="386"/>
      <c r="AI424" s="386"/>
      <c r="AJ424" s="389"/>
      <c r="AK424" s="390"/>
      <c r="AL424" s="390"/>
      <c r="AM424" s="390"/>
      <c r="AN424" s="390"/>
      <c r="AO424" s="390"/>
      <c r="AP424" s="390"/>
      <c r="AQ424" s="390"/>
      <c r="AR424" s="390"/>
      <c r="AS424" s="390"/>
      <c r="AU424" s="390"/>
      <c r="AV424" s="390"/>
      <c r="AW424" s="390"/>
      <c r="AX424" s="390"/>
      <c r="AY424" s="390"/>
      <c r="AZ424" s="390"/>
      <c r="BA424" s="390"/>
      <c r="BB424" s="390"/>
      <c r="BC424" s="390"/>
      <c r="BD424" s="390"/>
      <c r="BE424" s="391"/>
      <c r="BF424" s="391"/>
      <c r="BG424" s="391"/>
      <c r="BH424" s="391"/>
      <c r="BI424" s="391"/>
      <c r="BJ424" s="391"/>
      <c r="BK424" s="391"/>
      <c r="BL424" s="391"/>
      <c r="BM424" s="391"/>
      <c r="BN424" s="391"/>
      <c r="BO424" s="436"/>
    </row>
    <row r="425" spans="1:67" s="86" customFormat="1" ht="24.75" customHeight="1" x14ac:dyDescent="0.25">
      <c r="E425" s="381"/>
      <c r="I425" s="382"/>
      <c r="J425" s="3"/>
      <c r="K425" s="3"/>
      <c r="L425" s="382"/>
      <c r="M425" s="381"/>
      <c r="N425" s="383"/>
      <c r="O425" s="384"/>
      <c r="P425" s="384"/>
      <c r="Q425" s="383"/>
      <c r="R425" s="384"/>
      <c r="S425" s="523"/>
      <c r="T425" s="384"/>
      <c r="U425" s="384"/>
      <c r="V425" s="384"/>
      <c r="W425" s="384"/>
      <c r="X425" s="385"/>
      <c r="Y425" s="366"/>
      <c r="Z425" s="366"/>
      <c r="AA425" s="386"/>
      <c r="AB425" s="387"/>
      <c r="AC425" s="388"/>
      <c r="AD425" s="386"/>
      <c r="AE425" s="386"/>
      <c r="AF425" s="386"/>
      <c r="AG425" s="386"/>
      <c r="AH425" s="386"/>
      <c r="AI425" s="386"/>
      <c r="AJ425" s="389"/>
      <c r="AK425" s="390"/>
      <c r="AL425" s="390"/>
      <c r="AM425" s="390"/>
      <c r="AN425" s="390"/>
      <c r="AO425" s="390"/>
      <c r="AP425" s="390"/>
      <c r="AQ425" s="390"/>
      <c r="AR425" s="390"/>
      <c r="AS425" s="390"/>
      <c r="AT425" s="389"/>
      <c r="AU425" s="390"/>
      <c r="AV425" s="390"/>
      <c r="AW425" s="390"/>
      <c r="AX425" s="390"/>
      <c r="AY425" s="390"/>
      <c r="AZ425" s="390"/>
      <c r="BA425" s="390"/>
      <c r="BB425" s="390"/>
      <c r="BC425" s="390"/>
      <c r="BD425" s="390"/>
      <c r="BE425" s="390"/>
      <c r="BF425" s="390"/>
      <c r="BG425" s="390"/>
      <c r="BH425" s="390"/>
      <c r="BI425" s="390"/>
      <c r="BJ425" s="390"/>
      <c r="BK425" s="390"/>
      <c r="BL425" s="390"/>
      <c r="BM425" s="390"/>
      <c r="BN425" s="390"/>
      <c r="BO425" s="392"/>
    </row>
    <row r="426" spans="1:67" s="86" customFormat="1" ht="24.75" customHeight="1" x14ac:dyDescent="0.25">
      <c r="E426" s="381"/>
      <c r="I426" s="382"/>
      <c r="J426" s="3"/>
      <c r="K426" s="3"/>
      <c r="L426" s="382"/>
      <c r="M426" s="381"/>
      <c r="N426" s="383"/>
      <c r="O426" s="384"/>
      <c r="P426" s="384"/>
      <c r="Q426" s="383"/>
      <c r="R426" s="384"/>
      <c r="S426" s="523"/>
      <c r="T426" s="384"/>
      <c r="U426" s="384"/>
      <c r="V426" s="384"/>
      <c r="W426" s="384"/>
      <c r="X426" s="385"/>
      <c r="Y426" s="366"/>
      <c r="Z426" s="366"/>
      <c r="AA426" s="386"/>
      <c r="AB426" s="387"/>
      <c r="AC426" s="388"/>
      <c r="AD426" s="386"/>
      <c r="AE426" s="386"/>
      <c r="AF426" s="386"/>
      <c r="AG426" s="386"/>
      <c r="AH426" s="386"/>
      <c r="AI426" s="386"/>
      <c r="AJ426" s="389"/>
      <c r="AK426" s="390"/>
      <c r="AL426" s="390"/>
      <c r="AM426" s="390"/>
      <c r="AN426" s="390"/>
      <c r="AO426" s="390"/>
      <c r="AP426" s="390"/>
      <c r="AQ426" s="390"/>
      <c r="AR426" s="390"/>
      <c r="AS426" s="390"/>
      <c r="AT426" s="394"/>
      <c r="AU426" s="393"/>
      <c r="AV426" s="390"/>
      <c r="AW426" s="390"/>
      <c r="AX426" s="390"/>
      <c r="AY426" s="390"/>
      <c r="AZ426" s="390"/>
      <c r="BA426" s="390"/>
      <c r="BB426" s="390"/>
      <c r="BC426" s="390"/>
      <c r="BD426" s="390"/>
      <c r="BE426" s="391"/>
      <c r="BF426" s="391"/>
      <c r="BG426" s="391"/>
      <c r="BH426" s="391"/>
      <c r="BI426" s="391"/>
      <c r="BJ426" s="391"/>
      <c r="BK426" s="391"/>
      <c r="BL426" s="391"/>
      <c r="BM426" s="391"/>
      <c r="BN426" s="391"/>
    </row>
    <row r="427" spans="1:67" s="86" customFormat="1" ht="24.75" customHeight="1" x14ac:dyDescent="0.25">
      <c r="E427" s="381"/>
      <c r="I427" s="382"/>
      <c r="J427" s="3"/>
      <c r="K427" s="3"/>
      <c r="L427" s="382"/>
      <c r="M427" s="381"/>
      <c r="N427" s="383"/>
      <c r="O427" s="384"/>
      <c r="P427" s="384"/>
      <c r="Q427" s="383"/>
      <c r="R427" s="384"/>
      <c r="S427" s="523"/>
      <c r="T427" s="384"/>
      <c r="U427" s="384"/>
      <c r="V427" s="384"/>
      <c r="W427" s="384"/>
      <c r="X427" s="385"/>
      <c r="Y427" s="366"/>
      <c r="Z427" s="366"/>
      <c r="AA427" s="386"/>
      <c r="AB427" s="387"/>
      <c r="AC427" s="388"/>
      <c r="AD427" s="386"/>
      <c r="AE427" s="386"/>
      <c r="AF427" s="386"/>
      <c r="AG427" s="386"/>
      <c r="AH427" s="386"/>
      <c r="AI427" s="386"/>
      <c r="AJ427" s="389"/>
      <c r="AK427" s="390"/>
      <c r="AL427" s="390"/>
      <c r="AM427" s="390"/>
      <c r="AN427" s="390"/>
      <c r="AO427" s="390"/>
      <c r="AP427" s="390"/>
      <c r="AQ427" s="390"/>
      <c r="AR427" s="390"/>
      <c r="AS427" s="390"/>
      <c r="AT427" s="394"/>
      <c r="AU427" s="393"/>
      <c r="AV427" s="390"/>
      <c r="AW427" s="390"/>
      <c r="AX427" s="390"/>
      <c r="AY427" s="390"/>
      <c r="AZ427" s="390"/>
      <c r="BA427" s="390"/>
      <c r="BB427" s="390"/>
      <c r="BC427" s="390"/>
      <c r="BD427" s="390"/>
      <c r="BE427" s="391"/>
      <c r="BF427" s="391"/>
      <c r="BG427" s="391"/>
      <c r="BH427" s="391"/>
      <c r="BI427" s="391"/>
      <c r="BJ427" s="391"/>
      <c r="BK427" s="391"/>
      <c r="BL427" s="391"/>
      <c r="BM427" s="391"/>
      <c r="BN427" s="391"/>
    </row>
    <row r="428" spans="1:67" s="86" customFormat="1" ht="24.75" customHeight="1" x14ac:dyDescent="0.25">
      <c r="E428" s="381"/>
      <c r="I428" s="382"/>
      <c r="J428" s="3"/>
      <c r="K428" s="3"/>
      <c r="L428" s="382"/>
      <c r="M428" s="381"/>
      <c r="N428" s="383"/>
      <c r="O428" s="384"/>
      <c r="P428" s="384"/>
      <c r="Q428" s="383"/>
      <c r="R428" s="384"/>
      <c r="S428" s="523"/>
      <c r="T428" s="384"/>
      <c r="U428" s="384"/>
      <c r="V428" s="384"/>
      <c r="W428" s="384"/>
      <c r="X428" s="385"/>
      <c r="Y428" s="366"/>
      <c r="Z428" s="366"/>
      <c r="AA428" s="386"/>
      <c r="AB428" s="387"/>
      <c r="AC428" s="388"/>
      <c r="AD428" s="386"/>
      <c r="AE428" s="386"/>
      <c r="AF428" s="386"/>
      <c r="AG428" s="386"/>
      <c r="AH428" s="386"/>
      <c r="AI428" s="386"/>
      <c r="AJ428" s="389"/>
      <c r="AK428" s="390"/>
      <c r="AL428" s="390"/>
      <c r="AM428" s="390"/>
      <c r="AN428" s="390"/>
      <c r="AO428" s="390"/>
      <c r="AP428" s="390"/>
      <c r="AQ428" s="390"/>
      <c r="AR428" s="390"/>
      <c r="AS428" s="390"/>
      <c r="AT428" s="394"/>
      <c r="AU428" s="393"/>
      <c r="AV428" s="390"/>
      <c r="AW428" s="390"/>
      <c r="AX428" s="390"/>
      <c r="AY428" s="390"/>
      <c r="AZ428" s="390"/>
      <c r="BA428" s="390"/>
      <c r="BB428" s="390"/>
      <c r="BC428" s="390"/>
      <c r="BD428" s="390"/>
      <c r="BE428" s="391"/>
      <c r="BF428" s="391"/>
      <c r="BG428" s="391"/>
      <c r="BH428" s="391"/>
      <c r="BI428" s="391"/>
      <c r="BJ428" s="391"/>
      <c r="BK428" s="391"/>
      <c r="BL428" s="391"/>
      <c r="BM428" s="391"/>
      <c r="BN428" s="391"/>
    </row>
    <row r="429" spans="1:67" s="86" customFormat="1" ht="24.75" customHeight="1" x14ac:dyDescent="0.25">
      <c r="E429" s="381"/>
      <c r="I429" s="382"/>
      <c r="J429" s="3"/>
      <c r="K429" s="3"/>
      <c r="L429" s="382"/>
      <c r="M429" s="381"/>
      <c r="N429" s="383"/>
      <c r="O429" s="384"/>
      <c r="P429" s="384"/>
      <c r="Q429" s="383"/>
      <c r="R429" s="384"/>
      <c r="S429" s="523"/>
      <c r="T429" s="384"/>
      <c r="U429" s="384"/>
      <c r="V429" s="384"/>
      <c r="W429" s="384"/>
      <c r="X429" s="385"/>
      <c r="Y429" s="366"/>
      <c r="Z429" s="366"/>
      <c r="AA429" s="386"/>
      <c r="AB429" s="387"/>
      <c r="AC429" s="388"/>
      <c r="AD429" s="386"/>
      <c r="AE429" s="386"/>
      <c r="AF429" s="386"/>
      <c r="AG429" s="386"/>
      <c r="AH429" s="386"/>
      <c r="AI429" s="386"/>
      <c r="AJ429" s="389"/>
      <c r="AK429" s="390"/>
      <c r="AL429" s="390"/>
      <c r="AM429" s="390"/>
      <c r="AN429" s="390"/>
      <c r="AO429" s="390"/>
      <c r="AP429" s="390"/>
      <c r="AQ429" s="390"/>
      <c r="AR429" s="390"/>
      <c r="AS429" s="390"/>
      <c r="AT429" s="394"/>
      <c r="AU429" s="393"/>
      <c r="AV429" s="390"/>
      <c r="AW429" s="390"/>
      <c r="AX429" s="390"/>
      <c r="AY429" s="390"/>
      <c r="AZ429" s="390"/>
      <c r="BA429" s="390"/>
      <c r="BB429" s="390"/>
      <c r="BC429" s="390"/>
      <c r="BD429" s="390"/>
      <c r="BE429" s="391"/>
      <c r="BF429" s="391"/>
      <c r="BG429" s="391"/>
      <c r="BH429" s="391"/>
      <c r="BI429" s="391"/>
      <c r="BJ429" s="391"/>
      <c r="BK429" s="391"/>
      <c r="BL429" s="391"/>
      <c r="BM429" s="391"/>
      <c r="BN429" s="391"/>
    </row>
    <row r="430" spans="1:67" ht="24.75" customHeight="1" x14ac:dyDescent="0.2">
      <c r="AT430" s="458"/>
      <c r="AU430" s="393"/>
    </row>
    <row r="431" spans="1:67" ht="24.75" customHeight="1" x14ac:dyDescent="0.2">
      <c r="AT431" s="394"/>
      <c r="AU431" s="393"/>
    </row>
    <row r="432" spans="1:67" ht="24.75" customHeight="1" x14ac:dyDescent="0.2">
      <c r="AT432" s="394"/>
      <c r="AU432" s="393"/>
    </row>
    <row r="433" spans="10:47" ht="24.75" customHeight="1" x14ac:dyDescent="0.2">
      <c r="AT433" s="394"/>
      <c r="AU433" s="393"/>
    </row>
    <row r="434" spans="10:47" ht="24.75" customHeight="1" x14ac:dyDescent="0.2">
      <c r="AT434" s="393"/>
      <c r="AU434" s="393"/>
    </row>
    <row r="437" spans="10:47" ht="24.75" customHeight="1" x14ac:dyDescent="0.2">
      <c r="J437" s="395">
        <f>26+50+15+29+119+2</f>
        <v>241</v>
      </c>
    </row>
  </sheetData>
  <mergeCells count="54">
    <mergeCell ref="R8:S8"/>
    <mergeCell ref="O8:O9"/>
    <mergeCell ref="P8:P9"/>
    <mergeCell ref="A8:A9"/>
    <mergeCell ref="B8:B9"/>
    <mergeCell ref="F8:F9"/>
    <mergeCell ref="G8:G9"/>
    <mergeCell ref="H8:H9"/>
    <mergeCell ref="C8:E8"/>
    <mergeCell ref="H219:H220"/>
    <mergeCell ref="BO7:BO9"/>
    <mergeCell ref="F228:F229"/>
    <mergeCell ref="G228:G229"/>
    <mergeCell ref="H228:H229"/>
    <mergeCell ref="F219:F220"/>
    <mergeCell ref="G219:G220"/>
    <mergeCell ref="AU8:AU9"/>
    <mergeCell ref="X8:X9"/>
    <mergeCell ref="Z8:Z9"/>
    <mergeCell ref="I8:J9"/>
    <mergeCell ref="F15:F16"/>
    <mergeCell ref="M8:M9"/>
    <mergeCell ref="N8:N9"/>
    <mergeCell ref="Y8:Y9"/>
    <mergeCell ref="AV8:AV9"/>
    <mergeCell ref="K8:K9"/>
    <mergeCell ref="L8:L9"/>
    <mergeCell ref="T8:U8"/>
    <mergeCell ref="V8:W8"/>
    <mergeCell ref="AK7:AT7"/>
    <mergeCell ref="BA8:BA9"/>
    <mergeCell ref="BB8:BB9"/>
    <mergeCell ref="AA7:AJ7"/>
    <mergeCell ref="BK8:BK9"/>
    <mergeCell ref="BH8:BH9"/>
    <mergeCell ref="BC8:BC9"/>
    <mergeCell ref="BD8:BD9"/>
    <mergeCell ref="BE8:BE9"/>
    <mergeCell ref="C1:BM3"/>
    <mergeCell ref="C4:BM6"/>
    <mergeCell ref="F7:Z7"/>
    <mergeCell ref="BN8:BN9"/>
    <mergeCell ref="AW8:AW9"/>
    <mergeCell ref="BM8:BM9"/>
    <mergeCell ref="AZ8:AZ9"/>
    <mergeCell ref="BL8:BL9"/>
    <mergeCell ref="AY8:AY9"/>
    <mergeCell ref="AX8:AX9"/>
    <mergeCell ref="AU7:BD7"/>
    <mergeCell ref="BE7:BN7"/>
    <mergeCell ref="BF8:BF9"/>
    <mergeCell ref="BG8:BG9"/>
    <mergeCell ref="BI8:BI9"/>
    <mergeCell ref="BJ8:BJ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 NDICATIVO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cp:lastPrinted>2017-11-02T22:19:32Z</cp:lastPrinted>
  <dcterms:created xsi:type="dcterms:W3CDTF">2016-03-22T23:00:18Z</dcterms:created>
  <dcterms:modified xsi:type="dcterms:W3CDTF">2017-11-28T16:29:49Z</dcterms:modified>
  <cp:category/>
  <cp:contentStatus/>
</cp:coreProperties>
</file>