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152" activeTab="0"/>
  </bookViews>
  <sheets>
    <sheet name="POAI 2015 OCTUBRE 2015" sheetId="1" r:id="rId1"/>
    <sheet name="ESTRUCTURA POAI 2015" sheetId="2" r:id="rId2"/>
  </sheets>
  <definedNames>
    <definedName name="_xlnm.Print_Area" localSheetId="0">'POAI 2015 OCTUBRE 2015'!$A$2:$V$590</definedName>
    <definedName name="_xlnm.Print_Titles" localSheetId="0">'POAI 2015 OCTUBRE 2015'!$5:$8</definedName>
  </definedNames>
  <calcPr fullCalcOnLoad="1"/>
</workbook>
</file>

<file path=xl/comments2.xml><?xml version="1.0" encoding="utf-8"?>
<comments xmlns="http://schemas.openxmlformats.org/spreadsheetml/2006/main">
  <authors>
    <author>Maria Aleyda</author>
  </authors>
  <commentList>
    <comment ref="I9" authorId="0">
      <text>
        <r>
          <rPr>
            <sz val="9"/>
            <rFont val="Tahoma"/>
            <family val="2"/>
          </rPr>
          <t xml:space="preserve">Los Proyectos 75 y 76 se encuentran en Inversión Indirecta para ser ejecutados por la Promotora. Así mismo el 81 con ESAQUIN S. A.
</t>
        </r>
      </text>
    </comment>
  </commentList>
</comments>
</file>

<file path=xl/sharedStrings.xml><?xml version="1.0" encoding="utf-8"?>
<sst xmlns="http://schemas.openxmlformats.org/spreadsheetml/2006/main" count="1258" uniqueCount="1102">
  <si>
    <t>POLITICA</t>
  </si>
  <si>
    <t xml:space="preserve">SOCIOCULTURAL </t>
  </si>
  <si>
    <t>1.1</t>
  </si>
  <si>
    <t>EDUCA LA ZONA Q SU CAPITAL HUMANO</t>
  </si>
  <si>
    <t>1.1.1</t>
  </si>
  <si>
    <t>MI MUNDO, MIS JUEGOS Y MIS LETRAS CON COBERTURA Y CALIDAD.</t>
  </si>
  <si>
    <t>1.1.2</t>
  </si>
  <si>
    <t>LA CALIDAD EDUCATIVA PERTINENTE PARA LA ZONA Q</t>
  </si>
  <si>
    <t>1.1.3</t>
  </si>
  <si>
    <t>COBERTURA EDUCATIVA PERTINENTE PARA EL CAPITAL HUMANO DE LA ZONA Q</t>
  </si>
  <si>
    <t>1.1.4</t>
  </si>
  <si>
    <t>PA’LANTE UNIVERSITARIOS EN LA ZONA Q JOVEN</t>
  </si>
  <si>
    <t>1.1.5</t>
  </si>
  <si>
    <t>MÁS PILOS Y MÁS INNOVACIÓN PARA EL CAPITAL HUMANO DE LA ZONA Q.</t>
  </si>
  <si>
    <t xml:space="preserve">INSTITUCIONAL </t>
  </si>
  <si>
    <t>5.20</t>
  </si>
  <si>
    <t>QUINDÍO UNA ADMINISTRACIÓN MODERNA Y EFICIENTE</t>
  </si>
  <si>
    <t>UN BUEN GOBIERNO CON CUENTAS CLARAS EN LA ADMINISTRACIÓNDE LA ZONA Q.</t>
  </si>
  <si>
    <t>5.20.102</t>
  </si>
  <si>
    <t>APROPIACION RECURSOS PROPIOS</t>
  </si>
  <si>
    <t>FUENTE</t>
  </si>
  <si>
    <t>MONO (35)</t>
  </si>
  <si>
    <t>SGP (25)</t>
  </si>
  <si>
    <t>SGP (25) CSF
SGP (26) SSF</t>
  </si>
  <si>
    <t>1.3</t>
  </si>
  <si>
    <t xml:space="preserve">VIVA QUINDÍO CULTURAL Y RECREATIVO </t>
  </si>
  <si>
    <t>1.3.39</t>
  </si>
  <si>
    <t>QUINDÍO DESCENTRALIZADO EN SU OFERTA CULTURAL - SISTEMA DEPARTAMENTAL DE CULTURA</t>
  </si>
  <si>
    <t>1.3.42</t>
  </si>
  <si>
    <t>RECONOCIMIENTO, APROPIACIÓN Y SALVAGUARDIA DEL PATRIMONIO CULTURAL</t>
  </si>
  <si>
    <t>1.3.41</t>
  </si>
  <si>
    <t>CULTURA CIUDADANA, POLÍTICA Y AMBIENTAL.</t>
  </si>
  <si>
    <t>E.P.C. (05)</t>
  </si>
  <si>
    <t>1.3.40</t>
  </si>
  <si>
    <t>ARTE, CULTURA Y EDUCACIÓN: UN CARNAVAL POR LA VIDA.</t>
  </si>
  <si>
    <t>SOCIOCULTURAL</t>
  </si>
  <si>
    <t>1.5</t>
  </si>
  <si>
    <t>QUINDÍO SIN MIEDO</t>
  </si>
  <si>
    <t>1.5.46</t>
  </si>
  <si>
    <t>SEGURIDAD CIUDADANA Y ORDEN PÚBLICO</t>
  </si>
  <si>
    <t>1.5.48</t>
  </si>
  <si>
    <t>QUINDÍO TERRITORIO DE CONVIVENCIA Y PAZ</t>
  </si>
  <si>
    <t>1.8.63</t>
  </si>
  <si>
    <t>MIS DERECHOS AL DERECHO</t>
  </si>
  <si>
    <t>AMBIENTE NATURAL</t>
  </si>
  <si>
    <t>4.18</t>
  </si>
  <si>
    <t>1 /2 AMBIENTE MÁS VIDA.</t>
  </si>
  <si>
    <t>4.18.97</t>
  </si>
  <si>
    <t>GESTIÓN DEL RIESGO POR AMENAZAS NATURALES Y ACTIVIDADES ANTRÓPICAS.</t>
  </si>
  <si>
    <t>INSTITUCIONAL</t>
  </si>
  <si>
    <t>5.21</t>
  </si>
  <si>
    <t>PARTICIPACIÓN COMUNITARIA</t>
  </si>
  <si>
    <t>5.21.103</t>
  </si>
  <si>
    <t>COMUNALES EN ACCIÓN</t>
  </si>
  <si>
    <t>SECRETARIA DEL INTERIOR</t>
  </si>
  <si>
    <t>1.2</t>
  </si>
  <si>
    <t xml:space="preserve">SALUD HUMANIZADA Y EQUITATIVA PARA TODOS </t>
  </si>
  <si>
    <t>1.2.37</t>
  </si>
  <si>
    <t>QUINDÍO POSITIVO.</t>
  </si>
  <si>
    <t>1.6</t>
  </si>
  <si>
    <t xml:space="preserve">EQUIDAD DE GÉNERO </t>
  </si>
  <si>
    <t>1.6.51</t>
  </si>
  <si>
    <t>MUJERES EN ACCIÓN</t>
  </si>
  <si>
    <t>1.7</t>
  </si>
  <si>
    <t xml:space="preserve">SI LA BANDERA ES UNA LA DIFERENCIA ES NINGUNA </t>
  </si>
  <si>
    <t>1.7.60</t>
  </si>
  <si>
    <t>ATENCIÓN INTEGRAL A LA POBLACIÓN INDÍGENA</t>
  </si>
  <si>
    <t>1.7.61</t>
  </si>
  <si>
    <t>ATENCIÓN INTEGRAL A LA POBLACIÓN AFRODESCENDIENTE</t>
  </si>
  <si>
    <t>1.7.62</t>
  </si>
  <si>
    <t>CAPACIDAD SIN LÍMITE.</t>
  </si>
  <si>
    <t>1.9</t>
  </si>
  <si>
    <t>PRIMERA INFANCIA, INFANCIA, ADOLESCENCIA, JUVENTUD Y FAMILIA.</t>
  </si>
  <si>
    <t>1.9.64</t>
  </si>
  <si>
    <t>PRIMERA INFANCIA, INFANCIA, ADOLESCENCIA Y FAMILIA</t>
  </si>
  <si>
    <t>1.9.69</t>
  </si>
  <si>
    <t>ZONA Q JÓVEN</t>
  </si>
  <si>
    <t>1.9.70</t>
  </si>
  <si>
    <t>FAMILIA INTEGRAL</t>
  </si>
  <si>
    <t>EPAM (06)</t>
  </si>
  <si>
    <t>1.10</t>
  </si>
  <si>
    <t>QUINDÍO PARA RETORNAR</t>
  </si>
  <si>
    <t>1.10.71</t>
  </si>
  <si>
    <t>MIGRACIÓN Y DESARROLLO</t>
  </si>
  <si>
    <t xml:space="preserve">AMBIENTE CONSTRUIDO </t>
  </si>
  <si>
    <t>3.16</t>
  </si>
  <si>
    <t>UN AS PARA EL ORDENAMIENTO RURAL, URBANO, EMPRESARIAL Y  COMPETITIVO</t>
  </si>
  <si>
    <t>3.16.86</t>
  </si>
  <si>
    <t>UN QUINDÍO PLANIFICADO INTEGRALMENTE.</t>
  </si>
  <si>
    <t>4.18.96</t>
  </si>
  <si>
    <t>GESTIÓN AMBIENTAL SECTORIAL Y URBANA</t>
  </si>
  <si>
    <t>5.20.99</t>
  </si>
  <si>
    <t>MODERNIZACIÓN ADMINISTRATIVA CON CALIDAD</t>
  </si>
  <si>
    <t>5.20.101</t>
  </si>
  <si>
    <t>PLANEACIÓN INCLUYENTE Y CON RESULTADOS</t>
  </si>
  <si>
    <t>SECRETARIA DE PLANEACION</t>
  </si>
  <si>
    <t>AMBIENTE CONSTRUIDO</t>
  </si>
  <si>
    <t>3.17</t>
  </si>
  <si>
    <t>INFRAESTRUCTURA PÚBLICA PARA EL DESARROLLO</t>
  </si>
  <si>
    <t>3.17.87</t>
  </si>
  <si>
    <t>VÍAS PARA EL DESARROLLO Y TRANSPORTE CON CALIDEZ Y CALIDAD</t>
  </si>
  <si>
    <t>3.17.88</t>
  </si>
  <si>
    <t>SERVICIOS PÚBLICOS AL ALCANCE DE TODOS</t>
  </si>
  <si>
    <t>SGP (27)</t>
  </si>
  <si>
    <t>3.17.92</t>
  </si>
  <si>
    <t>SECRETARIA DE AGUAS E INFRAESTRUCTURA</t>
  </si>
  <si>
    <t>DIMENSIÓN ECONÓMICA</t>
  </si>
  <si>
    <t>2.11</t>
  </si>
  <si>
    <t>VOLVAMOS AL CAMPO</t>
  </si>
  <si>
    <t>2.11.72</t>
  </si>
  <si>
    <t>DESARROLLO RURAL</t>
  </si>
  <si>
    <t>2.11.73</t>
  </si>
  <si>
    <t>FORTALECIMIENTO DEL PAISAJE CAFETERO</t>
  </si>
  <si>
    <t>4.18.94</t>
  </si>
  <si>
    <t>GESTIÓN DE ÁREAS PROTEGIDAS Y RECURSOS HÍDRICOS</t>
  </si>
  <si>
    <t>4.18.95</t>
  </si>
  <si>
    <t>BIODIVERSIDAD Y SERVICIOS ECOSISTÉMICOS</t>
  </si>
  <si>
    <t>4.19</t>
  </si>
  <si>
    <t xml:space="preserve">QUINDÍO PAISAJE CULTURAL CAFETERO </t>
  </si>
  <si>
    <t>4.19.98</t>
  </si>
  <si>
    <t>PLAN DE CONSERVACIÓN, RECUPERACIÓN Y PROTECCIÓN DEL PAISAJE EN LAS CABECERAS MUNICIPALES Y LOS ESPACIOS RURALES</t>
  </si>
  <si>
    <t>2.12</t>
  </si>
  <si>
    <t>UN AS PARA EL TRABAJO</t>
  </si>
  <si>
    <t>2.12.74</t>
  </si>
  <si>
    <t>EMPLEO Y EMPRENDIMIENTO</t>
  </si>
  <si>
    <t>2.13</t>
  </si>
  <si>
    <t>100% EMPRESAS FIRMES</t>
  </si>
  <si>
    <t>2.13.78</t>
  </si>
  <si>
    <t>FORTALECIMIENTO EMPRESARIAL</t>
  </si>
  <si>
    <t>2.13.80</t>
  </si>
  <si>
    <t>2.14</t>
  </si>
  <si>
    <t>2.14.81</t>
  </si>
  <si>
    <t>POSICIONAMIENTO DEL QUINDIO COMO DESTINO TURÍSTICO DE ENCANTO</t>
  </si>
  <si>
    <t>2.14.82</t>
  </si>
  <si>
    <t>CALIDAD TURÍSTICA</t>
  </si>
  <si>
    <t>2.14.83</t>
  </si>
  <si>
    <t>CLÚSTER DE TURISMO</t>
  </si>
  <si>
    <t>5.22</t>
  </si>
  <si>
    <t>FINANZAS FUERTES Y VIABLES</t>
  </si>
  <si>
    <t>5.22.106</t>
  </si>
  <si>
    <t>DEPARTAMENTO CON GESTIÓN TRANSPARENTE Y  HUMANIZADO DESDE LO PÚBLICO</t>
  </si>
  <si>
    <t>SECRETARIA PRIVADA</t>
  </si>
  <si>
    <t>SECRETARIA ADMINISTRATIVA</t>
  </si>
  <si>
    <t>EPD (04)</t>
  </si>
  <si>
    <t>5.22.104</t>
  </si>
  <si>
    <t>FORTALECIMIENTO DE LAS FINANZAS PÚBLICAS</t>
  </si>
  <si>
    <t>1.2.6</t>
  </si>
  <si>
    <t>SISTEMA DE SALUD HUMANIZADO, ACCESIBLE Y OPORTUNO</t>
  </si>
  <si>
    <t>1.2.9</t>
  </si>
  <si>
    <t>SISTEMA DE SALUD PREVENTIVO Y DE CONTROL</t>
  </si>
  <si>
    <t>1.2.38</t>
  </si>
  <si>
    <t>SISTEMA DE SALUD EQUITATIVO Y EFICIENTE</t>
  </si>
  <si>
    <t>SECRETARIA DE SALUD</t>
  </si>
  <si>
    <t>I. R (52)</t>
  </si>
  <si>
    <t>SECRETARIA DE HACIENDA</t>
  </si>
  <si>
    <t>SECRETARIA DE EDUCACION</t>
  </si>
  <si>
    <t>DENOMINACION</t>
  </si>
  <si>
    <t>SECRETARIA DE CULTURA</t>
  </si>
  <si>
    <t>SECRETARIA DE FAMILIA Y DESARROLLO SOCIAL</t>
  </si>
  <si>
    <t>QUINDÍO POSITIVO</t>
  </si>
  <si>
    <t>SECRETARIA DE TURISMO</t>
  </si>
  <si>
    <t>SECRETARIA DE AGRICULTURA, DESARROLLO RURAL Y MEDIO AMBIENTE</t>
  </si>
  <si>
    <t>SECRETARÍA JURIDICA Y DE CONTRATACION</t>
  </si>
  <si>
    <t>REPRESENTACION JUDICIAL Y DEFENSA DEL DEPTO.</t>
  </si>
  <si>
    <t xml:space="preserve">INVERSION DIRECTA </t>
  </si>
  <si>
    <t>ASIGNACION RECURSOS NACIONALES</t>
  </si>
  <si>
    <t>RECURSOS ESPECIFICOS</t>
  </si>
  <si>
    <t>PROGRAMA</t>
  </si>
  <si>
    <t>PLAN OPERATIVO ANUAL DE INVERSIONES VIGENCIA 2015</t>
  </si>
  <si>
    <t>Gobierno firme por un Quindío más humano, 2012-2015</t>
  </si>
  <si>
    <t>FUENTES DE FINANCIACION Y DESTINACION</t>
  </si>
  <si>
    <t>Fortalecimiento de la atención integral en el marco de la educación inicial para mi mundo mis juegos y mis letras en el Departamento, Quindío.</t>
  </si>
  <si>
    <t>1.1.1.1.P.1</t>
  </si>
  <si>
    <t>CODIGO DEL PROYECTO</t>
  </si>
  <si>
    <t>1.1.2.4.P.4</t>
  </si>
  <si>
    <t>Desarrollo de estrategias de evaluación de actores educativos e instituciones educativas en el Departamento del Quindío.</t>
  </si>
  <si>
    <t>1.1.2.4.P.5</t>
  </si>
  <si>
    <t>1.1.2.4.P.6</t>
  </si>
  <si>
    <t>1.1.2.4.P.7</t>
  </si>
  <si>
    <t>1.1.2.4.P.10</t>
  </si>
  <si>
    <t>1.1.2.4.P.8</t>
  </si>
  <si>
    <t>1.1.2.4.P.9</t>
  </si>
  <si>
    <t>1.1.2.4.P.11</t>
  </si>
  <si>
    <t>1.1.2.4.P.12</t>
  </si>
  <si>
    <t>1.1.2.5.P.13</t>
  </si>
  <si>
    <t>Fortalecimiento de la ciudadanía en todos los niveles y ciclos del sistema educativo en las instituciones del Departamento del Quindío.</t>
  </si>
  <si>
    <t>1.1.2.5.P.14</t>
  </si>
  <si>
    <t>1.1.2.5.P.15</t>
  </si>
  <si>
    <t>1.1.2.5.P.16</t>
  </si>
  <si>
    <t>SUBPROGRAMA</t>
  </si>
  <si>
    <t>METAS DE PRODUCTO</t>
  </si>
  <si>
    <t>1.1.1.1</t>
  </si>
  <si>
    <t xml:space="preserve">FOMENTO DE LA EDUCACION INICIAL PARA MI MUNDO MIS JUEGOS Y MIS LETRAS </t>
  </si>
  <si>
    <t>1.1.1.2</t>
  </si>
  <si>
    <t>ARTICULACIÓN INSTITUCIONAL  PARA MI MUNDO, MIS JUEGOS Y MIS LETRAS.</t>
  </si>
  <si>
    <t>1.1.1.2.P.2</t>
  </si>
  <si>
    <t>1.1.1.3</t>
  </si>
  <si>
    <t>TALENTO HUMANO COMPETENTE PARA MI MUNDO, MIS JUEGOS Y MIS LETRAS.</t>
  </si>
  <si>
    <t>1.1.1.3.P.3</t>
  </si>
  <si>
    <t>1.1.2.4</t>
  </si>
  <si>
    <t>CALIDAD CON EQUIDAD EN LA ZONA Q</t>
  </si>
  <si>
    <t>1.1.2.5</t>
  </si>
  <si>
    <t>FORMACIÓN PARA LA CIUDADANÍA EN LA ZONA Q</t>
  </si>
  <si>
    <t>1.1.3.6</t>
  </si>
  <si>
    <t>UNA SOLA BANDERA SIN BRECHAS EN ACCESO Y PERMANENCIA, PARA EL CAPITAL HUMANO DE LA ZONA Q</t>
  </si>
  <si>
    <t>1.1.3.6.P.17</t>
  </si>
  <si>
    <t>Aplicación de estrategias de acceso al sistema educativo en todos los niveles en el Departamento del Quindío</t>
  </si>
  <si>
    <t>1.1.3.6.P.18</t>
  </si>
  <si>
    <t>1.1.3.6.P.19</t>
  </si>
  <si>
    <t>1.1.3.6.P.24</t>
  </si>
  <si>
    <t>1.1.3.6.P.20</t>
  </si>
  <si>
    <t xml:space="preserve">Fortalecimiento de estrategias de permanencia en el sistema educativo formal mediante el mejoramiento de ambientes educativos escolares en el Departamento del Quindío </t>
  </si>
  <si>
    <t>1.1.3.6.P.21</t>
  </si>
  <si>
    <t>1.1.3.6.P.26</t>
  </si>
  <si>
    <t>1.1.3.6.P.22</t>
  </si>
  <si>
    <t>1.1.3.6.P.23</t>
  </si>
  <si>
    <t>1.1.3.6.P.25</t>
  </si>
  <si>
    <t>1.1.3.7</t>
  </si>
  <si>
    <t>UNA SOLA BANDERA PERTINENTE PARA EL CAPITAL HUMANO DE LA ZONA Q</t>
  </si>
  <si>
    <t>1.1.3.7.P.27</t>
  </si>
  <si>
    <t>Implementación de estrategias de inclusión para garantizar la atención educativa a población vulnerable en el  Departamento del  Quindío.</t>
  </si>
  <si>
    <t>1.1.3.7.P.28</t>
  </si>
  <si>
    <t>1.1.4.8</t>
  </si>
  <si>
    <t>PA’ LANTE EL ACCESO UNIVERSITARIO EN LA ZONA Q JOVEN</t>
  </si>
  <si>
    <t>1.1.4.8.P.29</t>
  </si>
  <si>
    <t>Fortalecimiento de las estrategias de acceso para garantizar el aumento de estudiantes que ingresan a la educación técnica y superior en el Departamento del Quindío.</t>
  </si>
  <si>
    <t>1.1.5.9</t>
  </si>
  <si>
    <t>MÁS CONECTIVIDAD PARA MÁS PILOS Y MÁS INNOVACIÓN</t>
  </si>
  <si>
    <t>1.1.5.9.P.30</t>
  </si>
  <si>
    <t>Fortalecimiento de la innovación, formación y conectividad en las instituciones educativas en el Departamento del Quindío.</t>
  </si>
  <si>
    <t>1.1.5.9.P.31</t>
  </si>
  <si>
    <t>1.1.5.9.P.32</t>
  </si>
  <si>
    <t>1.1.5.9.P.33</t>
  </si>
  <si>
    <t>1.1.5.9.P.34</t>
  </si>
  <si>
    <t>1.1.5.10</t>
  </si>
  <si>
    <t>MÁS FORTALECIMIENTO PARA LOS PILOS EN COMPETENCIAS EN LENGUA EXTRANJERA.</t>
  </si>
  <si>
    <t>1.1.5.10.P.35</t>
  </si>
  <si>
    <t>Fortalecimiento del desarrollo de competencias de lengua extranjera en las instituciones educativas en el Departamento de Quindío</t>
  </si>
  <si>
    <t>1.1.5.10.P.36</t>
  </si>
  <si>
    <t>1.1.5.10.P.37</t>
  </si>
  <si>
    <t>1.1.5.10.P.38</t>
  </si>
  <si>
    <t>1.1.5.10.P.39</t>
  </si>
  <si>
    <t>1.1.5.11</t>
  </si>
  <si>
    <t>MÁS PILOS EN LA EDUCACIÓN MEDIA ARTICULADOS A LA EDUCACIÓN SUPERIOR Y PARA EL TRABAJO</t>
  </si>
  <si>
    <t>1.1.5.11.P.40</t>
  </si>
  <si>
    <t>Ejecución de un plan estratégico para el fortalecimiento de la innovación y la productividad desde el nivel de media en las instituciones educativas del Departamento del Quindío.</t>
  </si>
  <si>
    <t>1.1.5.11.P.41</t>
  </si>
  <si>
    <t>1.1.5.11.P.42</t>
  </si>
  <si>
    <t>1.1.5.11.P.43</t>
  </si>
  <si>
    <t>5.20.102.135</t>
  </si>
  <si>
    <t>LAS CUENTAS CLARAS EN LA ADMINISTRACIÓN EDUCATIVA MODERNA Y EFICIENTE</t>
  </si>
  <si>
    <t>5.20.102.135.P.340</t>
  </si>
  <si>
    <t>Fortalecimiento de la transparencia y eficiencia de la gestión de la secretaria de educación en el Departamento del Quindío.</t>
  </si>
  <si>
    <t>5.20.102.135.P.341</t>
  </si>
  <si>
    <t>5.20.102.135.P.342</t>
  </si>
  <si>
    <t>5.20.102.135.P.344</t>
  </si>
  <si>
    <t>5.20.102.135.P.345</t>
  </si>
  <si>
    <t>5.20.102.135.P.343</t>
  </si>
  <si>
    <t>1.3.39.26</t>
  </si>
  <si>
    <t>FORTALECIMIENTO DE LA INSTITUCIONALIDAD CULTURAL</t>
  </si>
  <si>
    <t>1.3.39.26.P74</t>
  </si>
  <si>
    <t>Fortalecimiento institucional para el sector cultural en todo el Departamento del Quindío.</t>
  </si>
  <si>
    <t>1.3.39.26.P75</t>
  </si>
  <si>
    <t>1.3.39.26.P76</t>
  </si>
  <si>
    <t>1.3.39.26.P77</t>
  </si>
  <si>
    <t>1.3.39.27</t>
  </si>
  <si>
    <t xml:space="preserve">CREAR EL SISTEMA DE INFORMACIÓN CULTURAL </t>
  </si>
  <si>
    <t>Implementación del sistema de información cultural en todo el Departamento del Quindío.</t>
  </si>
  <si>
    <t>1.3.40.28</t>
  </si>
  <si>
    <t>FOMENTO AL ARTE Y LA CULTURA: VIVA LA CULTURA Y LA CREATIVIDAD</t>
  </si>
  <si>
    <t>1.3.40.28.P79</t>
  </si>
  <si>
    <t>Apoyo al arte y la cultura en todo el Departamento del Quindío</t>
  </si>
  <si>
    <t>1.3.40.28.P80</t>
  </si>
  <si>
    <t>1.3.40.28.P81</t>
  </si>
  <si>
    <t>1.3.40.29</t>
  </si>
  <si>
    <t>FORMACIÓN ARTÍSTICA Y CULTURAL</t>
  </si>
  <si>
    <t>1.3.40.29.P82</t>
  </si>
  <si>
    <t>Incremento de la formación artística y cultural en todo el Departamento del Quindío.</t>
  </si>
  <si>
    <t>1.3.40.30</t>
  </si>
  <si>
    <t>PLAN DEPARTAMENTAL DE LECTURA Y BIBLIOTECAS – PDLB</t>
  </si>
  <si>
    <t>1.3.40.30.P83</t>
  </si>
  <si>
    <t>Fortalecimiento al plan departamental de lectura y bibliotecas en todo el Departamento del Quindío.</t>
  </si>
  <si>
    <t>1.3.40.30.P84</t>
  </si>
  <si>
    <t>1.3.40.30.P85</t>
  </si>
  <si>
    <t>1.3.41.31</t>
  </si>
  <si>
    <t>COMUNICACIÓN, CIUDADANÍA Y CULTURA</t>
  </si>
  <si>
    <t>1.3.41.31.P86</t>
  </si>
  <si>
    <t>Fortalecimiento  a la comunicación, ciudadana y cultura en todo el Departamento del Quindío.</t>
  </si>
  <si>
    <t>1.3.40.31.P87</t>
  </si>
  <si>
    <t>1.3.41.32</t>
  </si>
  <si>
    <t>RECONOCIMIENTO DE LA DIVERSIDAD CULTURAL Y CULTURA CIUDADANA</t>
  </si>
  <si>
    <t>1.3.41.32.P88</t>
  </si>
  <si>
    <t>Apoyo al reconocimiento de la diversidad cultural en todo el Departamento del Quindío</t>
  </si>
  <si>
    <t>1.3.42.33</t>
  </si>
  <si>
    <t>PAISAJE CULTURAL CAFETERO PATRIMONIO DE LA HUMANIDAD</t>
  </si>
  <si>
    <t>1.3.42.33.P89</t>
  </si>
  <si>
    <t>Apoyo a los procesos de investigación, socialización y preservación de la cultura cafetera para el mundo en todo el departamento del Quindío.</t>
  </si>
  <si>
    <t>1.3.42.33.P90</t>
  </si>
  <si>
    <t>1.3.42.33.P91</t>
  </si>
  <si>
    <t>1.4.42.35</t>
  </si>
  <si>
    <t>RECONOCIMIENTO, CONSERVACIÓN, PROMOCIÓN Y DIFUSIÓN DEL PATRIMONIO CULTURAL</t>
  </si>
  <si>
    <t>1.4.43.35.P92</t>
  </si>
  <si>
    <t>Apoyo al reconocimiento, apropiación y salvaguardia y difusión del patrimonio cultural en todo el Departamento del Quindío.</t>
  </si>
  <si>
    <t>1.5.46.42</t>
  </si>
  <si>
    <t>FIRMES CON LA POLÍTICA INTEGRAL DE SEGURIDAD Y CONVIVENCIA  CIUDADANA Y EL ORDEN PÚBLICO.</t>
  </si>
  <si>
    <t>1.5.46.42.P100</t>
  </si>
  <si>
    <t>Inversiones gestión del orden público y seguridad todo el departamento del Quindío.</t>
  </si>
  <si>
    <t>1.5.46.42.P101</t>
  </si>
  <si>
    <t>1.5.46.42.P102</t>
  </si>
  <si>
    <t>1.5.46.42.P104</t>
  </si>
  <si>
    <t>1.5.48.43</t>
  </si>
  <si>
    <t>1.5.48.43.P105</t>
  </si>
  <si>
    <t>Inversiones construcción de convivencia ciudadana en el Depto. del Quindío.</t>
  </si>
  <si>
    <t>1.5.48.43.P106</t>
  </si>
  <si>
    <t>1.5.48.43.P107</t>
  </si>
  <si>
    <t>1.8</t>
  </si>
  <si>
    <t>1.8.63.56</t>
  </si>
  <si>
    <t>PREVENCIÓN, PROTECCIÓN Y GARANTIA DE NO REPETICIÓN</t>
  </si>
  <si>
    <t>1.8.63.56.P133</t>
  </si>
  <si>
    <t>Inversiones prevención y protección a víctimas todo el Depto. del Quindío.</t>
  </si>
  <si>
    <t>1.8.63.56.P134</t>
  </si>
  <si>
    <t>1.8.63.57</t>
  </si>
  <si>
    <t>ATENCION Y ASISTENCIA A VICTIMAS DEL CONFLICTO ARMADO.</t>
  </si>
  <si>
    <t>1.8.63.57.P.135</t>
  </si>
  <si>
    <t xml:space="preserve">Inversiones desarrollo del PARIV y atención a víctimas del conflicto armado todo el Departamento. </t>
  </si>
  <si>
    <t>1.8.63.57.P.136</t>
  </si>
  <si>
    <t>1.8.63.57.P.137</t>
  </si>
  <si>
    <t>1.8.63.57.P.138</t>
  </si>
  <si>
    <t>1.8.63.58</t>
  </si>
  <si>
    <t>PREVENCIÓN DE LA VULNERACIÓN Y PROTECCIÓN DE LOS DERECHOS HUMANOS Y EL DERECHO INTERNACIONAL HUMANITARIO.</t>
  </si>
  <si>
    <t>1.8.63.58.P139</t>
  </si>
  <si>
    <t>Inversiones desarrollo del Plan Departamental de prevención y protección DDHH y DIH.</t>
  </si>
  <si>
    <t>1.8.63.58.P140</t>
  </si>
  <si>
    <t>4.18.97.124</t>
  </si>
  <si>
    <t>MÁS CONOCIMIENTO MENOS RIESGO</t>
  </si>
  <si>
    <t>4.18.97.124.P306</t>
  </si>
  <si>
    <t>Inversiones apoyo a la gestión del riesgo de desastres en el Departamento Quindío.</t>
  </si>
  <si>
    <t>4.18.97.124.P307</t>
  </si>
  <si>
    <t>4.18.97.124.P308</t>
  </si>
  <si>
    <t>4.18.97.125</t>
  </si>
  <si>
    <t>ACTIVOS POR LA VIDA</t>
  </si>
  <si>
    <t>4.18.97.125.P309</t>
  </si>
  <si>
    <t>Inversiones conocimiento, reducción del riesgo y manejo de desastres.</t>
  </si>
  <si>
    <t>4.18.97.125.P310</t>
  </si>
  <si>
    <t>4.18.97.125.P311</t>
  </si>
  <si>
    <t>4.18.97.125.P312</t>
  </si>
  <si>
    <t>5.21.103.136</t>
  </si>
  <si>
    <t xml:space="preserve">SISTEMA DE INTEGRACIÓN COMUNAL Y COMUNITARIO SICC </t>
  </si>
  <si>
    <t>5.21.103.136.P346</t>
  </si>
  <si>
    <t>Inversiones fortalecimiento de los organismos comunales del Departamento del Quindío.</t>
  </si>
  <si>
    <t>5.21.103.136.P347</t>
  </si>
  <si>
    <t>5.21.103.136.P349</t>
  </si>
  <si>
    <t>5.21.103.136.P350</t>
  </si>
  <si>
    <t>1.2.37.22</t>
  </si>
  <si>
    <t xml:space="preserve">UNA RAZÓN MÁS PARA SONREIR </t>
  </si>
  <si>
    <t>1.2.37.22. P.69</t>
  </si>
  <si>
    <t>Diseño e implementación de programas para la prevención y reducción del consumo de sustancias psicoactivas  en el Departamento del Quindío.</t>
  </si>
  <si>
    <t>1.6.51.45</t>
  </si>
  <si>
    <t>MANOS A LA OBRA MUJER</t>
  </si>
  <si>
    <t>1.6.51.45.P.111</t>
  </si>
  <si>
    <t>Difusión de la política pública de equidad de género en el Quindío.</t>
  </si>
  <si>
    <t>1.6.51.46</t>
  </si>
  <si>
    <t>MUJER RURAL</t>
  </si>
  <si>
    <t>1.6.51.46.P112</t>
  </si>
  <si>
    <t>Apoyo a programas que generen oportunidades a las mujeres rurales de todo el Departamento del Quindío.</t>
  </si>
  <si>
    <t>1.6.51.46.P113</t>
  </si>
  <si>
    <t>1.6.51.47</t>
  </si>
  <si>
    <t>PREVINIENDO Y ATENDIENDO LA VIOLENCIA DE GENERO</t>
  </si>
  <si>
    <t>1.6.51.47.P.114</t>
  </si>
  <si>
    <t>Prevención y atención integral a las mujeres víctimas de la violencia en todo el Departamento del Quindío.</t>
  </si>
  <si>
    <t>1.6.51.47.P.115</t>
  </si>
  <si>
    <t>1.6.51.48</t>
  </si>
  <si>
    <t>MÁS MUJERES PARTICIPANDO</t>
  </si>
  <si>
    <t>1.6.51.48.P.116</t>
  </si>
  <si>
    <t>Apoyo a los consejos de mujeres en todo el Departamento del Quindío.</t>
  </si>
  <si>
    <t>1.7.60.49</t>
  </si>
  <si>
    <t>RESGUARDO EN DESARROLLO</t>
  </si>
  <si>
    <t>1.7.60.49.P.118</t>
  </si>
  <si>
    <t>Apoyo y asistencia integral a la población indígena DACHI AGORE DRUA del municipio de Calarcá del Departamento del Quindío.</t>
  </si>
  <si>
    <t>1.7.60.50</t>
  </si>
  <si>
    <t>CABILDOS EN DESARROLLO</t>
  </si>
  <si>
    <t>Apoyo y fortalecimiento a la población Indígena del Departamento del Quindío.</t>
  </si>
  <si>
    <t>1.7.60.50.P.120</t>
  </si>
  <si>
    <t>1.7.61.52</t>
  </si>
  <si>
    <t>RECONOCIENDO NUESTRA POBLACIÓN AFRO</t>
  </si>
  <si>
    <t>Difusión para la caracterización y creación de un sistema de información para AFRODESCENDIENTE en el Departamento del Quindío.</t>
  </si>
  <si>
    <t>1.7.61.52.P.122</t>
  </si>
  <si>
    <t>1.7.61.53</t>
  </si>
  <si>
    <t>AFROS UNIDOS POR EL DESARROLLO</t>
  </si>
  <si>
    <t>1.7.61.53.P.123</t>
  </si>
  <si>
    <t>Apoyo y formación en procesos productivos, culturales que tienen como propósito el rescate de la tradición y la cultura en el Departamento del Quindío.</t>
  </si>
  <si>
    <t>1.7.61.53.P.124</t>
  </si>
  <si>
    <t>1.7.61.53.P.125</t>
  </si>
  <si>
    <t>1.7.61.53.P.126</t>
  </si>
  <si>
    <t>1.7.62.54</t>
  </si>
  <si>
    <t>HACIA UNA POLÍTICA PÚBLICA SIN LÍMITES</t>
  </si>
  <si>
    <t>1.7.62.54.P.127</t>
  </si>
  <si>
    <t>Asistencia y apoyo a la población con discapacidad en el Departamento del Quindío.</t>
  </si>
  <si>
    <t>1.7.62.54.P.128</t>
  </si>
  <si>
    <t>1.7.62.54.P.130</t>
  </si>
  <si>
    <t>1.7.62.55</t>
  </si>
  <si>
    <t>FAMILIAS SIN LÍMITES</t>
  </si>
  <si>
    <t>1.7.62.55.P.131</t>
  </si>
  <si>
    <t>Implementación de un programa de rehabilitación basado en comunidad, en el Departamento del Quindío.</t>
  </si>
  <si>
    <t>1.7.62.55.P.132</t>
  </si>
  <si>
    <t>1.9.64.59</t>
  </si>
  <si>
    <t>TODOS PARTICIPANDO</t>
  </si>
  <si>
    <t>Asistencia y participación de niños, niñas y adolescentes en los  Consejos de Política Social en todo el Departamento del Quindío.</t>
  </si>
  <si>
    <t>1.9.64.59.P.142</t>
  </si>
  <si>
    <t>1.9.64.60</t>
  </si>
  <si>
    <t>NINGUNO MALTRATADO, ABUSADO O VÍCTIMA DEL CONFLICTO INTERNO GENERADO POR GRUPOS AL MARGEN DE LA LEY</t>
  </si>
  <si>
    <t>1.9.64.60.P.143</t>
  </si>
  <si>
    <t>Apoyo en la Prevención , disminucion del maltrato y abuso sexual en niños, niñas y adolescentes en el Departamento del Quindío.</t>
  </si>
  <si>
    <t>1.9.64.60.P.144</t>
  </si>
  <si>
    <t>1.9.64.60.P.145</t>
  </si>
  <si>
    <t>1.9.64.60.P.146</t>
  </si>
  <si>
    <t>1.9.64.60.P.147</t>
  </si>
  <si>
    <t>1.9.64.61</t>
  </si>
  <si>
    <t>NINGUNO EN ACTIVIDAD PERJUDICIAL</t>
  </si>
  <si>
    <t>1.9.64.61.P.148</t>
  </si>
  <si>
    <t xml:space="preserve">Apoyo a la disminución de niños, niñas y adolescentes entre 0 y 17 años explotados laboral y sexualmente en el Departamento del Quindío. </t>
  </si>
  <si>
    <t>1.9.64.61.P.149</t>
  </si>
  <si>
    <t>1.9.64.61.P.152</t>
  </si>
  <si>
    <t>1.9.64.61.P.153</t>
  </si>
  <si>
    <t>1.9.64.61.P.154</t>
  </si>
  <si>
    <t>1.9.64.61.P.155</t>
  </si>
  <si>
    <t>1.9.64.62</t>
  </si>
  <si>
    <t>ADOLESCENTES ACUSADOS DE VIOLAR LA LEY PENAL CON SU DEBIDO PROCESO</t>
  </si>
  <si>
    <t>1.9.64.62.P.156</t>
  </si>
  <si>
    <t>Apoyo a las acciones interinstitucionales orientadas a prevenir y disminuir los altos índices de menores infractores del Departamento del Quindío.</t>
  </si>
  <si>
    <t>1.9.64.62.P.157</t>
  </si>
  <si>
    <t>1.9.64.62.P.158</t>
  </si>
  <si>
    <t>1.9.64.63</t>
  </si>
  <si>
    <t>POLÍTICA PÚBLICA DE INFANCIA Y ADOLESCENCIA</t>
  </si>
  <si>
    <t>1.9.64.63.P.159</t>
  </si>
  <si>
    <t>Divulgación de la política pública de infancia adolescencia en el Quindío.</t>
  </si>
  <si>
    <t>1.9.64.63.P.160</t>
  </si>
  <si>
    <t>1.9.69.64</t>
  </si>
  <si>
    <t>POLÍTICA PÚBLICA DE JUVENTUD</t>
  </si>
  <si>
    <t>1.9.69.64.P.161</t>
  </si>
  <si>
    <t>Formulación e implementación de la política pública de Juventud, en el Departamento del Quindío.</t>
  </si>
  <si>
    <t>1.9.69.65</t>
  </si>
  <si>
    <t>ACCIÓN JOVEN</t>
  </si>
  <si>
    <t>1.9.69.65.P.162</t>
  </si>
  <si>
    <t>Implementación de estrategias de promoción y participación de la juventud en el Departamento del Quindío.</t>
  </si>
  <si>
    <t>1.9.69.65.P.163</t>
  </si>
  <si>
    <t>1.9.69.65.P.165</t>
  </si>
  <si>
    <t>1.9.69.65.P.164</t>
  </si>
  <si>
    <t>1.9.69.66</t>
  </si>
  <si>
    <t>EDUK ZONA Q   “+ PILOS + INNOVACIÓN”</t>
  </si>
  <si>
    <t>Apoyo a programas y proyectos de ciencia, tecnología e innovación en el Departamento del Quindío.</t>
  </si>
  <si>
    <t>1.9.69.66.P.167</t>
  </si>
  <si>
    <t>1.9.69.66.P.168</t>
  </si>
  <si>
    <t>1.9.69.67</t>
  </si>
  <si>
    <t>SALUD JOVEN</t>
  </si>
  <si>
    <t>1.9.69.67.P.169</t>
  </si>
  <si>
    <t>Apoyo a la promoción de espacios y estilos de vida saludables para jóvenes en el Departamento del Quindío.</t>
  </si>
  <si>
    <t>1.9.69.68</t>
  </si>
  <si>
    <t>SEX TÚ MISMO</t>
  </si>
  <si>
    <t>1.9.69.68.P.170</t>
  </si>
  <si>
    <t>Apoyo a la población LGBTI del Departamento del Quindío.</t>
  </si>
  <si>
    <t>1.9.69.68.P.171</t>
  </si>
  <si>
    <t>1.9.70.69</t>
  </si>
  <si>
    <t>NINGUNO SIN FAMILIA</t>
  </si>
  <si>
    <t>1.9.70.69.P.172</t>
  </si>
  <si>
    <t>Apoyo y fortalecimiento con los programas del centro de atención integral a las familias del Departamento del Quindío.</t>
  </si>
  <si>
    <t>1.9.70.69.P.173</t>
  </si>
  <si>
    <t>1.9.70.70</t>
  </si>
  <si>
    <t>MI VIEJO TAMBIEN CUENTA</t>
  </si>
  <si>
    <t>1.9.70.70.P.174</t>
  </si>
  <si>
    <t>Apoyo y bienestar integral a las personas mayores del Departamento del Quindío.</t>
  </si>
  <si>
    <t>1.9.70.70.P.175</t>
  </si>
  <si>
    <t>1.10.71.71</t>
  </si>
  <si>
    <t>PREVENCIÓN DE LA MIGRACIÓN DESORDENADA</t>
  </si>
  <si>
    <t>1.10.71.71.P.176</t>
  </si>
  <si>
    <t>Implementación del plan de acompañamiento al Ciudadano Migrante, (el que sale y el que retorna) del Departamento del Quindío.</t>
  </si>
  <si>
    <t>1.10.71.72</t>
  </si>
  <si>
    <t>MIGRACIÓN LABORAL TEMPORAL Y CIRCULAR</t>
  </si>
  <si>
    <t>1.10.71.72.P.177</t>
  </si>
  <si>
    <t>Implementación del plan de acompañamiento para el empleo en el exterior, en escenarios corresponsables de cooperación en el Departamento del Quindío.</t>
  </si>
  <si>
    <t>3.16.86.98</t>
  </si>
  <si>
    <t>GESTIÓN PARA EL DESARROLLO TERRITORIAL</t>
  </si>
  <si>
    <t>3.16.86.98.P.247</t>
  </si>
  <si>
    <t>Gestión para el Desarrollo Territorial del Departamento del Quindío.</t>
  </si>
  <si>
    <t>3.16.86.98.P.248</t>
  </si>
  <si>
    <t>3.16.86.98.P.249</t>
  </si>
  <si>
    <t>3.16.86.98.P.250</t>
  </si>
  <si>
    <t>3.16.86.98.P.253</t>
  </si>
  <si>
    <t>Fortalecimiento al Observatorio Económico y Social del Departamento del Quindío.</t>
  </si>
  <si>
    <t>3.16.86.99</t>
  </si>
  <si>
    <t>GESTIÓN CARTOGRÁFICA DEPARTAMENTAL Y MUNICIPAL.</t>
  </si>
  <si>
    <t>3.16.86.99.P.254</t>
  </si>
  <si>
    <t>3.16.86.100</t>
  </si>
  <si>
    <t>EL PAISAJE CULTURAL CAFETERO EN EL ORDENAMIENTO TERRITORIAL.</t>
  </si>
  <si>
    <t>3.16.86.100.P.256</t>
  </si>
  <si>
    <t>4.18.96.121</t>
  </si>
  <si>
    <t>COMPONENTE AMBIENTAL EN EL ORDENAMIENTO TERRITORIAL DE LOS SECTORES PRODUCTIVOS.</t>
  </si>
  <si>
    <t>4.18.96.121.P.302</t>
  </si>
  <si>
    <t>5.20.99.129</t>
  </si>
  <si>
    <t>GESTIÓN DE CALIDAD</t>
  </si>
  <si>
    <t>5.20.99.129.P.321</t>
  </si>
  <si>
    <t>Mejoramiento al sistema de gestión de calidad en la Gobernación del Quindío.</t>
  </si>
  <si>
    <t>5.20.99.129.P.322</t>
  </si>
  <si>
    <t>5.20.101.131</t>
  </si>
  <si>
    <t>CASA DELEGADA ENLACE QUINDIANO</t>
  </si>
  <si>
    <t>5.20.101.131.P.327</t>
  </si>
  <si>
    <t>Implementación Casa Delegada como enlace Quindiano Quindío.</t>
  </si>
  <si>
    <t>5.20.101.131.P.328</t>
  </si>
  <si>
    <t>5.20.101.132</t>
  </si>
  <si>
    <t>SISTEMAS DE INFORMACIÓN PARA LA GESTIÓN</t>
  </si>
  <si>
    <t>5.20.101.132.P.330</t>
  </si>
  <si>
    <t xml:space="preserve">Fortalecimiento a los sistemas de información geográfica del Departamento de Quindío. </t>
  </si>
  <si>
    <t>5.20.101.132.P.331</t>
  </si>
  <si>
    <t>Mejoramiento del índice de calidad de vida a la población más vulnerable en el sistema de información (SISBEN), en el Departamento del Quindío.</t>
  </si>
  <si>
    <t>5.20.101.133</t>
  </si>
  <si>
    <t>COOPERACIÓN INTERNACIONAL Y GESTIÓN DE PROYECTOS</t>
  </si>
  <si>
    <t>5.20.101.133.P.333</t>
  </si>
  <si>
    <t>Implementación Sistema de Cooperación Internacional y gestión de proyectos Quindío.</t>
  </si>
  <si>
    <t>5.20.101.133.P.334</t>
  </si>
  <si>
    <t>5.20.101.134</t>
  </si>
  <si>
    <t>LA PLANEACIÓN ORIENTADA A RESULTADOS</t>
  </si>
  <si>
    <t>5.20.101.134.P.336</t>
  </si>
  <si>
    <t>Asistencia a los Entes Territoriales, para un mejor desempeño en la inversión pública, en el Departamento del Quindío.</t>
  </si>
  <si>
    <t>5.20.101.134.P.329</t>
  </si>
  <si>
    <t>Fortalecimiento de la capacidad de formulación y gestión de proyectos en el Departamento del Quindío.</t>
  </si>
  <si>
    <t>5.20.101.134.P.337</t>
  </si>
  <si>
    <t>5.20.101.134.P.338</t>
  </si>
  <si>
    <t>Asistencia al Consejo Territorial de Planeación del Departamento del Quindío.</t>
  </si>
  <si>
    <t>3.17.87.101</t>
  </si>
  <si>
    <t>VÍAS MANTENIDAS Y MEJORADAS PARA EL PROGRESO</t>
  </si>
  <si>
    <t>3.17.87.101.P.257</t>
  </si>
  <si>
    <t xml:space="preserve">
Aplicación del Plan Vial Departamental en el Departamento del Quindío.
</t>
  </si>
  <si>
    <t>3.17.87.101.P.258</t>
  </si>
  <si>
    <t>3.17.87.101.P.259</t>
  </si>
  <si>
    <t>3.17.87.101.P.260</t>
  </si>
  <si>
    <t>3.17.87.101.P.262</t>
  </si>
  <si>
    <t>3.17.87.101.P.263</t>
  </si>
  <si>
    <t>3.17.88.102</t>
  </si>
  <si>
    <t>GESTOR PDA – PLAN DEPARTAMENTAL DE AGUAS</t>
  </si>
  <si>
    <t>3.17.88.102.P.264</t>
  </si>
  <si>
    <t xml:space="preserve">Implementación de acciones para el desarrollo del Plan Departamental de Aguas del Departamento del Quindío. </t>
  </si>
  <si>
    <t>3.17.88.103</t>
  </si>
  <si>
    <t>AGUA POTABLE</t>
  </si>
  <si>
    <t>3.17.88.103.P.265</t>
  </si>
  <si>
    <t xml:space="preserve">Construcción y mejoramiento de la infraestructura de agua potable del Departamento del Quindío. </t>
  </si>
  <si>
    <t>3.17.88.103.P.266</t>
  </si>
  <si>
    <t>3.17.88.103.P.267</t>
  </si>
  <si>
    <t>3.17.88.104</t>
  </si>
  <si>
    <t>OBJETIVOS DE CALIDAD PARA EL SANEAMIENTO BÁSICO</t>
  </si>
  <si>
    <t>3.17.88.104.P.268</t>
  </si>
  <si>
    <t>3.17.88.104.P.269</t>
  </si>
  <si>
    <t>3.17.88.104.P.270</t>
  </si>
  <si>
    <t>3.17.88.104.P.271</t>
  </si>
  <si>
    <t>3.17.88.104.P.272</t>
  </si>
  <si>
    <t>3.17.88.104.P.273</t>
  </si>
  <si>
    <t>3.17.88.105</t>
  </si>
  <si>
    <t>USO EFICIENTE DEL AGUA</t>
  </si>
  <si>
    <t>3.17.88.105.P.274</t>
  </si>
  <si>
    <t>Construcción y mejoramiento de los Sistemas de Acueducto en el Departamento del Quindío.</t>
  </si>
  <si>
    <t>3.17.88.106</t>
  </si>
  <si>
    <t xml:space="preserve">TRANSFORMACIÓN EMPRESARIAL </t>
  </si>
  <si>
    <t>3.17.88.106.P.275</t>
  </si>
  <si>
    <t>Fortalecimiento de las empresas prestadoras de Servicios Públicos Domiciliarios del Departamento del Quindío.</t>
  </si>
  <si>
    <t>3.17.92.109</t>
  </si>
  <si>
    <t xml:space="preserve">INFRAESTRUCTURA FÍSICA DE LAS INSTITUCIONES EDUCATIVAS MANTENIDA Y REHABILITADA </t>
  </si>
  <si>
    <t>3.17.92.109.P.282</t>
  </si>
  <si>
    <t>3.17.43.108.P.283</t>
  </si>
  <si>
    <t>3.17.92.111</t>
  </si>
  <si>
    <t>INFRESTRUCTURA FISICA DE LOS EQUIPAMIENTOS Y/0 ESPACIOS PARA EL DESARROLLO TURISTICO Y CULTURAL</t>
  </si>
  <si>
    <t>3.17.92.111.P.287</t>
  </si>
  <si>
    <t>Construcción, mejoramiento y/o rehabilitación de los Equipamientos Colectivos para el desarrollo cultural y/o turístico en el Departamento del Quindío.</t>
  </si>
  <si>
    <t>3.17.92.111.P.289</t>
  </si>
  <si>
    <t>3.17.92.111.P.290</t>
  </si>
  <si>
    <t>3.17.92.112</t>
  </si>
  <si>
    <t>ESTUDIOS, DISEÑOS, ASESORÍAS, APOYO LÓGISTICO, TÉCNICO Y ADMINISTRATIVO DE LA INFRAESTRUCTURA PÚBLICA PARA EL DESARROLLO</t>
  </si>
  <si>
    <t>3.17.92.112.P.291</t>
  </si>
  <si>
    <t xml:space="preserve">Estudios, diseños, asesorías, apoyo técnico y administrativo, de la infraestructura pública, para el desarrollo del Departamento del Quindío. </t>
  </si>
  <si>
    <t>3.17.92.113</t>
  </si>
  <si>
    <t>SANEAMIENTO BÁSICO</t>
  </si>
  <si>
    <t>3.17.92.113.P.292</t>
  </si>
  <si>
    <t>3.17.92.142</t>
  </si>
  <si>
    <t>INFRAESTRUCTURA DE LOS ESCENARIOS DEPORTIVOS Y RECREATIVOS MANTENIDA Y REHABILITADA.</t>
  </si>
  <si>
    <t>3.17.92.142.P.284</t>
  </si>
  <si>
    <t xml:space="preserve">Mejoramiento y/o rehabilitación de Escenarios Deportivos y recreativos de todo el Departamento del Quindío. </t>
  </si>
  <si>
    <t>2.11.72.73</t>
  </si>
  <si>
    <t>PLANEACIÓN TERRITORIAL PARA EL DESARROLLO RURAL</t>
  </si>
  <si>
    <t xml:space="preserve">Fortalecimiento de la  Planeación Territorial  del desarrollo  rural  en el Departamento del Quindío.                         </t>
  </si>
  <si>
    <t>2.11.72.73.P.179</t>
  </si>
  <si>
    <t>2.11.72.73.P.180</t>
  </si>
  <si>
    <t>2.11.72.73.P.181</t>
  </si>
  <si>
    <t>2.11.72.73.P.182</t>
  </si>
  <si>
    <t>2.11.72.73.P.183</t>
  </si>
  <si>
    <t>2.11.72.74</t>
  </si>
  <si>
    <t xml:space="preserve"> COMPETITIVIDAD RURAL </t>
  </si>
  <si>
    <t>2.11.72.74.P.185</t>
  </si>
  <si>
    <t>Mejoramiento de la competitividad rural Departamento del Quindío.</t>
  </si>
  <si>
    <t>2.11.72.74.P.186</t>
  </si>
  <si>
    <t>2.11.72.74.P.187</t>
  </si>
  <si>
    <t>2.11.72.75</t>
  </si>
  <si>
    <t xml:space="preserve"> PRODUCCIÓN AGROPECUARIA SOSTENIBLE </t>
  </si>
  <si>
    <t>2.11.72.75.P.190</t>
  </si>
  <si>
    <t xml:space="preserve">Mejoramiento de la producción agropecuaria sostenible, en el Departamento del Quindío. </t>
  </si>
  <si>
    <t>2.11.72.75.P.191</t>
  </si>
  <si>
    <t>2.11.72.75.P.192</t>
  </si>
  <si>
    <t>2.11.72.76</t>
  </si>
  <si>
    <t>SEGURIDAD ALIMENTARIA</t>
  </si>
  <si>
    <t>2.11.72.76.P.193</t>
  </si>
  <si>
    <t xml:space="preserve">Fortalecimiento a programas de seguridad alimentaria en el Departamento del Quindío. </t>
  </si>
  <si>
    <t>2.11.72.76.P.194</t>
  </si>
  <si>
    <t>2.11.72.76.P.195</t>
  </si>
  <si>
    <t>2.11.73.77</t>
  </si>
  <si>
    <t xml:space="preserve">COMPETITIVIDAD DE LA ACTIVIDAD CAFETERA </t>
  </si>
  <si>
    <t>2.11.73.77.P.196</t>
  </si>
  <si>
    <t xml:space="preserve">Mejoramiento de la competitividad de la actividad cafetera, en el Departamento del Quindío. </t>
  </si>
  <si>
    <t>2.11.73.77.P.197</t>
  </si>
  <si>
    <t>2.11.73.77.P.198</t>
  </si>
  <si>
    <t>2.11.73.78</t>
  </si>
  <si>
    <t>SOSTENIBILIDAD PRODUCTIVA Y AMBIENTAL DEL PCC</t>
  </si>
  <si>
    <t>2.11.73.78.P.199</t>
  </si>
  <si>
    <t>Fortalecimiento a la sostenibilidad productiva y ambiental del paisaje cultural cafetero en el departamento del Quindío.</t>
  </si>
  <si>
    <t>2.11.73.78.P.200</t>
  </si>
  <si>
    <t>4.18.94.114</t>
  </si>
  <si>
    <t>GESTIÓN DEL RECURSO HÍDRICO</t>
  </si>
  <si>
    <t>4.18.94.114.P.293</t>
  </si>
  <si>
    <t>Aplicación de mecanismos de gestión del recurso hídrico en el Departamento del Quindío.</t>
  </si>
  <si>
    <t>4.18.94.115</t>
  </si>
  <si>
    <t xml:space="preserve">AREAS EN CONSERVACIÓN CON PLAN DE MANEJO APROBADO EN EJECUCIÓN. </t>
  </si>
  <si>
    <t>4.18.94.115.P.294</t>
  </si>
  <si>
    <t>Aplicación de mecanismos de protección ambiental en el Departamento del Quindío.</t>
  </si>
  <si>
    <t>4.18.95.116</t>
  </si>
  <si>
    <t>ÁREAS PROTEGIDAS Y ÁREAS EN CONSERVACIÓN CON GUIANZA AMBIENTAL Y SENDEROS ECOLÓGICOS HABILITADOS.</t>
  </si>
  <si>
    <t>4.18.95.116.P.295</t>
  </si>
  <si>
    <t>Protección de áreas en conservación en el Departamento del Quindío.</t>
  </si>
  <si>
    <t>4.18.95.117</t>
  </si>
  <si>
    <t xml:space="preserve">EDUCACIÓN AMBIENTAL EN ÁREAS PROTEGIDAS (SIDAP Y RESNATUR). </t>
  </si>
  <si>
    <t>4.18.95.117.P.296</t>
  </si>
  <si>
    <t>Implementación procesos de Educación Ambiental en el Departamento del Quindío.</t>
  </si>
  <si>
    <t>4.18.95.117.P.297</t>
  </si>
  <si>
    <t>4.18.95.118</t>
  </si>
  <si>
    <t>ASISTENCIA TÉCNICA AL SECTOR EDUCATIVO PARA IMPLEMENTACIÓN DEL COMPONENTE AMBIENTAL EN LOS PEI; PROGRAMAS EDUCATIVOS INSTITUCIONALES.</t>
  </si>
  <si>
    <t>4.18.95.118.P.298</t>
  </si>
  <si>
    <t xml:space="preserve">Apoyo al sector educativo para la implementación del componente ambiental en los PEI en el Departamento del Quindío. </t>
  </si>
  <si>
    <t>4.18.96.119</t>
  </si>
  <si>
    <t>DISEÑO DE PROGRAMAS DE BUENAS PRÁCTICAS AMBIENTALES</t>
  </si>
  <si>
    <t>4.18.96.119.P.299</t>
  </si>
  <si>
    <t xml:space="preserve">Diseño de buenas prácticas ambientales. </t>
  </si>
  <si>
    <t>4.18.96.120</t>
  </si>
  <si>
    <t>PRODUCCIÓN LIMPIA Y SOSTENIBLE</t>
  </si>
  <si>
    <t>4.18.96.120.P.300</t>
  </si>
  <si>
    <t xml:space="preserve">Apoyo a acuerdos de producción limpia y sostenible, en el sector productivo del Departamento del Quindío </t>
  </si>
  <si>
    <t>4.18.96.120.P.301</t>
  </si>
  <si>
    <t>4.18.96.122</t>
  </si>
  <si>
    <t>PREVENCIÓN Y MITIGACIÓN DE IMPACTOS AMBIENTALES POR ACTIVIDADES ANTRÓPICAS</t>
  </si>
  <si>
    <t>4.18.96.122.P.303</t>
  </si>
  <si>
    <t xml:space="preserve">Implementación de la valoración de impactos ambientales, en los sectores productivos en los POT´s Municipales del Quindío. </t>
  </si>
  <si>
    <t>4.19.98.126</t>
  </si>
  <si>
    <t>MANEJO Y GESTIÓN SUSTENTABLE DEL PAISAJE</t>
  </si>
  <si>
    <t>4.19.98.126.P.315</t>
  </si>
  <si>
    <t>Apoyo al manejo y gestión sustentable del paisaje  Departamento del Quindío.</t>
  </si>
  <si>
    <t>4.19.98.126.P.316</t>
  </si>
  <si>
    <t>4.19.98.126.P.317</t>
  </si>
  <si>
    <t>4.19.98.126.P.318</t>
  </si>
  <si>
    <t>2.12.74.79</t>
  </si>
  <si>
    <t>EMPRENDIMIENTO REGIONAL Y SUPERACIÓN DE LA POBREZA</t>
  </si>
  <si>
    <t>2.12.74.79.P.201</t>
  </si>
  <si>
    <t>Mejoramiento del nivel de ingresos en la población con alto grado de vulnerabilidad en el Departamento del Quindío.</t>
  </si>
  <si>
    <t>2.12.74.79.P.202</t>
  </si>
  <si>
    <t>2.12.74.79.P.203</t>
  </si>
  <si>
    <t>2.12.74.79.P.204</t>
  </si>
  <si>
    <t>2.12.74.79.P.205</t>
  </si>
  <si>
    <t>2.12.74.80</t>
  </si>
  <si>
    <t>EMPRENDIMIENTO Y CAPACIDADES ESPECIALES</t>
  </si>
  <si>
    <t>2.12.74.80.P.206</t>
  </si>
  <si>
    <t>Mejoramiento de las unidades productivas de la población con discapacidad para la generación de ingresos en El Departamento del Quindío.</t>
  </si>
  <si>
    <t>2.12.74.81</t>
  </si>
  <si>
    <t>ZONA Q GARANTIA DEL RETORNO</t>
  </si>
  <si>
    <t>2.12.74.81.P.207</t>
  </si>
  <si>
    <t>Apoyo al retorno de los colombianos que viven en el exterior y optimización de las remesas en el Todo El Departamento del Quindío.</t>
  </si>
  <si>
    <t>2.13.78.82</t>
  </si>
  <si>
    <t>FORTALECIMIENTO EMPRESARIAL Y GREMIAL</t>
  </si>
  <si>
    <t>2.13.78.82.P.208</t>
  </si>
  <si>
    <t>Fortalecimiento de las empresas y gremios del Departamento del Quindío.</t>
  </si>
  <si>
    <t>2.13.78.82.P.209</t>
  </si>
  <si>
    <t>2.13.78.82.P.210</t>
  </si>
  <si>
    <t>2.13.78.82.P.211</t>
  </si>
  <si>
    <t>2.13.78.82.P.214</t>
  </si>
  <si>
    <t>2.13.78.82.P.213</t>
  </si>
  <si>
    <t>2.13.78.82.P.212</t>
  </si>
  <si>
    <t>2.13.78.82.P.215</t>
  </si>
  <si>
    <t>INSTITUCIONES PARA LA COMPETITIVIDAD</t>
  </si>
  <si>
    <t>Fortalecimiento institucional para la competitividad y la innovación Todo El Departamento, Quindio, Occidente</t>
  </si>
  <si>
    <t>2.13.80.84</t>
  </si>
  <si>
    <t>ESTRATEGIA EXPORTADORA TERRITORIAL.</t>
  </si>
  <si>
    <t>2.13.80.84.P.220</t>
  </si>
  <si>
    <t>Implementación de Estrategias de exportaciones para el Departamento del Quindío.</t>
  </si>
  <si>
    <t>2.13.80.84.P.222</t>
  </si>
  <si>
    <t>2.13.80.84.P.221</t>
  </si>
  <si>
    <t>2.13.80.85</t>
  </si>
  <si>
    <t xml:space="preserve">PROMOCIÓN DE LA INVERSIÓN </t>
  </si>
  <si>
    <t>2.13.80.85.P.223</t>
  </si>
  <si>
    <t>Implementación del Plan de Marketing Territorial.</t>
  </si>
  <si>
    <t>2.13.80.85.P.224</t>
  </si>
  <si>
    <t>2.14.81.86</t>
  </si>
  <si>
    <t xml:space="preserve">POSICIONAMIENTO TURÍSTICO TERRITORIAL </t>
  </si>
  <si>
    <t>2.14.81.86.P.225</t>
  </si>
  <si>
    <t>Fortalecimiento de la promoción del destino a nivel nacional e internacional en Todo El Departamento, Quindio, Occidente.</t>
  </si>
  <si>
    <t>2.14.81.87</t>
  </si>
  <si>
    <t>ECOSISTEMA PARA LA PRODUCTIVIDAD, LA INNOVACIÓN Y EL EMPRENDIMIENTO</t>
  </si>
  <si>
    <t>2.14.81.86.P.226</t>
  </si>
  <si>
    <t>Consolidación de productos turísticos en Todo El Departamento, Quindío, Occidente.</t>
  </si>
  <si>
    <t>2.14.81.88</t>
  </si>
  <si>
    <t xml:space="preserve">TECNOLOGÍA PARA LA TOMA DE DECISIONES Y COMPETITIVIDAD TURÍSTICA. </t>
  </si>
  <si>
    <t>2.14.81.88.P.227</t>
  </si>
  <si>
    <t>Implementación de procesos de tecnología de la información y comunicación, en todo el Departamento, Quindío, Occidente.</t>
  </si>
  <si>
    <t>2.14.81.88.P.228</t>
  </si>
  <si>
    <t>2.14.81.90</t>
  </si>
  <si>
    <t>EL PAISAJE CULTURAL CAFETERO COMO HERRAMIENTA DE MARKETING TERRITORIAL</t>
  </si>
  <si>
    <t>2.14.81.90.P.230</t>
  </si>
  <si>
    <t>Implementación estrategias de marketing territorial en los municipios que promuevan la sustentabilidad del Paisaje Cultural Cafetero Quindío, Occidente.</t>
  </si>
  <si>
    <t>2.14.82.91</t>
  </si>
  <si>
    <t>QUINDÍO UN ECOSISTEMA DIGITAL</t>
  </si>
  <si>
    <t>2.14.82.91.P.231</t>
  </si>
  <si>
    <t>Asistencia a empresas del sector turístico en procesos de calidad en Todo El Departamento, Quindío, Occidente</t>
  </si>
  <si>
    <t>2.14.83.92</t>
  </si>
  <si>
    <t>FORTALECIMIENTO DE ESQUEMAS COLABORATIVOS DE LAS EMPRESAS DEL SECTOR TURISMO.</t>
  </si>
  <si>
    <t>2.14.83.92.P232</t>
  </si>
  <si>
    <t>Fortalecimiento del encadenamiento empresarial turístico Todo El Departamento, Quindío, Occidente.</t>
  </si>
  <si>
    <t>2.14.83.92.P233</t>
  </si>
  <si>
    <t>2.14.83.92.P234</t>
  </si>
  <si>
    <t>2.14.83.92.P235</t>
  </si>
  <si>
    <t>2.14.83.93</t>
  </si>
  <si>
    <t>TURISMO SUSTENTABLE.</t>
  </si>
  <si>
    <t>2.14.83.93.P236</t>
  </si>
  <si>
    <t>Apoyo a actividades en las diferentes modalidades del turismo en Todo El Departamento, Quindío, Occidente.</t>
  </si>
  <si>
    <t>2.14.83.93.P237</t>
  </si>
  <si>
    <t>5.22.106.139</t>
  </si>
  <si>
    <t>DOCE HORAS CON LA GOBERNADORA</t>
  </si>
  <si>
    <t>5.22.106.139.P357</t>
  </si>
  <si>
    <t>Divulgación de estrategias para garantizar el conocimiento y participación de la comunidad en los programas, proyectos, servicios y productos en el Departamento del Quindío.</t>
  </si>
  <si>
    <t>5.22.106.139.P358</t>
  </si>
  <si>
    <t>5.22.106.139.P359</t>
  </si>
  <si>
    <t>5.22.106.141</t>
  </si>
  <si>
    <t>TODOS PONEN</t>
  </si>
  <si>
    <t>5.22.106.141.P367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</si>
  <si>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</si>
  <si>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5.20.99.128</t>
  </si>
  <si>
    <t>GESTIÓN DOCUMENTAL</t>
  </si>
  <si>
    <t>5.20.99.128.P.320</t>
  </si>
  <si>
    <t>5.20.99.130</t>
  </si>
  <si>
    <t>MODERNIZACIÓN TECNOLÓGICA</t>
  </si>
  <si>
    <t>5.20.99.130.P.325</t>
  </si>
  <si>
    <t>Actualización de la infraestructura tecnológica de la Gobernación del Quindío.</t>
  </si>
  <si>
    <t>5.20.99.130.P.326</t>
  </si>
  <si>
    <t>5.20.99.130.P.323</t>
  </si>
  <si>
    <t>Apoyo a la sostenibilidad de las tecnologías de la información y comunicación de la Gobernación del Quindío.</t>
  </si>
  <si>
    <t>5.20.99.130.P.324</t>
  </si>
  <si>
    <t>5.22.106.140</t>
  </si>
  <si>
    <t>GESTIÓN DE LA CONTRATACIÓN E INVENTARIOS</t>
  </si>
  <si>
    <t>5.22.106.140.P.363</t>
  </si>
  <si>
    <t>Fortalecimiento de la gestión jurídica en el Departamento del Quindío.</t>
  </si>
  <si>
    <t>5.22.104.138</t>
  </si>
  <si>
    <t xml:space="preserve">SOSTENIBILIDAD  DE LOS PROCESOS DE FISCALIZACIÓN, LIQUIDACIÓN, CONTROL Y COBRANZA DE LOS TRIBUTOS </t>
  </si>
  <si>
    <t>5.22.104.138.P.354</t>
  </si>
  <si>
    <t>Mejoramiento de la sostenibilidad de los procesos de fiscalización liquidación control y cobranza de los tributos en el Departamento del Quindío.</t>
  </si>
  <si>
    <t>5.22.104.138.P.355</t>
  </si>
  <si>
    <t>5.22.106.140.P.360</t>
  </si>
  <si>
    <t>5.22.106.140.P.361</t>
  </si>
  <si>
    <t>5.22.106.140.P.362</t>
  </si>
  <si>
    <t>5.22.106.140. P.365</t>
  </si>
  <si>
    <t>1.2.6.11</t>
  </si>
  <si>
    <t>PROMOCIÓN Y CONTROL DE LA AFILIACIÓN AL SGSSS (RÉGIMEN CONTRIBUTIVO Y SUBSIDIADO)</t>
  </si>
  <si>
    <t>1.2.6.11.P.44</t>
  </si>
  <si>
    <t>Subsidio afiliación al régimen subsidiado del sistema general de seguridad social en salud en el Departamento del Quindío.</t>
  </si>
  <si>
    <t>1.2.6.11.P.45</t>
  </si>
  <si>
    <t>1.2.6.12</t>
  </si>
  <si>
    <t>MEJORAMIENTO DE LA ACCESIBILIDAD A LOS SERVICIOS DE SALUD</t>
  </si>
  <si>
    <t>1.2.6.12.P.46</t>
  </si>
  <si>
    <t xml:space="preserve">Población no afiliada al Sistema General de Seguridad Social en Salud </t>
  </si>
  <si>
    <t>1.2.6.12.P.47</t>
  </si>
  <si>
    <t>1.2.6.12.P.48</t>
  </si>
  <si>
    <t>1.2.6.13</t>
  </si>
  <si>
    <t>GESTIÓN, INSPECCIÓN, VIGILANCIA Y CONTROL DEL SISTEMA OBLIGATORIO DE GARANTÍA DE LA CALIDAD DE LA ATENCIÓN EN SALUD Y DE LA PRESTACIÓN DE SERVICIOS</t>
  </si>
  <si>
    <t>1.2.6.13.P.49</t>
  </si>
  <si>
    <t>Gestión y apoyo a la PRESTACION DE SERVICIOS DE SALUD en el Departamento del Quindío.</t>
  </si>
  <si>
    <t>1.2.6.13.P.50</t>
  </si>
  <si>
    <t>1.2.6.13.P.51</t>
  </si>
  <si>
    <t>1.2.6.13.P.369</t>
  </si>
  <si>
    <t>1.2.6.14</t>
  </si>
  <si>
    <t>SALUD SIN DIFERENCIAS</t>
  </si>
  <si>
    <t>1.2.6.14.P.52</t>
  </si>
  <si>
    <t>Fortalecimiento  de participación social y comunitaria de los grupos vulnerables en el departamento del Quindío</t>
  </si>
  <si>
    <t>1.2.6.15</t>
  </si>
  <si>
    <t>RED DE SERVICIOS DE SALUD EN ALERTA</t>
  </si>
  <si>
    <t>1.2.6.15.P.53</t>
  </si>
  <si>
    <t>Servicio de salud en alerta en el departamento del Quindío</t>
  </si>
  <si>
    <t>1.2.6.16</t>
  </si>
  <si>
    <t>FORTALECIMIENTO DE LA RED DE URGENCIAS</t>
  </si>
  <si>
    <t>1.2.6.16.P.54</t>
  </si>
  <si>
    <t>Fortalecimiento de la Red de Urgencias.</t>
  </si>
  <si>
    <t>1.2.9. 17</t>
  </si>
  <si>
    <t>PROMOCIÓN DE LA SALUD Y PREVENCIÓN DE LOS RIESGOS</t>
  </si>
  <si>
    <t>1.2.9.17.P.55</t>
  </si>
  <si>
    <t>1.2.9.17.P.56</t>
  </si>
  <si>
    <t>1.2.9.17.P.57</t>
  </si>
  <si>
    <t>1.2.9.17.P.58</t>
  </si>
  <si>
    <t>1.2.9.17.P.59</t>
  </si>
  <si>
    <t>1.2.9.17.P.60</t>
  </si>
  <si>
    <t>1.2.9.17.P.370</t>
  </si>
  <si>
    <t>1.2.9.17.P.371</t>
  </si>
  <si>
    <t>1.2.9.17.P.61</t>
  </si>
  <si>
    <t>Fortalecimiento de Estrategia de Gestion Integral, Vectores y Cambio Climatico</t>
  </si>
  <si>
    <t>1.2.9.18</t>
  </si>
  <si>
    <t>SEGURIDAD SANITARIA Y AMBIENTAL.</t>
  </si>
  <si>
    <t>1.2.9.18.P.62</t>
  </si>
  <si>
    <t>Control Salud Ambiental Departamento del Quindío.</t>
  </si>
  <si>
    <t>1.2.9.18.P.63</t>
  </si>
  <si>
    <t>1.2.9.18.P.64</t>
  </si>
  <si>
    <t>1.2.9.18.P.65</t>
  </si>
  <si>
    <t>1.2.9.19</t>
  </si>
  <si>
    <t>SEGURIDAD EN EL TRABAJO Y ENFERMEDADES DE ORIGEN LABORAL</t>
  </si>
  <si>
    <t>1.2.9.19.P.66</t>
  </si>
  <si>
    <t>Prevención vigilancia y control de eventos de origen laboral en el Departamento del Quindío.</t>
  </si>
  <si>
    <t>1.2.9.20</t>
  </si>
  <si>
    <t>PREVENCIÓN, VIGILANCIA Y CONTROL DE LOS RIESGOS PROFESIONALES</t>
  </si>
  <si>
    <t>1.2.9.20.P.67</t>
  </si>
  <si>
    <t>Prevención y vigilancia a los riesgos profesionales en el Departamento del Quindío.</t>
  </si>
  <si>
    <t>1.2.9.21</t>
  </si>
  <si>
    <t>GESTIÓN PARA EL DESARROLLO OPERATIVO Y FUNCIONAL DEL PLAN NACIONAL DE SALUD PÚBLICA</t>
  </si>
  <si>
    <t>1.2.9.21.P.68</t>
  </si>
  <si>
    <t>Asistencia atención a las personas y prioridades en Salud Publica en el Quindío.</t>
  </si>
  <si>
    <t>1.2.9.21.P.375</t>
  </si>
  <si>
    <t>Fortalecimiento de las actividades de vigilancia y control del Laboratorio de Salud Pública.</t>
  </si>
  <si>
    <t>1.2.9.21.P.376</t>
  </si>
  <si>
    <t>Fortalecimiento del sistema de vigilancia en Salud Publica en el Departamento del Quindío.</t>
  </si>
  <si>
    <t>1.2.37.22.P.69</t>
  </si>
  <si>
    <t>Fortalecimiento y promoción de la salud una razón más para sonreír en el departamento del Quindío</t>
  </si>
  <si>
    <t>1.2.37.23</t>
  </si>
  <si>
    <t>“TODO BIEN QUINDIANOS”</t>
  </si>
  <si>
    <t>1.2.37.23.P.70</t>
  </si>
  <si>
    <t>Fortalecimiento promoción de la salud y prevención primaria en Salud Mental en el Departamento del Quindío.</t>
  </si>
  <si>
    <t>1.2.37.23.P.377</t>
  </si>
  <si>
    <t>1.2.38.24</t>
  </si>
  <si>
    <t>SALUD CON EQUIDAD</t>
  </si>
  <si>
    <t>1.2.38.24.P.72</t>
  </si>
  <si>
    <t>Implementación de programas especiales en salud en el Departamento del Quindío.</t>
  </si>
  <si>
    <t>1.2.38.25</t>
  </si>
  <si>
    <t>NINGUNO SIN REGISTRO</t>
  </si>
  <si>
    <t>1.2.38.25.P.73</t>
  </si>
  <si>
    <t>Implementación de todos sumamos en el Quindío.</t>
  </si>
  <si>
    <t xml:space="preserve">Construcción y/o mejoramiento de la Infraestructura Educativa, de todo el Departamento del Quindío. </t>
  </si>
  <si>
    <t xml:space="preserve">INCLUSIÓN SOCIAL, RECONCILIACIÓN, DDHH, DIH </t>
  </si>
  <si>
    <t>Actualizaciòn de Inventarios de Bienes devolutivos del Ente Departamental del Quindìo.</t>
  </si>
  <si>
    <t>COMERCIO EXTERIOR ZONA Q</t>
  </si>
  <si>
    <t>ZONA Q DESTINO PARA LOS SENTIDOS</t>
  </si>
  <si>
    <t>SGP CSF (59)</t>
  </si>
  <si>
    <t>SGP SSF (60)</t>
  </si>
  <si>
    <t>R. Cedidas (58)</t>
  </si>
  <si>
    <t>Renta Cedidas
(Ley 1393/10)
(64)</t>
  </si>
  <si>
    <t>1.3.39.27.P.78</t>
  </si>
  <si>
    <t>5.22.54.140.P.364</t>
  </si>
  <si>
    <t>ESAQUIN S.A .</t>
  </si>
  <si>
    <t>INVERSION INDIRECTA</t>
  </si>
  <si>
    <t>PROMOTORA DE VIVIENDA Y DESARROLLO DEL QUINDIO</t>
  </si>
  <si>
    <t>Actualización digitalización e indexación de las historias laborales  y la Contratación de la Gobernación del Quindío.</t>
  </si>
  <si>
    <t xml:space="preserve">TOTAL PLAN ANUAL DE INVERSIONES 2015 </t>
  </si>
  <si>
    <t>Control y Vigilancia en las Acciones de Intervencion Inherentes a la Salud Publica en el Quindio</t>
  </si>
  <si>
    <t>Apoyo operativo a la inversión social en Salud Humanizada en el Quindío.</t>
  </si>
  <si>
    <t>001-14</t>
  </si>
  <si>
    <t>002-14</t>
  </si>
  <si>
    <t>003-14</t>
  </si>
  <si>
    <t>004-14</t>
  </si>
  <si>
    <t>005-14</t>
  </si>
  <si>
    <t>006-14</t>
  </si>
  <si>
    <t>007-14</t>
  </si>
  <si>
    <t>008-14</t>
  </si>
  <si>
    <t>009-14</t>
  </si>
  <si>
    <t>010-14</t>
  </si>
  <si>
    <t>011-14</t>
  </si>
  <si>
    <t>012-14</t>
  </si>
  <si>
    <t>018-14</t>
  </si>
  <si>
    <t>020-14</t>
  </si>
  <si>
    <t>017-14</t>
  </si>
  <si>
    <t>016-14</t>
  </si>
  <si>
    <t>015-14</t>
  </si>
  <si>
    <t>014-14</t>
  </si>
  <si>
    <t>019-14</t>
  </si>
  <si>
    <t>013-14</t>
  </si>
  <si>
    <t>027-14</t>
  </si>
  <si>
    <t>023-14</t>
  </si>
  <si>
    <t>029-14</t>
  </si>
  <si>
    <t>025-14</t>
  </si>
  <si>
    <t>024-14</t>
  </si>
  <si>
    <t>021-14</t>
  </si>
  <si>
    <t>022-14</t>
  </si>
  <si>
    <t>026-14</t>
  </si>
  <si>
    <t>030-14</t>
  </si>
  <si>
    <t>031-14</t>
  </si>
  <si>
    <t>032-14</t>
  </si>
  <si>
    <t>033-14</t>
  </si>
  <si>
    <t>034-14</t>
  </si>
  <si>
    <t>035-14</t>
  </si>
  <si>
    <t>036-14</t>
  </si>
  <si>
    <t>037-14</t>
  </si>
  <si>
    <t>038-14</t>
  </si>
  <si>
    <t>039-14</t>
  </si>
  <si>
    <t>040-14</t>
  </si>
  <si>
    <t>041-14</t>
  </si>
  <si>
    <t>042-14</t>
  </si>
  <si>
    <t>043-14</t>
  </si>
  <si>
    <t>044-14</t>
  </si>
  <si>
    <t>045-14</t>
  </si>
  <si>
    <t>046-14</t>
  </si>
  <si>
    <t>047-14</t>
  </si>
  <si>
    <t>048-14</t>
  </si>
  <si>
    <t>049-14</t>
  </si>
  <si>
    <t>050-14</t>
  </si>
  <si>
    <t>051-14</t>
  </si>
  <si>
    <t>052-14</t>
  </si>
  <si>
    <t>053-14</t>
  </si>
  <si>
    <t>054-14</t>
  </si>
  <si>
    <t>055-14</t>
  </si>
  <si>
    <t>056-14</t>
  </si>
  <si>
    <t>062-14</t>
  </si>
  <si>
    <t>060-14</t>
  </si>
  <si>
    <t>061-14</t>
  </si>
  <si>
    <t>063-14</t>
  </si>
  <si>
    <t>065-14</t>
  </si>
  <si>
    <t>066-14</t>
  </si>
  <si>
    <t>067-14</t>
  </si>
  <si>
    <t>068-14</t>
  </si>
  <si>
    <t>069-14</t>
  </si>
  <si>
    <t>070-14</t>
  </si>
  <si>
    <t>071-14</t>
  </si>
  <si>
    <t>072-14</t>
  </si>
  <si>
    <t>073-14</t>
  </si>
  <si>
    <t>074-14</t>
  </si>
  <si>
    <t>075-14</t>
  </si>
  <si>
    <t>079-14</t>
  </si>
  <si>
    <t>080-14</t>
  </si>
  <si>
    <t>081-14</t>
  </si>
  <si>
    <t>076-14</t>
  </si>
  <si>
    <t>082-14</t>
  </si>
  <si>
    <t>083-14</t>
  </si>
  <si>
    <t>084-14</t>
  </si>
  <si>
    <t>085-14</t>
  </si>
  <si>
    <t>086-14</t>
  </si>
  <si>
    <t>087-14</t>
  </si>
  <si>
    <t>088-14</t>
  </si>
  <si>
    <t>089-14</t>
  </si>
  <si>
    <t>090-14</t>
  </si>
  <si>
    <t>091-14</t>
  </si>
  <si>
    <t>092-14</t>
  </si>
  <si>
    <t>093-14</t>
  </si>
  <si>
    <t>094-14</t>
  </si>
  <si>
    <t>095-14</t>
  </si>
  <si>
    <t>097-14</t>
  </si>
  <si>
    <t>098-14</t>
  </si>
  <si>
    <t>099-14</t>
  </si>
  <si>
    <t>100-14</t>
  </si>
  <si>
    <t>101-14</t>
  </si>
  <si>
    <t>102-14</t>
  </si>
  <si>
    <t>103-14</t>
  </si>
  <si>
    <t>104-14</t>
  </si>
  <si>
    <t>107-14</t>
  </si>
  <si>
    <t>108-14</t>
  </si>
  <si>
    <t>109-14</t>
  </si>
  <si>
    <t>111-14</t>
  </si>
  <si>
    <t>112-14</t>
  </si>
  <si>
    <t>113-14</t>
  </si>
  <si>
    <t>114-14</t>
  </si>
  <si>
    <t>115-14</t>
  </si>
  <si>
    <t>116-14</t>
  </si>
  <si>
    <t>117-14</t>
  </si>
  <si>
    <t>118-14</t>
  </si>
  <si>
    <t>119-14</t>
  </si>
  <si>
    <t>152-14</t>
  </si>
  <si>
    <t>121-14</t>
  </si>
  <si>
    <t>122-14</t>
  </si>
  <si>
    <t>123-14</t>
  </si>
  <si>
    <t>124-14</t>
  </si>
  <si>
    <t>125-14</t>
  </si>
  <si>
    <t>128-14</t>
  </si>
  <si>
    <t>129-14</t>
  </si>
  <si>
    <t>130-14</t>
  </si>
  <si>
    <t>131-14</t>
  </si>
  <si>
    <t>132-14</t>
  </si>
  <si>
    <t>133-14</t>
  </si>
  <si>
    <t>134-14</t>
  </si>
  <si>
    <t>135-14</t>
  </si>
  <si>
    <t>136-14</t>
  </si>
  <si>
    <t>137-14</t>
  </si>
  <si>
    <t>126-14</t>
  </si>
  <si>
    <t>127-14</t>
  </si>
  <si>
    <t>138-14</t>
  </si>
  <si>
    <t>139-14</t>
  </si>
  <si>
    <t>140-14</t>
  </si>
  <si>
    <t>141-14</t>
  </si>
  <si>
    <t>75-14</t>
  </si>
  <si>
    <t>76-14</t>
  </si>
  <si>
    <t>81-14</t>
  </si>
  <si>
    <t>001-15</t>
  </si>
  <si>
    <t>Fortalecimiento de las acciones de prevención y protección en la población infantil CRECIENDO SALUDABLES en el departamento del Quindío</t>
  </si>
  <si>
    <t>002-15</t>
  </si>
  <si>
    <t>003-15</t>
  </si>
  <si>
    <t>Compromiso firme con la disminución de riesgos de contraer enfermedades transmisibles</t>
  </si>
  <si>
    <t>Fortalecimiento de acciones de intervención inherentes a la Salud Pública</t>
  </si>
  <si>
    <t>004-15</t>
  </si>
  <si>
    <t>Fortalecimiento de las acciones del Fondo Rotatorio de Estupefacientes</t>
  </si>
  <si>
    <t>005-15</t>
  </si>
  <si>
    <t>No. UNIDADES 
EJECUTORAS</t>
  </si>
  <si>
    <t>PARTICIPACION PORCENTUAL</t>
  </si>
  <si>
    <t>PORCENTAJE NBI</t>
  </si>
  <si>
    <t>NOMBRE DE LAS UNIDADES EJCUTORAS (SECTORES DE INVERSION SOCIAL)</t>
  </si>
  <si>
    <t>EDUCACION</t>
  </si>
  <si>
    <t>SALUD</t>
  </si>
  <si>
    <t>AGUAS E INFRAESTRUCTURA</t>
  </si>
  <si>
    <t xml:space="preserve">FAMILIA </t>
  </si>
  <si>
    <t>HACIENDA</t>
  </si>
  <si>
    <t>AGRICULTURA</t>
  </si>
  <si>
    <t>CULTURA</t>
  </si>
  <si>
    <t>TURISMO</t>
  </si>
  <si>
    <t>PRIVADA</t>
  </si>
  <si>
    <t>PLANEACION</t>
  </si>
  <si>
    <t>INTERIOR</t>
  </si>
  <si>
    <t>ADMINISTRATIVA</t>
  </si>
  <si>
    <t>REPRESENTACION JUDICIAL</t>
  </si>
  <si>
    <t>JURIDICA Y CONTRATACION</t>
  </si>
  <si>
    <t>R. Cedidas (58)
Monopolio (35)</t>
  </si>
  <si>
    <t>TOTAL POAI 2015</t>
  </si>
  <si>
    <t>RECURSO ORDINARIO DE LIBRE DESTNACION</t>
  </si>
  <si>
    <t>04-05-06-15-23-35-52-58-64</t>
  </si>
  <si>
    <t>CODIGO DEL RECURSO</t>
  </si>
  <si>
    <t>DENOMINACION DEL RECURSO</t>
  </si>
  <si>
    <t>PORCENTAJE DE PARTICIPACION</t>
  </si>
  <si>
    <t xml:space="preserve">RECURSO ORDINARIO DESTINADO </t>
  </si>
  <si>
    <t>SISTEMA GENERAL DE PARTICIPACIONES</t>
  </si>
  <si>
    <t>25-26</t>
  </si>
  <si>
    <t>59-60-61</t>
  </si>
  <si>
    <t>SGP Educación</t>
  </si>
  <si>
    <t>SGP Saneamiento Basico</t>
  </si>
  <si>
    <t>SGP Salud</t>
  </si>
  <si>
    <t>No. DE PROYECTOS
Viabilizados y Priorizados</t>
  </si>
  <si>
    <t>3.17.87.101.P.261</t>
  </si>
  <si>
    <t xml:space="preserve">Construcción y mejoramiento de la Infraestructura Sanitaria del departamento del Quindío. </t>
  </si>
  <si>
    <t>2.13.78.83</t>
  </si>
  <si>
    <t>2.13.78.83.P.216</t>
  </si>
  <si>
    <t>2.13.78.83.P.217</t>
  </si>
  <si>
    <t>2.13.78.83.P.218</t>
  </si>
  <si>
    <t>2.13.78.83.P.219</t>
  </si>
  <si>
    <t>Mejoramiento de la gestión pública del Departamento del Quindío.</t>
  </si>
  <si>
    <t>1.2.9.21.P.374</t>
  </si>
  <si>
    <t>AN - Fdo Rot Estup (63)</t>
  </si>
  <si>
    <t>PROMOTORA</t>
  </si>
  <si>
    <t>ASIGNACION $
INICIAL</t>
  </si>
  <si>
    <t>ASIGNACION $
DEFINITIVA</t>
  </si>
  <si>
    <t>COMPROMISOS</t>
  </si>
  <si>
    <t>OBLIGACIONES</t>
  </si>
  <si>
    <t>TOTAL ASIGNACION INICIAL</t>
  </si>
  <si>
    <t>TOTAL ASIGNACION DEFINITIVA</t>
  </si>
  <si>
    <t>TOTAL COMPROMISOS</t>
  </si>
  <si>
    <t>TOTAL OBLIGACIONES</t>
  </si>
  <si>
    <t>COF NAL (65)</t>
  </si>
  <si>
    <t>DIMENSION</t>
  </si>
  <si>
    <r>
      <t>Mejoramiento y/o optimización de las redes de acueducto y/o alcantarillado de todo el Departamento, Quindío.</t>
    </r>
    <r>
      <rPr>
        <b/>
        <sz val="10"/>
        <color indexed="8"/>
        <rFont val="Calibri"/>
        <family val="2"/>
      </rPr>
      <t xml:space="preserve"> </t>
    </r>
  </si>
  <si>
    <t>EXTRAC. MAL. RIO (134)</t>
  </si>
  <si>
    <t>C. INTERAD. (56)</t>
  </si>
  <si>
    <t>ACPM (23), C. INTERAD. (56), RC (46)</t>
  </si>
  <si>
    <t>RC (46)</t>
  </si>
  <si>
    <t>RC (46), PDA APSSF (57)</t>
  </si>
  <si>
    <t>EPD (04), C. INTERAD. (56), COF FFS (55)</t>
  </si>
  <si>
    <t>EPD (04), RC (46)</t>
  </si>
  <si>
    <t>EPD (04), RC (46), C. INTERAD. (56)</t>
  </si>
  <si>
    <t>FONDO RENTAS (15), C. INTERAD. (56)</t>
  </si>
  <si>
    <t>ORDINARIO (LIBRE DESTINACION)</t>
  </si>
  <si>
    <t>142-14</t>
  </si>
  <si>
    <t>Apoyo en la formulación y ejecución de proyectos de vivienda, infraestructura y equipamientos colectivos y comunitarios.</t>
  </si>
  <si>
    <t>VIVIENDA, INFRAESTRUCTURA, EQUIPAMIENTO COLECTIVO Y COMUNITARIO EN CONDICIONES DIGNAS AL ALCANCE DE TODOS</t>
  </si>
  <si>
    <t>3.17.90.108.P.278</t>
  </si>
  <si>
    <t>3.17.90.108.P.279</t>
  </si>
  <si>
    <t>3.17.90.108.P.280</t>
  </si>
  <si>
    <t>3.17.90.108.P.281</t>
  </si>
  <si>
    <t>3.17.90.108</t>
  </si>
  <si>
    <t>VIVIENDA, INFRAESTRUCTURA, EQUIPAMIENTO COLECTIVO Y COMUNITARIO AL ALCANCE DE TODOS</t>
  </si>
  <si>
    <t>3.17.90</t>
  </si>
  <si>
    <t>E.P.C. (05), C. INTERAD. (56)</t>
  </si>
  <si>
    <t>E.P.C. (05), IVA Telef. M.
 (54)</t>
  </si>
  <si>
    <t>FDO. SEGUR. (42)</t>
  </si>
  <si>
    <t>SGP (SALUD PUB) (61) COF NAL (65)</t>
  </si>
  <si>
    <t>SGP (SALUD PUB) (61)</t>
  </si>
  <si>
    <t>No. DE PROYECTOS POR UNIDAD EJECUTORA</t>
  </si>
  <si>
    <t>ESTRUCTURA DEL PLAN DE DESARROLLO 2012-2015</t>
  </si>
  <si>
    <t>POAI INICIALMENTE APROBADO</t>
  </si>
  <si>
    <t>PARTICIPACION EN RECURSOS
(En Pesos)</t>
  </si>
  <si>
    <t>VALOR 
(En Pesos)</t>
  </si>
  <si>
    <t xml:space="preserve">POAI EJECUTADO (Compromisos) </t>
  </si>
  <si>
    <t>ESTRUCTURA DEL PLAN OPERATAIVO ANUAL DE INVERSIONES (POAI 2015) (En Pesos)</t>
  </si>
  <si>
    <t>POAI EJECUTADO (Compromisos)</t>
  </si>
  <si>
    <t>FINANCIACION DEL POAI 2015 (En Pesos)</t>
  </si>
  <si>
    <t>RECURSOS
COMPROMETIDOS
(EN Pesos)</t>
  </si>
  <si>
    <t>RECURSOS COMPROMETIDOS
(En Pesos)</t>
  </si>
  <si>
    <t>IDEPORTES</t>
  </si>
  <si>
    <r>
      <rPr>
        <sz val="48"/>
        <color indexed="36"/>
        <rFont val="Arial Black"/>
        <family val="2"/>
      </rPr>
      <t xml:space="preserve">INFORME DE </t>
    </r>
    <r>
      <rPr>
        <sz val="48"/>
        <color indexed="14"/>
        <rFont val="Forte"/>
        <family val="4"/>
      </rPr>
      <t>EMPALME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</si>
</sst>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.00"/>
    <numFmt numFmtId="173" formatCode="_(* #,##0.0_);_(* \(#,##0.0\);_(* &quot;-&quot;??_);_(@_)"/>
    <numFmt numFmtId="174" formatCode="_(* #.##0.00_);_(* \(#.##0.00\);_(* &quot;-&quot;??_);_(@_)"/>
    <numFmt numFmtId="175" formatCode="_(* #.##0.0_);_(* \(#.##0.0\);_(* &quot;-&quot;??_);_(@_)"/>
    <numFmt numFmtId="176" formatCode="_-[$$-240A]* #,##0.00_-;\-[$$-240A]* #,##0.00_-;_-[$$-240A]* &quot;-&quot;??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40A]dddd\,\ dd&quot; de &quot;mmmm&quot; de &quot;yyyy"/>
    <numFmt numFmtId="182" formatCode="[$-240A]hh:mm:ss\ AM/PM"/>
    <numFmt numFmtId="183" formatCode="_(* #,##0_);_(* \(#,##0\);_(* &quot;-&quot;??_);_(@_)"/>
    <numFmt numFmtId="184" formatCode="0.0"/>
    <numFmt numFmtId="185" formatCode="_(* #,##0.000_);_(* \(#,##0.000\);_(* &quot;-&quot;??_);_(@_)"/>
    <numFmt numFmtId="186" formatCode="0.0%"/>
    <numFmt numFmtId="187" formatCode="0.000000"/>
    <numFmt numFmtId="188" formatCode="0.00000"/>
    <numFmt numFmtId="189" formatCode="0.0000"/>
    <numFmt numFmtId="190" formatCode="0.000"/>
    <numFmt numFmtId="191" formatCode="_(* #,##0.0000_);_(* \(#,##0.000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0000"/>
    <numFmt numFmtId="197" formatCode="0.00000000"/>
    <numFmt numFmtId="198" formatCode="[$-240A]h:mm:ss\ AM/PM"/>
    <numFmt numFmtId="199" formatCode="#,##0.00_);\-#,##0.00"/>
    <numFmt numFmtId="200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48"/>
      <color indexed="8"/>
      <name val="Arial Black"/>
      <family val="2"/>
    </font>
    <font>
      <sz val="48"/>
      <color indexed="36"/>
      <name val="Arial Black"/>
      <family val="2"/>
    </font>
    <font>
      <sz val="48"/>
      <color indexed="14"/>
      <name val="Forte"/>
      <family val="4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48"/>
      <color theme="1"/>
      <name val="Arial Blac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2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Fill="1" applyBorder="1" applyAlignment="1">
      <alignment vertical="center" wrapText="1"/>
    </xf>
    <xf numFmtId="43" fontId="51" fillId="0" borderId="10" xfId="49" applyFont="1" applyFill="1" applyBorder="1" applyAlignment="1">
      <alignment horizontal="center" vertical="center"/>
    </xf>
    <xf numFmtId="183" fontId="51" fillId="0" borderId="10" xfId="49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43" fontId="51" fillId="0" borderId="10" xfId="49" applyFont="1" applyFill="1" applyBorder="1" applyAlignment="1">
      <alignment vertical="center" wrapText="1"/>
    </xf>
    <xf numFmtId="183" fontId="50" fillId="0" borderId="10" xfId="49" applyNumberFormat="1" applyFont="1" applyFill="1" applyBorder="1" applyAlignment="1">
      <alignment vertical="center" wrapText="1"/>
    </xf>
    <xf numFmtId="43" fontId="50" fillId="0" borderId="10" xfId="49" applyFont="1" applyFill="1" applyBorder="1" applyAlignment="1">
      <alignment vertical="center" wrapText="1"/>
    </xf>
    <xf numFmtId="183" fontId="50" fillId="0" borderId="10" xfId="49" applyNumberFormat="1" applyFont="1" applyFill="1" applyBorder="1" applyAlignment="1">
      <alignment horizontal="right" vertical="center" wrapText="1"/>
    </xf>
    <xf numFmtId="43" fontId="51" fillId="0" borderId="10" xfId="49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43" fontId="50" fillId="0" borderId="0" xfId="0" applyNumberFormat="1" applyFont="1" applyAlignment="1">
      <alignment/>
    </xf>
    <xf numFmtId="43" fontId="50" fillId="0" borderId="10" xfId="49" applyNumberFormat="1" applyFont="1" applyFill="1" applyBorder="1" applyAlignment="1">
      <alignment vertical="center" wrapText="1"/>
    </xf>
    <xf numFmtId="43" fontId="51" fillId="0" borderId="10" xfId="49" applyNumberFormat="1" applyFont="1" applyFill="1" applyBorder="1" applyAlignment="1">
      <alignment horizontal="center" vertical="center" wrapText="1"/>
    </xf>
    <xf numFmtId="43" fontId="51" fillId="0" borderId="10" xfId="49" applyNumberFormat="1" applyFont="1" applyFill="1" applyBorder="1" applyAlignment="1">
      <alignment horizontal="center" vertical="center"/>
    </xf>
    <xf numFmtId="43" fontId="50" fillId="0" borderId="10" xfId="49" applyNumberFormat="1" applyFont="1" applyFill="1" applyBorder="1" applyAlignment="1">
      <alignment horizontal="right" vertical="center" wrapText="1"/>
    </xf>
    <xf numFmtId="43" fontId="50" fillId="0" borderId="10" xfId="49" applyFont="1" applyBorder="1" applyAlignment="1">
      <alignment vertical="center"/>
    </xf>
    <xf numFmtId="43" fontId="51" fillId="0" borderId="10" xfId="49" applyFont="1" applyFill="1" applyBorder="1" applyAlignment="1">
      <alignment/>
    </xf>
    <xf numFmtId="185" fontId="50" fillId="0" borderId="10" xfId="49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43" fontId="51" fillId="0" borderId="10" xfId="0" applyNumberFormat="1" applyFont="1" applyFill="1" applyBorder="1" applyAlignment="1">
      <alignment vertical="center"/>
    </xf>
    <xf numFmtId="43" fontId="51" fillId="0" borderId="10" xfId="49" applyNumberFormat="1" applyFont="1" applyFill="1" applyBorder="1" applyAlignment="1">
      <alignment vertical="center" wrapText="1"/>
    </xf>
    <xf numFmtId="43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11" xfId="0" applyFont="1" applyFill="1" applyBorder="1" applyAlignment="1">
      <alignment vertical="center" wrapText="1"/>
    </xf>
    <xf numFmtId="49" fontId="51" fillId="0" borderId="13" xfId="57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Fill="1" applyAlignment="1">
      <alignment horizontal="justify" vertical="center" wrapText="1"/>
    </xf>
    <xf numFmtId="0" fontId="53" fillId="0" borderId="0" xfId="0" applyFont="1" applyBorder="1" applyAlignment="1">
      <alignment horizontal="center"/>
    </xf>
    <xf numFmtId="43" fontId="51" fillId="0" borderId="10" xfId="49" applyFont="1" applyBorder="1" applyAlignment="1">
      <alignment vertical="center"/>
    </xf>
    <xf numFmtId="43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43" fontId="51" fillId="0" borderId="10" xfId="49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justify" vertical="center" wrapText="1"/>
    </xf>
    <xf numFmtId="183" fontId="51" fillId="0" borderId="10" xfId="49" applyNumberFormat="1" applyFont="1" applyFill="1" applyBorder="1" applyAlignment="1">
      <alignment horizontal="center" vertical="center" wrapText="1"/>
    </xf>
    <xf numFmtId="43" fontId="51" fillId="0" borderId="10" xfId="49" applyFont="1" applyBorder="1" applyAlignment="1">
      <alignment horizontal="center" vertical="center"/>
    </xf>
    <xf numFmtId="4" fontId="50" fillId="0" borderId="10" xfId="49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3" fontId="51" fillId="0" borderId="10" xfId="49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/>
    </xf>
    <xf numFmtId="43" fontId="50" fillId="0" borderId="10" xfId="49" applyFont="1" applyBorder="1" applyAlignment="1">
      <alignment horizontal="right" vertical="center"/>
    </xf>
    <xf numFmtId="43" fontId="51" fillId="0" borderId="10" xfId="49" applyFont="1" applyBorder="1" applyAlignment="1">
      <alignment horizontal="right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/>
    </xf>
    <xf numFmtId="43" fontId="50" fillId="0" borderId="11" xfId="49" applyNumberFormat="1" applyFont="1" applyFill="1" applyBorder="1" applyAlignment="1">
      <alignment vertical="center" wrapText="1"/>
    </xf>
    <xf numFmtId="0" fontId="51" fillId="0" borderId="13" xfId="0" applyFont="1" applyBorder="1" applyAlignment="1">
      <alignment horizontal="center"/>
    </xf>
    <xf numFmtId="43" fontId="50" fillId="0" borderId="10" xfId="4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43" fontId="50" fillId="0" borderId="10" xfId="49" applyNumberFormat="1" applyFont="1" applyFill="1" applyBorder="1" applyAlignment="1">
      <alignment horizontal="center" vertical="center"/>
    </xf>
    <xf numFmtId="183" fontId="50" fillId="0" borderId="10" xfId="49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43" fontId="50" fillId="0" borderId="10" xfId="49" applyFont="1" applyBorder="1" applyAlignment="1">
      <alignment horizontal="center" vertical="center"/>
    </xf>
    <xf numFmtId="43" fontId="50" fillId="0" borderId="10" xfId="49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43" fontId="50" fillId="0" borderId="11" xfId="49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center"/>
    </xf>
    <xf numFmtId="0" fontId="50" fillId="0" borderId="0" xfId="0" applyFont="1" applyAlignment="1">
      <alignment horizontal="right"/>
    </xf>
    <xf numFmtId="183" fontId="50" fillId="0" borderId="10" xfId="49" applyNumberFormat="1" applyFont="1" applyBorder="1" applyAlignment="1">
      <alignment horizontal="right" vertical="center"/>
    </xf>
    <xf numFmtId="0" fontId="50" fillId="0" borderId="12" xfId="0" applyFont="1" applyBorder="1" applyAlignment="1">
      <alignment horizontal="justify" vertical="center"/>
    </xf>
    <xf numFmtId="0" fontId="50" fillId="0" borderId="11" xfId="0" applyFont="1" applyBorder="1" applyAlignment="1">
      <alignment horizontal="justify" vertical="center"/>
    </xf>
    <xf numFmtId="183" fontId="50" fillId="0" borderId="12" xfId="49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83" fontId="51" fillId="0" borderId="12" xfId="49" applyNumberFormat="1" applyFont="1" applyBorder="1" applyAlignment="1">
      <alignment horizontal="center" vertical="center"/>
    </xf>
    <xf numFmtId="183" fontId="50" fillId="0" borderId="14" xfId="49" applyNumberFormat="1" applyFont="1" applyBorder="1" applyAlignment="1">
      <alignment horizontal="center" vertical="center"/>
    </xf>
    <xf numFmtId="43" fontId="50" fillId="0" borderId="0" xfId="49" applyFont="1" applyAlignment="1">
      <alignment/>
    </xf>
    <xf numFmtId="0" fontId="51" fillId="0" borderId="12" xfId="0" applyFont="1" applyFill="1" applyBorder="1" applyAlignment="1">
      <alignment vertical="center" wrapText="1"/>
    </xf>
    <xf numFmtId="43" fontId="51" fillId="0" borderId="12" xfId="49" applyNumberFormat="1" applyFont="1" applyFill="1" applyBorder="1" applyAlignment="1">
      <alignment horizontal="center" vertical="center"/>
    </xf>
    <xf numFmtId="43" fontId="51" fillId="9" borderId="15" xfId="0" applyNumberFormat="1" applyFont="1" applyFill="1" applyBorder="1" applyAlignment="1">
      <alignment horizontal="center" vertical="center"/>
    </xf>
    <xf numFmtId="43" fontId="50" fillId="0" borderId="11" xfId="49" applyFont="1" applyFill="1" applyBorder="1" applyAlignment="1">
      <alignment vertical="center" wrapText="1"/>
    </xf>
    <xf numFmtId="43" fontId="50" fillId="0" borderId="11" xfId="49" applyFont="1" applyFill="1" applyBorder="1" applyAlignment="1">
      <alignment vertical="center"/>
    </xf>
    <xf numFmtId="43" fontId="50" fillId="0" borderId="10" xfId="49" applyFont="1" applyFill="1" applyBorder="1" applyAlignment="1">
      <alignment vertical="center"/>
    </xf>
    <xf numFmtId="43" fontId="51" fillId="0" borderId="11" xfId="49" applyFont="1" applyFill="1" applyBorder="1" applyAlignment="1">
      <alignment vertical="center" wrapText="1"/>
    </xf>
    <xf numFmtId="4" fontId="50" fillId="0" borderId="11" xfId="49" applyNumberFormat="1" applyFont="1" applyFill="1" applyBorder="1" applyAlignment="1">
      <alignment vertical="center"/>
    </xf>
    <xf numFmtId="4" fontId="50" fillId="0" borderId="10" xfId="49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/>
    </xf>
    <xf numFmtId="43" fontId="50" fillId="0" borderId="0" xfId="0" applyNumberFormat="1" applyFont="1" applyBorder="1" applyAlignment="1">
      <alignment/>
    </xf>
    <xf numFmtId="0" fontId="50" fillId="0" borderId="0" xfId="0" applyFont="1" applyAlignment="1">
      <alignment vertical="center"/>
    </xf>
    <xf numFmtId="183" fontId="51" fillId="0" borderId="0" xfId="49" applyNumberFormat="1" applyFont="1" applyBorder="1" applyAlignment="1">
      <alignment horizontal="right" vertical="center"/>
    </xf>
    <xf numFmtId="9" fontId="51" fillId="0" borderId="0" xfId="0" applyNumberFormat="1" applyFont="1" applyBorder="1" applyAlignment="1">
      <alignment horizontal="center" vertical="center"/>
    </xf>
    <xf numFmtId="43" fontId="50" fillId="0" borderId="0" xfId="49" applyFont="1" applyBorder="1" applyAlignment="1">
      <alignment/>
    </xf>
    <xf numFmtId="183" fontId="50" fillId="0" borderId="12" xfId="49" applyNumberFormat="1" applyFont="1" applyBorder="1" applyAlignment="1">
      <alignment horizontal="right" vertical="center"/>
    </xf>
    <xf numFmtId="183" fontId="50" fillId="0" borderId="11" xfId="49" applyNumberFormat="1" applyFont="1" applyBorder="1" applyAlignment="1">
      <alignment horizontal="right" vertical="center"/>
    </xf>
    <xf numFmtId="43" fontId="51" fillId="0" borderId="13" xfId="49" applyNumberFormat="1" applyFont="1" applyFill="1" applyBorder="1" applyAlignment="1">
      <alignment horizontal="center" vertical="center" wrapText="1"/>
    </xf>
    <xf numFmtId="43" fontId="51" fillId="0" borderId="13" xfId="49" applyFont="1" applyBorder="1" applyAlignment="1">
      <alignment vertical="center"/>
    </xf>
    <xf numFmtId="4" fontId="50" fillId="0" borderId="11" xfId="49" applyNumberFormat="1" applyFont="1" applyFill="1" applyBorder="1" applyAlignment="1">
      <alignment vertical="center" wrapText="1"/>
    </xf>
    <xf numFmtId="43" fontId="50" fillId="0" borderId="10" xfId="49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0" fillId="0" borderId="12" xfId="49" applyNumberFormat="1" applyFont="1" applyFill="1" applyBorder="1" applyAlignment="1">
      <alignment horizontal="center" vertical="center" wrapText="1"/>
    </xf>
    <xf numFmtId="43" fontId="50" fillId="0" borderId="14" xfId="49" applyNumberFormat="1" applyFont="1" applyFill="1" applyBorder="1" applyAlignment="1">
      <alignment horizontal="center" vertical="center" wrapText="1"/>
    </xf>
    <xf numFmtId="43" fontId="50" fillId="0" borderId="11" xfId="49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3" fontId="51" fillId="0" borderId="10" xfId="49" applyFont="1" applyFill="1" applyBorder="1" applyAlignment="1">
      <alignment horizontal="center" vertical="center" wrapText="1"/>
    </xf>
    <xf numFmtId="4" fontId="50" fillId="0" borderId="10" xfId="49" applyNumberFormat="1" applyFont="1" applyFill="1" applyBorder="1" applyAlignment="1">
      <alignment horizontal="right" vertical="center" wrapText="1"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2" xfId="49" applyNumberFormat="1" applyFont="1" applyFill="1" applyBorder="1" applyAlignment="1">
      <alignment horizontal="center" vertical="center" wrapText="1"/>
    </xf>
    <xf numFmtId="49" fontId="51" fillId="0" borderId="11" xfId="57" applyNumberFormat="1" applyFont="1" applyFill="1" applyBorder="1" applyAlignment="1">
      <alignment horizontal="center" vertical="center" wrapText="1"/>
      <protection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183" fontId="51" fillId="0" borderId="11" xfId="49" applyNumberFormat="1" applyFont="1" applyFill="1" applyBorder="1" applyAlignment="1">
      <alignment horizontal="center" vertical="center" wrapText="1"/>
    </xf>
    <xf numFmtId="183" fontId="51" fillId="0" borderId="12" xfId="49" applyNumberFormat="1" applyFont="1" applyFill="1" applyBorder="1" applyAlignment="1">
      <alignment horizontal="center" vertical="center" wrapText="1"/>
    </xf>
    <xf numFmtId="43" fontId="50" fillId="0" borderId="10" xfId="49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1" fillId="0" borderId="12" xfId="49" applyNumberFormat="1" applyFont="1" applyFill="1" applyBorder="1" applyAlignment="1">
      <alignment horizontal="center" vertical="center" wrapText="1"/>
    </xf>
    <xf numFmtId="43" fontId="51" fillId="0" borderId="10" xfId="49" applyFont="1" applyFill="1" applyBorder="1" applyAlignment="1">
      <alignment horizontal="center" vertical="center" wrapText="1"/>
    </xf>
    <xf numFmtId="43" fontId="50" fillId="0" borderId="10" xfId="49" applyFont="1" applyFill="1" applyBorder="1" applyAlignment="1">
      <alignment horizontal="center" vertical="center" wrapText="1"/>
    </xf>
    <xf numFmtId="43" fontId="51" fillId="9" borderId="16" xfId="0" applyNumberFormat="1" applyFont="1" applyFill="1" applyBorder="1" applyAlignment="1">
      <alignment horizontal="center" vertical="center"/>
    </xf>
    <xf numFmtId="43" fontId="51" fillId="0" borderId="17" xfId="0" applyNumberFormat="1" applyFont="1" applyFill="1" applyBorder="1" applyAlignment="1">
      <alignment vertical="center"/>
    </xf>
    <xf numFmtId="43" fontId="51" fillId="0" borderId="13" xfId="0" applyNumberFormat="1" applyFont="1" applyFill="1" applyBorder="1" applyAlignment="1">
      <alignment vertical="center"/>
    </xf>
    <xf numFmtId="43" fontId="50" fillId="0" borderId="13" xfId="0" applyNumberFormat="1" applyFont="1" applyFill="1" applyBorder="1" applyAlignment="1">
      <alignment vertical="center"/>
    </xf>
    <xf numFmtId="43" fontId="51" fillId="0" borderId="13" xfId="0" applyNumberFormat="1" applyFont="1" applyFill="1" applyBorder="1" applyAlignment="1">
      <alignment/>
    </xf>
    <xf numFmtId="43" fontId="50" fillId="0" borderId="18" xfId="49" applyNumberFormat="1" applyFont="1" applyFill="1" applyBorder="1" applyAlignment="1">
      <alignment horizontal="center" vertical="center"/>
    </xf>
    <xf numFmtId="43" fontId="50" fillId="0" borderId="18" xfId="49" applyNumberFormat="1" applyFont="1" applyFill="1" applyBorder="1" applyAlignment="1">
      <alignment vertical="center" wrapText="1"/>
    </xf>
    <xf numFmtId="43" fontId="50" fillId="0" borderId="18" xfId="49" applyNumberFormat="1" applyFont="1" applyFill="1" applyBorder="1" applyAlignment="1">
      <alignment vertical="center"/>
    </xf>
    <xf numFmtId="43" fontId="50" fillId="0" borderId="13" xfId="49" applyNumberFormat="1" applyFont="1" applyFill="1" applyBorder="1" applyAlignment="1">
      <alignment horizontal="center" vertical="center" wrapText="1"/>
    </xf>
    <xf numFmtId="43" fontId="50" fillId="0" borderId="18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4" fontId="51" fillId="0" borderId="17" xfId="0" applyNumberFormat="1" applyFont="1" applyFill="1" applyBorder="1" applyAlignment="1">
      <alignment vertical="center"/>
    </xf>
    <xf numFmtId="4" fontId="50" fillId="0" borderId="13" xfId="0" applyNumberFormat="1" applyFont="1" applyFill="1" applyBorder="1" applyAlignment="1">
      <alignment vertical="center"/>
    </xf>
    <xf numFmtId="43" fontId="50" fillId="0" borderId="18" xfId="49" applyFont="1" applyBorder="1" applyAlignment="1">
      <alignment vertical="center"/>
    </xf>
    <xf numFmtId="4" fontId="50" fillId="0" borderId="13" xfId="49" applyNumberFormat="1" applyFont="1" applyFill="1" applyBorder="1" applyAlignment="1">
      <alignment vertical="center" wrapText="1"/>
    </xf>
    <xf numFmtId="4" fontId="50" fillId="0" borderId="18" xfId="49" applyNumberFormat="1" applyFont="1" applyFill="1" applyBorder="1" applyAlignment="1">
      <alignment vertical="center"/>
    </xf>
    <xf numFmtId="43" fontId="50" fillId="0" borderId="13" xfId="49" applyFont="1" applyFill="1" applyBorder="1" applyAlignment="1">
      <alignment vertical="center" wrapText="1"/>
    </xf>
    <xf numFmtId="43" fontId="51" fillId="15" borderId="19" xfId="49" applyFont="1" applyFill="1" applyBorder="1" applyAlignment="1">
      <alignment horizontal="center" vertical="center" wrapText="1"/>
    </xf>
    <xf numFmtId="43" fontId="51" fillId="15" borderId="15" xfId="49" applyFont="1" applyFill="1" applyBorder="1" applyAlignment="1">
      <alignment horizontal="center" vertical="center" wrapText="1"/>
    </xf>
    <xf numFmtId="49" fontId="51" fillId="0" borderId="10" xfId="57" applyNumberFormat="1" applyFont="1" applyFill="1" applyBorder="1" applyAlignment="1">
      <alignment horizontal="center" vertical="center" wrapText="1"/>
      <protection/>
    </xf>
    <xf numFmtId="49" fontId="50" fillId="0" borderId="10" xfId="57" applyNumberFormat="1" applyFont="1" applyFill="1" applyBorder="1" applyAlignment="1">
      <alignment horizontal="center" vertical="center" wrapText="1"/>
      <protection/>
    </xf>
    <xf numFmtId="49" fontId="50" fillId="0" borderId="13" xfId="57" applyNumberFormat="1" applyFont="1" applyFill="1" applyBorder="1" applyAlignment="1">
      <alignment horizontal="center" vertical="center" wrapText="1"/>
      <protection/>
    </xf>
    <xf numFmtId="49" fontId="51" fillId="0" borderId="10" xfId="57" applyNumberFormat="1" applyFont="1" applyFill="1" applyBorder="1" applyAlignment="1">
      <alignment vertical="center" wrapText="1"/>
      <protection/>
    </xf>
    <xf numFmtId="49" fontId="51" fillId="0" borderId="13" xfId="57" applyNumberFormat="1" applyFont="1" applyFill="1" applyBorder="1" applyAlignment="1">
      <alignment vertical="center" wrapText="1"/>
      <protection/>
    </xf>
    <xf numFmtId="49" fontId="51" fillId="0" borderId="20" xfId="57" applyNumberFormat="1" applyFont="1" applyFill="1" applyBorder="1" applyAlignment="1">
      <alignment horizontal="center" vertical="center" wrapText="1"/>
      <protection/>
    </xf>
    <xf numFmtId="0" fontId="51" fillId="0" borderId="10" xfId="57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vertical="center"/>
      <protection/>
    </xf>
    <xf numFmtId="0" fontId="50" fillId="0" borderId="10" xfId="57" applyFont="1" applyFill="1" applyBorder="1" applyAlignment="1">
      <alignment horizontal="center" vertical="center"/>
      <protection/>
    </xf>
    <xf numFmtId="0" fontId="51" fillId="0" borderId="13" xfId="57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horizontal="justify" vertical="center" wrapText="1"/>
      <protection/>
    </xf>
    <xf numFmtId="0" fontId="51" fillId="0" borderId="12" xfId="57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1" fillId="0" borderId="13" xfId="57" applyFont="1" applyFill="1" applyBorder="1" applyAlignment="1">
      <alignment horizontal="center" vertical="center" wrapText="1"/>
      <protection/>
    </xf>
    <xf numFmtId="0" fontId="51" fillId="33" borderId="10" xfId="57" applyFont="1" applyFill="1" applyBorder="1" applyAlignment="1">
      <alignment horizontal="center" vertical="center" wrapText="1"/>
      <protection/>
    </xf>
    <xf numFmtId="0" fontId="51" fillId="33" borderId="12" xfId="57" applyFont="1" applyFill="1" applyBorder="1" applyAlignment="1">
      <alignment horizontal="center" vertical="center" wrapText="1"/>
      <protection/>
    </xf>
    <xf numFmtId="0" fontId="51" fillId="33" borderId="11" xfId="57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horizontal="justify" vertical="center" wrapText="1"/>
      <protection/>
    </xf>
    <xf numFmtId="0" fontId="51" fillId="0" borderId="10" xfId="57" applyFont="1" applyFill="1" applyBorder="1" applyAlignment="1">
      <alignment horizontal="left" vertical="center" wrapText="1"/>
      <protection/>
    </xf>
    <xf numFmtId="0" fontId="51" fillId="0" borderId="18" xfId="57" applyFont="1" applyFill="1" applyBorder="1" applyAlignment="1">
      <alignment horizontal="center" vertical="center" wrapText="1"/>
      <protection/>
    </xf>
    <xf numFmtId="0" fontId="51" fillId="0" borderId="11" xfId="57" applyFont="1" applyFill="1" applyBorder="1" applyAlignment="1">
      <alignment horizontal="center" vertical="center" wrapText="1"/>
      <protection/>
    </xf>
    <xf numFmtId="43" fontId="51" fillId="0" borderId="13" xfId="49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justify" vertical="center" wrapText="1"/>
    </xf>
    <xf numFmtId="43" fontId="51" fillId="0" borderId="10" xfId="49" applyFont="1" applyFill="1" applyBorder="1" applyAlignment="1">
      <alignment horizontal="justify" vertical="center" wrapText="1"/>
    </xf>
    <xf numFmtId="172" fontId="51" fillId="0" borderId="10" xfId="57" applyNumberFormat="1" applyFont="1" applyFill="1" applyBorder="1" applyAlignment="1">
      <alignment horizontal="center" vertical="center" wrapText="1"/>
      <protection/>
    </xf>
    <xf numFmtId="172" fontId="50" fillId="0" borderId="10" xfId="57" applyNumberFormat="1" applyFont="1" applyFill="1" applyBorder="1" applyAlignment="1">
      <alignment horizontal="center" vertical="center" wrapText="1"/>
      <protection/>
    </xf>
    <xf numFmtId="172" fontId="51" fillId="0" borderId="10" xfId="57" applyNumberFormat="1" applyFont="1" applyFill="1" applyBorder="1" applyAlignment="1">
      <alignment horizontal="justify" vertical="center" wrapText="1"/>
      <protection/>
    </xf>
    <xf numFmtId="172" fontId="51" fillId="0" borderId="13" xfId="57" applyNumberFormat="1" applyFont="1" applyFill="1" applyBorder="1" applyAlignment="1">
      <alignment horizontal="center" vertical="center" wrapText="1"/>
      <protection/>
    </xf>
    <xf numFmtId="49" fontId="51" fillId="0" borderId="10" xfId="57" applyNumberFormat="1" applyFont="1" applyFill="1" applyBorder="1" applyAlignment="1">
      <alignment horizontal="justify" vertical="center" wrapText="1"/>
      <protection/>
    </xf>
    <xf numFmtId="0" fontId="50" fillId="0" borderId="10" xfId="57" applyFont="1" applyFill="1" applyBorder="1" applyAlignment="1">
      <alignment horizontal="justify" vertical="center" wrapText="1"/>
      <protection/>
    </xf>
    <xf numFmtId="0" fontId="50" fillId="0" borderId="12" xfId="57" applyFont="1" applyFill="1" applyBorder="1" applyAlignment="1">
      <alignment horizontal="justify" vertical="center" wrapText="1"/>
      <protection/>
    </xf>
    <xf numFmtId="49" fontId="51" fillId="0" borderId="12" xfId="57" applyNumberFormat="1" applyFont="1" applyFill="1" applyBorder="1" applyAlignment="1">
      <alignment horizontal="justify" vertical="center" wrapText="1"/>
      <protection/>
    </xf>
    <xf numFmtId="0" fontId="51" fillId="0" borderId="12" xfId="57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1" fontId="50" fillId="0" borderId="11" xfId="49" applyNumberFormat="1" applyFont="1" applyFill="1" applyBorder="1" applyAlignment="1">
      <alignment horizontal="center" vertical="center" wrapText="1"/>
    </xf>
    <xf numFmtId="0" fontId="51" fillId="0" borderId="21" xfId="57" applyFont="1" applyFill="1" applyBorder="1" applyAlignment="1">
      <alignment horizontal="center" vertical="center" wrapText="1"/>
      <protection/>
    </xf>
    <xf numFmtId="0" fontId="51" fillId="0" borderId="20" xfId="57" applyFont="1" applyFill="1" applyBorder="1" applyAlignment="1">
      <alignment horizontal="center" vertical="center" wrapText="1"/>
      <protection/>
    </xf>
    <xf numFmtId="43" fontId="50" fillId="0" borderId="18" xfId="49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8" xfId="57" applyFont="1" applyFill="1" applyBorder="1" applyAlignment="1">
      <alignment horizontal="center" vertical="center" wrapText="1"/>
      <protection/>
    </xf>
    <xf numFmtId="4" fontId="50" fillId="0" borderId="11" xfId="49" applyNumberFormat="1" applyFont="1" applyFill="1" applyBorder="1" applyAlignment="1">
      <alignment horizontal="center" vertical="center" wrapText="1"/>
    </xf>
    <xf numFmtId="0" fontId="51" fillId="0" borderId="11" xfId="57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justify" vertical="center" wrapText="1"/>
    </xf>
    <xf numFmtId="43" fontId="51" fillId="0" borderId="10" xfId="49" applyFont="1" applyFill="1" applyBorder="1" applyAlignment="1">
      <alignment horizontal="center" vertical="center" wrapText="1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43" fontId="50" fillId="0" borderId="10" xfId="49" applyFont="1" applyFill="1" applyBorder="1" applyAlignment="1">
      <alignment horizontal="center" vertical="center" wrapText="1"/>
    </xf>
    <xf numFmtId="4" fontId="50" fillId="0" borderId="10" xfId="49" applyNumberFormat="1" applyFont="1" applyFill="1" applyBorder="1" applyAlignment="1">
      <alignment horizontal="center" vertical="center" wrapText="1"/>
    </xf>
    <xf numFmtId="0" fontId="26" fillId="0" borderId="10" xfId="57" applyFont="1" applyFill="1" applyBorder="1" applyAlignment="1">
      <alignment horizontal="left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justify" vertical="center" wrapText="1"/>
      <protection/>
    </xf>
    <xf numFmtId="4" fontId="51" fillId="0" borderId="10" xfId="0" applyNumberFormat="1" applyFont="1" applyFill="1" applyBorder="1" applyAlignment="1">
      <alignment vertical="center"/>
    </xf>
    <xf numFmtId="0" fontId="27" fillId="0" borderId="10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justify" vertical="center" wrapText="1"/>
      <protection/>
    </xf>
    <xf numFmtId="4" fontId="51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3" fontId="27" fillId="0" borderId="11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3" fontId="50" fillId="0" borderId="11" xfId="49" applyFont="1" applyBorder="1" applyAlignment="1">
      <alignment vertical="center"/>
    </xf>
    <xf numFmtId="0" fontId="54" fillId="0" borderId="11" xfId="0" applyFont="1" applyFill="1" applyBorder="1" applyAlignment="1">
      <alignment horizontal="justify" vertical="center" wrapText="1"/>
    </xf>
    <xf numFmtId="43" fontId="27" fillId="0" borderId="11" xfId="49" applyFont="1" applyFill="1" applyBorder="1" applyAlignment="1">
      <alignment vertical="center" wrapText="1"/>
    </xf>
    <xf numFmtId="43" fontId="27" fillId="0" borderId="11" xfId="57" applyNumberFormat="1" applyFont="1" applyFill="1" applyBorder="1" applyAlignment="1">
      <alignment vertical="center" wrapText="1"/>
      <protection/>
    </xf>
    <xf numFmtId="0" fontId="27" fillId="0" borderId="10" xfId="57" applyFont="1" applyFill="1" applyBorder="1" applyAlignment="1">
      <alignment horizontal="justify" vertical="center" wrapText="1"/>
      <protection/>
    </xf>
    <xf numFmtId="0" fontId="27" fillId="0" borderId="11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justify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0" fontId="26" fillId="0" borderId="12" xfId="57" applyFont="1" applyFill="1" applyBorder="1" applyAlignment="1">
      <alignment horizontal="left" vertical="center" wrapText="1"/>
      <protection/>
    </xf>
    <xf numFmtId="0" fontId="26" fillId="0" borderId="11" xfId="57" applyFont="1" applyFill="1" applyBorder="1" applyAlignment="1">
      <alignment horizontal="left" vertical="center" wrapText="1"/>
      <protection/>
    </xf>
    <xf numFmtId="43" fontId="27" fillId="0" borderId="18" xfId="57" applyNumberFormat="1" applyFont="1" applyFill="1" applyBorder="1" applyAlignment="1">
      <alignment vertical="center" wrapText="1"/>
      <protection/>
    </xf>
    <xf numFmtId="0" fontId="26" fillId="9" borderId="19" xfId="0" applyFont="1" applyFill="1" applyBorder="1" applyAlignment="1">
      <alignment horizontal="center" vertical="center" wrapText="1"/>
    </xf>
    <xf numFmtId="43" fontId="50" fillId="0" borderId="11" xfId="49" applyFont="1" applyFill="1" applyBorder="1" applyAlignment="1">
      <alignment horizontal="center" vertical="center" wrapText="1"/>
    </xf>
    <xf numFmtId="43" fontId="50" fillId="0" borderId="12" xfId="49" applyFont="1" applyFill="1" applyBorder="1" applyAlignment="1">
      <alignment horizontal="center" vertical="center" wrapText="1"/>
    </xf>
    <xf numFmtId="43" fontId="50" fillId="0" borderId="11" xfId="49" applyFont="1" applyFill="1" applyBorder="1" applyAlignment="1">
      <alignment horizontal="center" vertical="center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0" fillId="0" borderId="12" xfId="49" applyNumberFormat="1" applyFont="1" applyFill="1" applyBorder="1" applyAlignment="1">
      <alignment horizontal="center" vertical="center" wrapText="1"/>
    </xf>
    <xf numFmtId="43" fontId="50" fillId="0" borderId="14" xfId="49" applyNumberFormat="1" applyFont="1" applyFill="1" applyBorder="1" applyAlignment="1">
      <alignment horizontal="center" vertical="center" wrapText="1"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2" xfId="49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8" xfId="57" applyFont="1" applyFill="1" applyBorder="1" applyAlignment="1">
      <alignment horizontal="center" vertical="center" wrapText="1"/>
      <protection/>
    </xf>
    <xf numFmtId="0" fontId="51" fillId="0" borderId="11" xfId="57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justify" vertical="center" wrapText="1"/>
    </xf>
    <xf numFmtId="43" fontId="50" fillId="0" borderId="11" xfId="49" applyNumberFormat="1" applyFont="1" applyFill="1" applyBorder="1" applyAlignment="1">
      <alignment horizontal="center" vertical="center"/>
    </xf>
    <xf numFmtId="183" fontId="50" fillId="0" borderId="18" xfId="49" applyNumberFormat="1" applyFont="1" applyFill="1" applyBorder="1" applyAlignment="1">
      <alignment horizontal="center" vertical="center" wrapText="1"/>
    </xf>
    <xf numFmtId="183" fontId="50" fillId="0" borderId="11" xfId="49" applyNumberFormat="1" applyFont="1" applyFill="1" applyBorder="1" applyAlignment="1">
      <alignment horizontal="center" vertical="center" wrapText="1"/>
    </xf>
    <xf numFmtId="0" fontId="27" fillId="0" borderId="11" xfId="57" applyFont="1" applyFill="1" applyBorder="1" applyAlignment="1">
      <alignment horizontal="center" vertical="center" wrapText="1"/>
      <protection/>
    </xf>
    <xf numFmtId="0" fontId="51" fillId="0" borderId="14" xfId="57" applyFont="1" applyFill="1" applyBorder="1" applyAlignment="1">
      <alignment horizontal="center" vertical="center" wrapText="1"/>
      <protection/>
    </xf>
    <xf numFmtId="0" fontId="50" fillId="0" borderId="12" xfId="57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justify" vertical="center" wrapText="1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center" vertical="center" wrapText="1"/>
    </xf>
    <xf numFmtId="0" fontId="51" fillId="33" borderId="11" xfId="57" applyFont="1" applyFill="1" applyBorder="1" applyAlignment="1">
      <alignment horizontal="center" vertical="center" wrapText="1"/>
      <protection/>
    </xf>
    <xf numFmtId="49" fontId="51" fillId="0" borderId="11" xfId="57" applyNumberFormat="1" applyFont="1" applyFill="1" applyBorder="1" applyAlignment="1">
      <alignment horizontal="center" vertical="center" wrapText="1"/>
      <protection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0" fontId="51" fillId="15" borderId="15" xfId="0" applyFont="1" applyFill="1" applyBorder="1" applyAlignment="1">
      <alignment horizontal="center"/>
    </xf>
    <xf numFmtId="0" fontId="51" fillId="0" borderId="12" xfId="57" applyFont="1" applyFill="1" applyBorder="1" applyAlignment="1">
      <alignment horizontal="center" vertical="center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6" fillId="0" borderId="12" xfId="57" applyFont="1" applyFill="1" applyBorder="1" applyAlignment="1">
      <alignment horizontal="left" vertical="center" wrapText="1"/>
      <protection/>
    </xf>
    <xf numFmtId="0" fontId="51" fillId="15" borderId="22" xfId="0" applyFont="1" applyFill="1" applyBorder="1" applyAlignment="1">
      <alignment horizontal="center" vertical="center"/>
    </xf>
    <xf numFmtId="43" fontId="51" fillId="3" borderId="15" xfId="49" applyNumberFormat="1" applyFont="1" applyFill="1" applyBorder="1" applyAlignment="1">
      <alignment horizontal="center" vertical="center" wrapText="1"/>
    </xf>
    <xf numFmtId="43" fontId="51" fillId="3" borderId="15" xfId="49" applyFont="1" applyFill="1" applyBorder="1" applyAlignment="1">
      <alignment vertical="center" wrapText="1"/>
    </xf>
    <xf numFmtId="43" fontId="51" fillId="3" borderId="15" xfId="49" applyFont="1" applyFill="1" applyBorder="1" applyAlignment="1">
      <alignment/>
    </xf>
    <xf numFmtId="0" fontId="50" fillId="3" borderId="15" xfId="0" applyFont="1" applyFill="1" applyBorder="1" applyAlignment="1">
      <alignment horizontal="center"/>
    </xf>
    <xf numFmtId="43" fontId="51" fillId="3" borderId="16" xfId="0" applyNumberFormat="1" applyFont="1" applyFill="1" applyBorder="1" applyAlignment="1">
      <alignment vertical="center"/>
    </xf>
    <xf numFmtId="4" fontId="50" fillId="0" borderId="11" xfId="0" applyNumberFormat="1" applyFont="1" applyFill="1" applyBorder="1" applyAlignment="1">
      <alignment horizontal="center"/>
    </xf>
    <xf numFmtId="4" fontId="50" fillId="0" borderId="18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vertical="center" wrapText="1"/>
    </xf>
    <xf numFmtId="43" fontId="51" fillId="0" borderId="12" xfId="49" applyFont="1" applyBorder="1" applyAlignment="1">
      <alignment vertical="center"/>
    </xf>
    <xf numFmtId="4" fontId="50" fillId="0" borderId="12" xfId="0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center"/>
    </xf>
    <xf numFmtId="43" fontId="51" fillId="15" borderId="15" xfId="57" applyNumberFormat="1" applyFont="1" applyFill="1" applyBorder="1" applyAlignment="1">
      <alignment horizontal="center" vertical="center" wrapText="1"/>
      <protection/>
    </xf>
    <xf numFmtId="43" fontId="50" fillId="3" borderId="15" xfId="49" applyFont="1" applyFill="1" applyBorder="1" applyAlignment="1">
      <alignment horizontal="center" vertical="center" wrapText="1"/>
    </xf>
    <xf numFmtId="43" fontId="51" fillId="3" borderId="15" xfId="49" applyFont="1" applyFill="1" applyBorder="1" applyAlignment="1">
      <alignment vertical="center"/>
    </xf>
    <xf numFmtId="0" fontId="50" fillId="3" borderId="15" xfId="57" applyFont="1" applyFill="1" applyBorder="1" applyAlignment="1">
      <alignment horizontal="center" vertical="center" wrapText="1"/>
      <protection/>
    </xf>
    <xf numFmtId="4" fontId="50" fillId="3" borderId="15" xfId="0" applyNumberFormat="1" applyFont="1" applyFill="1" applyBorder="1" applyAlignment="1">
      <alignment horizontal="center"/>
    </xf>
    <xf numFmtId="4" fontId="51" fillId="3" borderId="15" xfId="0" applyNumberFormat="1" applyFont="1" applyFill="1" applyBorder="1" applyAlignment="1">
      <alignment vertical="center"/>
    </xf>
    <xf numFmtId="43" fontId="50" fillId="9" borderId="15" xfId="49" applyFont="1" applyFill="1" applyBorder="1" applyAlignment="1">
      <alignment horizontal="center" vertical="center" wrapText="1"/>
    </xf>
    <xf numFmtId="43" fontId="51" fillId="9" borderId="15" xfId="49" applyFont="1" applyFill="1" applyBorder="1" applyAlignment="1">
      <alignment vertical="center"/>
    </xf>
    <xf numFmtId="4" fontId="50" fillId="9" borderId="15" xfId="0" applyNumberFormat="1" applyFont="1" applyFill="1" applyBorder="1" applyAlignment="1">
      <alignment horizontal="center"/>
    </xf>
    <xf numFmtId="4" fontId="51" fillId="9" borderId="15" xfId="0" applyNumberFormat="1" applyFont="1" applyFill="1" applyBorder="1" applyAlignment="1">
      <alignment vertical="center"/>
    </xf>
    <xf numFmtId="0" fontId="51" fillId="3" borderId="15" xfId="57" applyFont="1" applyFill="1" applyBorder="1" applyAlignment="1">
      <alignment horizontal="center" vertical="center" wrapText="1"/>
      <protection/>
    </xf>
    <xf numFmtId="43" fontId="51" fillId="3" borderId="15" xfId="49" applyFont="1" applyFill="1" applyBorder="1" applyAlignment="1">
      <alignment horizontal="center" vertical="center" wrapText="1"/>
    </xf>
    <xf numFmtId="4" fontId="51" fillId="3" borderId="15" xfId="0" applyNumberFormat="1" applyFont="1" applyFill="1" applyBorder="1" applyAlignment="1">
      <alignment horizontal="center"/>
    </xf>
    <xf numFmtId="0" fontId="51" fillId="0" borderId="18" xfId="57" applyFont="1" applyFill="1" applyBorder="1" applyAlignment="1">
      <alignment horizontal="center" vertical="center"/>
      <protection/>
    </xf>
    <xf numFmtId="0" fontId="26" fillId="0" borderId="23" xfId="57" applyFont="1" applyFill="1" applyBorder="1" applyAlignment="1">
      <alignment horizontal="left" vertical="center" wrapText="1"/>
      <protection/>
    </xf>
    <xf numFmtId="4" fontId="50" fillId="0" borderId="12" xfId="0" applyNumberFormat="1" applyFont="1" applyBorder="1" applyAlignment="1">
      <alignment horizontal="center"/>
    </xf>
    <xf numFmtId="0" fontId="51" fillId="0" borderId="23" xfId="57" applyFont="1" applyFill="1" applyBorder="1" applyAlignment="1">
      <alignment horizontal="left" vertical="center" wrapText="1"/>
      <protection/>
    </xf>
    <xf numFmtId="0" fontId="51" fillId="3" borderId="15" xfId="0" applyFont="1" applyFill="1" applyBorder="1" applyAlignment="1">
      <alignment horizontal="center"/>
    </xf>
    <xf numFmtId="43" fontId="51" fillId="3" borderId="15" xfId="0" applyNumberFormat="1" applyFont="1" applyFill="1" applyBorder="1" applyAlignment="1">
      <alignment vertical="center"/>
    </xf>
    <xf numFmtId="43" fontId="51" fillId="3" borderId="15" xfId="49" applyNumberFormat="1" applyFont="1" applyFill="1" applyBorder="1" applyAlignment="1">
      <alignment horizontal="center" vertical="center"/>
    </xf>
    <xf numFmtId="49" fontId="51" fillId="0" borderId="11" xfId="57" applyNumberFormat="1" applyFont="1" applyFill="1" applyBorder="1" applyAlignment="1">
      <alignment vertical="center" wrapText="1"/>
      <protection/>
    </xf>
    <xf numFmtId="49" fontId="51" fillId="0" borderId="18" xfId="57" applyNumberFormat="1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horizontal="center"/>
    </xf>
    <xf numFmtId="43" fontId="51" fillId="0" borderId="12" xfId="57" applyNumberFormat="1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vertical="center"/>
      <protection/>
    </xf>
    <xf numFmtId="43" fontId="51" fillId="0" borderId="12" xfId="49" applyFont="1" applyFill="1" applyBorder="1" applyAlignment="1">
      <alignment horizontal="center" vertical="center"/>
    </xf>
    <xf numFmtId="43" fontId="51" fillId="0" borderId="17" xfId="0" applyNumberFormat="1" applyFont="1" applyFill="1" applyBorder="1" applyAlignment="1">
      <alignment/>
    </xf>
    <xf numFmtId="0" fontId="50" fillId="0" borderId="15" xfId="0" applyFont="1" applyBorder="1" applyAlignment="1">
      <alignment/>
    </xf>
    <xf numFmtId="43" fontId="51" fillId="3" borderId="15" xfId="49" applyFont="1" applyFill="1" applyBorder="1" applyAlignment="1">
      <alignment horizontal="center" vertical="center"/>
    </xf>
    <xf numFmtId="43" fontId="51" fillId="3" borderId="15" xfId="57" applyNumberFormat="1" applyFont="1" applyFill="1" applyBorder="1" applyAlignment="1">
      <alignment horizontal="center" vertical="center" wrapText="1"/>
      <protection/>
    </xf>
    <xf numFmtId="43" fontId="51" fillId="3" borderId="15" xfId="49" applyFont="1" applyFill="1" applyBorder="1" applyAlignment="1">
      <alignment horizontal="right" vertical="center" wrapText="1"/>
    </xf>
    <xf numFmtId="43" fontId="51" fillId="3" borderId="15" xfId="49" applyFont="1" applyFill="1" applyBorder="1" applyAlignment="1">
      <alignment horizontal="center"/>
    </xf>
    <xf numFmtId="43" fontId="51" fillId="3" borderId="15" xfId="0" applyNumberFormat="1" applyFont="1" applyFill="1" applyBorder="1" applyAlignment="1">
      <alignment/>
    </xf>
    <xf numFmtId="43" fontId="51" fillId="0" borderId="12" xfId="49" applyNumberFormat="1" applyFont="1" applyFill="1" applyBorder="1" applyAlignment="1">
      <alignment vertical="center" wrapText="1"/>
    </xf>
    <xf numFmtId="43" fontId="51" fillId="3" borderId="15" xfId="49" applyNumberFormat="1" applyFont="1" applyFill="1" applyBorder="1" applyAlignment="1">
      <alignment vertical="center" wrapText="1"/>
    </xf>
    <xf numFmtId="4" fontId="51" fillId="15" borderId="15" xfId="0" applyNumberFormat="1" applyFont="1" applyFill="1" applyBorder="1" applyAlignment="1">
      <alignment vertical="center"/>
    </xf>
    <xf numFmtId="0" fontId="51" fillId="15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183" fontId="50" fillId="0" borderId="10" xfId="49" applyNumberFormat="1" applyFont="1" applyBorder="1" applyAlignment="1">
      <alignment horizontal="center" vertical="center"/>
    </xf>
    <xf numFmtId="10" fontId="50" fillId="0" borderId="12" xfId="59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183" fontId="50" fillId="0" borderId="11" xfId="49" applyNumberFormat="1" applyFont="1" applyBorder="1" applyAlignment="1">
      <alignment horizontal="center" vertical="center"/>
    </xf>
    <xf numFmtId="10" fontId="50" fillId="0" borderId="10" xfId="59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1" fillId="15" borderId="2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0" fontId="51" fillId="0" borderId="17" xfId="59" applyNumberFormat="1" applyFont="1" applyBorder="1" applyAlignment="1">
      <alignment horizontal="center" vertical="center"/>
    </xf>
    <xf numFmtId="10" fontId="50" fillId="0" borderId="13" xfId="59" applyNumberFormat="1" applyFont="1" applyBorder="1" applyAlignment="1">
      <alignment horizontal="center" vertical="center"/>
    </xf>
    <xf numFmtId="183" fontId="51" fillId="0" borderId="10" xfId="49" applyNumberFormat="1" applyFont="1" applyBorder="1" applyAlignment="1">
      <alignment horizontal="center" vertical="center"/>
    </xf>
    <xf numFmtId="0" fontId="51" fillId="15" borderId="26" xfId="0" applyFont="1" applyFill="1" applyBorder="1" applyAlignment="1">
      <alignment horizontal="center" vertical="center" wrapText="1"/>
    </xf>
    <xf numFmtId="10" fontId="51" fillId="0" borderId="26" xfId="59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10" fontId="50" fillId="0" borderId="26" xfId="59" applyNumberFormat="1" applyFont="1" applyBorder="1" applyAlignment="1">
      <alignment horizontal="center" vertical="center"/>
    </xf>
    <xf numFmtId="10" fontId="50" fillId="0" borderId="29" xfId="59" applyNumberFormat="1" applyFont="1" applyBorder="1" applyAlignment="1">
      <alignment horizontal="center" vertical="center"/>
    </xf>
    <xf numFmtId="183" fontId="51" fillId="3" borderId="15" xfId="0" applyNumberFormat="1" applyFont="1" applyFill="1" applyBorder="1" applyAlignment="1">
      <alignment horizontal="center" vertical="center"/>
    </xf>
    <xf numFmtId="10" fontId="51" fillId="3" borderId="15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9" fontId="51" fillId="3" borderId="16" xfId="0" applyNumberFormat="1" applyFont="1" applyFill="1" applyBorder="1" applyAlignment="1">
      <alignment horizontal="center" vertical="center"/>
    </xf>
    <xf numFmtId="43" fontId="51" fillId="0" borderId="12" xfId="49" applyFont="1" applyFill="1" applyBorder="1" applyAlignment="1">
      <alignment horizontal="center" vertical="center" wrapText="1"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43" fontId="51" fillId="0" borderId="10" xfId="49" applyFont="1" applyFill="1" applyBorder="1" applyAlignment="1">
      <alignment horizontal="center" vertical="center" wrapText="1"/>
    </xf>
    <xf numFmtId="0" fontId="51" fillId="0" borderId="12" xfId="57" applyFont="1" applyFill="1" applyBorder="1" applyAlignment="1">
      <alignment horizontal="center" vertical="center" wrapText="1"/>
      <protection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172" fontId="51" fillId="0" borderId="12" xfId="57" applyNumberFormat="1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horizontal="center" vertical="center" wrapText="1"/>
      <protection/>
    </xf>
    <xf numFmtId="0" fontId="51" fillId="3" borderId="15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83" fontId="51" fillId="0" borderId="0" xfId="0" applyNumberFormat="1" applyFont="1" applyBorder="1" applyAlignment="1">
      <alignment horizontal="center" vertical="center"/>
    </xf>
    <xf numFmtId="183" fontId="51" fillId="3" borderId="15" xfId="49" applyNumberFormat="1" applyFont="1" applyFill="1" applyBorder="1" applyAlignment="1">
      <alignment horizontal="right" vertical="center"/>
    </xf>
    <xf numFmtId="9" fontId="51" fillId="3" borderId="15" xfId="0" applyNumberFormat="1" applyFont="1" applyFill="1" applyBorder="1" applyAlignment="1">
      <alignment horizontal="center" vertical="center"/>
    </xf>
    <xf numFmtId="43" fontId="50" fillId="0" borderId="10" xfId="49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0" xfId="57" applyFont="1" applyFill="1" applyBorder="1" applyAlignment="1">
      <alignment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1" fillId="3" borderId="16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10" fontId="50" fillId="0" borderId="12" xfId="59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7" xfId="0" applyFont="1" applyFill="1" applyBorder="1" applyAlignment="1">
      <alignment horizontal="center" vertical="center"/>
    </xf>
    <xf numFmtId="43" fontId="51" fillId="3" borderId="16" xfId="49" applyFont="1" applyFill="1" applyBorder="1" applyAlignment="1">
      <alignment horizontal="center" vertical="center" wrapText="1"/>
    </xf>
    <xf numFmtId="4" fontId="51" fillId="9" borderId="16" xfId="0" applyNumberFormat="1" applyFont="1" applyFill="1" applyBorder="1" applyAlignment="1">
      <alignment vertical="center"/>
    </xf>
    <xf numFmtId="4" fontId="51" fillId="3" borderId="16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 horizontal="right"/>
    </xf>
    <xf numFmtId="0" fontId="53" fillId="0" borderId="1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3" borderId="15" xfId="57" applyFont="1" applyFill="1" applyBorder="1" applyAlignment="1">
      <alignment horizontal="left" vertical="center" wrapText="1"/>
      <protection/>
    </xf>
    <xf numFmtId="43" fontId="50" fillId="0" borderId="11" xfId="49" applyNumberFormat="1" applyFont="1" applyFill="1" applyBorder="1" applyAlignment="1">
      <alignment horizontal="center" vertical="center"/>
    </xf>
    <xf numFmtId="43" fontId="50" fillId="0" borderId="14" xfId="49" applyNumberFormat="1" applyFont="1" applyFill="1" applyBorder="1" applyAlignment="1">
      <alignment horizontal="center" vertical="center"/>
    </xf>
    <xf numFmtId="43" fontId="50" fillId="0" borderId="12" xfId="49" applyNumberFormat="1" applyFont="1" applyFill="1" applyBorder="1" applyAlignment="1">
      <alignment horizontal="center" vertical="center"/>
    </xf>
    <xf numFmtId="0" fontId="51" fillId="0" borderId="11" xfId="57" applyFont="1" applyFill="1" applyBorder="1" applyAlignment="1">
      <alignment horizontal="center" vertical="center" wrapText="1"/>
      <protection/>
    </xf>
    <xf numFmtId="0" fontId="51" fillId="0" borderId="14" xfId="57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horizontal="center" vertical="center" wrapText="1"/>
      <protection/>
    </xf>
    <xf numFmtId="183" fontId="51" fillId="0" borderId="11" xfId="49" applyNumberFormat="1" applyFont="1" applyFill="1" applyBorder="1" applyAlignment="1">
      <alignment horizontal="center" vertical="center" wrapText="1"/>
    </xf>
    <xf numFmtId="183" fontId="51" fillId="0" borderId="14" xfId="49" applyNumberFormat="1" applyFont="1" applyFill="1" applyBorder="1" applyAlignment="1">
      <alignment horizontal="center" vertical="center" wrapText="1"/>
    </xf>
    <xf numFmtId="183" fontId="51" fillId="0" borderId="12" xfId="49" applyNumberFormat="1" applyFont="1" applyFill="1" applyBorder="1" applyAlignment="1">
      <alignment horizontal="center" vertical="center" wrapText="1"/>
    </xf>
    <xf numFmtId="183" fontId="50" fillId="0" borderId="18" xfId="49" applyNumberFormat="1" applyFont="1" applyFill="1" applyBorder="1" applyAlignment="1">
      <alignment horizontal="center" vertical="center" wrapText="1"/>
    </xf>
    <xf numFmtId="183" fontId="50" fillId="0" borderId="33" xfId="49" applyNumberFormat="1" applyFont="1" applyFill="1" applyBorder="1" applyAlignment="1">
      <alignment horizontal="center" vertical="center" wrapText="1"/>
    </xf>
    <xf numFmtId="183" fontId="50" fillId="0" borderId="17" xfId="49" applyNumberFormat="1" applyFont="1" applyFill="1" applyBorder="1" applyAlignment="1">
      <alignment horizontal="center" vertical="center" wrapText="1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0" fillId="0" borderId="14" xfId="49" applyNumberFormat="1" applyFont="1" applyFill="1" applyBorder="1" applyAlignment="1">
      <alignment horizontal="center" vertical="center" wrapText="1"/>
    </xf>
    <xf numFmtId="43" fontId="50" fillId="0" borderId="12" xfId="49" applyNumberFormat="1" applyFont="1" applyFill="1" applyBorder="1" applyAlignment="1">
      <alignment horizontal="center" vertical="center" wrapText="1"/>
    </xf>
    <xf numFmtId="43" fontId="50" fillId="0" borderId="18" xfId="49" applyNumberFormat="1" applyFont="1" applyFill="1" applyBorder="1" applyAlignment="1">
      <alignment horizontal="center" vertical="center" wrapText="1"/>
    </xf>
    <xf numFmtId="43" fontId="50" fillId="0" borderId="33" xfId="49" applyNumberFormat="1" applyFont="1" applyFill="1" applyBorder="1" applyAlignment="1">
      <alignment horizontal="center" vertical="center" wrapText="1"/>
    </xf>
    <xf numFmtId="43" fontId="50" fillId="0" borderId="17" xfId="49" applyNumberFormat="1" applyFont="1" applyFill="1" applyBorder="1" applyAlignment="1">
      <alignment horizontal="center" vertical="center" wrapText="1"/>
    </xf>
    <xf numFmtId="183" fontId="50" fillId="0" borderId="11" xfId="49" applyNumberFormat="1" applyFont="1" applyFill="1" applyBorder="1" applyAlignment="1">
      <alignment horizontal="center" vertical="center" wrapText="1"/>
    </xf>
    <xf numFmtId="183" fontId="50" fillId="0" borderId="12" xfId="49" applyNumberFormat="1" applyFont="1" applyFill="1" applyBorder="1" applyAlignment="1">
      <alignment horizontal="center" vertical="center" wrapText="1"/>
    </xf>
    <xf numFmtId="43" fontId="50" fillId="0" borderId="18" xfId="0" applyNumberFormat="1" applyFont="1" applyFill="1" applyBorder="1" applyAlignment="1">
      <alignment horizontal="center" vertical="center"/>
    </xf>
    <xf numFmtId="43" fontId="50" fillId="0" borderId="17" xfId="0" applyNumberFormat="1" applyFont="1" applyFill="1" applyBorder="1" applyAlignment="1">
      <alignment horizontal="center" vertical="center"/>
    </xf>
    <xf numFmtId="43" fontId="51" fillId="0" borderId="18" xfId="0" applyNumberFormat="1" applyFont="1" applyFill="1" applyBorder="1" applyAlignment="1">
      <alignment horizontal="center" vertical="center"/>
    </xf>
    <xf numFmtId="43" fontId="51" fillId="0" borderId="33" xfId="0" applyNumberFormat="1" applyFont="1" applyFill="1" applyBorder="1" applyAlignment="1">
      <alignment horizontal="center" vertical="center"/>
    </xf>
    <xf numFmtId="43" fontId="51" fillId="0" borderId="17" xfId="0" applyNumberFormat="1" applyFont="1" applyFill="1" applyBorder="1" applyAlignment="1">
      <alignment horizontal="center" vertical="center"/>
    </xf>
    <xf numFmtId="43" fontId="50" fillId="0" borderId="18" xfId="49" applyNumberFormat="1" applyFont="1" applyFill="1" applyBorder="1" applyAlignment="1">
      <alignment horizontal="center" vertical="center"/>
    </xf>
    <xf numFmtId="43" fontId="50" fillId="0" borderId="33" xfId="49" applyNumberFormat="1" applyFont="1" applyFill="1" applyBorder="1" applyAlignment="1">
      <alignment horizontal="center" vertical="center"/>
    </xf>
    <xf numFmtId="43" fontId="50" fillId="0" borderId="17" xfId="49" applyNumberFormat="1" applyFont="1" applyFill="1" applyBorder="1" applyAlignment="1">
      <alignment horizontal="center" vertical="center"/>
    </xf>
    <xf numFmtId="4" fontId="50" fillId="0" borderId="10" xfId="49" applyNumberFormat="1" applyFont="1" applyFill="1" applyBorder="1" applyAlignment="1">
      <alignment horizontal="right" vertical="center" wrapText="1"/>
    </xf>
    <xf numFmtId="4" fontId="50" fillId="0" borderId="13" xfId="49" applyNumberFormat="1" applyFont="1" applyFill="1" applyBorder="1" applyAlignment="1">
      <alignment horizontal="right" vertical="center" wrapText="1"/>
    </xf>
    <xf numFmtId="4" fontId="50" fillId="0" borderId="18" xfId="0" applyNumberFormat="1" applyFont="1" applyFill="1" applyBorder="1" applyAlignment="1">
      <alignment horizontal="right" vertical="center"/>
    </xf>
    <xf numFmtId="4" fontId="50" fillId="0" borderId="17" xfId="0" applyNumberFormat="1" applyFont="1" applyFill="1" applyBorder="1" applyAlignment="1">
      <alignment horizontal="right" vertical="center"/>
    </xf>
    <xf numFmtId="43" fontId="50" fillId="0" borderId="33" xfId="0" applyNumberFormat="1" applyFont="1" applyFill="1" applyBorder="1" applyAlignment="1">
      <alignment horizontal="center" vertical="center"/>
    </xf>
    <xf numFmtId="43" fontId="50" fillId="0" borderId="11" xfId="0" applyNumberFormat="1" applyFont="1" applyBorder="1" applyAlignment="1">
      <alignment horizontal="center" vertical="center"/>
    </xf>
    <xf numFmtId="43" fontId="50" fillId="0" borderId="14" xfId="0" applyNumberFormat="1" applyFont="1" applyBorder="1" applyAlignment="1">
      <alignment horizontal="center" vertical="center"/>
    </xf>
    <xf numFmtId="43" fontId="50" fillId="0" borderId="12" xfId="0" applyNumberFormat="1" applyFont="1" applyBorder="1" applyAlignment="1">
      <alignment horizontal="center" vertical="center"/>
    </xf>
    <xf numFmtId="43" fontId="50" fillId="0" borderId="18" xfId="0" applyNumberFormat="1" applyFont="1" applyBorder="1" applyAlignment="1">
      <alignment horizontal="center" vertical="center"/>
    </xf>
    <xf numFmtId="43" fontId="50" fillId="0" borderId="33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27" fillId="0" borderId="11" xfId="49" applyFont="1" applyFill="1" applyBorder="1" applyAlignment="1">
      <alignment horizontal="center" vertical="center" wrapText="1"/>
    </xf>
    <xf numFmtId="43" fontId="27" fillId="0" borderId="12" xfId="49" applyFont="1" applyFill="1" applyBorder="1" applyAlignment="1">
      <alignment horizontal="center" vertical="center" wrapText="1"/>
    </xf>
    <xf numFmtId="43" fontId="27" fillId="0" borderId="18" xfId="49" applyFont="1" applyFill="1" applyBorder="1" applyAlignment="1">
      <alignment horizontal="center" vertical="center" wrapText="1"/>
    </xf>
    <xf numFmtId="43" fontId="27" fillId="0" borderId="17" xfId="49" applyFont="1" applyFill="1" applyBorder="1" applyAlignment="1">
      <alignment horizontal="center" vertical="center" wrapText="1"/>
    </xf>
    <xf numFmtId="4" fontId="50" fillId="0" borderId="11" xfId="49" applyNumberFormat="1" applyFont="1" applyFill="1" applyBorder="1" applyAlignment="1">
      <alignment horizontal="right" vertical="center" wrapText="1"/>
    </xf>
    <xf numFmtId="0" fontId="50" fillId="0" borderId="14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4" fontId="50" fillId="0" borderId="18" xfId="49" applyNumberFormat="1" applyFont="1" applyFill="1" applyBorder="1" applyAlignment="1">
      <alignment horizontal="right" vertical="center" wrapText="1"/>
    </xf>
    <xf numFmtId="0" fontId="50" fillId="0" borderId="33" xfId="0" applyFont="1" applyFill="1" applyBorder="1" applyAlignment="1">
      <alignment horizontal="right" vertical="center" wrapText="1"/>
    </xf>
    <xf numFmtId="0" fontId="50" fillId="0" borderId="17" xfId="0" applyFont="1" applyFill="1" applyBorder="1" applyAlignment="1">
      <alignment horizontal="right" vertical="center" wrapText="1"/>
    </xf>
    <xf numFmtId="43" fontId="50" fillId="0" borderId="11" xfId="49" applyFont="1" applyFill="1" applyBorder="1" applyAlignment="1">
      <alignment horizontal="center" vertical="center" wrapText="1"/>
    </xf>
    <xf numFmtId="43" fontId="50" fillId="0" borderId="14" xfId="49" applyFont="1" applyFill="1" applyBorder="1" applyAlignment="1">
      <alignment horizontal="center" vertical="center" wrapText="1"/>
    </xf>
    <xf numFmtId="43" fontId="50" fillId="0" borderId="12" xfId="49" applyFont="1" applyFill="1" applyBorder="1" applyAlignment="1">
      <alignment horizontal="center" vertical="center" wrapText="1"/>
    </xf>
    <xf numFmtId="43" fontId="50" fillId="0" borderId="18" xfId="49" applyFont="1" applyFill="1" applyBorder="1" applyAlignment="1">
      <alignment horizontal="center" vertical="center" wrapText="1"/>
    </xf>
    <xf numFmtId="43" fontId="50" fillId="0" borderId="33" xfId="49" applyFont="1" applyFill="1" applyBorder="1" applyAlignment="1">
      <alignment horizontal="center" vertical="center" wrapText="1"/>
    </xf>
    <xf numFmtId="43" fontId="50" fillId="0" borderId="17" xfId="49" applyFont="1" applyFill="1" applyBorder="1" applyAlignment="1">
      <alignment horizontal="center" vertical="center" wrapText="1"/>
    </xf>
    <xf numFmtId="4" fontId="50" fillId="0" borderId="12" xfId="49" applyNumberFormat="1" applyFont="1" applyFill="1" applyBorder="1" applyAlignment="1">
      <alignment horizontal="right" vertical="center" wrapText="1"/>
    </xf>
    <xf numFmtId="43" fontId="51" fillId="0" borderId="18" xfId="49" applyNumberFormat="1" applyFont="1" applyFill="1" applyBorder="1" applyAlignment="1">
      <alignment horizontal="center" vertical="center" wrapText="1"/>
    </xf>
    <xf numFmtId="43" fontId="51" fillId="0" borderId="33" xfId="49" applyNumberFormat="1" applyFont="1" applyFill="1" applyBorder="1" applyAlignment="1">
      <alignment horizontal="center" vertical="center" wrapText="1"/>
    </xf>
    <xf numFmtId="43" fontId="51" fillId="0" borderId="17" xfId="49" applyNumberFormat="1" applyFont="1" applyFill="1" applyBorder="1" applyAlignment="1">
      <alignment horizontal="center" vertical="center" wrapText="1"/>
    </xf>
    <xf numFmtId="43" fontId="50" fillId="33" borderId="18" xfId="49" applyNumberFormat="1" applyFont="1" applyFill="1" applyBorder="1" applyAlignment="1">
      <alignment horizontal="center" vertical="center"/>
    </xf>
    <xf numFmtId="43" fontId="50" fillId="33" borderId="17" xfId="49" applyNumberFormat="1" applyFont="1" applyFill="1" applyBorder="1" applyAlignment="1">
      <alignment horizontal="center" vertical="center"/>
    </xf>
    <xf numFmtId="43" fontId="50" fillId="33" borderId="33" xfId="49" applyNumberFormat="1" applyFont="1" applyFill="1" applyBorder="1" applyAlignment="1">
      <alignment horizontal="center" vertical="center"/>
    </xf>
    <xf numFmtId="173" fontId="51" fillId="15" borderId="16" xfId="49" applyNumberFormat="1" applyFont="1" applyFill="1" applyBorder="1" applyAlignment="1">
      <alignment horizontal="center" vertical="center" wrapText="1"/>
    </xf>
    <xf numFmtId="173" fontId="51" fillId="15" borderId="31" xfId="49" applyNumberFormat="1" applyFont="1" applyFill="1" applyBorder="1" applyAlignment="1">
      <alignment horizontal="center" vertical="center" wrapText="1"/>
    </xf>
    <xf numFmtId="173" fontId="51" fillId="15" borderId="32" xfId="49" applyNumberFormat="1" applyFont="1" applyFill="1" applyBorder="1" applyAlignment="1">
      <alignment horizontal="center" vertical="center" wrapText="1"/>
    </xf>
    <xf numFmtId="173" fontId="51" fillId="15" borderId="19" xfId="49" applyNumberFormat="1" applyFont="1" applyFill="1" applyBorder="1" applyAlignment="1">
      <alignment horizontal="center" vertical="center" wrapText="1"/>
    </xf>
    <xf numFmtId="173" fontId="51" fillId="15" borderId="15" xfId="49" applyNumberFormat="1" applyFont="1" applyFill="1" applyBorder="1" applyAlignment="1">
      <alignment horizontal="center" vertical="center" wrapText="1"/>
    </xf>
    <xf numFmtId="173" fontId="51" fillId="15" borderId="22" xfId="49" applyNumberFormat="1" applyFont="1" applyFill="1" applyBorder="1" applyAlignment="1">
      <alignment horizontal="center" vertical="center" wrapText="1"/>
    </xf>
    <xf numFmtId="0" fontId="51" fillId="15" borderId="22" xfId="0" applyFont="1" applyFill="1" applyBorder="1" applyAlignment="1">
      <alignment horizontal="center" vertical="center" wrapText="1"/>
    </xf>
    <xf numFmtId="0" fontId="51" fillId="15" borderId="34" xfId="0" applyFont="1" applyFill="1" applyBorder="1" applyAlignment="1">
      <alignment horizontal="center" vertical="center" wrapText="1"/>
    </xf>
    <xf numFmtId="0" fontId="51" fillId="15" borderId="19" xfId="0" applyFont="1" applyFill="1" applyBorder="1" applyAlignment="1">
      <alignment horizontal="center" vertical="center" wrapText="1"/>
    </xf>
    <xf numFmtId="43" fontId="51" fillId="15" borderId="16" xfId="49" applyFont="1" applyFill="1" applyBorder="1" applyAlignment="1">
      <alignment horizontal="center" vertical="center" wrapText="1"/>
    </xf>
    <xf numFmtId="43" fontId="51" fillId="15" borderId="31" xfId="49" applyFont="1" applyFill="1" applyBorder="1" applyAlignment="1">
      <alignment horizontal="center" vertical="center" wrapText="1"/>
    </xf>
    <xf numFmtId="43" fontId="51" fillId="15" borderId="32" xfId="49" applyFont="1" applyFill="1" applyBorder="1" applyAlignment="1">
      <alignment horizontal="center" vertical="center" wrapText="1"/>
    </xf>
    <xf numFmtId="0" fontId="51" fillId="15" borderId="15" xfId="0" applyFont="1" applyFill="1" applyBorder="1" applyAlignment="1">
      <alignment horizontal="center" vertical="center" wrapText="1"/>
    </xf>
    <xf numFmtId="43" fontId="50" fillId="0" borderId="11" xfId="49" applyFont="1" applyBorder="1" applyAlignment="1">
      <alignment horizontal="center" vertical="center"/>
    </xf>
    <xf numFmtId="43" fontId="50" fillId="0" borderId="12" xfId="49" applyFont="1" applyBorder="1" applyAlignment="1">
      <alignment horizontal="center" vertical="center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4" xfId="49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3" fontId="50" fillId="0" borderId="10" xfId="49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left" vertical="center" wrapText="1"/>
    </xf>
    <xf numFmtId="0" fontId="51" fillId="9" borderId="15" xfId="57" applyFont="1" applyFill="1" applyBorder="1" applyAlignment="1">
      <alignment horizontal="left" vertical="center" wrapText="1"/>
      <protection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26" fillId="0" borderId="11" xfId="57" applyFont="1" applyFill="1" applyBorder="1" applyAlignment="1">
      <alignment horizontal="left" vertical="center" wrapText="1"/>
      <protection/>
    </xf>
    <xf numFmtId="0" fontId="26" fillId="0" borderId="14" xfId="57" applyFont="1" applyFill="1" applyBorder="1" applyAlignment="1">
      <alignment horizontal="left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4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4" fontId="50" fillId="0" borderId="10" xfId="49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43" fontId="50" fillId="0" borderId="14" xfId="49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justify" vertical="center" wrapText="1"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4" xfId="57" applyFont="1" applyFill="1" applyBorder="1" applyAlignment="1">
      <alignment horizontal="center" vertical="center"/>
      <protection/>
    </xf>
    <xf numFmtId="0" fontId="50" fillId="0" borderId="14" xfId="0" applyFont="1" applyBorder="1" applyAlignment="1">
      <alignment horizontal="center"/>
    </xf>
    <xf numFmtId="43" fontId="51" fillId="0" borderId="10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172" fontId="51" fillId="0" borderId="11" xfId="57" applyNumberFormat="1" applyFont="1" applyFill="1" applyBorder="1" applyAlignment="1">
      <alignment horizontal="center" vertical="center" wrapText="1"/>
      <protection/>
    </xf>
    <xf numFmtId="172" fontId="51" fillId="0" borderId="12" xfId="57" applyNumberFormat="1" applyFont="1" applyFill="1" applyBorder="1" applyAlignment="1">
      <alignment horizontal="center" vertical="center" wrapText="1"/>
      <protection/>
    </xf>
    <xf numFmtId="172" fontId="51" fillId="0" borderId="14" xfId="57" applyNumberFormat="1" applyFont="1" applyFill="1" applyBorder="1" applyAlignment="1">
      <alignment horizontal="center" vertical="center" wrapText="1"/>
      <protection/>
    </xf>
    <xf numFmtId="0" fontId="50" fillId="0" borderId="11" xfId="57" applyFont="1" applyFill="1" applyBorder="1" applyAlignment="1">
      <alignment horizontal="justify" vertical="center" wrapText="1"/>
      <protection/>
    </xf>
    <xf numFmtId="0" fontId="50" fillId="0" borderId="14" xfId="57" applyFont="1" applyFill="1" applyBorder="1" applyAlignment="1">
      <alignment horizontal="justify" vertical="center" wrapText="1"/>
      <protection/>
    </xf>
    <xf numFmtId="0" fontId="50" fillId="0" borderId="12" xfId="57" applyFont="1" applyFill="1" applyBorder="1" applyAlignment="1">
      <alignment horizontal="justify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51" fillId="0" borderId="11" xfId="57" applyNumberFormat="1" applyFont="1" applyFill="1" applyBorder="1" applyAlignment="1">
      <alignment horizontal="center" vertical="center" wrapText="1"/>
      <protection/>
    </xf>
    <xf numFmtId="49" fontId="51" fillId="0" borderId="14" xfId="57" applyNumberFormat="1" applyFont="1" applyFill="1" applyBorder="1" applyAlignment="1">
      <alignment horizontal="center" vertical="center" wrapText="1"/>
      <protection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49" fontId="50" fillId="0" borderId="11" xfId="57" applyNumberFormat="1" applyFont="1" applyFill="1" applyBorder="1" applyAlignment="1">
      <alignment horizontal="center" vertical="center" wrapText="1"/>
      <protection/>
    </xf>
    <xf numFmtId="49" fontId="50" fillId="0" borderId="14" xfId="57" applyNumberFormat="1" applyFont="1" applyFill="1" applyBorder="1" applyAlignment="1">
      <alignment horizontal="center" vertical="center" wrapText="1"/>
      <protection/>
    </xf>
    <xf numFmtId="0" fontId="50" fillId="0" borderId="11" xfId="57" applyFont="1" applyFill="1" applyBorder="1" applyAlignment="1">
      <alignment horizontal="center" vertical="center" wrapText="1"/>
      <protection/>
    </xf>
    <xf numFmtId="0" fontId="50" fillId="0" borderId="14" xfId="57" applyFont="1" applyFill="1" applyBorder="1" applyAlignment="1">
      <alignment horizontal="center" vertical="center" wrapText="1"/>
      <protection/>
    </xf>
    <xf numFmtId="0" fontId="50" fillId="0" borderId="12" xfId="57" applyFont="1" applyFill="1" applyBorder="1" applyAlignment="1">
      <alignment horizontal="center" vertical="center" wrapText="1"/>
      <protection/>
    </xf>
    <xf numFmtId="0" fontId="51" fillId="15" borderId="15" xfId="57" applyFont="1" applyFill="1" applyBorder="1" applyAlignment="1">
      <alignment horizontal="center" vertical="center" wrapText="1"/>
      <protection/>
    </xf>
    <xf numFmtId="0" fontId="51" fillId="0" borderId="35" xfId="57" applyFont="1" applyFill="1" applyBorder="1" applyAlignment="1">
      <alignment horizontal="center" vertical="center" wrapText="1"/>
      <protection/>
    </xf>
    <xf numFmtId="0" fontId="51" fillId="0" borderId="36" xfId="57" applyFont="1" applyFill="1" applyBorder="1" applyAlignment="1">
      <alignment horizontal="center" vertical="center" wrapText="1"/>
      <protection/>
    </xf>
    <xf numFmtId="0" fontId="51" fillId="0" borderId="37" xfId="57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justify" vertical="center" wrapText="1"/>
    </xf>
    <xf numFmtId="0" fontId="26" fillId="3" borderId="15" xfId="57" applyFont="1" applyFill="1" applyBorder="1" applyAlignment="1">
      <alignment horizontal="left" vertical="center" wrapText="1"/>
      <protection/>
    </xf>
    <xf numFmtId="0" fontId="51" fillId="0" borderId="12" xfId="0" applyFont="1" applyBorder="1" applyAlignment="1">
      <alignment horizontal="center"/>
    </xf>
    <xf numFmtId="0" fontId="51" fillId="33" borderId="11" xfId="57" applyFont="1" applyFill="1" applyBorder="1" applyAlignment="1">
      <alignment horizontal="center" vertical="center" wrapText="1"/>
      <protection/>
    </xf>
    <xf numFmtId="0" fontId="51" fillId="33" borderId="14" xfId="57" applyFont="1" applyFill="1" applyBorder="1" applyAlignment="1">
      <alignment horizontal="center" vertical="center" wrapText="1"/>
      <protection/>
    </xf>
    <xf numFmtId="0" fontId="51" fillId="33" borderId="12" xfId="57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justify" vertical="center" wrapText="1"/>
    </xf>
    <xf numFmtId="0" fontId="50" fillId="33" borderId="14" xfId="0" applyFont="1" applyFill="1" applyBorder="1" applyAlignment="1">
      <alignment horizontal="justify" vertical="center" wrapText="1"/>
    </xf>
    <xf numFmtId="0" fontId="50" fillId="33" borderId="12" xfId="0" applyFont="1" applyFill="1" applyBorder="1" applyAlignment="1">
      <alignment horizontal="justify" vertical="center" wrapText="1"/>
    </xf>
    <xf numFmtId="0" fontId="51" fillId="0" borderId="11" xfId="57" applyFont="1" applyFill="1" applyBorder="1" applyAlignment="1">
      <alignment horizontal="center" vertical="center"/>
      <protection/>
    </xf>
    <xf numFmtId="0" fontId="51" fillId="0" borderId="12" xfId="57" applyFont="1" applyFill="1" applyBorder="1" applyAlignment="1">
      <alignment horizontal="center" vertical="center"/>
      <protection/>
    </xf>
    <xf numFmtId="0" fontId="51" fillId="0" borderId="14" xfId="57" applyFont="1" applyFill="1" applyBorder="1" applyAlignment="1">
      <alignment horizontal="center" vertical="center"/>
      <protection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4" xfId="49" applyNumberFormat="1" applyFont="1" applyFill="1" applyBorder="1" applyAlignment="1">
      <alignment horizontal="center" vertical="center" wrapText="1"/>
    </xf>
    <xf numFmtId="43" fontId="51" fillId="0" borderId="12" xfId="49" applyNumberFormat="1" applyFont="1" applyFill="1" applyBorder="1" applyAlignment="1">
      <alignment horizontal="center" vertical="center" wrapText="1"/>
    </xf>
    <xf numFmtId="183" fontId="50" fillId="0" borderId="14" xfId="49" applyNumberFormat="1" applyFont="1" applyFill="1" applyBorder="1" applyAlignment="1">
      <alignment horizontal="center" vertical="center" wrapText="1"/>
    </xf>
    <xf numFmtId="49" fontId="50" fillId="0" borderId="12" xfId="57" applyNumberFormat="1" applyFont="1" applyFill="1" applyBorder="1" applyAlignment="1">
      <alignment horizontal="center" vertical="center" wrapText="1"/>
      <protection/>
    </xf>
    <xf numFmtId="43" fontId="50" fillId="33" borderId="11" xfId="49" applyNumberFormat="1" applyFont="1" applyFill="1" applyBorder="1" applyAlignment="1">
      <alignment horizontal="center" vertical="center"/>
    </xf>
    <xf numFmtId="43" fontId="50" fillId="33" borderId="14" xfId="49" applyNumberFormat="1" applyFont="1" applyFill="1" applyBorder="1" applyAlignment="1">
      <alignment horizontal="center" vertical="center"/>
    </xf>
    <xf numFmtId="43" fontId="50" fillId="33" borderId="12" xfId="49" applyNumberFormat="1" applyFont="1" applyFill="1" applyBorder="1" applyAlignment="1">
      <alignment horizontal="center" vertical="center"/>
    </xf>
    <xf numFmtId="0" fontId="51" fillId="9" borderId="15" xfId="0" applyFont="1" applyFill="1" applyBorder="1" applyAlignment="1">
      <alignment horizontal="left" vertical="center"/>
    </xf>
    <xf numFmtId="0" fontId="51" fillId="3" borderId="16" xfId="57" applyFont="1" applyFill="1" applyBorder="1" applyAlignment="1">
      <alignment horizontal="left" vertical="center" wrapText="1"/>
      <protection/>
    </xf>
    <xf numFmtId="0" fontId="51" fillId="3" borderId="31" xfId="57" applyFont="1" applyFill="1" applyBorder="1" applyAlignment="1">
      <alignment horizontal="left" vertical="center" wrapText="1"/>
      <protection/>
    </xf>
    <xf numFmtId="0" fontId="51" fillId="3" borderId="32" xfId="57" applyFont="1" applyFill="1" applyBorder="1" applyAlignment="1">
      <alignment horizontal="left" vertical="center" wrapText="1"/>
      <protection/>
    </xf>
    <xf numFmtId="43" fontId="50" fillId="0" borderId="10" xfId="49" applyFont="1" applyFill="1" applyBorder="1" applyAlignment="1">
      <alignment horizontal="center" vertical="center"/>
    </xf>
    <xf numFmtId="0" fontId="51" fillId="15" borderId="15" xfId="0" applyFont="1" applyFill="1" applyBorder="1" applyAlignment="1">
      <alignment horizontal="center"/>
    </xf>
    <xf numFmtId="43" fontId="50" fillId="0" borderId="11" xfId="49" applyFont="1" applyFill="1" applyBorder="1" applyAlignment="1">
      <alignment horizontal="center" vertical="center"/>
    </xf>
    <xf numFmtId="43" fontId="50" fillId="0" borderId="14" xfId="49" applyFont="1" applyFill="1" applyBorder="1" applyAlignment="1">
      <alignment horizontal="center" vertical="center"/>
    </xf>
    <xf numFmtId="43" fontId="50" fillId="0" borderId="12" xfId="49" applyFont="1" applyFill="1" applyBorder="1" applyAlignment="1">
      <alignment horizontal="center" vertical="center"/>
    </xf>
    <xf numFmtId="43" fontId="50" fillId="0" borderId="11" xfId="49" applyFont="1" applyFill="1" applyBorder="1" applyAlignment="1">
      <alignment horizontal="right" vertical="center" wrapText="1"/>
    </xf>
    <xf numFmtId="43" fontId="50" fillId="0" borderId="12" xfId="49" applyFont="1" applyFill="1" applyBorder="1" applyAlignment="1">
      <alignment horizontal="right" vertical="center" wrapText="1"/>
    </xf>
    <xf numFmtId="0" fontId="27" fillId="0" borderId="10" xfId="57" applyFont="1" applyFill="1" applyBorder="1" applyAlignment="1">
      <alignment horizontal="justify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3" fontId="50" fillId="0" borderId="14" xfId="49" applyFont="1" applyFill="1" applyBorder="1" applyAlignment="1">
      <alignment horizontal="right" vertical="center" wrapText="1"/>
    </xf>
    <xf numFmtId="4" fontId="50" fillId="0" borderId="17" xfId="49" applyNumberFormat="1" applyFont="1" applyFill="1" applyBorder="1" applyAlignment="1">
      <alignment horizontal="right" vertical="center" wrapText="1"/>
    </xf>
    <xf numFmtId="4" fontId="50" fillId="0" borderId="33" xfId="49" applyNumberFormat="1" applyFont="1" applyFill="1" applyBorder="1" applyAlignment="1">
      <alignment horizontal="right" vertical="center" wrapText="1"/>
    </xf>
    <xf numFmtId="4" fontId="50" fillId="0" borderId="14" xfId="49" applyNumberFormat="1" applyFont="1" applyFill="1" applyBorder="1" applyAlignment="1">
      <alignment horizontal="right" vertical="center" wrapText="1"/>
    </xf>
    <xf numFmtId="4" fontId="50" fillId="0" borderId="11" xfId="49" applyNumberFormat="1" applyFont="1" applyFill="1" applyBorder="1" applyAlignment="1">
      <alignment horizontal="center" vertical="center" wrapText="1"/>
    </xf>
    <xf numFmtId="4" fontId="50" fillId="0" borderId="12" xfId="49" applyNumberFormat="1" applyFont="1" applyFill="1" applyBorder="1" applyAlignment="1">
      <alignment horizontal="center" vertical="center" wrapText="1"/>
    </xf>
    <xf numFmtId="1" fontId="50" fillId="0" borderId="11" xfId="49" applyNumberFormat="1" applyFont="1" applyFill="1" applyBorder="1" applyAlignment="1">
      <alignment horizontal="center" vertical="center" wrapText="1"/>
    </xf>
    <xf numFmtId="1" fontId="50" fillId="0" borderId="14" xfId="49" applyNumberFormat="1" applyFont="1" applyFill="1" applyBorder="1" applyAlignment="1">
      <alignment horizontal="center" vertical="center" wrapText="1"/>
    </xf>
    <xf numFmtId="1" fontId="50" fillId="0" borderId="12" xfId="49" applyNumberFormat="1" applyFont="1" applyFill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center" vertical="center" wrapText="1"/>
      <protection/>
    </xf>
    <xf numFmtId="0" fontId="50" fillId="0" borderId="35" xfId="0" applyFont="1" applyFill="1" applyBorder="1" applyAlignment="1">
      <alignment horizontal="justify" vertical="center" wrapText="1"/>
    </xf>
    <xf numFmtId="0" fontId="50" fillId="0" borderId="36" xfId="0" applyFont="1" applyFill="1" applyBorder="1" applyAlignment="1">
      <alignment horizontal="justify" vertical="center" wrapText="1"/>
    </xf>
    <xf numFmtId="0" fontId="51" fillId="0" borderId="33" xfId="0" applyFont="1" applyFill="1" applyBorder="1" applyAlignment="1">
      <alignment horizontal="center" vertical="top"/>
    </xf>
    <xf numFmtId="0" fontId="51" fillId="0" borderId="18" xfId="57" applyFont="1" applyFill="1" applyBorder="1" applyAlignment="1">
      <alignment horizontal="center" vertical="center" wrapText="1"/>
      <protection/>
    </xf>
    <xf numFmtId="0" fontId="51" fillId="0" borderId="33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4" xfId="57" applyFont="1" applyFill="1" applyBorder="1" applyAlignment="1">
      <alignment horizontal="center" vertical="center" wrapText="1"/>
      <protection/>
    </xf>
    <xf numFmtId="0" fontId="27" fillId="0" borderId="12" xfId="57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26" fillId="15" borderId="22" xfId="0" applyFont="1" applyFill="1" applyBorder="1" applyAlignment="1">
      <alignment horizontal="center" vertical="center" wrapText="1"/>
    </xf>
    <xf numFmtId="0" fontId="26" fillId="15" borderId="34" xfId="0" applyFont="1" applyFill="1" applyBorder="1" applyAlignment="1">
      <alignment horizontal="center" vertical="center" wrapText="1"/>
    </xf>
    <xf numFmtId="0" fontId="26" fillId="15" borderId="19" xfId="0" applyFont="1" applyFill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/>
    </xf>
    <xf numFmtId="173" fontId="51" fillId="15" borderId="42" xfId="49" applyNumberFormat="1" applyFont="1" applyFill="1" applyBorder="1" applyAlignment="1">
      <alignment horizontal="center" vertical="center" wrapText="1"/>
    </xf>
    <xf numFmtId="173" fontId="51" fillId="15" borderId="43" xfId="49" applyNumberFormat="1" applyFont="1" applyFill="1" applyBorder="1" applyAlignment="1">
      <alignment horizontal="center" vertical="center" wrapText="1"/>
    </xf>
    <xf numFmtId="173" fontId="51" fillId="15" borderId="44" xfId="49" applyNumberFormat="1" applyFont="1" applyFill="1" applyBorder="1" applyAlignment="1">
      <alignment horizontal="center" vertical="center" wrapText="1"/>
    </xf>
    <xf numFmtId="173" fontId="51" fillId="15" borderId="45" xfId="49" applyNumberFormat="1" applyFont="1" applyFill="1" applyBorder="1" applyAlignment="1">
      <alignment horizontal="center" vertical="center" wrapText="1"/>
    </xf>
    <xf numFmtId="173" fontId="51" fillId="15" borderId="46" xfId="49" applyNumberFormat="1" applyFont="1" applyFill="1" applyBorder="1" applyAlignment="1">
      <alignment horizontal="center" vertical="center" wrapText="1"/>
    </xf>
    <xf numFmtId="173" fontId="51" fillId="15" borderId="47" xfId="49" applyNumberFormat="1" applyFont="1" applyFill="1" applyBorder="1" applyAlignment="1">
      <alignment horizontal="center" vertical="center" wrapText="1"/>
    </xf>
    <xf numFmtId="0" fontId="51" fillId="15" borderId="48" xfId="0" applyFont="1" applyFill="1" applyBorder="1" applyAlignment="1">
      <alignment horizontal="center" vertical="center" wrapText="1"/>
    </xf>
    <xf numFmtId="0" fontId="51" fillId="15" borderId="49" xfId="0" applyFont="1" applyFill="1" applyBorder="1" applyAlignment="1">
      <alignment horizontal="center" vertical="center" wrapText="1"/>
    </xf>
    <xf numFmtId="10" fontId="50" fillId="0" borderId="14" xfId="59" applyNumberFormat="1" applyFont="1" applyBorder="1" applyAlignment="1">
      <alignment horizontal="center" vertical="center"/>
    </xf>
    <xf numFmtId="10" fontId="50" fillId="0" borderId="12" xfId="59" applyNumberFormat="1" applyFont="1" applyBorder="1" applyAlignment="1">
      <alignment horizontal="center" vertical="center"/>
    </xf>
    <xf numFmtId="10" fontId="50" fillId="0" borderId="11" xfId="59" applyNumberFormat="1" applyFont="1" applyBorder="1" applyAlignment="1">
      <alignment horizontal="center" vertical="center"/>
    </xf>
    <xf numFmtId="0" fontId="51" fillId="15" borderId="42" xfId="0" applyFont="1" applyFill="1" applyBorder="1" applyAlignment="1">
      <alignment horizontal="center" vertical="center" wrapText="1"/>
    </xf>
    <xf numFmtId="0" fontId="51" fillId="15" borderId="45" xfId="0" applyFont="1" applyFill="1" applyBorder="1" applyAlignment="1">
      <alignment horizontal="center" vertical="center" wrapText="1"/>
    </xf>
    <xf numFmtId="0" fontId="51" fillId="15" borderId="50" xfId="0" applyFont="1" applyFill="1" applyBorder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 wrapText="1"/>
    </xf>
    <xf numFmtId="0" fontId="51" fillId="15" borderId="50" xfId="0" applyFont="1" applyFill="1" applyBorder="1" applyAlignment="1">
      <alignment horizontal="center" vertical="center"/>
    </xf>
    <xf numFmtId="0" fontId="51" fillId="15" borderId="30" xfId="0" applyFont="1" applyFill="1" applyBorder="1" applyAlignment="1">
      <alignment horizontal="center" vertical="center"/>
    </xf>
    <xf numFmtId="0" fontId="51" fillId="15" borderId="28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3" fillId="0" borderId="16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3" borderId="15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51" fillId="15" borderId="50" xfId="0" applyFont="1" applyFill="1" applyBorder="1" applyAlignment="1">
      <alignment horizontal="center"/>
    </xf>
    <xf numFmtId="0" fontId="51" fillId="0" borderId="17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51" fillId="15" borderId="51" xfId="0" applyFont="1" applyFill="1" applyBorder="1" applyAlignment="1">
      <alignment horizontal="center" vertical="center" wrapText="1"/>
    </xf>
    <xf numFmtId="0" fontId="51" fillId="15" borderId="52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9" fontId="0" fillId="0" borderId="0" xfId="59" applyFont="1" applyAlignment="1">
      <alignment horizontal="center"/>
    </xf>
    <xf numFmtId="9" fontId="0" fillId="0" borderId="0" xfId="59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5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205"/>
          <c:w val="0.832"/>
          <c:h val="0.95625"/>
        </c:manualLayout>
      </c:layout>
      <c:bar3DChart>
        <c:barDir val="col"/>
        <c:grouping val="clustered"/>
        <c:varyColors val="0"/>
        <c:ser>
          <c:idx val="0"/>
          <c:order val="0"/>
          <c:tx>
            <c:v>RECURSOS APROBADOS</c:v>
          </c:tx>
          <c:spPr>
            <a:solidFill>
              <a:srgbClr val="B3A2C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'ESTRUCTURA POAI 2015'!$B$7:$B$22</c:f>
              <c:strCache/>
            </c:strRef>
          </c:cat>
          <c:val>
            <c:numRef>
              <c:f>'ESTRUCTURA POAI 2015'!$C$7:$C$22</c:f>
              <c:numCache/>
            </c:numRef>
          </c:val>
          <c:shape val="cylinder"/>
        </c:ser>
        <c:ser>
          <c:idx val="1"/>
          <c:order val="1"/>
          <c:tx>
            <c:v>RECURSOS EJECUTADOS</c:v>
          </c:tx>
          <c:spPr>
            <a:solidFill>
              <a:srgbClr val="FF66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POAI 2015'!$B$7:$B$22</c:f>
              <c:strCache/>
            </c:strRef>
          </c:cat>
          <c:val>
            <c:numRef>
              <c:f>'ESTRUCTURA POAI 2015'!$F$7:$F$22</c:f>
              <c:numCache/>
            </c:numRef>
          </c:val>
          <c:shape val="cylinder"/>
        </c:ser>
        <c:shape val="cylinder"/>
        <c:axId val="59758498"/>
        <c:axId val="955571"/>
      </c:bar3DChart>
      <c:catAx>
        <c:axId val="597584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416"/>
          <c:w val="0.19775"/>
          <c:h val="0.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45"/>
          <c:w val="0.82025"/>
          <c:h val="0.94925"/>
        </c:manualLayout>
      </c:layout>
      <c:bar3DChart>
        <c:barDir val="col"/>
        <c:grouping val="clustered"/>
        <c:varyColors val="0"/>
        <c:ser>
          <c:idx val="0"/>
          <c:order val="0"/>
          <c:tx>
            <c:v>RECURSOS APROBADOS</c:v>
          </c:tx>
          <c:spPr>
            <a:solidFill>
              <a:srgbClr val="CCC1D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'ESTRUCTURA POAI 2015'!$B$30:$C$35</c:f>
              <c:multiLvlStrCache/>
            </c:multiLvlStrRef>
          </c:cat>
          <c:val>
            <c:numRef>
              <c:f>'ESTRUCTURA POAI 2015'!$D$30:$D$35</c:f>
              <c:numCache/>
            </c:numRef>
          </c:val>
          <c:shape val="cylinder"/>
        </c:ser>
        <c:ser>
          <c:idx val="1"/>
          <c:order val="1"/>
          <c:tx>
            <c:v>RECURSOS EJECUTADOS</c:v>
          </c:tx>
          <c:spPr>
            <a:solidFill>
              <a:srgbClr val="FF66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'ESTRUCTURA POAI 2015'!$B$30:$C$35</c:f>
              <c:multiLvlStrCache/>
            </c:multiLvlStrRef>
          </c:cat>
          <c:val>
            <c:numRef>
              <c:f>'ESTRUCTURA POAI 2015'!$F$30:$F$35</c:f>
              <c:numCache/>
            </c:numRef>
          </c:val>
          <c:shape val="cylinder"/>
        </c:ser>
        <c:shape val="cylinder"/>
        <c:axId val="8600140"/>
        <c:axId val="10292397"/>
      </c:bar3DChart>
      <c:catAx>
        <c:axId val="86001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0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44575"/>
          <c:w val="0.174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0</xdr:row>
      <xdr:rowOff>0</xdr:rowOff>
    </xdr:from>
    <xdr:to>
      <xdr:col>12</xdr:col>
      <xdr:colOff>1038225</xdr:colOff>
      <xdr:row>0</xdr:row>
      <xdr:rowOff>1314450</xdr:rowOff>
    </xdr:to>
    <xdr:pic>
      <xdr:nvPicPr>
        <xdr:cNvPr id="1" name="Imagen 1" descr="Macintosh HD:Users:juansepulveda:Documents:Planeación:Ordenamiento Territorial 02:Empalme:Informe de empalme-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1847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0</xdr:row>
      <xdr:rowOff>1314450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095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19050</xdr:rowOff>
    </xdr:from>
    <xdr:to>
      <xdr:col>20</xdr:col>
      <xdr:colOff>523875</xdr:colOff>
      <xdr:row>23</xdr:row>
      <xdr:rowOff>19050</xdr:rowOff>
    </xdr:to>
    <xdr:graphicFrame>
      <xdr:nvGraphicFramePr>
        <xdr:cNvPr id="1" name="1 Gráfico"/>
        <xdr:cNvGraphicFramePr/>
      </xdr:nvGraphicFramePr>
      <xdr:xfrm>
        <a:off x="11677650" y="352425"/>
        <a:ext cx="88296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24</xdr:row>
      <xdr:rowOff>142875</xdr:rowOff>
    </xdr:from>
    <xdr:to>
      <xdr:col>19</xdr:col>
      <xdr:colOff>714375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11668125" y="4876800"/>
        <a:ext cx="82581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4"/>
  <sheetViews>
    <sheetView tabSelected="1" zoomScale="80" zoomScaleNormal="80" zoomScaleSheetLayoutView="80" zoomScalePageLayoutView="80" workbookViewId="0" topLeftCell="A1">
      <selection activeCell="K17" sqref="K17"/>
    </sheetView>
  </sheetViews>
  <sheetFormatPr defaultColWidth="11.421875" defaultRowHeight="15"/>
  <cols>
    <col min="1" max="1" width="8.28125" style="26" customWidth="1"/>
    <col min="2" max="2" width="11.421875" style="26" customWidth="1"/>
    <col min="3" max="3" width="10.7109375" style="1" customWidth="1"/>
    <col min="4" max="4" width="13.8515625" style="1" bestFit="1" customWidth="1"/>
    <col min="5" max="5" width="17.7109375" style="63" customWidth="1"/>
    <col min="6" max="6" width="11.421875" style="362" customWidth="1"/>
    <col min="7" max="7" width="42.140625" style="1" customWidth="1"/>
    <col min="8" max="11" width="19.421875" style="1" customWidth="1"/>
    <col min="12" max="15" width="19.140625" style="1" customWidth="1"/>
    <col min="16" max="16" width="15.421875" style="1" customWidth="1"/>
    <col min="17" max="20" width="19.421875" style="1" customWidth="1"/>
    <col min="21" max="21" width="13.7109375" style="21" customWidth="1"/>
    <col min="22" max="22" width="24.421875" style="1" bestFit="1" customWidth="1"/>
    <col min="23" max="23" width="23.57421875" style="104" customWidth="1"/>
    <col min="24" max="24" width="20.140625" style="104" bestFit="1" customWidth="1"/>
    <col min="25" max="25" width="19.57421875" style="1" bestFit="1" customWidth="1"/>
    <col min="26" max="27" width="11.57421875" style="1" customWidth="1"/>
    <col min="28" max="30" width="19.57421875" style="1" bestFit="1" customWidth="1"/>
    <col min="31" max="16384" width="11.57421875" style="1" customWidth="1"/>
  </cols>
  <sheetData>
    <row r="1" spans="1:27" ht="114" customHeight="1" thickBot="1">
      <c r="A1"/>
      <c r="B1"/>
      <c r="C1"/>
      <c r="D1"/>
      <c r="E1" s="625" t="s">
        <v>1101</v>
      </c>
      <c r="F1"/>
      <c r="G1"/>
      <c r="H1"/>
      <c r="I1"/>
      <c r="J1" s="626"/>
      <c r="K1"/>
      <c r="L1"/>
      <c r="M1"/>
      <c r="N1"/>
      <c r="O1"/>
      <c r="P1"/>
      <c r="Q1"/>
      <c r="R1" s="625" t="s">
        <v>1101</v>
      </c>
      <c r="S1"/>
      <c r="T1"/>
      <c r="U1"/>
      <c r="V1"/>
      <c r="W1" s="626"/>
      <c r="X1"/>
      <c r="Y1"/>
      <c r="Z1"/>
      <c r="AA1" s="627"/>
    </row>
    <row r="2" spans="1:26" ht="18" customHeight="1" thickBot="1">
      <c r="A2" s="389" t="s">
        <v>169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1"/>
    </row>
    <row r="3" spans="1:26" ht="17.25" customHeight="1" thickBot="1">
      <c r="A3" s="389" t="s">
        <v>168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1"/>
    </row>
    <row r="4" spans="1:22" ht="17.25" customHeight="1" thickBot="1">
      <c r="A4" s="43"/>
      <c r="B4" s="43"/>
      <c r="C4" s="43"/>
      <c r="D4" s="43"/>
      <c r="E4" s="10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ht="13.5" customHeight="1" thickBot="1">
      <c r="A5" s="553" t="s">
        <v>1090</v>
      </c>
      <c r="B5" s="553"/>
      <c r="C5" s="553"/>
      <c r="D5" s="553"/>
      <c r="E5" s="553"/>
      <c r="F5" s="553"/>
      <c r="G5" s="553"/>
      <c r="H5" s="459" t="s">
        <v>170</v>
      </c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1"/>
      <c r="Z5" s="586" t="s">
        <v>1089</v>
      </c>
    </row>
    <row r="6" spans="1:26" ht="13.5" customHeight="1" thickBot="1">
      <c r="A6" s="471" t="s">
        <v>0</v>
      </c>
      <c r="B6" s="471" t="s">
        <v>1062</v>
      </c>
      <c r="C6" s="471" t="s">
        <v>167</v>
      </c>
      <c r="D6" s="471" t="s">
        <v>189</v>
      </c>
      <c r="E6" s="471" t="s">
        <v>190</v>
      </c>
      <c r="F6" s="465" t="s">
        <v>173</v>
      </c>
      <c r="G6" s="471" t="s">
        <v>156</v>
      </c>
      <c r="H6" s="462" t="s">
        <v>19</v>
      </c>
      <c r="I6" s="462"/>
      <c r="J6" s="462"/>
      <c r="K6" s="462"/>
      <c r="L6" s="462"/>
      <c r="M6" s="462"/>
      <c r="N6" s="462"/>
      <c r="O6" s="462"/>
      <c r="P6" s="462"/>
      <c r="Q6" s="590" t="s">
        <v>165</v>
      </c>
      <c r="R6" s="591"/>
      <c r="S6" s="591"/>
      <c r="T6" s="591"/>
      <c r="U6" s="592"/>
      <c r="V6" s="462" t="s">
        <v>1057</v>
      </c>
      <c r="W6" s="462" t="s">
        <v>1058</v>
      </c>
      <c r="X6" s="462" t="s">
        <v>1059</v>
      </c>
      <c r="Y6" s="462" t="s">
        <v>1060</v>
      </c>
      <c r="Z6" s="587"/>
    </row>
    <row r="7" spans="1:26" ht="13.5" customHeight="1" thickBot="1">
      <c r="A7" s="471"/>
      <c r="B7" s="471"/>
      <c r="C7" s="471"/>
      <c r="D7" s="471"/>
      <c r="E7" s="471"/>
      <c r="F7" s="466"/>
      <c r="G7" s="471"/>
      <c r="H7" s="468" t="s">
        <v>1073</v>
      </c>
      <c r="I7" s="469"/>
      <c r="J7" s="469"/>
      <c r="K7" s="470"/>
      <c r="L7" s="463" t="s">
        <v>166</v>
      </c>
      <c r="M7" s="463"/>
      <c r="N7" s="463"/>
      <c r="O7" s="463"/>
      <c r="P7" s="463"/>
      <c r="Q7" s="593"/>
      <c r="R7" s="594"/>
      <c r="S7" s="594"/>
      <c r="T7" s="594"/>
      <c r="U7" s="595"/>
      <c r="V7" s="463"/>
      <c r="W7" s="463"/>
      <c r="X7" s="463"/>
      <c r="Y7" s="463"/>
      <c r="Z7" s="587"/>
    </row>
    <row r="8" spans="1:26" ht="27.75" customHeight="1" thickBot="1">
      <c r="A8" s="471"/>
      <c r="B8" s="471"/>
      <c r="C8" s="471"/>
      <c r="D8" s="471"/>
      <c r="E8" s="471"/>
      <c r="F8" s="467"/>
      <c r="G8" s="471"/>
      <c r="H8" s="154" t="s">
        <v>1053</v>
      </c>
      <c r="I8" s="154" t="s">
        <v>1054</v>
      </c>
      <c r="J8" s="154" t="s">
        <v>1055</v>
      </c>
      <c r="K8" s="154" t="s">
        <v>1056</v>
      </c>
      <c r="L8" s="154" t="s">
        <v>1053</v>
      </c>
      <c r="M8" s="154" t="s">
        <v>1054</v>
      </c>
      <c r="N8" s="154" t="s">
        <v>1055</v>
      </c>
      <c r="O8" s="154" t="s">
        <v>1056</v>
      </c>
      <c r="P8" s="155" t="s">
        <v>20</v>
      </c>
      <c r="Q8" s="154" t="s">
        <v>1053</v>
      </c>
      <c r="R8" s="154" t="s">
        <v>1054</v>
      </c>
      <c r="S8" s="154" t="s">
        <v>1055</v>
      </c>
      <c r="T8" s="154" t="s">
        <v>1056</v>
      </c>
      <c r="U8" s="265" t="s">
        <v>20</v>
      </c>
      <c r="V8" s="463"/>
      <c r="W8" s="464"/>
      <c r="X8" s="464"/>
      <c r="Y8" s="464"/>
      <c r="Z8" s="588"/>
    </row>
    <row r="9" spans="1:26" ht="14.25" customHeight="1" thickBot="1">
      <c r="A9" s="548" t="s">
        <v>164</v>
      </c>
      <c r="B9" s="548"/>
      <c r="C9" s="548"/>
      <c r="D9" s="548"/>
      <c r="E9" s="548"/>
      <c r="F9" s="548"/>
      <c r="G9" s="548"/>
      <c r="H9" s="95">
        <f aca="true" t="shared" si="0" ref="H9:O9">H10+H82+H117+H164+H257+H297+H341+H402+H463+H473+H488+H495+H504+H510</f>
        <v>15596391003.300001</v>
      </c>
      <c r="I9" s="95">
        <f t="shared" si="0"/>
        <v>30735991344.68</v>
      </c>
      <c r="J9" s="95">
        <f t="shared" si="0"/>
        <v>27849077013.1</v>
      </c>
      <c r="K9" s="95">
        <f t="shared" si="0"/>
        <v>20597590049.809998</v>
      </c>
      <c r="L9" s="95">
        <f t="shared" si="0"/>
        <v>33944729955.850002</v>
      </c>
      <c r="M9" s="95">
        <f t="shared" si="0"/>
        <v>104449010760.83</v>
      </c>
      <c r="N9" s="95">
        <f t="shared" si="0"/>
        <v>88511330007.04001</v>
      </c>
      <c r="O9" s="95">
        <f t="shared" si="0"/>
        <v>56478140666.70999</v>
      </c>
      <c r="P9" s="95"/>
      <c r="Q9" s="95">
        <f>Q10+Q82+Q117+Q164+Q257+Q297+Q341+Q402+Q463+Q473+Q488+Q495+Q504+Q510</f>
        <v>115101119548</v>
      </c>
      <c r="R9" s="95">
        <f>R10+R82+R117+R164+R257+R297+R341+R402+R463+R473+R488+R495+R504+R510</f>
        <v>125260458424.17998</v>
      </c>
      <c r="S9" s="95">
        <f>S10+S82+S117+S164+S257+S297+S341+S402+S463+S473+S488+S495+S504+S510</f>
        <v>91700391951.54</v>
      </c>
      <c r="T9" s="95">
        <f>T10+T82+T117+T164+T257+T297+T341+T402+T463+T473+T488+T495+T504+T510</f>
        <v>83989414668.84</v>
      </c>
      <c r="U9" s="95"/>
      <c r="V9" s="137">
        <f>H9+L9+Q9</f>
        <v>164642240507.15</v>
      </c>
      <c r="W9" s="137">
        <f>I9+M9+R9</f>
        <v>260445460529.69</v>
      </c>
      <c r="X9" s="137">
        <f aca="true" t="shared" si="1" ref="W9:Y10">J9+N9+S9</f>
        <v>208060798971.68</v>
      </c>
      <c r="Y9" s="137">
        <f t="shared" si="1"/>
        <v>161065145385.36</v>
      </c>
      <c r="Z9" s="232">
        <v>136</v>
      </c>
    </row>
    <row r="10" spans="1:26" ht="13.5" customHeight="1" thickBot="1">
      <c r="A10" s="549" t="s">
        <v>155</v>
      </c>
      <c r="B10" s="550"/>
      <c r="C10" s="550"/>
      <c r="D10" s="550"/>
      <c r="E10" s="550"/>
      <c r="F10" s="550"/>
      <c r="G10" s="551"/>
      <c r="H10" s="266">
        <f aca="true" t="shared" si="2" ref="H10:O10">H11+H72</f>
        <v>1173745542</v>
      </c>
      <c r="I10" s="266">
        <f t="shared" si="2"/>
        <v>3193791792</v>
      </c>
      <c r="J10" s="266">
        <f t="shared" si="2"/>
        <v>3080720626</v>
      </c>
      <c r="K10" s="266">
        <f t="shared" si="2"/>
        <v>1838284231</v>
      </c>
      <c r="L10" s="266">
        <f t="shared" si="2"/>
        <v>3707022130</v>
      </c>
      <c r="M10" s="266">
        <f t="shared" si="2"/>
        <v>3724410521.46</v>
      </c>
      <c r="N10" s="266">
        <f t="shared" si="2"/>
        <v>3718528817</v>
      </c>
      <c r="O10" s="266">
        <f t="shared" si="2"/>
        <v>3622243634</v>
      </c>
      <c r="P10" s="267"/>
      <c r="Q10" s="268">
        <f>Q11+Q72</f>
        <v>96752885000</v>
      </c>
      <c r="R10" s="268">
        <f>R11+R72</f>
        <v>107421754950.33998</v>
      </c>
      <c r="S10" s="268">
        <f>S11+S72</f>
        <v>80419995864.84</v>
      </c>
      <c r="T10" s="268">
        <f>T11+T72</f>
        <v>79125331194.84</v>
      </c>
      <c r="U10" s="269"/>
      <c r="V10" s="270">
        <f>H10+L10+Q10</f>
        <v>101633652672</v>
      </c>
      <c r="W10" s="270">
        <f t="shared" si="1"/>
        <v>114339957263.79999</v>
      </c>
      <c r="X10" s="270">
        <f t="shared" si="1"/>
        <v>87219245307.84</v>
      </c>
      <c r="Y10" s="270">
        <f t="shared" si="1"/>
        <v>84585859059.84</v>
      </c>
      <c r="Z10" s="589">
        <v>11</v>
      </c>
    </row>
    <row r="11" spans="1:26" ht="12.75" customHeight="1">
      <c r="A11" s="114">
        <v>1</v>
      </c>
      <c r="B11" s="114"/>
      <c r="C11" s="128"/>
      <c r="D11" s="128"/>
      <c r="E11" s="128"/>
      <c r="F11" s="352"/>
      <c r="G11" s="93" t="s">
        <v>1</v>
      </c>
      <c r="H11" s="94">
        <f aca="true" t="shared" si="3" ref="H11:O11">H12</f>
        <v>923745542</v>
      </c>
      <c r="I11" s="94">
        <f t="shared" si="3"/>
        <v>2329845542</v>
      </c>
      <c r="J11" s="94">
        <f t="shared" si="3"/>
        <v>2222761043</v>
      </c>
      <c r="K11" s="94">
        <f t="shared" si="3"/>
        <v>1137722315</v>
      </c>
      <c r="L11" s="94">
        <f t="shared" si="3"/>
        <v>3707022130</v>
      </c>
      <c r="M11" s="94">
        <f t="shared" si="3"/>
        <v>3724410521.46</v>
      </c>
      <c r="N11" s="94">
        <f t="shared" si="3"/>
        <v>3718528817</v>
      </c>
      <c r="O11" s="94">
        <f t="shared" si="3"/>
        <v>3622243634</v>
      </c>
      <c r="P11" s="94"/>
      <c r="Q11" s="94">
        <f>Q12</f>
        <v>96752885000</v>
      </c>
      <c r="R11" s="94">
        <f>R12</f>
        <v>107411754950.33998</v>
      </c>
      <c r="S11" s="94">
        <f>S12</f>
        <v>80419995864.84</v>
      </c>
      <c r="T11" s="94">
        <f>T12</f>
        <v>79125331194.84</v>
      </c>
      <c r="U11" s="115"/>
      <c r="V11" s="138">
        <f>H11+L11+Q11</f>
        <v>101383652672</v>
      </c>
      <c r="W11" s="94"/>
      <c r="X11" s="115"/>
      <c r="Y11" s="138"/>
      <c r="Z11" s="584"/>
    </row>
    <row r="12" spans="1:26" ht="13.5">
      <c r="A12" s="483"/>
      <c r="B12" s="28" t="s">
        <v>2</v>
      </c>
      <c r="C12" s="156"/>
      <c r="D12" s="156"/>
      <c r="E12" s="156"/>
      <c r="F12" s="156"/>
      <c r="G12" s="3" t="s">
        <v>3</v>
      </c>
      <c r="H12" s="16">
        <f aca="true" t="shared" si="4" ref="H12:O12">H13+H20+H36+H51+H54</f>
        <v>923745542</v>
      </c>
      <c r="I12" s="16">
        <f t="shared" si="4"/>
        <v>2329845542</v>
      </c>
      <c r="J12" s="16">
        <f t="shared" si="4"/>
        <v>2222761043</v>
      </c>
      <c r="K12" s="16">
        <f t="shared" si="4"/>
        <v>1137722315</v>
      </c>
      <c r="L12" s="16">
        <f t="shared" si="4"/>
        <v>3707022130</v>
      </c>
      <c r="M12" s="16">
        <f t="shared" si="4"/>
        <v>3724410521.46</v>
      </c>
      <c r="N12" s="16">
        <f t="shared" si="4"/>
        <v>3718528817</v>
      </c>
      <c r="O12" s="16">
        <f t="shared" si="4"/>
        <v>3622243634</v>
      </c>
      <c r="P12" s="131"/>
      <c r="Q12" s="19">
        <f>Q13+Q20+Q36+Q51+Q54</f>
        <v>96752885000</v>
      </c>
      <c r="R12" s="19">
        <f>R13+R20+R36+R51+R54</f>
        <v>107411754950.33998</v>
      </c>
      <c r="S12" s="19">
        <f>S13+S20+S36+S51+S54</f>
        <v>80419995864.84</v>
      </c>
      <c r="T12" s="19">
        <f>T13+T20+T36+T51+T54</f>
        <v>79125331194.84</v>
      </c>
      <c r="U12" s="73"/>
      <c r="V12" s="139">
        <f aca="true" t="shared" si="5" ref="V12:V22">H12+L12+Q12</f>
        <v>101383652672</v>
      </c>
      <c r="W12" s="19"/>
      <c r="X12" s="73"/>
      <c r="Y12" s="139"/>
      <c r="Z12" s="584"/>
    </row>
    <row r="13" spans="1:26" ht="33.75" customHeight="1">
      <c r="A13" s="484"/>
      <c r="B13" s="483"/>
      <c r="C13" s="156" t="s">
        <v>4</v>
      </c>
      <c r="D13" s="156"/>
      <c r="E13" s="157"/>
      <c r="F13" s="156"/>
      <c r="G13" s="6" t="s">
        <v>5</v>
      </c>
      <c r="H13" s="72">
        <f aca="true" t="shared" si="6" ref="H13:O13">H14+H16+H18</f>
        <v>0</v>
      </c>
      <c r="I13" s="72">
        <f t="shared" si="6"/>
        <v>19066667</v>
      </c>
      <c r="J13" s="72">
        <f t="shared" si="6"/>
        <v>14906666</v>
      </c>
      <c r="K13" s="72">
        <f t="shared" si="6"/>
        <v>12306666</v>
      </c>
      <c r="L13" s="72">
        <f t="shared" si="6"/>
        <v>0</v>
      </c>
      <c r="M13" s="72">
        <f t="shared" si="6"/>
        <v>0</v>
      </c>
      <c r="N13" s="72">
        <f t="shared" si="6"/>
        <v>0</v>
      </c>
      <c r="O13" s="72">
        <f t="shared" si="6"/>
        <v>0</v>
      </c>
      <c r="P13" s="131"/>
      <c r="Q13" s="44">
        <f>Q14+Q16+Q18</f>
        <v>60000000</v>
      </c>
      <c r="R13" s="44">
        <f>R14+R16+R18</f>
        <v>24350000</v>
      </c>
      <c r="S13" s="44">
        <f>S14+S16+S18</f>
        <v>22619999</v>
      </c>
      <c r="T13" s="44">
        <f>T14+T16+T18</f>
        <v>13000000</v>
      </c>
      <c r="U13" s="73"/>
      <c r="V13" s="139">
        <f t="shared" si="5"/>
        <v>60000000</v>
      </c>
      <c r="W13" s="111"/>
      <c r="X13" s="73"/>
      <c r="Y13" s="139"/>
      <c r="Z13" s="584"/>
    </row>
    <row r="14" spans="1:26" ht="27">
      <c r="A14" s="484"/>
      <c r="B14" s="484"/>
      <c r="C14" s="515"/>
      <c r="D14" s="156" t="s">
        <v>191</v>
      </c>
      <c r="E14" s="158"/>
      <c r="F14" s="31"/>
      <c r="G14" s="6" t="s">
        <v>192</v>
      </c>
      <c r="H14" s="72">
        <f aca="true" t="shared" si="7" ref="H14:O14">H15</f>
        <v>0</v>
      </c>
      <c r="I14" s="72">
        <f t="shared" si="7"/>
        <v>19066667</v>
      </c>
      <c r="J14" s="72">
        <f t="shared" si="7"/>
        <v>14906666</v>
      </c>
      <c r="K14" s="72">
        <f t="shared" si="7"/>
        <v>12306666</v>
      </c>
      <c r="L14" s="72">
        <f t="shared" si="7"/>
        <v>0</v>
      </c>
      <c r="M14" s="72">
        <f t="shared" si="7"/>
        <v>0</v>
      </c>
      <c r="N14" s="72">
        <f t="shared" si="7"/>
        <v>0</v>
      </c>
      <c r="O14" s="72">
        <f t="shared" si="7"/>
        <v>0</v>
      </c>
      <c r="P14" s="72"/>
      <c r="Q14" s="15">
        <f>Q15</f>
        <v>20000000</v>
      </c>
      <c r="R14" s="15">
        <f>R15</f>
        <v>0</v>
      </c>
      <c r="S14" s="15">
        <f>S15</f>
        <v>0</v>
      </c>
      <c r="T14" s="15">
        <f>T15</f>
        <v>0</v>
      </c>
      <c r="U14" s="72"/>
      <c r="V14" s="139">
        <f t="shared" si="5"/>
        <v>20000000</v>
      </c>
      <c r="W14" s="15"/>
      <c r="X14" s="72"/>
      <c r="Y14" s="139"/>
      <c r="Z14" s="584"/>
    </row>
    <row r="15" spans="1:26" ht="57.75" customHeight="1">
      <c r="A15" s="484"/>
      <c r="B15" s="484"/>
      <c r="C15" s="516"/>
      <c r="D15" s="156"/>
      <c r="E15" s="34" t="s">
        <v>172</v>
      </c>
      <c r="F15" s="31" t="s">
        <v>867</v>
      </c>
      <c r="G15" s="69" t="s">
        <v>171</v>
      </c>
      <c r="H15" s="72">
        <v>0</v>
      </c>
      <c r="I15" s="72">
        <v>19066667</v>
      </c>
      <c r="J15" s="72">
        <v>14906666</v>
      </c>
      <c r="K15" s="72">
        <v>12306666</v>
      </c>
      <c r="L15" s="15">
        <v>0</v>
      </c>
      <c r="M15" s="15"/>
      <c r="N15" s="15"/>
      <c r="O15" s="15"/>
      <c r="P15" s="131"/>
      <c r="Q15" s="68">
        <v>20000000</v>
      </c>
      <c r="R15" s="68"/>
      <c r="S15" s="68"/>
      <c r="T15" s="68"/>
      <c r="U15" s="20" t="s">
        <v>22</v>
      </c>
      <c r="V15" s="140">
        <f t="shared" si="5"/>
        <v>20000000</v>
      </c>
      <c r="W15" s="68"/>
      <c r="X15" s="20"/>
      <c r="Y15" s="140"/>
      <c r="Z15" s="584"/>
    </row>
    <row r="16" spans="1:26" ht="33.75" customHeight="1">
      <c r="A16" s="484"/>
      <c r="B16" s="484"/>
      <c r="C16" s="516"/>
      <c r="D16" s="156" t="s">
        <v>193</v>
      </c>
      <c r="E16" s="34"/>
      <c r="F16" s="31"/>
      <c r="G16" s="6" t="s">
        <v>194</v>
      </c>
      <c r="H16" s="50">
        <f aca="true" t="shared" si="8" ref="H16:O16">H17</f>
        <v>0</v>
      </c>
      <c r="I16" s="50">
        <f t="shared" si="8"/>
        <v>0</v>
      </c>
      <c r="J16" s="50">
        <f t="shared" si="8"/>
        <v>0</v>
      </c>
      <c r="K16" s="50">
        <f t="shared" si="8"/>
        <v>0</v>
      </c>
      <c r="L16" s="50">
        <f t="shared" si="8"/>
        <v>0</v>
      </c>
      <c r="M16" s="50">
        <f t="shared" si="8"/>
        <v>0</v>
      </c>
      <c r="N16" s="50">
        <f t="shared" si="8"/>
        <v>0</v>
      </c>
      <c r="O16" s="50">
        <f t="shared" si="8"/>
        <v>0</v>
      </c>
      <c r="P16" s="50"/>
      <c r="Q16" s="15">
        <f>Q17</f>
        <v>20000000</v>
      </c>
      <c r="R16" s="15">
        <f>R17</f>
        <v>4350000</v>
      </c>
      <c r="S16" s="15">
        <f>S17</f>
        <v>2686666</v>
      </c>
      <c r="T16" s="15">
        <f>T17</f>
        <v>0</v>
      </c>
      <c r="U16" s="50"/>
      <c r="V16" s="139">
        <f t="shared" si="5"/>
        <v>20000000</v>
      </c>
      <c r="W16" s="139">
        <f aca="true" t="shared" si="9" ref="W16:Y19">I16+M16+R16</f>
        <v>4350000</v>
      </c>
      <c r="X16" s="139">
        <f t="shared" si="9"/>
        <v>2686666</v>
      </c>
      <c r="Y16" s="139">
        <f t="shared" si="9"/>
        <v>0</v>
      </c>
      <c r="Z16" s="584"/>
    </row>
    <row r="17" spans="1:26" ht="59.25" customHeight="1">
      <c r="A17" s="484"/>
      <c r="B17" s="484"/>
      <c r="C17" s="516"/>
      <c r="D17" s="156"/>
      <c r="E17" s="34" t="s">
        <v>195</v>
      </c>
      <c r="F17" s="31" t="s">
        <v>867</v>
      </c>
      <c r="G17" s="69" t="s">
        <v>171</v>
      </c>
      <c r="H17" s="72">
        <v>0</v>
      </c>
      <c r="I17" s="72"/>
      <c r="J17" s="72"/>
      <c r="K17" s="72"/>
      <c r="L17" s="15">
        <v>0</v>
      </c>
      <c r="M17" s="15"/>
      <c r="N17" s="15"/>
      <c r="O17" s="15"/>
      <c r="P17" s="131"/>
      <c r="Q17" s="68">
        <v>20000000</v>
      </c>
      <c r="R17" s="68">
        <v>4350000</v>
      </c>
      <c r="S17" s="68">
        <v>2686666</v>
      </c>
      <c r="T17" s="68">
        <v>0</v>
      </c>
      <c r="U17" s="20" t="s">
        <v>22</v>
      </c>
      <c r="V17" s="140">
        <f t="shared" si="5"/>
        <v>20000000</v>
      </c>
      <c r="W17" s="140">
        <f t="shared" si="9"/>
        <v>4350000</v>
      </c>
      <c r="X17" s="140">
        <f t="shared" si="9"/>
        <v>2686666</v>
      </c>
      <c r="Y17" s="140">
        <f t="shared" si="9"/>
        <v>0</v>
      </c>
      <c r="Z17" s="584"/>
    </row>
    <row r="18" spans="1:26" ht="32.25" customHeight="1">
      <c r="A18" s="484"/>
      <c r="B18" s="484"/>
      <c r="C18" s="516"/>
      <c r="D18" s="156" t="s">
        <v>196</v>
      </c>
      <c r="E18" s="34"/>
      <c r="F18" s="31"/>
      <c r="G18" s="6" t="s">
        <v>197</v>
      </c>
      <c r="H18" s="50">
        <f aca="true" t="shared" si="10" ref="H18:O18">H19</f>
        <v>0</v>
      </c>
      <c r="I18" s="50">
        <f t="shared" si="10"/>
        <v>0</v>
      </c>
      <c r="J18" s="50">
        <f t="shared" si="10"/>
        <v>0</v>
      </c>
      <c r="K18" s="50">
        <f t="shared" si="10"/>
        <v>0</v>
      </c>
      <c r="L18" s="50">
        <f t="shared" si="10"/>
        <v>0</v>
      </c>
      <c r="M18" s="50">
        <f t="shared" si="10"/>
        <v>0</v>
      </c>
      <c r="N18" s="50">
        <f t="shared" si="10"/>
        <v>0</v>
      </c>
      <c r="O18" s="50">
        <f t="shared" si="10"/>
        <v>0</v>
      </c>
      <c r="P18" s="50"/>
      <c r="Q18" s="15">
        <f>Q19</f>
        <v>20000000</v>
      </c>
      <c r="R18" s="15">
        <f>R19</f>
        <v>20000000</v>
      </c>
      <c r="S18" s="15">
        <f>S19</f>
        <v>19933333</v>
      </c>
      <c r="T18" s="15">
        <f>T19</f>
        <v>13000000</v>
      </c>
      <c r="U18" s="20"/>
      <c r="V18" s="139">
        <f t="shared" si="5"/>
        <v>20000000</v>
      </c>
      <c r="W18" s="139">
        <f t="shared" si="9"/>
        <v>20000000</v>
      </c>
      <c r="X18" s="139">
        <f t="shared" si="9"/>
        <v>19933333</v>
      </c>
      <c r="Y18" s="139">
        <f t="shared" si="9"/>
        <v>13000000</v>
      </c>
      <c r="Z18" s="584"/>
    </row>
    <row r="19" spans="1:26" ht="54.75" customHeight="1">
      <c r="A19" s="484"/>
      <c r="B19" s="484"/>
      <c r="C19" s="517"/>
      <c r="D19" s="156"/>
      <c r="E19" s="34" t="s">
        <v>198</v>
      </c>
      <c r="F19" s="31" t="s">
        <v>867</v>
      </c>
      <c r="G19" s="69" t="s">
        <v>171</v>
      </c>
      <c r="H19" s="72">
        <v>0</v>
      </c>
      <c r="I19" s="72"/>
      <c r="J19" s="72"/>
      <c r="K19" s="72"/>
      <c r="L19" s="15">
        <v>0</v>
      </c>
      <c r="M19" s="15"/>
      <c r="N19" s="15"/>
      <c r="O19" s="15"/>
      <c r="P19" s="131"/>
      <c r="Q19" s="18">
        <v>20000000</v>
      </c>
      <c r="R19" s="18">
        <v>20000000</v>
      </c>
      <c r="S19" s="18">
        <v>19933333</v>
      </c>
      <c r="T19" s="18">
        <v>13000000</v>
      </c>
      <c r="U19" s="20" t="s">
        <v>22</v>
      </c>
      <c r="V19" s="139">
        <f t="shared" si="5"/>
        <v>20000000</v>
      </c>
      <c r="W19" s="139">
        <f t="shared" si="9"/>
        <v>20000000</v>
      </c>
      <c r="X19" s="139">
        <f t="shared" si="9"/>
        <v>19933333</v>
      </c>
      <c r="Y19" s="139">
        <f t="shared" si="9"/>
        <v>13000000</v>
      </c>
      <c r="Z19" s="584"/>
    </row>
    <row r="20" spans="1:26" ht="25.5" customHeight="1">
      <c r="A20" s="484"/>
      <c r="B20" s="484"/>
      <c r="C20" s="156" t="s">
        <v>6</v>
      </c>
      <c r="D20" s="156"/>
      <c r="E20" s="156"/>
      <c r="F20" s="156"/>
      <c r="G20" s="6" t="s">
        <v>7</v>
      </c>
      <c r="H20" s="50">
        <f aca="true" t="shared" si="11" ref="H20:O20">H21+H31</f>
        <v>0</v>
      </c>
      <c r="I20" s="50">
        <f t="shared" si="11"/>
        <v>145133000</v>
      </c>
      <c r="J20" s="50">
        <f t="shared" si="11"/>
        <v>140000000</v>
      </c>
      <c r="K20" s="50">
        <f t="shared" si="11"/>
        <v>120000000</v>
      </c>
      <c r="L20" s="50">
        <f t="shared" si="11"/>
        <v>0</v>
      </c>
      <c r="M20" s="50">
        <f t="shared" si="11"/>
        <v>0</v>
      </c>
      <c r="N20" s="50">
        <f t="shared" si="11"/>
        <v>0</v>
      </c>
      <c r="O20" s="50">
        <f t="shared" si="11"/>
        <v>0</v>
      </c>
      <c r="P20" s="50"/>
      <c r="Q20" s="15">
        <f>Q21+Q31</f>
        <v>60000000</v>
      </c>
      <c r="R20" s="15">
        <f>R21+R31</f>
        <v>172631490.04000002</v>
      </c>
      <c r="S20" s="15">
        <f>S21+S31</f>
        <v>158174551</v>
      </c>
      <c r="T20" s="15">
        <f>T21+T31</f>
        <v>148207885</v>
      </c>
      <c r="U20" s="20"/>
      <c r="V20" s="139">
        <f>H20+L20+Q20</f>
        <v>60000000</v>
      </c>
      <c r="W20" s="139">
        <f aca="true" t="shared" si="12" ref="W20:Y21">I20+M20+R20</f>
        <v>317764490.04</v>
      </c>
      <c r="X20" s="139">
        <f t="shared" si="12"/>
        <v>298174551</v>
      </c>
      <c r="Y20" s="139">
        <f t="shared" si="12"/>
        <v>268207885</v>
      </c>
      <c r="Z20" s="584"/>
    </row>
    <row r="21" spans="1:26" ht="20.25" customHeight="1">
      <c r="A21" s="484"/>
      <c r="B21" s="484"/>
      <c r="C21" s="519"/>
      <c r="D21" s="156" t="s">
        <v>199</v>
      </c>
      <c r="E21" s="34"/>
      <c r="F21" s="31"/>
      <c r="G21" s="6" t="s">
        <v>200</v>
      </c>
      <c r="H21" s="72">
        <f aca="true" t="shared" si="13" ref="H21:O21">H22</f>
        <v>0</v>
      </c>
      <c r="I21" s="72">
        <f t="shared" si="13"/>
        <v>25133000</v>
      </c>
      <c r="J21" s="72">
        <f t="shared" si="13"/>
        <v>20000000</v>
      </c>
      <c r="K21" s="72">
        <f t="shared" si="13"/>
        <v>0</v>
      </c>
      <c r="L21" s="15">
        <f t="shared" si="13"/>
        <v>0</v>
      </c>
      <c r="M21" s="15">
        <f t="shared" si="13"/>
        <v>0</v>
      </c>
      <c r="N21" s="15">
        <f t="shared" si="13"/>
        <v>0</v>
      </c>
      <c r="O21" s="15">
        <f t="shared" si="13"/>
        <v>0</v>
      </c>
      <c r="P21" s="131"/>
      <c r="Q21" s="44">
        <f>Q22</f>
        <v>30000000</v>
      </c>
      <c r="R21" s="44">
        <f>R22</f>
        <v>93631490.04</v>
      </c>
      <c r="S21" s="44">
        <f>S22</f>
        <v>80941489</v>
      </c>
      <c r="T21" s="44">
        <f>T22</f>
        <v>70974823</v>
      </c>
      <c r="U21" s="20"/>
      <c r="V21" s="139">
        <f t="shared" si="5"/>
        <v>30000000</v>
      </c>
      <c r="W21" s="139">
        <f t="shared" si="12"/>
        <v>118764490.04</v>
      </c>
      <c r="X21" s="139">
        <f t="shared" si="12"/>
        <v>100941489</v>
      </c>
      <c r="Y21" s="139">
        <f t="shared" si="12"/>
        <v>70974823</v>
      </c>
      <c r="Z21" s="584"/>
    </row>
    <row r="22" spans="1:26" ht="13.5">
      <c r="A22" s="484"/>
      <c r="B22" s="484"/>
      <c r="C22" s="520"/>
      <c r="D22" s="515"/>
      <c r="E22" s="34" t="s">
        <v>174</v>
      </c>
      <c r="F22" s="497" t="s">
        <v>868</v>
      </c>
      <c r="G22" s="494" t="s">
        <v>175</v>
      </c>
      <c r="H22" s="415">
        <v>0</v>
      </c>
      <c r="I22" s="415">
        <v>25133000</v>
      </c>
      <c r="J22" s="415">
        <v>20000000</v>
      </c>
      <c r="K22" s="415">
        <v>0</v>
      </c>
      <c r="L22" s="415">
        <v>0</v>
      </c>
      <c r="M22" s="415"/>
      <c r="N22" s="415"/>
      <c r="O22" s="415"/>
      <c r="P22" s="415"/>
      <c r="Q22" s="409">
        <v>30000000</v>
      </c>
      <c r="R22" s="409">
        <v>93631490.04</v>
      </c>
      <c r="S22" s="409">
        <v>80941489</v>
      </c>
      <c r="T22" s="409">
        <v>70974823</v>
      </c>
      <c r="U22" s="415" t="s">
        <v>22</v>
      </c>
      <c r="V22" s="419">
        <f t="shared" si="5"/>
        <v>30000000</v>
      </c>
      <c r="W22" s="419">
        <f>I22+M22+R22</f>
        <v>118764490.04</v>
      </c>
      <c r="X22" s="419">
        <f>J22+N22+S22</f>
        <v>100941489</v>
      </c>
      <c r="Y22" s="419">
        <f>K22+O22+T22</f>
        <v>70974823</v>
      </c>
      <c r="Z22" s="584"/>
    </row>
    <row r="23" spans="1:26" ht="13.5">
      <c r="A23" s="484"/>
      <c r="B23" s="484"/>
      <c r="C23" s="520"/>
      <c r="D23" s="516"/>
      <c r="E23" s="34" t="s">
        <v>176</v>
      </c>
      <c r="F23" s="498"/>
      <c r="G23" s="500"/>
      <c r="H23" s="543"/>
      <c r="I23" s="543"/>
      <c r="J23" s="543"/>
      <c r="K23" s="543"/>
      <c r="L23" s="543"/>
      <c r="M23" s="543"/>
      <c r="N23" s="543"/>
      <c r="O23" s="543"/>
      <c r="P23" s="543"/>
      <c r="Q23" s="410"/>
      <c r="R23" s="410"/>
      <c r="S23" s="410"/>
      <c r="T23" s="410"/>
      <c r="U23" s="543"/>
      <c r="V23" s="420"/>
      <c r="W23" s="420"/>
      <c r="X23" s="420"/>
      <c r="Y23" s="420"/>
      <c r="Z23" s="584"/>
    </row>
    <row r="24" spans="1:26" ht="13.5">
      <c r="A24" s="484"/>
      <c r="B24" s="484"/>
      <c r="C24" s="520"/>
      <c r="D24" s="516"/>
      <c r="E24" s="34" t="s">
        <v>177</v>
      </c>
      <c r="F24" s="498"/>
      <c r="G24" s="500"/>
      <c r="H24" s="543"/>
      <c r="I24" s="543"/>
      <c r="J24" s="543"/>
      <c r="K24" s="543"/>
      <c r="L24" s="543"/>
      <c r="M24" s="543"/>
      <c r="N24" s="543"/>
      <c r="O24" s="543"/>
      <c r="P24" s="543"/>
      <c r="Q24" s="410"/>
      <c r="R24" s="410"/>
      <c r="S24" s="410"/>
      <c r="T24" s="410"/>
      <c r="U24" s="543"/>
      <c r="V24" s="420"/>
      <c r="W24" s="420"/>
      <c r="X24" s="420"/>
      <c r="Y24" s="420"/>
      <c r="Z24" s="584"/>
    </row>
    <row r="25" spans="1:26" ht="13.5">
      <c r="A25" s="484"/>
      <c r="B25" s="484"/>
      <c r="C25" s="520"/>
      <c r="D25" s="516"/>
      <c r="E25" s="34" t="s">
        <v>178</v>
      </c>
      <c r="F25" s="498"/>
      <c r="G25" s="500"/>
      <c r="H25" s="543"/>
      <c r="I25" s="543"/>
      <c r="J25" s="543"/>
      <c r="K25" s="543"/>
      <c r="L25" s="543"/>
      <c r="M25" s="543"/>
      <c r="N25" s="543"/>
      <c r="O25" s="543"/>
      <c r="P25" s="543"/>
      <c r="Q25" s="410"/>
      <c r="R25" s="410"/>
      <c r="S25" s="410"/>
      <c r="T25" s="410"/>
      <c r="U25" s="543"/>
      <c r="V25" s="420"/>
      <c r="W25" s="420"/>
      <c r="X25" s="420"/>
      <c r="Y25" s="420"/>
      <c r="Z25" s="584"/>
    </row>
    <row r="26" spans="1:26" ht="13.5">
      <c r="A26" s="484"/>
      <c r="B26" s="484"/>
      <c r="C26" s="520"/>
      <c r="D26" s="516"/>
      <c r="E26" s="34" t="s">
        <v>179</v>
      </c>
      <c r="F26" s="498"/>
      <c r="G26" s="500"/>
      <c r="H26" s="543"/>
      <c r="I26" s="543"/>
      <c r="J26" s="543"/>
      <c r="K26" s="543"/>
      <c r="L26" s="543"/>
      <c r="M26" s="543"/>
      <c r="N26" s="543"/>
      <c r="O26" s="543"/>
      <c r="P26" s="543"/>
      <c r="Q26" s="410"/>
      <c r="R26" s="410"/>
      <c r="S26" s="410"/>
      <c r="T26" s="410"/>
      <c r="U26" s="543"/>
      <c r="V26" s="420"/>
      <c r="W26" s="420"/>
      <c r="X26" s="420"/>
      <c r="Y26" s="420"/>
      <c r="Z26" s="584"/>
    </row>
    <row r="27" spans="1:26" ht="13.5">
      <c r="A27" s="484"/>
      <c r="B27" s="484"/>
      <c r="C27" s="520"/>
      <c r="D27" s="516"/>
      <c r="E27" s="34" t="s">
        <v>180</v>
      </c>
      <c r="F27" s="498"/>
      <c r="G27" s="500"/>
      <c r="H27" s="543"/>
      <c r="I27" s="543"/>
      <c r="J27" s="543"/>
      <c r="K27" s="543"/>
      <c r="L27" s="543"/>
      <c r="M27" s="543"/>
      <c r="N27" s="543"/>
      <c r="O27" s="543"/>
      <c r="P27" s="543"/>
      <c r="Q27" s="410"/>
      <c r="R27" s="410"/>
      <c r="S27" s="410"/>
      <c r="T27" s="410"/>
      <c r="U27" s="543"/>
      <c r="V27" s="420"/>
      <c r="W27" s="420"/>
      <c r="X27" s="420"/>
      <c r="Y27" s="420"/>
      <c r="Z27" s="584"/>
    </row>
    <row r="28" spans="1:26" ht="13.5">
      <c r="A28" s="484"/>
      <c r="B28" s="484"/>
      <c r="C28" s="520"/>
      <c r="D28" s="516"/>
      <c r="E28" s="34" t="s">
        <v>181</v>
      </c>
      <c r="F28" s="498"/>
      <c r="G28" s="500"/>
      <c r="H28" s="543"/>
      <c r="I28" s="543"/>
      <c r="J28" s="543"/>
      <c r="K28" s="543"/>
      <c r="L28" s="543"/>
      <c r="M28" s="543"/>
      <c r="N28" s="543"/>
      <c r="O28" s="543"/>
      <c r="P28" s="543"/>
      <c r="Q28" s="410"/>
      <c r="R28" s="410"/>
      <c r="S28" s="410"/>
      <c r="T28" s="410"/>
      <c r="U28" s="543"/>
      <c r="V28" s="420"/>
      <c r="W28" s="420"/>
      <c r="X28" s="420"/>
      <c r="Y28" s="420"/>
      <c r="Z28" s="584"/>
    </row>
    <row r="29" spans="1:26" ht="13.5">
      <c r="A29" s="484"/>
      <c r="B29" s="484"/>
      <c r="C29" s="520"/>
      <c r="D29" s="516"/>
      <c r="E29" s="34" t="s">
        <v>182</v>
      </c>
      <c r="F29" s="498"/>
      <c r="G29" s="500"/>
      <c r="H29" s="543"/>
      <c r="I29" s="543"/>
      <c r="J29" s="543"/>
      <c r="K29" s="543"/>
      <c r="L29" s="543"/>
      <c r="M29" s="543"/>
      <c r="N29" s="543"/>
      <c r="O29" s="543"/>
      <c r="P29" s="543"/>
      <c r="Q29" s="410"/>
      <c r="R29" s="410"/>
      <c r="S29" s="410"/>
      <c r="T29" s="410"/>
      <c r="U29" s="543"/>
      <c r="V29" s="420"/>
      <c r="W29" s="420"/>
      <c r="X29" s="420"/>
      <c r="Y29" s="420"/>
      <c r="Z29" s="584"/>
    </row>
    <row r="30" spans="1:26" ht="13.5">
      <c r="A30" s="484"/>
      <c r="B30" s="484"/>
      <c r="C30" s="520"/>
      <c r="D30" s="517"/>
      <c r="E30" s="34" t="s">
        <v>183</v>
      </c>
      <c r="F30" s="499"/>
      <c r="G30" s="495"/>
      <c r="H30" s="416"/>
      <c r="I30" s="416"/>
      <c r="J30" s="416"/>
      <c r="K30" s="416"/>
      <c r="L30" s="416"/>
      <c r="M30" s="416"/>
      <c r="N30" s="416"/>
      <c r="O30" s="416"/>
      <c r="P30" s="416"/>
      <c r="Q30" s="411"/>
      <c r="R30" s="411"/>
      <c r="S30" s="411"/>
      <c r="T30" s="411"/>
      <c r="U30" s="416"/>
      <c r="V30" s="421"/>
      <c r="W30" s="421"/>
      <c r="X30" s="421"/>
      <c r="Y30" s="421"/>
      <c r="Z30" s="584"/>
    </row>
    <row r="31" spans="1:26" ht="13.5" customHeight="1">
      <c r="A31" s="484"/>
      <c r="B31" s="484"/>
      <c r="C31" s="520"/>
      <c r="D31" s="156" t="s">
        <v>201</v>
      </c>
      <c r="E31" s="34"/>
      <c r="F31" s="31"/>
      <c r="G31" s="6" t="s">
        <v>202</v>
      </c>
      <c r="H31" s="50">
        <f>H32</f>
        <v>0</v>
      </c>
      <c r="I31" s="50">
        <f>I32</f>
        <v>120000000</v>
      </c>
      <c r="J31" s="50">
        <f>J32</f>
        <v>120000000</v>
      </c>
      <c r="K31" s="50">
        <f>K32</f>
        <v>120000000</v>
      </c>
      <c r="L31" s="15">
        <v>0</v>
      </c>
      <c r="M31" s="15">
        <v>0</v>
      </c>
      <c r="N31" s="15">
        <v>0</v>
      </c>
      <c r="O31" s="15">
        <v>0</v>
      </c>
      <c r="P31" s="131"/>
      <c r="Q31" s="44">
        <f>Q32</f>
        <v>30000000</v>
      </c>
      <c r="R31" s="44">
        <f>R32</f>
        <v>79000000</v>
      </c>
      <c r="S31" s="44">
        <f>S32</f>
        <v>77233062</v>
      </c>
      <c r="T31" s="44">
        <f>T32</f>
        <v>77233062</v>
      </c>
      <c r="U31" s="20"/>
      <c r="V31" s="139">
        <f aca="true" t="shared" si="14" ref="V31:Y32">H31+L31+Q31</f>
        <v>30000000</v>
      </c>
      <c r="W31" s="139">
        <f t="shared" si="14"/>
        <v>199000000</v>
      </c>
      <c r="X31" s="139">
        <f t="shared" si="14"/>
        <v>197233062</v>
      </c>
      <c r="Y31" s="139">
        <f t="shared" si="14"/>
        <v>197233062</v>
      </c>
      <c r="Z31" s="584"/>
    </row>
    <row r="32" spans="1:26" ht="11.25" customHeight="1">
      <c r="A32" s="484"/>
      <c r="B32" s="484"/>
      <c r="C32" s="520"/>
      <c r="D32" s="515"/>
      <c r="E32" s="34" t="s">
        <v>184</v>
      </c>
      <c r="F32" s="497" t="s">
        <v>869</v>
      </c>
      <c r="G32" s="494" t="s">
        <v>185</v>
      </c>
      <c r="H32" s="415">
        <v>0</v>
      </c>
      <c r="I32" s="415">
        <v>120000000</v>
      </c>
      <c r="J32" s="415">
        <v>120000000</v>
      </c>
      <c r="K32" s="415">
        <v>120000000</v>
      </c>
      <c r="L32" s="415">
        <v>0</v>
      </c>
      <c r="M32" s="415"/>
      <c r="N32" s="415"/>
      <c r="O32" s="415"/>
      <c r="P32" s="415"/>
      <c r="Q32" s="409">
        <v>30000000</v>
      </c>
      <c r="R32" s="409">
        <v>79000000</v>
      </c>
      <c r="S32" s="409">
        <v>77233062</v>
      </c>
      <c r="T32" s="409">
        <v>77233062</v>
      </c>
      <c r="U32" s="415" t="s">
        <v>22</v>
      </c>
      <c r="V32" s="419">
        <f t="shared" si="14"/>
        <v>30000000</v>
      </c>
      <c r="W32" s="419">
        <f t="shared" si="14"/>
        <v>199000000</v>
      </c>
      <c r="X32" s="419">
        <f t="shared" si="14"/>
        <v>197233062</v>
      </c>
      <c r="Y32" s="419">
        <f t="shared" si="14"/>
        <v>197233062</v>
      </c>
      <c r="Z32" s="584"/>
    </row>
    <row r="33" spans="1:26" ht="15.75" customHeight="1">
      <c r="A33" s="484"/>
      <c r="B33" s="484"/>
      <c r="C33" s="520"/>
      <c r="D33" s="516"/>
      <c r="E33" s="34" t="s">
        <v>186</v>
      </c>
      <c r="F33" s="498"/>
      <c r="G33" s="500"/>
      <c r="H33" s="543"/>
      <c r="I33" s="543"/>
      <c r="J33" s="543"/>
      <c r="K33" s="543"/>
      <c r="L33" s="543"/>
      <c r="M33" s="543"/>
      <c r="N33" s="543"/>
      <c r="O33" s="543"/>
      <c r="P33" s="543"/>
      <c r="Q33" s="410"/>
      <c r="R33" s="410"/>
      <c r="S33" s="410"/>
      <c r="T33" s="410"/>
      <c r="U33" s="543"/>
      <c r="V33" s="420"/>
      <c r="W33" s="420"/>
      <c r="X33" s="420"/>
      <c r="Y33" s="420"/>
      <c r="Z33" s="584"/>
    </row>
    <row r="34" spans="1:26" ht="13.5">
      <c r="A34" s="484"/>
      <c r="B34" s="484"/>
      <c r="C34" s="520"/>
      <c r="D34" s="516"/>
      <c r="E34" s="34" t="s">
        <v>187</v>
      </c>
      <c r="F34" s="498"/>
      <c r="G34" s="500"/>
      <c r="H34" s="543"/>
      <c r="I34" s="543"/>
      <c r="J34" s="543"/>
      <c r="K34" s="543"/>
      <c r="L34" s="543"/>
      <c r="M34" s="543"/>
      <c r="N34" s="543"/>
      <c r="O34" s="543"/>
      <c r="P34" s="543"/>
      <c r="Q34" s="410"/>
      <c r="R34" s="410"/>
      <c r="S34" s="410"/>
      <c r="T34" s="410"/>
      <c r="U34" s="543"/>
      <c r="V34" s="420"/>
      <c r="W34" s="420"/>
      <c r="X34" s="420"/>
      <c r="Y34" s="420"/>
      <c r="Z34" s="584"/>
    </row>
    <row r="35" spans="1:26" ht="15.75" customHeight="1">
      <c r="A35" s="484"/>
      <c r="B35" s="484"/>
      <c r="C35" s="544"/>
      <c r="D35" s="517"/>
      <c r="E35" s="34" t="s">
        <v>188</v>
      </c>
      <c r="F35" s="499"/>
      <c r="G35" s="495"/>
      <c r="H35" s="416"/>
      <c r="I35" s="416"/>
      <c r="J35" s="416"/>
      <c r="K35" s="416"/>
      <c r="L35" s="416"/>
      <c r="M35" s="416"/>
      <c r="N35" s="416"/>
      <c r="O35" s="416"/>
      <c r="P35" s="416"/>
      <c r="Q35" s="411"/>
      <c r="R35" s="411"/>
      <c r="S35" s="411"/>
      <c r="T35" s="411"/>
      <c r="U35" s="416"/>
      <c r="V35" s="421"/>
      <c r="W35" s="421"/>
      <c r="X35" s="421"/>
      <c r="Y35" s="421"/>
      <c r="Z35" s="584"/>
    </row>
    <row r="36" spans="1:26" ht="46.5" customHeight="1">
      <c r="A36" s="484"/>
      <c r="B36" s="484"/>
      <c r="C36" s="156" t="s">
        <v>8</v>
      </c>
      <c r="D36" s="156"/>
      <c r="E36" s="156"/>
      <c r="F36" s="156"/>
      <c r="G36" s="6" t="s">
        <v>9</v>
      </c>
      <c r="H36" s="16">
        <f aca="true" t="shared" si="15" ref="H36:O36">H37+H48</f>
        <v>923745542</v>
      </c>
      <c r="I36" s="16">
        <f t="shared" si="15"/>
        <v>1675878542</v>
      </c>
      <c r="J36" s="16">
        <f t="shared" si="15"/>
        <v>1578826926</v>
      </c>
      <c r="K36" s="16">
        <f t="shared" si="15"/>
        <v>753898531</v>
      </c>
      <c r="L36" s="16">
        <f t="shared" si="15"/>
        <v>2276634605.8</v>
      </c>
      <c r="M36" s="16">
        <f t="shared" si="15"/>
        <v>3434677081.46</v>
      </c>
      <c r="N36" s="16">
        <f t="shared" si="15"/>
        <v>3428795377</v>
      </c>
      <c r="O36" s="16">
        <f t="shared" si="15"/>
        <v>3332510194</v>
      </c>
      <c r="P36" s="31"/>
      <c r="Q36" s="22">
        <f>Q37+Q48</f>
        <v>94752139000</v>
      </c>
      <c r="R36" s="22">
        <f>R37+R48</f>
        <v>106085766337.65</v>
      </c>
      <c r="S36" s="22">
        <f>S37+S48</f>
        <v>79161987659.84</v>
      </c>
      <c r="T36" s="22">
        <f>T37+T48</f>
        <v>78244336245.84</v>
      </c>
      <c r="U36" s="46"/>
      <c r="V36" s="139">
        <f aca="true" t="shared" si="16" ref="V36:Y38">H36+L36+Q36</f>
        <v>97952519147.8</v>
      </c>
      <c r="W36" s="139">
        <f t="shared" si="16"/>
        <v>111196321961.11</v>
      </c>
      <c r="X36" s="139">
        <f t="shared" si="16"/>
        <v>84169609962.84</v>
      </c>
      <c r="Y36" s="139">
        <f t="shared" si="16"/>
        <v>82330744970.84</v>
      </c>
      <c r="Z36" s="584"/>
    </row>
    <row r="37" spans="1:26" ht="42.75" customHeight="1">
      <c r="A37" s="484"/>
      <c r="B37" s="484"/>
      <c r="C37" s="519"/>
      <c r="D37" s="156" t="s">
        <v>203</v>
      </c>
      <c r="E37" s="34"/>
      <c r="F37" s="31"/>
      <c r="G37" s="6" t="s">
        <v>204</v>
      </c>
      <c r="H37" s="16">
        <f>H38+H42</f>
        <v>923745542</v>
      </c>
      <c r="I37" s="16">
        <f>I38+I42</f>
        <v>1675878542</v>
      </c>
      <c r="J37" s="16">
        <f>J38+J42</f>
        <v>1578826926</v>
      </c>
      <c r="K37" s="16">
        <f>K38+K42</f>
        <v>753898531</v>
      </c>
      <c r="L37" s="45">
        <f>L38+L42</f>
        <v>2276634605.8</v>
      </c>
      <c r="M37" s="45">
        <f>M38+M42+M45</f>
        <v>3434677081.46</v>
      </c>
      <c r="N37" s="45">
        <f>N38+N42</f>
        <v>3428795377</v>
      </c>
      <c r="O37" s="45">
        <f>O38+O42</f>
        <v>3332510194</v>
      </c>
      <c r="P37" s="70"/>
      <c r="Q37" s="24">
        <f>Q38+Q42</f>
        <v>93834440000</v>
      </c>
      <c r="R37" s="24">
        <f>R38+R42</f>
        <v>105038686955.65</v>
      </c>
      <c r="S37" s="24">
        <f>S38+S42</f>
        <v>78268554327.84</v>
      </c>
      <c r="T37" s="24">
        <f>T38+T42</f>
        <v>77816696245.84</v>
      </c>
      <c r="U37" s="12"/>
      <c r="V37" s="139">
        <f t="shared" si="16"/>
        <v>97034820147.8</v>
      </c>
      <c r="W37" s="139">
        <f t="shared" si="16"/>
        <v>110149242579.11</v>
      </c>
      <c r="X37" s="139">
        <f t="shared" si="16"/>
        <v>83276176630.84</v>
      </c>
      <c r="Y37" s="139">
        <f t="shared" si="16"/>
        <v>81903104970.84</v>
      </c>
      <c r="Z37" s="584"/>
    </row>
    <row r="38" spans="1:26" s="29" customFormat="1" ht="12.75" customHeight="1">
      <c r="A38" s="484"/>
      <c r="B38" s="484"/>
      <c r="C38" s="520"/>
      <c r="D38" s="515"/>
      <c r="E38" s="34" t="s">
        <v>205</v>
      </c>
      <c r="F38" s="497" t="s">
        <v>870</v>
      </c>
      <c r="G38" s="494" t="s">
        <v>206</v>
      </c>
      <c r="H38" s="415">
        <v>0</v>
      </c>
      <c r="I38" s="415"/>
      <c r="J38" s="415"/>
      <c r="K38" s="415"/>
      <c r="L38" s="415">
        <v>0</v>
      </c>
      <c r="M38" s="415"/>
      <c r="N38" s="415"/>
      <c r="O38" s="415"/>
      <c r="P38" s="397"/>
      <c r="Q38" s="397">
        <v>93834440000</v>
      </c>
      <c r="R38" s="397">
        <f>92460680755.65+10965432082</f>
        <v>103426112837.65</v>
      </c>
      <c r="S38" s="397">
        <f>70108533951.84+7645433454</f>
        <v>77753967405.84</v>
      </c>
      <c r="T38" s="397">
        <f>69672033422.84+7636933454</f>
        <v>77308966876.84</v>
      </c>
      <c r="U38" s="415" t="s">
        <v>23</v>
      </c>
      <c r="V38" s="422">
        <f t="shared" si="16"/>
        <v>93834440000</v>
      </c>
      <c r="W38" s="422">
        <f t="shared" si="16"/>
        <v>103426112837.65</v>
      </c>
      <c r="X38" s="422">
        <f t="shared" si="16"/>
        <v>77753967405.84</v>
      </c>
      <c r="Y38" s="422">
        <f t="shared" si="16"/>
        <v>77308966876.84</v>
      </c>
      <c r="Z38" s="584"/>
    </row>
    <row r="39" spans="1:26" s="29" customFormat="1" ht="12.75" customHeight="1">
      <c r="A39" s="484"/>
      <c r="B39" s="484"/>
      <c r="C39" s="520"/>
      <c r="D39" s="516"/>
      <c r="E39" s="34" t="s">
        <v>207</v>
      </c>
      <c r="F39" s="498"/>
      <c r="G39" s="500"/>
      <c r="H39" s="543"/>
      <c r="I39" s="543"/>
      <c r="J39" s="543"/>
      <c r="K39" s="543"/>
      <c r="L39" s="543"/>
      <c r="M39" s="543"/>
      <c r="N39" s="543"/>
      <c r="O39" s="543"/>
      <c r="P39" s="398"/>
      <c r="Q39" s="398"/>
      <c r="R39" s="398"/>
      <c r="S39" s="398"/>
      <c r="T39" s="398"/>
      <c r="U39" s="543"/>
      <c r="V39" s="423"/>
      <c r="W39" s="423"/>
      <c r="X39" s="423"/>
      <c r="Y39" s="423"/>
      <c r="Z39" s="584"/>
    </row>
    <row r="40" spans="1:26" s="29" customFormat="1" ht="12.75" customHeight="1">
      <c r="A40" s="484"/>
      <c r="B40" s="484"/>
      <c r="C40" s="520"/>
      <c r="D40" s="516"/>
      <c r="E40" s="34" t="s">
        <v>208</v>
      </c>
      <c r="F40" s="498"/>
      <c r="G40" s="500"/>
      <c r="H40" s="543"/>
      <c r="I40" s="543"/>
      <c r="J40" s="543"/>
      <c r="K40" s="543"/>
      <c r="L40" s="543"/>
      <c r="M40" s="543"/>
      <c r="N40" s="543"/>
      <c r="O40" s="543"/>
      <c r="P40" s="398"/>
      <c r="Q40" s="398"/>
      <c r="R40" s="398"/>
      <c r="S40" s="398"/>
      <c r="T40" s="398"/>
      <c r="U40" s="543"/>
      <c r="V40" s="423"/>
      <c r="W40" s="423"/>
      <c r="X40" s="423"/>
      <c r="Y40" s="423"/>
      <c r="Z40" s="584"/>
    </row>
    <row r="41" spans="1:26" s="29" customFormat="1" ht="12.75" customHeight="1">
      <c r="A41" s="484"/>
      <c r="B41" s="484"/>
      <c r="C41" s="520"/>
      <c r="D41" s="516"/>
      <c r="E41" s="34" t="s">
        <v>209</v>
      </c>
      <c r="F41" s="499"/>
      <c r="G41" s="495"/>
      <c r="H41" s="416"/>
      <c r="I41" s="416"/>
      <c r="J41" s="416"/>
      <c r="K41" s="416"/>
      <c r="L41" s="416"/>
      <c r="M41" s="416"/>
      <c r="N41" s="416"/>
      <c r="O41" s="416"/>
      <c r="P41" s="399"/>
      <c r="Q41" s="399"/>
      <c r="R41" s="399"/>
      <c r="S41" s="399"/>
      <c r="T41" s="399"/>
      <c r="U41" s="416"/>
      <c r="V41" s="424"/>
      <c r="W41" s="424"/>
      <c r="X41" s="424"/>
      <c r="Y41" s="424"/>
      <c r="Z41" s="584"/>
    </row>
    <row r="42" spans="1:26" s="29" customFormat="1" ht="12.75" customHeight="1">
      <c r="A42" s="484"/>
      <c r="B42" s="484"/>
      <c r="C42" s="520"/>
      <c r="D42" s="516"/>
      <c r="E42" s="34" t="s">
        <v>210</v>
      </c>
      <c r="F42" s="513" t="s">
        <v>871</v>
      </c>
      <c r="G42" s="494" t="s">
        <v>211</v>
      </c>
      <c r="H42" s="397">
        <v>923745542</v>
      </c>
      <c r="I42" s="397">
        <v>1675878542</v>
      </c>
      <c r="J42" s="397">
        <v>1578826926</v>
      </c>
      <c r="K42" s="397">
        <v>753898531</v>
      </c>
      <c r="L42" s="552">
        <v>2276634605.8</v>
      </c>
      <c r="M42" s="554">
        <v>3428795377</v>
      </c>
      <c r="N42" s="554">
        <v>3428795377</v>
      </c>
      <c r="O42" s="554">
        <v>3332510194</v>
      </c>
      <c r="P42" s="554" t="s">
        <v>21</v>
      </c>
      <c r="Q42" s="415">
        <v>0</v>
      </c>
      <c r="R42" s="415">
        <f>6857553+1605716565</f>
        <v>1612574118</v>
      </c>
      <c r="S42" s="415">
        <f>6857553+507729369</f>
        <v>514586922</v>
      </c>
      <c r="T42" s="415">
        <v>507729369</v>
      </c>
      <c r="U42" s="397" t="s">
        <v>22</v>
      </c>
      <c r="V42" s="422">
        <f>H42+L42+Q42</f>
        <v>3200380147.8</v>
      </c>
      <c r="W42" s="422">
        <f>I42+M42+R42</f>
        <v>6717248037</v>
      </c>
      <c r="X42" s="422">
        <f>J42+N42+S42</f>
        <v>5522209225</v>
      </c>
      <c r="Y42" s="422">
        <f>K42+O42+T42</f>
        <v>4594138094</v>
      </c>
      <c r="Z42" s="584"/>
    </row>
    <row r="43" spans="1:26" s="29" customFormat="1" ht="12.75" customHeight="1">
      <c r="A43" s="484"/>
      <c r="B43" s="484"/>
      <c r="C43" s="520"/>
      <c r="D43" s="516"/>
      <c r="E43" s="34" t="s">
        <v>212</v>
      </c>
      <c r="F43" s="518"/>
      <c r="G43" s="500"/>
      <c r="H43" s="398"/>
      <c r="I43" s="398"/>
      <c r="J43" s="398"/>
      <c r="K43" s="398"/>
      <c r="L43" s="552"/>
      <c r="M43" s="555"/>
      <c r="N43" s="555"/>
      <c r="O43" s="555"/>
      <c r="P43" s="555"/>
      <c r="Q43" s="543"/>
      <c r="R43" s="543"/>
      <c r="S43" s="543"/>
      <c r="T43" s="543"/>
      <c r="U43" s="398"/>
      <c r="V43" s="423"/>
      <c r="W43" s="423"/>
      <c r="X43" s="423"/>
      <c r="Y43" s="423"/>
      <c r="Z43" s="584"/>
    </row>
    <row r="44" spans="1:26" s="29" customFormat="1" ht="12.75" customHeight="1">
      <c r="A44" s="484"/>
      <c r="B44" s="484"/>
      <c r="C44" s="520"/>
      <c r="D44" s="516"/>
      <c r="E44" s="34" t="s">
        <v>213</v>
      </c>
      <c r="F44" s="518"/>
      <c r="G44" s="500"/>
      <c r="H44" s="398"/>
      <c r="I44" s="398"/>
      <c r="J44" s="398"/>
      <c r="K44" s="398"/>
      <c r="L44" s="552"/>
      <c r="M44" s="555"/>
      <c r="N44" s="555"/>
      <c r="O44" s="555"/>
      <c r="P44" s="555"/>
      <c r="Q44" s="543"/>
      <c r="R44" s="543"/>
      <c r="S44" s="543"/>
      <c r="T44" s="543"/>
      <c r="U44" s="398"/>
      <c r="V44" s="423"/>
      <c r="W44" s="423"/>
      <c r="X44" s="423"/>
      <c r="Y44" s="423"/>
      <c r="Z44" s="584"/>
    </row>
    <row r="45" spans="1:26" s="29" customFormat="1" ht="12.75" customHeight="1">
      <c r="A45" s="484"/>
      <c r="B45" s="484"/>
      <c r="C45" s="520"/>
      <c r="D45" s="516"/>
      <c r="E45" s="34" t="s">
        <v>214</v>
      </c>
      <c r="F45" s="518"/>
      <c r="G45" s="500"/>
      <c r="H45" s="398"/>
      <c r="I45" s="398"/>
      <c r="J45" s="398"/>
      <c r="K45" s="398"/>
      <c r="L45" s="554">
        <v>0</v>
      </c>
      <c r="M45" s="554">
        <v>5881704.46</v>
      </c>
      <c r="N45" s="554">
        <v>0</v>
      </c>
      <c r="O45" s="554">
        <v>0</v>
      </c>
      <c r="P45" s="568" t="s">
        <v>1064</v>
      </c>
      <c r="Q45" s="543"/>
      <c r="R45" s="543"/>
      <c r="S45" s="543"/>
      <c r="T45" s="543"/>
      <c r="U45" s="398"/>
      <c r="V45" s="423"/>
      <c r="W45" s="423"/>
      <c r="X45" s="423"/>
      <c r="Y45" s="423"/>
      <c r="Z45" s="584"/>
    </row>
    <row r="46" spans="1:26" s="29" customFormat="1" ht="12.75" customHeight="1">
      <c r="A46" s="484"/>
      <c r="B46" s="484"/>
      <c r="C46" s="520"/>
      <c r="D46" s="516"/>
      <c r="E46" s="34" t="s">
        <v>215</v>
      </c>
      <c r="F46" s="518"/>
      <c r="G46" s="500"/>
      <c r="H46" s="398"/>
      <c r="I46" s="398"/>
      <c r="J46" s="398"/>
      <c r="K46" s="398"/>
      <c r="L46" s="555"/>
      <c r="M46" s="555"/>
      <c r="N46" s="555"/>
      <c r="O46" s="555"/>
      <c r="P46" s="569"/>
      <c r="Q46" s="543"/>
      <c r="R46" s="543"/>
      <c r="S46" s="543"/>
      <c r="T46" s="543"/>
      <c r="U46" s="398"/>
      <c r="V46" s="423"/>
      <c r="W46" s="423"/>
      <c r="X46" s="423"/>
      <c r="Y46" s="423"/>
      <c r="Z46" s="584"/>
    </row>
    <row r="47" spans="1:26" s="29" customFormat="1" ht="12.75" customHeight="1">
      <c r="A47" s="484"/>
      <c r="B47" s="484"/>
      <c r="C47" s="520"/>
      <c r="D47" s="517"/>
      <c r="E47" s="34" t="s">
        <v>216</v>
      </c>
      <c r="F47" s="514"/>
      <c r="G47" s="495"/>
      <c r="H47" s="399"/>
      <c r="I47" s="399"/>
      <c r="J47" s="399"/>
      <c r="K47" s="399"/>
      <c r="L47" s="556"/>
      <c r="M47" s="556"/>
      <c r="N47" s="556"/>
      <c r="O47" s="556"/>
      <c r="P47" s="570"/>
      <c r="Q47" s="416"/>
      <c r="R47" s="416"/>
      <c r="S47" s="416"/>
      <c r="T47" s="416"/>
      <c r="U47" s="399"/>
      <c r="V47" s="424"/>
      <c r="W47" s="424"/>
      <c r="X47" s="424"/>
      <c r="Y47" s="424"/>
      <c r="Z47" s="584"/>
    </row>
    <row r="48" spans="1:26" s="29" customFormat="1" ht="27">
      <c r="A48" s="484"/>
      <c r="B48" s="484"/>
      <c r="C48" s="520"/>
      <c r="D48" s="156" t="s">
        <v>217</v>
      </c>
      <c r="E48" s="34"/>
      <c r="F48" s="31"/>
      <c r="G48" s="6" t="s">
        <v>218</v>
      </c>
      <c r="H48" s="50">
        <f aca="true" t="shared" si="17" ref="H48:O48">H49</f>
        <v>0</v>
      </c>
      <c r="I48" s="50">
        <f t="shared" si="17"/>
        <v>0</v>
      </c>
      <c r="J48" s="50">
        <f t="shared" si="17"/>
        <v>0</v>
      </c>
      <c r="K48" s="50">
        <f t="shared" si="17"/>
        <v>0</v>
      </c>
      <c r="L48" s="50">
        <f t="shared" si="17"/>
        <v>0</v>
      </c>
      <c r="M48" s="50">
        <f t="shared" si="17"/>
        <v>0</v>
      </c>
      <c r="N48" s="50">
        <f t="shared" si="17"/>
        <v>0</v>
      </c>
      <c r="O48" s="50">
        <f t="shared" si="17"/>
        <v>0</v>
      </c>
      <c r="P48" s="31"/>
      <c r="Q48" s="24">
        <f>Q49</f>
        <v>917699000</v>
      </c>
      <c r="R48" s="24">
        <f>R49</f>
        <v>1047079382</v>
      </c>
      <c r="S48" s="24">
        <f>S49</f>
        <v>893433332</v>
      </c>
      <c r="T48" s="24">
        <f>T49</f>
        <v>427640000</v>
      </c>
      <c r="U48" s="46"/>
      <c r="V48" s="139">
        <f>H48+L48+Q48</f>
        <v>917699000</v>
      </c>
      <c r="W48" s="139">
        <f aca="true" t="shared" si="18" ref="W48:Y49">I48+M48+R48</f>
        <v>1047079382</v>
      </c>
      <c r="X48" s="139">
        <f t="shared" si="18"/>
        <v>893433332</v>
      </c>
      <c r="Y48" s="139">
        <f t="shared" si="18"/>
        <v>427640000</v>
      </c>
      <c r="Z48" s="584"/>
    </row>
    <row r="49" spans="1:26" s="29" customFormat="1" ht="32.25" customHeight="1">
      <c r="A49" s="484"/>
      <c r="B49" s="484"/>
      <c r="C49" s="520"/>
      <c r="D49" s="515"/>
      <c r="E49" s="34" t="s">
        <v>219</v>
      </c>
      <c r="F49" s="497" t="s">
        <v>872</v>
      </c>
      <c r="G49" s="494" t="s">
        <v>220</v>
      </c>
      <c r="H49" s="415">
        <v>0</v>
      </c>
      <c r="I49" s="415">
        <v>0</v>
      </c>
      <c r="J49" s="415">
        <v>0</v>
      </c>
      <c r="K49" s="415">
        <v>0</v>
      </c>
      <c r="L49" s="415">
        <v>0</v>
      </c>
      <c r="M49" s="415">
        <v>0</v>
      </c>
      <c r="N49" s="415">
        <v>0</v>
      </c>
      <c r="O49" s="415">
        <v>0</v>
      </c>
      <c r="P49" s="397"/>
      <c r="Q49" s="397">
        <v>917699000</v>
      </c>
      <c r="R49" s="397">
        <v>1047079382</v>
      </c>
      <c r="S49" s="397">
        <v>893433332</v>
      </c>
      <c r="T49" s="397">
        <v>427640000</v>
      </c>
      <c r="U49" s="397" t="s">
        <v>22</v>
      </c>
      <c r="V49" s="417">
        <f>H49+L49+Q49</f>
        <v>917699000</v>
      </c>
      <c r="W49" s="417">
        <f t="shared" si="18"/>
        <v>1047079382</v>
      </c>
      <c r="X49" s="417">
        <f t="shared" si="18"/>
        <v>893433332</v>
      </c>
      <c r="Y49" s="417">
        <f t="shared" si="18"/>
        <v>427640000</v>
      </c>
      <c r="Z49" s="584"/>
    </row>
    <row r="50" spans="1:26" s="29" customFormat="1" ht="22.5" customHeight="1">
      <c r="A50" s="484"/>
      <c r="B50" s="484"/>
      <c r="C50" s="544"/>
      <c r="D50" s="517"/>
      <c r="E50" s="34" t="s">
        <v>221</v>
      </c>
      <c r="F50" s="499"/>
      <c r="G50" s="495"/>
      <c r="H50" s="416"/>
      <c r="I50" s="416"/>
      <c r="J50" s="416"/>
      <c r="K50" s="416"/>
      <c r="L50" s="416"/>
      <c r="M50" s="416"/>
      <c r="N50" s="416"/>
      <c r="O50" s="416"/>
      <c r="P50" s="399"/>
      <c r="Q50" s="399"/>
      <c r="R50" s="399"/>
      <c r="S50" s="399"/>
      <c r="T50" s="399"/>
      <c r="U50" s="399"/>
      <c r="V50" s="418"/>
      <c r="W50" s="418"/>
      <c r="X50" s="418"/>
      <c r="Y50" s="418"/>
      <c r="Z50" s="584"/>
    </row>
    <row r="51" spans="1:26" ht="30.75" customHeight="1">
      <c r="A51" s="484"/>
      <c r="B51" s="484"/>
      <c r="C51" s="156" t="s">
        <v>10</v>
      </c>
      <c r="D51" s="156"/>
      <c r="E51" s="156"/>
      <c r="F51" s="156"/>
      <c r="G51" s="6" t="s">
        <v>11</v>
      </c>
      <c r="H51" s="123">
        <f>H52</f>
        <v>0</v>
      </c>
      <c r="I51" s="123">
        <f aca="true" t="shared" si="19" ref="I51:K52">I52</f>
        <v>303500000</v>
      </c>
      <c r="J51" s="123">
        <f t="shared" si="19"/>
        <v>302760118</v>
      </c>
      <c r="K51" s="123">
        <f t="shared" si="19"/>
        <v>251517118</v>
      </c>
      <c r="L51" s="123">
        <f>L52</f>
        <v>1430387524.1999998</v>
      </c>
      <c r="M51" s="123">
        <f aca="true" t="shared" si="20" ref="M51:O52">M52</f>
        <v>289733440</v>
      </c>
      <c r="N51" s="123">
        <f t="shared" si="20"/>
        <v>289733440</v>
      </c>
      <c r="O51" s="123">
        <f t="shared" si="20"/>
        <v>289733440</v>
      </c>
      <c r="P51" s="70" t="s">
        <v>21</v>
      </c>
      <c r="Q51" s="50">
        <f>Q52</f>
        <v>0</v>
      </c>
      <c r="R51" s="50"/>
      <c r="S51" s="50"/>
      <c r="T51" s="50"/>
      <c r="U51" s="20"/>
      <c r="V51" s="139">
        <f aca="true" t="shared" si="21" ref="V51:V56">H51+L51+Q51</f>
        <v>1430387524.1999998</v>
      </c>
      <c r="W51" s="139">
        <f aca="true" t="shared" si="22" ref="W51:W56">I51+M51+R51</f>
        <v>593233440</v>
      </c>
      <c r="X51" s="139">
        <f aca="true" t="shared" si="23" ref="X51:X56">J51+N51+S51</f>
        <v>592493558</v>
      </c>
      <c r="Y51" s="139">
        <f aca="true" t="shared" si="24" ref="Y51:Y56">K51+O51+T51</f>
        <v>541250558</v>
      </c>
      <c r="Z51" s="584"/>
    </row>
    <row r="52" spans="1:26" ht="30.75" customHeight="1">
      <c r="A52" s="484"/>
      <c r="B52" s="484"/>
      <c r="C52" s="519"/>
      <c r="D52" s="156" t="s">
        <v>222</v>
      </c>
      <c r="E52" s="34"/>
      <c r="F52" s="31"/>
      <c r="G52" s="6" t="s">
        <v>223</v>
      </c>
      <c r="H52" s="50">
        <f>H53</f>
        <v>0</v>
      </c>
      <c r="I52" s="50">
        <f t="shared" si="19"/>
        <v>303500000</v>
      </c>
      <c r="J52" s="50">
        <f t="shared" si="19"/>
        <v>302760118</v>
      </c>
      <c r="K52" s="50">
        <f t="shared" si="19"/>
        <v>251517118</v>
      </c>
      <c r="L52" s="23">
        <f>L53</f>
        <v>1430387524.1999998</v>
      </c>
      <c r="M52" s="23">
        <f t="shared" si="20"/>
        <v>289733440</v>
      </c>
      <c r="N52" s="23">
        <f t="shared" si="20"/>
        <v>289733440</v>
      </c>
      <c r="O52" s="23">
        <f t="shared" si="20"/>
        <v>289733440</v>
      </c>
      <c r="P52" s="70"/>
      <c r="Q52" s="50">
        <f>Q53</f>
        <v>0</v>
      </c>
      <c r="R52" s="50"/>
      <c r="S52" s="50"/>
      <c r="T52" s="50"/>
      <c r="U52" s="20"/>
      <c r="V52" s="139">
        <f t="shared" si="21"/>
        <v>1430387524.1999998</v>
      </c>
      <c r="W52" s="139">
        <f t="shared" si="22"/>
        <v>593233440</v>
      </c>
      <c r="X52" s="139">
        <f t="shared" si="23"/>
        <v>592493558</v>
      </c>
      <c r="Y52" s="139">
        <f t="shared" si="24"/>
        <v>541250558</v>
      </c>
      <c r="Z52" s="584"/>
    </row>
    <row r="53" spans="1:26" ht="55.5" customHeight="1">
      <c r="A53" s="484"/>
      <c r="B53" s="484"/>
      <c r="C53" s="544"/>
      <c r="D53" s="156"/>
      <c r="E53" s="34" t="s">
        <v>224</v>
      </c>
      <c r="F53" s="27" t="s">
        <v>873</v>
      </c>
      <c r="G53" s="69" t="s">
        <v>225</v>
      </c>
      <c r="H53" s="72">
        <v>0</v>
      </c>
      <c r="I53" s="72">
        <v>303500000</v>
      </c>
      <c r="J53" s="72">
        <v>302760118</v>
      </c>
      <c r="K53" s="72">
        <v>251517118</v>
      </c>
      <c r="L53" s="14">
        <v>1430387524.1999998</v>
      </c>
      <c r="M53" s="14">
        <v>289733440</v>
      </c>
      <c r="N53" s="14">
        <v>289733440</v>
      </c>
      <c r="O53" s="14">
        <v>289733440</v>
      </c>
      <c r="P53" s="70" t="s">
        <v>21</v>
      </c>
      <c r="Q53" s="72">
        <v>0</v>
      </c>
      <c r="R53" s="72"/>
      <c r="S53" s="72"/>
      <c r="T53" s="72"/>
      <c r="U53" s="20"/>
      <c r="V53" s="140">
        <f t="shared" si="21"/>
        <v>1430387524.1999998</v>
      </c>
      <c r="W53" s="140">
        <f t="shared" si="22"/>
        <v>593233440</v>
      </c>
      <c r="X53" s="140">
        <f t="shared" si="23"/>
        <v>592493558</v>
      </c>
      <c r="Y53" s="140">
        <f t="shared" si="24"/>
        <v>541250558</v>
      </c>
      <c r="Z53" s="584"/>
    </row>
    <row r="54" spans="1:26" ht="30" customHeight="1">
      <c r="A54" s="484"/>
      <c r="B54" s="484"/>
      <c r="C54" s="156" t="s">
        <v>12</v>
      </c>
      <c r="D54" s="156"/>
      <c r="E54" s="157"/>
      <c r="F54" s="156"/>
      <c r="G54" s="6" t="s">
        <v>13</v>
      </c>
      <c r="H54" s="15">
        <f aca="true" t="shared" si="25" ref="H54:O54">H55+H61+H67</f>
        <v>0</v>
      </c>
      <c r="I54" s="15">
        <f t="shared" si="25"/>
        <v>186267333</v>
      </c>
      <c r="J54" s="15">
        <f t="shared" si="25"/>
        <v>186267333</v>
      </c>
      <c r="K54" s="15">
        <f t="shared" si="25"/>
        <v>0</v>
      </c>
      <c r="L54" s="15">
        <f t="shared" si="25"/>
        <v>0</v>
      </c>
      <c r="M54" s="15">
        <f t="shared" si="25"/>
        <v>0</v>
      </c>
      <c r="N54" s="15">
        <f t="shared" si="25"/>
        <v>0</v>
      </c>
      <c r="O54" s="15">
        <f t="shared" si="25"/>
        <v>0</v>
      </c>
      <c r="P54" s="131"/>
      <c r="Q54" s="15">
        <f>Q55+Q61+Q67</f>
        <v>1880746000</v>
      </c>
      <c r="R54" s="15">
        <f>R55+R61+R67</f>
        <v>1129007122.65</v>
      </c>
      <c r="S54" s="15">
        <f>S55+S61+S67</f>
        <v>1077213655</v>
      </c>
      <c r="T54" s="15">
        <f>T55+T61+T67</f>
        <v>719787064</v>
      </c>
      <c r="U54" s="76"/>
      <c r="V54" s="139">
        <f t="shared" si="21"/>
        <v>1880746000</v>
      </c>
      <c r="W54" s="139">
        <f t="shared" si="22"/>
        <v>1315274455.65</v>
      </c>
      <c r="X54" s="139">
        <f t="shared" si="23"/>
        <v>1263480988</v>
      </c>
      <c r="Y54" s="139">
        <f t="shared" si="24"/>
        <v>719787064</v>
      </c>
      <c r="Z54" s="584"/>
    </row>
    <row r="55" spans="1:26" ht="27">
      <c r="A55" s="484"/>
      <c r="B55" s="484"/>
      <c r="C55" s="519"/>
      <c r="D55" s="156" t="s">
        <v>226</v>
      </c>
      <c r="E55" s="34"/>
      <c r="F55" s="31"/>
      <c r="G55" s="6" t="s">
        <v>227</v>
      </c>
      <c r="H55" s="15">
        <f aca="true" t="shared" si="26" ref="H55:O55">H56</f>
        <v>0</v>
      </c>
      <c r="I55" s="15">
        <f t="shared" si="26"/>
        <v>186267333</v>
      </c>
      <c r="J55" s="15">
        <f t="shared" si="26"/>
        <v>186267333</v>
      </c>
      <c r="K55" s="15">
        <f t="shared" si="26"/>
        <v>0</v>
      </c>
      <c r="L55" s="15">
        <f t="shared" si="26"/>
        <v>0</v>
      </c>
      <c r="M55" s="15">
        <f t="shared" si="26"/>
        <v>0</v>
      </c>
      <c r="N55" s="15">
        <f t="shared" si="26"/>
        <v>0</v>
      </c>
      <c r="O55" s="15">
        <f t="shared" si="26"/>
        <v>0</v>
      </c>
      <c r="P55" s="131"/>
      <c r="Q55" s="15">
        <f>Q56</f>
        <v>1820746000</v>
      </c>
      <c r="R55" s="15">
        <f>R56</f>
        <v>983357122.65</v>
      </c>
      <c r="S55" s="15">
        <f>S56</f>
        <v>983356138</v>
      </c>
      <c r="T55" s="15">
        <f>T56</f>
        <v>674215635</v>
      </c>
      <c r="U55" s="76"/>
      <c r="V55" s="139">
        <f t="shared" si="21"/>
        <v>1820746000</v>
      </c>
      <c r="W55" s="139">
        <f t="shared" si="22"/>
        <v>1169624455.65</v>
      </c>
      <c r="X55" s="139">
        <f t="shared" si="23"/>
        <v>1169623471</v>
      </c>
      <c r="Y55" s="139">
        <f t="shared" si="24"/>
        <v>674215635</v>
      </c>
      <c r="Z55" s="584"/>
    </row>
    <row r="56" spans="1:26" ht="13.5">
      <c r="A56" s="484"/>
      <c r="B56" s="484"/>
      <c r="C56" s="520"/>
      <c r="D56" s="515"/>
      <c r="E56" s="34" t="s">
        <v>228</v>
      </c>
      <c r="F56" s="497" t="s">
        <v>874</v>
      </c>
      <c r="G56" s="494" t="s">
        <v>229</v>
      </c>
      <c r="H56" s="409">
        <v>0</v>
      </c>
      <c r="I56" s="409">
        <v>186267333</v>
      </c>
      <c r="J56" s="409">
        <v>186267333</v>
      </c>
      <c r="K56" s="409">
        <v>0</v>
      </c>
      <c r="L56" s="403">
        <v>0</v>
      </c>
      <c r="M56" s="403">
        <v>0</v>
      </c>
      <c r="N56" s="403">
        <v>0</v>
      </c>
      <c r="O56" s="403">
        <v>0</v>
      </c>
      <c r="P56" s="403"/>
      <c r="Q56" s="409">
        <v>1820746000</v>
      </c>
      <c r="R56" s="409">
        <v>983357122.65</v>
      </c>
      <c r="S56" s="409">
        <v>983356138</v>
      </c>
      <c r="T56" s="409">
        <v>674215635</v>
      </c>
      <c r="U56" s="415" t="s">
        <v>22</v>
      </c>
      <c r="V56" s="406">
        <f t="shared" si="21"/>
        <v>1820746000</v>
      </c>
      <c r="W56" s="406">
        <f t="shared" si="22"/>
        <v>1169624455.65</v>
      </c>
      <c r="X56" s="406">
        <f t="shared" si="23"/>
        <v>1169623471</v>
      </c>
      <c r="Y56" s="406">
        <f t="shared" si="24"/>
        <v>674215635</v>
      </c>
      <c r="Z56" s="584"/>
    </row>
    <row r="57" spans="1:26" ht="13.5">
      <c r="A57" s="484"/>
      <c r="B57" s="484"/>
      <c r="C57" s="520"/>
      <c r="D57" s="516"/>
      <c r="E57" s="34" t="s">
        <v>230</v>
      </c>
      <c r="F57" s="498"/>
      <c r="G57" s="500"/>
      <c r="H57" s="410"/>
      <c r="I57" s="410"/>
      <c r="J57" s="410"/>
      <c r="K57" s="410"/>
      <c r="L57" s="404"/>
      <c r="M57" s="404"/>
      <c r="N57" s="404"/>
      <c r="O57" s="404"/>
      <c r="P57" s="404"/>
      <c r="Q57" s="410"/>
      <c r="R57" s="410"/>
      <c r="S57" s="410"/>
      <c r="T57" s="410"/>
      <c r="U57" s="543"/>
      <c r="V57" s="407"/>
      <c r="W57" s="407"/>
      <c r="X57" s="407"/>
      <c r="Y57" s="407"/>
      <c r="Z57" s="584"/>
    </row>
    <row r="58" spans="1:26" ht="13.5">
      <c r="A58" s="484"/>
      <c r="B58" s="484"/>
      <c r="C58" s="520"/>
      <c r="D58" s="516"/>
      <c r="E58" s="34" t="s">
        <v>231</v>
      </c>
      <c r="F58" s="498"/>
      <c r="G58" s="500"/>
      <c r="H58" s="410"/>
      <c r="I58" s="410"/>
      <c r="J58" s="410"/>
      <c r="K58" s="410"/>
      <c r="L58" s="404"/>
      <c r="M58" s="404"/>
      <c r="N58" s="404"/>
      <c r="O58" s="404"/>
      <c r="P58" s="404"/>
      <c r="Q58" s="410"/>
      <c r="R58" s="410"/>
      <c r="S58" s="410"/>
      <c r="T58" s="410"/>
      <c r="U58" s="543"/>
      <c r="V58" s="407"/>
      <c r="W58" s="407"/>
      <c r="X58" s="407"/>
      <c r="Y58" s="407"/>
      <c r="Z58" s="584"/>
    </row>
    <row r="59" spans="1:26" ht="13.5">
      <c r="A59" s="484"/>
      <c r="B59" s="484"/>
      <c r="C59" s="520"/>
      <c r="D59" s="516"/>
      <c r="E59" s="34" t="s">
        <v>232</v>
      </c>
      <c r="F59" s="498"/>
      <c r="G59" s="500"/>
      <c r="H59" s="410"/>
      <c r="I59" s="410"/>
      <c r="J59" s="410"/>
      <c r="K59" s="410"/>
      <c r="L59" s="404"/>
      <c r="M59" s="404"/>
      <c r="N59" s="404"/>
      <c r="O59" s="404"/>
      <c r="P59" s="404"/>
      <c r="Q59" s="410"/>
      <c r="R59" s="410"/>
      <c r="S59" s="410"/>
      <c r="T59" s="410"/>
      <c r="U59" s="543"/>
      <c r="V59" s="407"/>
      <c r="W59" s="407"/>
      <c r="X59" s="407"/>
      <c r="Y59" s="407"/>
      <c r="Z59" s="584"/>
    </row>
    <row r="60" spans="1:26" ht="13.5">
      <c r="A60" s="484"/>
      <c r="B60" s="484"/>
      <c r="C60" s="520"/>
      <c r="D60" s="517"/>
      <c r="E60" s="34" t="s">
        <v>233</v>
      </c>
      <c r="F60" s="499"/>
      <c r="G60" s="495"/>
      <c r="H60" s="411"/>
      <c r="I60" s="411"/>
      <c r="J60" s="411"/>
      <c r="K60" s="411"/>
      <c r="L60" s="405"/>
      <c r="M60" s="405"/>
      <c r="N60" s="405"/>
      <c r="O60" s="405"/>
      <c r="P60" s="405"/>
      <c r="Q60" s="411"/>
      <c r="R60" s="411"/>
      <c r="S60" s="411"/>
      <c r="T60" s="411"/>
      <c r="U60" s="416"/>
      <c r="V60" s="408"/>
      <c r="W60" s="408"/>
      <c r="X60" s="408"/>
      <c r="Y60" s="408"/>
      <c r="Z60" s="584"/>
    </row>
    <row r="61" spans="1:26" ht="27">
      <c r="A61" s="484"/>
      <c r="B61" s="484"/>
      <c r="C61" s="520"/>
      <c r="D61" s="156" t="s">
        <v>234</v>
      </c>
      <c r="E61" s="34"/>
      <c r="F61" s="31"/>
      <c r="G61" s="6" t="s">
        <v>235</v>
      </c>
      <c r="H61" s="50">
        <f aca="true" t="shared" si="27" ref="H61:O61">H62</f>
        <v>0</v>
      </c>
      <c r="I61" s="50">
        <f t="shared" si="27"/>
        <v>0</v>
      </c>
      <c r="J61" s="50">
        <f t="shared" si="27"/>
        <v>0</v>
      </c>
      <c r="K61" s="50">
        <f t="shared" si="27"/>
        <v>0</v>
      </c>
      <c r="L61" s="50">
        <f t="shared" si="27"/>
        <v>0</v>
      </c>
      <c r="M61" s="50">
        <f t="shared" si="27"/>
        <v>0</v>
      </c>
      <c r="N61" s="50">
        <f t="shared" si="27"/>
        <v>0</v>
      </c>
      <c r="O61" s="50">
        <f t="shared" si="27"/>
        <v>0</v>
      </c>
      <c r="P61" s="131"/>
      <c r="Q61" s="15">
        <f>Q62</f>
        <v>30000000</v>
      </c>
      <c r="R61" s="15">
        <f>R62</f>
        <v>115650000</v>
      </c>
      <c r="S61" s="15">
        <f>S62</f>
        <v>89857517</v>
      </c>
      <c r="T61" s="15">
        <f>T62</f>
        <v>41571429</v>
      </c>
      <c r="U61" s="76"/>
      <c r="V61" s="139">
        <f>H61+L61+Q61</f>
        <v>30000000</v>
      </c>
      <c r="W61" s="139">
        <f aca="true" t="shared" si="28" ref="W61:Y62">I61+M61+R61</f>
        <v>115650000</v>
      </c>
      <c r="X61" s="139">
        <f t="shared" si="28"/>
        <v>89857517</v>
      </c>
      <c r="Y61" s="139">
        <f t="shared" si="28"/>
        <v>41571429</v>
      </c>
      <c r="Z61" s="584"/>
    </row>
    <row r="62" spans="1:26" ht="13.5">
      <c r="A62" s="484"/>
      <c r="B62" s="484"/>
      <c r="C62" s="520"/>
      <c r="D62" s="515"/>
      <c r="E62" s="34" t="s">
        <v>236</v>
      </c>
      <c r="F62" s="497" t="s">
        <v>875</v>
      </c>
      <c r="G62" s="494" t="s">
        <v>237</v>
      </c>
      <c r="H62" s="403">
        <v>0</v>
      </c>
      <c r="I62" s="403"/>
      <c r="J62" s="403"/>
      <c r="K62" s="403"/>
      <c r="L62" s="403">
        <v>0</v>
      </c>
      <c r="M62" s="403"/>
      <c r="N62" s="403"/>
      <c r="O62" s="403"/>
      <c r="P62" s="403"/>
      <c r="Q62" s="409">
        <v>30000000</v>
      </c>
      <c r="R62" s="409">
        <v>115650000</v>
      </c>
      <c r="S62" s="409">
        <v>89857517</v>
      </c>
      <c r="T62" s="409">
        <v>41571429</v>
      </c>
      <c r="U62" s="415" t="s">
        <v>22</v>
      </c>
      <c r="V62" s="406">
        <f>H62+L62+Q62</f>
        <v>30000000</v>
      </c>
      <c r="W62" s="406">
        <f t="shared" si="28"/>
        <v>115650000</v>
      </c>
      <c r="X62" s="406">
        <f t="shared" si="28"/>
        <v>89857517</v>
      </c>
      <c r="Y62" s="406">
        <f t="shared" si="28"/>
        <v>41571429</v>
      </c>
      <c r="Z62" s="584"/>
    </row>
    <row r="63" spans="1:26" ht="13.5">
      <c r="A63" s="484"/>
      <c r="B63" s="484"/>
      <c r="C63" s="520"/>
      <c r="D63" s="516"/>
      <c r="E63" s="34" t="s">
        <v>238</v>
      </c>
      <c r="F63" s="498"/>
      <c r="G63" s="500"/>
      <c r="H63" s="404"/>
      <c r="I63" s="404"/>
      <c r="J63" s="404"/>
      <c r="K63" s="404"/>
      <c r="L63" s="404"/>
      <c r="M63" s="404"/>
      <c r="N63" s="404"/>
      <c r="O63" s="404"/>
      <c r="P63" s="404"/>
      <c r="Q63" s="410"/>
      <c r="R63" s="410"/>
      <c r="S63" s="410"/>
      <c r="T63" s="410"/>
      <c r="U63" s="543"/>
      <c r="V63" s="407"/>
      <c r="W63" s="407"/>
      <c r="X63" s="407"/>
      <c r="Y63" s="407"/>
      <c r="Z63" s="584"/>
    </row>
    <row r="64" spans="1:26" ht="13.5">
      <c r="A64" s="484"/>
      <c r="B64" s="484"/>
      <c r="C64" s="520"/>
      <c r="D64" s="516"/>
      <c r="E64" s="34" t="s">
        <v>239</v>
      </c>
      <c r="F64" s="498"/>
      <c r="G64" s="500"/>
      <c r="H64" s="404"/>
      <c r="I64" s="404"/>
      <c r="J64" s="404"/>
      <c r="K64" s="404"/>
      <c r="L64" s="404"/>
      <c r="M64" s="404"/>
      <c r="N64" s="404"/>
      <c r="O64" s="404"/>
      <c r="P64" s="404"/>
      <c r="Q64" s="410"/>
      <c r="R64" s="410"/>
      <c r="S64" s="410"/>
      <c r="T64" s="410"/>
      <c r="U64" s="543"/>
      <c r="V64" s="407"/>
      <c r="W64" s="407"/>
      <c r="X64" s="407"/>
      <c r="Y64" s="407"/>
      <c r="Z64" s="584"/>
    </row>
    <row r="65" spans="1:26" ht="13.5">
      <c r="A65" s="484"/>
      <c r="B65" s="484"/>
      <c r="C65" s="520"/>
      <c r="D65" s="516"/>
      <c r="E65" s="34" t="s">
        <v>240</v>
      </c>
      <c r="F65" s="498"/>
      <c r="G65" s="500"/>
      <c r="H65" s="404"/>
      <c r="I65" s="404"/>
      <c r="J65" s="404"/>
      <c r="K65" s="404"/>
      <c r="L65" s="404"/>
      <c r="M65" s="404"/>
      <c r="N65" s="404"/>
      <c r="O65" s="404"/>
      <c r="P65" s="404"/>
      <c r="Q65" s="410"/>
      <c r="R65" s="410"/>
      <c r="S65" s="410"/>
      <c r="T65" s="410"/>
      <c r="U65" s="543"/>
      <c r="V65" s="407"/>
      <c r="W65" s="407"/>
      <c r="X65" s="407"/>
      <c r="Y65" s="407"/>
      <c r="Z65" s="584"/>
    </row>
    <row r="66" spans="1:26" ht="13.5">
      <c r="A66" s="484"/>
      <c r="B66" s="484"/>
      <c r="C66" s="520"/>
      <c r="D66" s="517"/>
      <c r="E66" s="34" t="s">
        <v>241</v>
      </c>
      <c r="F66" s="499"/>
      <c r="G66" s="495"/>
      <c r="H66" s="405"/>
      <c r="I66" s="405"/>
      <c r="J66" s="405"/>
      <c r="K66" s="405"/>
      <c r="L66" s="405"/>
      <c r="M66" s="405"/>
      <c r="N66" s="405"/>
      <c r="O66" s="405"/>
      <c r="P66" s="405"/>
      <c r="Q66" s="411"/>
      <c r="R66" s="411"/>
      <c r="S66" s="411"/>
      <c r="T66" s="411"/>
      <c r="U66" s="416"/>
      <c r="V66" s="408"/>
      <c r="W66" s="408"/>
      <c r="X66" s="408"/>
      <c r="Y66" s="408"/>
      <c r="Z66" s="584"/>
    </row>
    <row r="67" spans="1:26" ht="41.25">
      <c r="A67" s="484"/>
      <c r="B67" s="484"/>
      <c r="C67" s="520"/>
      <c r="D67" s="156" t="s">
        <v>242</v>
      </c>
      <c r="E67" s="34"/>
      <c r="F67" s="31"/>
      <c r="G67" s="6" t="s">
        <v>243</v>
      </c>
      <c r="H67" s="50">
        <f aca="true" t="shared" si="29" ref="H67:O67">H68</f>
        <v>0</v>
      </c>
      <c r="I67" s="50">
        <f t="shared" si="29"/>
        <v>0</v>
      </c>
      <c r="J67" s="50">
        <f t="shared" si="29"/>
        <v>0</v>
      </c>
      <c r="K67" s="50">
        <f t="shared" si="29"/>
        <v>0</v>
      </c>
      <c r="L67" s="50">
        <f t="shared" si="29"/>
        <v>0</v>
      </c>
      <c r="M67" s="50">
        <f t="shared" si="29"/>
        <v>0</v>
      </c>
      <c r="N67" s="50">
        <f t="shared" si="29"/>
        <v>0</v>
      </c>
      <c r="O67" s="50">
        <f t="shared" si="29"/>
        <v>0</v>
      </c>
      <c r="P67" s="131"/>
      <c r="Q67" s="15">
        <f>Q68</f>
        <v>30000000</v>
      </c>
      <c r="R67" s="15">
        <f>R68</f>
        <v>30000000</v>
      </c>
      <c r="S67" s="15">
        <f>S68</f>
        <v>4000000</v>
      </c>
      <c r="T67" s="15">
        <f>T68</f>
        <v>4000000</v>
      </c>
      <c r="U67" s="76"/>
      <c r="V67" s="139">
        <f>H67+L67+Q67</f>
        <v>30000000</v>
      </c>
      <c r="W67" s="139">
        <f aca="true" t="shared" si="30" ref="W67:Y68">I67+M67+R67</f>
        <v>30000000</v>
      </c>
      <c r="X67" s="139">
        <f t="shared" si="30"/>
        <v>4000000</v>
      </c>
      <c r="Y67" s="139">
        <f t="shared" si="30"/>
        <v>4000000</v>
      </c>
      <c r="Z67" s="584"/>
    </row>
    <row r="68" spans="1:26" ht="16.5" customHeight="1">
      <c r="A68" s="484"/>
      <c r="B68" s="484"/>
      <c r="C68" s="520"/>
      <c r="D68" s="515"/>
      <c r="E68" s="34" t="s">
        <v>244</v>
      </c>
      <c r="F68" s="497" t="s">
        <v>876</v>
      </c>
      <c r="G68" s="494" t="s">
        <v>245</v>
      </c>
      <c r="H68" s="403">
        <v>0</v>
      </c>
      <c r="I68" s="403"/>
      <c r="J68" s="403"/>
      <c r="K68" s="403"/>
      <c r="L68" s="403">
        <v>0</v>
      </c>
      <c r="M68" s="403"/>
      <c r="N68" s="403"/>
      <c r="O68" s="403"/>
      <c r="P68" s="403"/>
      <c r="Q68" s="409">
        <v>30000000</v>
      </c>
      <c r="R68" s="409">
        <v>30000000</v>
      </c>
      <c r="S68" s="409">
        <v>4000000</v>
      </c>
      <c r="T68" s="409">
        <v>4000000</v>
      </c>
      <c r="U68" s="415" t="s">
        <v>22</v>
      </c>
      <c r="V68" s="412">
        <f>H68+L68+Q68</f>
        <v>30000000</v>
      </c>
      <c r="W68" s="412">
        <f t="shared" si="30"/>
        <v>30000000</v>
      </c>
      <c r="X68" s="412">
        <f t="shared" si="30"/>
        <v>4000000</v>
      </c>
      <c r="Y68" s="412">
        <f t="shared" si="30"/>
        <v>4000000</v>
      </c>
      <c r="Z68" s="584"/>
    </row>
    <row r="69" spans="1:26" ht="16.5" customHeight="1">
      <c r="A69" s="484"/>
      <c r="B69" s="484"/>
      <c r="C69" s="520"/>
      <c r="D69" s="516"/>
      <c r="E69" s="34" t="s">
        <v>246</v>
      </c>
      <c r="F69" s="498"/>
      <c r="G69" s="500"/>
      <c r="H69" s="404"/>
      <c r="I69" s="404"/>
      <c r="J69" s="404"/>
      <c r="K69" s="404"/>
      <c r="L69" s="404"/>
      <c r="M69" s="404"/>
      <c r="N69" s="404"/>
      <c r="O69" s="404"/>
      <c r="P69" s="404"/>
      <c r="Q69" s="410"/>
      <c r="R69" s="410"/>
      <c r="S69" s="410"/>
      <c r="T69" s="410"/>
      <c r="U69" s="543"/>
      <c r="V69" s="413"/>
      <c r="W69" s="413"/>
      <c r="X69" s="413"/>
      <c r="Y69" s="413"/>
      <c r="Z69" s="584"/>
    </row>
    <row r="70" spans="1:26" ht="16.5" customHeight="1">
      <c r="A70" s="484"/>
      <c r="B70" s="484"/>
      <c r="C70" s="520"/>
      <c r="D70" s="516"/>
      <c r="E70" s="34" t="s">
        <v>247</v>
      </c>
      <c r="F70" s="498"/>
      <c r="G70" s="500"/>
      <c r="H70" s="404"/>
      <c r="I70" s="404"/>
      <c r="J70" s="404"/>
      <c r="K70" s="404"/>
      <c r="L70" s="404"/>
      <c r="M70" s="404"/>
      <c r="N70" s="404"/>
      <c r="O70" s="404"/>
      <c r="P70" s="404"/>
      <c r="Q70" s="410"/>
      <c r="R70" s="410"/>
      <c r="S70" s="410"/>
      <c r="T70" s="410"/>
      <c r="U70" s="543"/>
      <c r="V70" s="413"/>
      <c r="W70" s="413"/>
      <c r="X70" s="413"/>
      <c r="Y70" s="413"/>
      <c r="Z70" s="584"/>
    </row>
    <row r="71" spans="1:26" ht="16.5" customHeight="1">
      <c r="A71" s="530"/>
      <c r="B71" s="530"/>
      <c r="C71" s="544"/>
      <c r="D71" s="517"/>
      <c r="E71" s="34" t="s">
        <v>248</v>
      </c>
      <c r="F71" s="499"/>
      <c r="G71" s="495"/>
      <c r="H71" s="405"/>
      <c r="I71" s="405"/>
      <c r="J71" s="405"/>
      <c r="K71" s="405"/>
      <c r="L71" s="405"/>
      <c r="M71" s="405"/>
      <c r="N71" s="405"/>
      <c r="O71" s="405"/>
      <c r="P71" s="405"/>
      <c r="Q71" s="411"/>
      <c r="R71" s="411"/>
      <c r="S71" s="411"/>
      <c r="T71" s="411"/>
      <c r="U71" s="416"/>
      <c r="V71" s="414"/>
      <c r="W71" s="414"/>
      <c r="X71" s="414"/>
      <c r="Y71" s="414"/>
      <c r="Z71" s="584"/>
    </row>
    <row r="72" spans="1:26" ht="13.5">
      <c r="A72" s="28">
        <v>5</v>
      </c>
      <c r="B72" s="28"/>
      <c r="C72" s="156"/>
      <c r="D72" s="156"/>
      <c r="E72" s="156"/>
      <c r="F72" s="156"/>
      <c r="G72" s="3" t="s">
        <v>14</v>
      </c>
      <c r="H72" s="15">
        <f>H73</f>
        <v>250000000</v>
      </c>
      <c r="I72" s="15">
        <f aca="true" t="shared" si="31" ref="I72:K75">I73</f>
        <v>863946250</v>
      </c>
      <c r="J72" s="15">
        <f t="shared" si="31"/>
        <v>857959583</v>
      </c>
      <c r="K72" s="15">
        <f t="shared" si="31"/>
        <v>700561916</v>
      </c>
      <c r="L72" s="15">
        <f>L73</f>
        <v>0</v>
      </c>
      <c r="M72" s="15">
        <f aca="true" t="shared" si="32" ref="M72:O75">M73</f>
        <v>0</v>
      </c>
      <c r="N72" s="15">
        <f t="shared" si="32"/>
        <v>0</v>
      </c>
      <c r="O72" s="15">
        <f t="shared" si="32"/>
        <v>0</v>
      </c>
      <c r="P72" s="15"/>
      <c r="Q72" s="15">
        <f>Q73</f>
        <v>0</v>
      </c>
      <c r="R72" s="15">
        <f aca="true" t="shared" si="33" ref="R72:T75">R73</f>
        <v>10000000</v>
      </c>
      <c r="S72" s="15">
        <f t="shared" si="33"/>
        <v>0</v>
      </c>
      <c r="T72" s="15">
        <f t="shared" si="33"/>
        <v>0</v>
      </c>
      <c r="U72" s="76"/>
      <c r="V72" s="139">
        <f>H72+L72+Q72</f>
        <v>250000000</v>
      </c>
      <c r="W72" s="139">
        <f aca="true" t="shared" si="34" ref="W72:Y76">I72+M72+R72</f>
        <v>873946250</v>
      </c>
      <c r="X72" s="139">
        <f t="shared" si="34"/>
        <v>857959583</v>
      </c>
      <c r="Y72" s="139">
        <f t="shared" si="34"/>
        <v>700561916</v>
      </c>
      <c r="Z72" s="584"/>
    </row>
    <row r="73" spans="1:26" ht="27">
      <c r="A73" s="483"/>
      <c r="B73" s="25" t="s">
        <v>15</v>
      </c>
      <c r="C73" s="156"/>
      <c r="D73" s="156"/>
      <c r="E73" s="156"/>
      <c r="F73" s="156"/>
      <c r="G73" s="6" t="s">
        <v>16</v>
      </c>
      <c r="H73" s="15">
        <f>H74</f>
        <v>250000000</v>
      </c>
      <c r="I73" s="15">
        <f t="shared" si="31"/>
        <v>863946250</v>
      </c>
      <c r="J73" s="15">
        <f t="shared" si="31"/>
        <v>857959583</v>
      </c>
      <c r="K73" s="15">
        <f t="shared" si="31"/>
        <v>700561916</v>
      </c>
      <c r="L73" s="15">
        <f>L74</f>
        <v>0</v>
      </c>
      <c r="M73" s="15">
        <f t="shared" si="32"/>
        <v>0</v>
      </c>
      <c r="N73" s="15">
        <f t="shared" si="32"/>
        <v>0</v>
      </c>
      <c r="O73" s="15">
        <f t="shared" si="32"/>
        <v>0</v>
      </c>
      <c r="P73" s="15"/>
      <c r="Q73" s="15">
        <f>Q74</f>
        <v>0</v>
      </c>
      <c r="R73" s="15">
        <f t="shared" si="33"/>
        <v>10000000</v>
      </c>
      <c r="S73" s="15">
        <f t="shared" si="33"/>
        <v>0</v>
      </c>
      <c r="T73" s="15">
        <f t="shared" si="33"/>
        <v>0</v>
      </c>
      <c r="U73" s="76"/>
      <c r="V73" s="139">
        <f>H73+L73+Q73</f>
        <v>250000000</v>
      </c>
      <c r="W73" s="139">
        <f t="shared" si="34"/>
        <v>873946250</v>
      </c>
      <c r="X73" s="139">
        <f t="shared" si="34"/>
        <v>857959583</v>
      </c>
      <c r="Y73" s="139">
        <f t="shared" si="34"/>
        <v>700561916</v>
      </c>
      <c r="Z73" s="584"/>
    </row>
    <row r="74" spans="1:26" ht="27">
      <c r="A74" s="484"/>
      <c r="B74" s="483"/>
      <c r="C74" s="156" t="s">
        <v>18</v>
      </c>
      <c r="D74" s="157"/>
      <c r="E74" s="157"/>
      <c r="F74" s="156"/>
      <c r="G74" s="6" t="s">
        <v>17</v>
      </c>
      <c r="H74" s="15">
        <f>H75</f>
        <v>250000000</v>
      </c>
      <c r="I74" s="15">
        <f t="shared" si="31"/>
        <v>863946250</v>
      </c>
      <c r="J74" s="15">
        <f t="shared" si="31"/>
        <v>857959583</v>
      </c>
      <c r="K74" s="15">
        <f t="shared" si="31"/>
        <v>700561916</v>
      </c>
      <c r="L74" s="15">
        <f>L75</f>
        <v>0</v>
      </c>
      <c r="M74" s="15">
        <f t="shared" si="32"/>
        <v>0</v>
      </c>
      <c r="N74" s="15">
        <f t="shared" si="32"/>
        <v>0</v>
      </c>
      <c r="O74" s="15">
        <f t="shared" si="32"/>
        <v>0</v>
      </c>
      <c r="P74" s="15"/>
      <c r="Q74" s="15">
        <f>Q75</f>
        <v>0</v>
      </c>
      <c r="R74" s="15">
        <f t="shared" si="33"/>
        <v>10000000</v>
      </c>
      <c r="S74" s="15">
        <f t="shared" si="33"/>
        <v>0</v>
      </c>
      <c r="T74" s="15">
        <f t="shared" si="33"/>
        <v>0</v>
      </c>
      <c r="U74" s="76"/>
      <c r="V74" s="139">
        <f>H74+L74+Q74</f>
        <v>250000000</v>
      </c>
      <c r="W74" s="139">
        <f t="shared" si="34"/>
        <v>873946250</v>
      </c>
      <c r="X74" s="139">
        <f t="shared" si="34"/>
        <v>857959583</v>
      </c>
      <c r="Y74" s="139">
        <f t="shared" si="34"/>
        <v>700561916</v>
      </c>
      <c r="Z74" s="584"/>
    </row>
    <row r="75" spans="1:26" ht="27">
      <c r="A75" s="484"/>
      <c r="B75" s="484"/>
      <c r="C75" s="519"/>
      <c r="D75" s="156" t="s">
        <v>249</v>
      </c>
      <c r="E75" s="34"/>
      <c r="F75" s="31"/>
      <c r="G75" s="6" t="s">
        <v>250</v>
      </c>
      <c r="H75" s="15">
        <f>H76</f>
        <v>250000000</v>
      </c>
      <c r="I75" s="15">
        <f t="shared" si="31"/>
        <v>863946250</v>
      </c>
      <c r="J75" s="15">
        <f t="shared" si="31"/>
        <v>857959583</v>
      </c>
      <c r="K75" s="15">
        <f t="shared" si="31"/>
        <v>700561916</v>
      </c>
      <c r="L75" s="15">
        <f>L76</f>
        <v>0</v>
      </c>
      <c r="M75" s="15">
        <f t="shared" si="32"/>
        <v>0</v>
      </c>
      <c r="N75" s="15">
        <f t="shared" si="32"/>
        <v>0</v>
      </c>
      <c r="O75" s="15">
        <f t="shared" si="32"/>
        <v>0</v>
      </c>
      <c r="P75" s="15"/>
      <c r="Q75" s="15">
        <f>Q76</f>
        <v>0</v>
      </c>
      <c r="R75" s="15">
        <f t="shared" si="33"/>
        <v>10000000</v>
      </c>
      <c r="S75" s="15">
        <f t="shared" si="33"/>
        <v>0</v>
      </c>
      <c r="T75" s="15">
        <f t="shared" si="33"/>
        <v>0</v>
      </c>
      <c r="U75" s="76"/>
      <c r="V75" s="139">
        <f>H75+L75+Q75</f>
        <v>250000000</v>
      </c>
      <c r="W75" s="139">
        <f t="shared" si="34"/>
        <v>873946250</v>
      </c>
      <c r="X75" s="139">
        <f t="shared" si="34"/>
        <v>857959583</v>
      </c>
      <c r="Y75" s="139">
        <f t="shared" si="34"/>
        <v>700561916</v>
      </c>
      <c r="Z75" s="584"/>
    </row>
    <row r="76" spans="1:26" ht="12.75" customHeight="1">
      <c r="A76" s="484"/>
      <c r="B76" s="484"/>
      <c r="C76" s="520"/>
      <c r="D76" s="515"/>
      <c r="E76" s="34" t="s">
        <v>251</v>
      </c>
      <c r="F76" s="497" t="s">
        <v>877</v>
      </c>
      <c r="G76" s="494" t="s">
        <v>252</v>
      </c>
      <c r="H76" s="409">
        <v>250000000</v>
      </c>
      <c r="I76" s="409">
        <v>863946250</v>
      </c>
      <c r="J76" s="409">
        <v>857959583</v>
      </c>
      <c r="K76" s="409">
        <v>700561916</v>
      </c>
      <c r="L76" s="409">
        <v>0</v>
      </c>
      <c r="M76" s="409"/>
      <c r="N76" s="409"/>
      <c r="O76" s="409"/>
      <c r="P76" s="409"/>
      <c r="Q76" s="409">
        <v>0</v>
      </c>
      <c r="R76" s="409">
        <v>10000000</v>
      </c>
      <c r="S76" s="409">
        <v>0</v>
      </c>
      <c r="T76" s="409">
        <v>0</v>
      </c>
      <c r="U76" s="409" t="s">
        <v>22</v>
      </c>
      <c r="V76" s="417">
        <f>H76+L76+Q76</f>
        <v>250000000</v>
      </c>
      <c r="W76" s="417">
        <f t="shared" si="34"/>
        <v>873946250</v>
      </c>
      <c r="X76" s="417">
        <f t="shared" si="34"/>
        <v>857959583</v>
      </c>
      <c r="Y76" s="417">
        <f t="shared" si="34"/>
        <v>700561916</v>
      </c>
      <c r="Z76" s="584"/>
    </row>
    <row r="77" spans="1:26" ht="15" customHeight="1">
      <c r="A77" s="484"/>
      <c r="B77" s="484"/>
      <c r="C77" s="520"/>
      <c r="D77" s="516"/>
      <c r="E77" s="34" t="s">
        <v>253</v>
      </c>
      <c r="F77" s="498"/>
      <c r="G77" s="50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29"/>
      <c r="W77" s="429"/>
      <c r="X77" s="429"/>
      <c r="Y77" s="429"/>
      <c r="Z77" s="584"/>
    </row>
    <row r="78" spans="1:26" ht="15" customHeight="1">
      <c r="A78" s="484"/>
      <c r="B78" s="484"/>
      <c r="C78" s="520"/>
      <c r="D78" s="516"/>
      <c r="E78" s="34" t="s">
        <v>254</v>
      </c>
      <c r="F78" s="498"/>
      <c r="G78" s="50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29"/>
      <c r="W78" s="429"/>
      <c r="X78" s="429"/>
      <c r="Y78" s="429"/>
      <c r="Z78" s="584"/>
    </row>
    <row r="79" spans="1:26" ht="15" customHeight="1">
      <c r="A79" s="484"/>
      <c r="B79" s="484"/>
      <c r="C79" s="520"/>
      <c r="D79" s="516"/>
      <c r="E79" s="34" t="s">
        <v>255</v>
      </c>
      <c r="F79" s="498"/>
      <c r="G79" s="50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29"/>
      <c r="W79" s="429"/>
      <c r="X79" s="429"/>
      <c r="Y79" s="429"/>
      <c r="Z79" s="584"/>
    </row>
    <row r="80" spans="1:26" ht="15" customHeight="1">
      <c r="A80" s="484"/>
      <c r="B80" s="484"/>
      <c r="C80" s="520"/>
      <c r="D80" s="516"/>
      <c r="E80" s="34" t="s">
        <v>256</v>
      </c>
      <c r="F80" s="498"/>
      <c r="G80" s="50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29"/>
      <c r="W80" s="429"/>
      <c r="X80" s="429"/>
      <c r="Y80" s="429"/>
      <c r="Z80" s="584"/>
    </row>
    <row r="81" spans="1:26" ht="15" customHeight="1" thickBot="1">
      <c r="A81" s="484"/>
      <c r="B81" s="484"/>
      <c r="C81" s="520"/>
      <c r="D81" s="516"/>
      <c r="E81" s="301" t="s">
        <v>257</v>
      </c>
      <c r="F81" s="498"/>
      <c r="G81" s="50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29"/>
      <c r="W81" s="429"/>
      <c r="X81" s="429"/>
      <c r="Y81" s="429"/>
      <c r="Z81" s="585"/>
    </row>
    <row r="82" spans="1:26" ht="13.5" customHeight="1" thickBot="1">
      <c r="A82" s="396" t="s">
        <v>157</v>
      </c>
      <c r="B82" s="396"/>
      <c r="C82" s="396"/>
      <c r="D82" s="396"/>
      <c r="E82" s="396"/>
      <c r="F82" s="396"/>
      <c r="G82" s="396"/>
      <c r="H82" s="266">
        <f>H83</f>
        <v>177800000</v>
      </c>
      <c r="I82" s="266">
        <f aca="true" t="shared" si="35" ref="I82:K83">I83</f>
        <v>585449364</v>
      </c>
      <c r="J82" s="266">
        <f t="shared" si="35"/>
        <v>577929363</v>
      </c>
      <c r="K82" s="266">
        <f t="shared" si="35"/>
        <v>483549554</v>
      </c>
      <c r="L82" s="314">
        <f>L83</f>
        <v>1443634443.45</v>
      </c>
      <c r="M82" s="314">
        <f aca="true" t="shared" si="36" ref="M82:O83">M83</f>
        <v>2659759518.18</v>
      </c>
      <c r="N82" s="314">
        <f t="shared" si="36"/>
        <v>1926621211</v>
      </c>
      <c r="O82" s="314">
        <f t="shared" si="36"/>
        <v>1637940044</v>
      </c>
      <c r="P82" s="314"/>
      <c r="Q82" s="266">
        <f>Q83</f>
        <v>0</v>
      </c>
      <c r="R82" s="266"/>
      <c r="S82" s="266"/>
      <c r="T82" s="266"/>
      <c r="U82" s="269"/>
      <c r="V82" s="312">
        <f aca="true" t="shared" si="37" ref="V82:V87">H82+L82+Q82</f>
        <v>1621434443.45</v>
      </c>
      <c r="W82" s="312">
        <f aca="true" t="shared" si="38" ref="W82:W87">I82+M82+R82</f>
        <v>3245208882.18</v>
      </c>
      <c r="X82" s="312">
        <f aca="true" t="shared" si="39" ref="X82:X87">J82+N82+S82</f>
        <v>2504550574</v>
      </c>
      <c r="Y82" s="312">
        <f aca="true" t="shared" si="40" ref="Y82:Y87">K82+O82+T82</f>
        <v>2121489598</v>
      </c>
      <c r="Z82" s="583">
        <v>9</v>
      </c>
    </row>
    <row r="83" spans="1:26" ht="13.5">
      <c r="A83" s="242">
        <v>1</v>
      </c>
      <c r="B83" s="242"/>
      <c r="C83" s="258"/>
      <c r="D83" s="258"/>
      <c r="E83" s="258"/>
      <c r="F83" s="352"/>
      <c r="G83" s="40" t="s">
        <v>1</v>
      </c>
      <c r="H83" s="240">
        <f>H84</f>
        <v>177800000</v>
      </c>
      <c r="I83" s="240">
        <f t="shared" si="35"/>
        <v>585449364</v>
      </c>
      <c r="J83" s="240">
        <f t="shared" si="35"/>
        <v>577929363</v>
      </c>
      <c r="K83" s="240">
        <f t="shared" si="35"/>
        <v>483549554</v>
      </c>
      <c r="L83" s="313">
        <f>L84</f>
        <v>1443634443.45</v>
      </c>
      <c r="M83" s="313">
        <f t="shared" si="36"/>
        <v>2659759518.18</v>
      </c>
      <c r="N83" s="313">
        <f t="shared" si="36"/>
        <v>1926621211</v>
      </c>
      <c r="O83" s="313">
        <f t="shared" si="36"/>
        <v>1637940044</v>
      </c>
      <c r="P83" s="313"/>
      <c r="Q83" s="240">
        <f>Q84</f>
        <v>0</v>
      </c>
      <c r="R83" s="240"/>
      <c r="S83" s="240"/>
      <c r="T83" s="240"/>
      <c r="U83" s="263"/>
      <c r="V83" s="138">
        <f t="shared" si="37"/>
        <v>1621434443.45</v>
      </c>
      <c r="W83" s="138">
        <f t="shared" si="38"/>
        <v>3245208882.18</v>
      </c>
      <c r="X83" s="138">
        <f t="shared" si="39"/>
        <v>2504550574</v>
      </c>
      <c r="Y83" s="138">
        <f t="shared" si="40"/>
        <v>2121489598</v>
      </c>
      <c r="Z83" s="584"/>
    </row>
    <row r="84" spans="1:26" ht="13.5">
      <c r="A84" s="483"/>
      <c r="B84" s="28" t="s">
        <v>24</v>
      </c>
      <c r="C84" s="156"/>
      <c r="D84" s="156"/>
      <c r="E84" s="156"/>
      <c r="F84" s="156"/>
      <c r="G84" s="6" t="s">
        <v>25</v>
      </c>
      <c r="H84" s="15">
        <f aca="true" t="shared" si="41" ref="H84:O84">H85+H93+H104+H110</f>
        <v>177800000</v>
      </c>
      <c r="I84" s="15">
        <f t="shared" si="41"/>
        <v>585449364</v>
      </c>
      <c r="J84" s="15">
        <f t="shared" si="41"/>
        <v>577929363</v>
      </c>
      <c r="K84" s="15">
        <f t="shared" si="41"/>
        <v>483549554</v>
      </c>
      <c r="L84" s="15">
        <f t="shared" si="41"/>
        <v>1443634443.45</v>
      </c>
      <c r="M84" s="15">
        <f t="shared" si="41"/>
        <v>2659759518.18</v>
      </c>
      <c r="N84" s="15">
        <f t="shared" si="41"/>
        <v>1926621211</v>
      </c>
      <c r="O84" s="15">
        <f t="shared" si="41"/>
        <v>1637940044</v>
      </c>
      <c r="P84" s="15"/>
      <c r="Q84" s="15">
        <f>Q85+Q93+Q104+Q110</f>
        <v>0</v>
      </c>
      <c r="R84" s="15"/>
      <c r="S84" s="15"/>
      <c r="T84" s="15"/>
      <c r="U84" s="73"/>
      <c r="V84" s="139">
        <f t="shared" si="37"/>
        <v>1621434443.45</v>
      </c>
      <c r="W84" s="139">
        <f t="shared" si="38"/>
        <v>3245208882.18</v>
      </c>
      <c r="X84" s="139">
        <f t="shared" si="39"/>
        <v>2504550574</v>
      </c>
      <c r="Y84" s="139">
        <f t="shared" si="40"/>
        <v>2121489598</v>
      </c>
      <c r="Z84" s="584"/>
    </row>
    <row r="85" spans="1:26" ht="41.25">
      <c r="A85" s="484"/>
      <c r="B85" s="483"/>
      <c r="C85" s="156" t="s">
        <v>26</v>
      </c>
      <c r="D85" s="157"/>
      <c r="E85" s="157"/>
      <c r="F85" s="156"/>
      <c r="G85" s="6" t="s">
        <v>27</v>
      </c>
      <c r="H85" s="15">
        <f aca="true" t="shared" si="42" ref="H85:O85">H86+H91</f>
        <v>41200000</v>
      </c>
      <c r="I85" s="15">
        <f t="shared" si="42"/>
        <v>68099600</v>
      </c>
      <c r="J85" s="15">
        <f t="shared" si="42"/>
        <v>64579600</v>
      </c>
      <c r="K85" s="15">
        <f t="shared" si="42"/>
        <v>54179600</v>
      </c>
      <c r="L85" s="15">
        <f t="shared" si="42"/>
        <v>0</v>
      </c>
      <c r="M85" s="15">
        <f t="shared" si="42"/>
        <v>0</v>
      </c>
      <c r="N85" s="15">
        <f t="shared" si="42"/>
        <v>0</v>
      </c>
      <c r="O85" s="15">
        <f t="shared" si="42"/>
        <v>0</v>
      </c>
      <c r="P85" s="15"/>
      <c r="Q85" s="15">
        <f>Q86+Q91</f>
        <v>0</v>
      </c>
      <c r="R85" s="15"/>
      <c r="S85" s="15"/>
      <c r="T85" s="15"/>
      <c r="U85" s="73"/>
      <c r="V85" s="139">
        <f t="shared" si="37"/>
        <v>41200000</v>
      </c>
      <c r="W85" s="139">
        <f t="shared" si="38"/>
        <v>68099600</v>
      </c>
      <c r="X85" s="139">
        <f t="shared" si="39"/>
        <v>64579600</v>
      </c>
      <c r="Y85" s="139">
        <f t="shared" si="40"/>
        <v>54179600</v>
      </c>
      <c r="Z85" s="584"/>
    </row>
    <row r="86" spans="1:26" ht="27">
      <c r="A86" s="484"/>
      <c r="B86" s="484"/>
      <c r="C86" s="515"/>
      <c r="D86" s="156" t="s">
        <v>258</v>
      </c>
      <c r="E86" s="34"/>
      <c r="F86" s="31"/>
      <c r="G86" s="6" t="s">
        <v>259</v>
      </c>
      <c r="H86" s="15">
        <f aca="true" t="shared" si="43" ref="H86:O86">H87</f>
        <v>27500000</v>
      </c>
      <c r="I86" s="15">
        <f t="shared" si="43"/>
        <v>44266600</v>
      </c>
      <c r="J86" s="15">
        <f t="shared" si="43"/>
        <v>40746600</v>
      </c>
      <c r="K86" s="15">
        <f t="shared" si="43"/>
        <v>35546600</v>
      </c>
      <c r="L86" s="15">
        <f t="shared" si="43"/>
        <v>0</v>
      </c>
      <c r="M86" s="15">
        <f t="shared" si="43"/>
        <v>0</v>
      </c>
      <c r="N86" s="15">
        <f t="shared" si="43"/>
        <v>0</v>
      </c>
      <c r="O86" s="15">
        <f t="shared" si="43"/>
        <v>0</v>
      </c>
      <c r="P86" s="131"/>
      <c r="Q86" s="15">
        <f>Q87</f>
        <v>0</v>
      </c>
      <c r="R86" s="15"/>
      <c r="S86" s="15"/>
      <c r="T86" s="15"/>
      <c r="U86" s="73"/>
      <c r="V86" s="139">
        <f t="shared" si="37"/>
        <v>27500000</v>
      </c>
      <c r="W86" s="139">
        <f t="shared" si="38"/>
        <v>44266600</v>
      </c>
      <c r="X86" s="139">
        <f t="shared" si="39"/>
        <v>40746600</v>
      </c>
      <c r="Y86" s="139">
        <f t="shared" si="40"/>
        <v>35546600</v>
      </c>
      <c r="Z86" s="584"/>
    </row>
    <row r="87" spans="1:26" ht="15" customHeight="1">
      <c r="A87" s="484"/>
      <c r="B87" s="484"/>
      <c r="C87" s="516"/>
      <c r="D87" s="515"/>
      <c r="E87" s="34" t="s">
        <v>260</v>
      </c>
      <c r="F87" s="513" t="s">
        <v>878</v>
      </c>
      <c r="G87" s="494" t="s">
        <v>261</v>
      </c>
      <c r="H87" s="409">
        <v>27500000</v>
      </c>
      <c r="I87" s="409">
        <v>44266600</v>
      </c>
      <c r="J87" s="409">
        <v>40746600</v>
      </c>
      <c r="K87" s="409">
        <v>35546600</v>
      </c>
      <c r="L87" s="409">
        <v>0</v>
      </c>
      <c r="M87" s="409"/>
      <c r="N87" s="409"/>
      <c r="O87" s="409"/>
      <c r="P87" s="409"/>
      <c r="Q87" s="409">
        <v>0</v>
      </c>
      <c r="R87" s="409"/>
      <c r="S87" s="409"/>
      <c r="T87" s="409"/>
      <c r="U87" s="409"/>
      <c r="V87" s="412">
        <f t="shared" si="37"/>
        <v>27500000</v>
      </c>
      <c r="W87" s="412">
        <f t="shared" si="38"/>
        <v>44266600</v>
      </c>
      <c r="X87" s="412">
        <f t="shared" si="39"/>
        <v>40746600</v>
      </c>
      <c r="Y87" s="412">
        <f t="shared" si="40"/>
        <v>35546600</v>
      </c>
      <c r="Z87" s="584"/>
    </row>
    <row r="88" spans="1:26" ht="13.5">
      <c r="A88" s="484"/>
      <c r="B88" s="484"/>
      <c r="C88" s="516"/>
      <c r="D88" s="516"/>
      <c r="E88" s="34" t="s">
        <v>262</v>
      </c>
      <c r="F88" s="518"/>
      <c r="G88" s="50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3"/>
      <c r="W88" s="413"/>
      <c r="X88" s="413"/>
      <c r="Y88" s="413"/>
      <c r="Z88" s="584"/>
    </row>
    <row r="89" spans="1:26" ht="13.5">
      <c r="A89" s="484"/>
      <c r="B89" s="484"/>
      <c r="C89" s="516"/>
      <c r="D89" s="516"/>
      <c r="E89" s="34" t="s">
        <v>263</v>
      </c>
      <c r="F89" s="518"/>
      <c r="G89" s="50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3"/>
      <c r="W89" s="413"/>
      <c r="X89" s="413"/>
      <c r="Y89" s="413"/>
      <c r="Z89" s="584"/>
    </row>
    <row r="90" spans="1:26" ht="13.5">
      <c r="A90" s="484"/>
      <c r="B90" s="484"/>
      <c r="C90" s="516"/>
      <c r="D90" s="517"/>
      <c r="E90" s="34" t="s">
        <v>264</v>
      </c>
      <c r="F90" s="514"/>
      <c r="G90" s="495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4"/>
      <c r="W90" s="414"/>
      <c r="X90" s="414"/>
      <c r="Y90" s="414"/>
      <c r="Z90" s="584"/>
    </row>
    <row r="91" spans="1:26" ht="13.5">
      <c r="A91" s="484"/>
      <c r="B91" s="484"/>
      <c r="C91" s="516"/>
      <c r="D91" s="156" t="s">
        <v>265</v>
      </c>
      <c r="E91" s="34"/>
      <c r="F91" s="31"/>
      <c r="G91" s="6" t="s">
        <v>266</v>
      </c>
      <c r="H91" s="15">
        <f aca="true" t="shared" si="44" ref="H91:O91">H92</f>
        <v>13700000</v>
      </c>
      <c r="I91" s="15">
        <f t="shared" si="44"/>
        <v>23833000</v>
      </c>
      <c r="J91" s="15">
        <f t="shared" si="44"/>
        <v>23833000</v>
      </c>
      <c r="K91" s="15">
        <f t="shared" si="44"/>
        <v>18633000</v>
      </c>
      <c r="L91" s="15">
        <f t="shared" si="44"/>
        <v>0</v>
      </c>
      <c r="M91" s="15">
        <f t="shared" si="44"/>
        <v>0</v>
      </c>
      <c r="N91" s="15">
        <f t="shared" si="44"/>
        <v>0</v>
      </c>
      <c r="O91" s="15">
        <f t="shared" si="44"/>
        <v>0</v>
      </c>
      <c r="P91" s="4"/>
      <c r="Q91" s="15">
        <f>Q92</f>
        <v>0</v>
      </c>
      <c r="R91" s="15"/>
      <c r="S91" s="15"/>
      <c r="T91" s="15"/>
      <c r="U91" s="28"/>
      <c r="V91" s="139">
        <f>H91+L91+Q91</f>
        <v>13700000</v>
      </c>
      <c r="W91" s="139">
        <f aca="true" t="shared" si="45" ref="W91:Y95">I91+M91+R91</f>
        <v>23833000</v>
      </c>
      <c r="X91" s="139">
        <f t="shared" si="45"/>
        <v>23833000</v>
      </c>
      <c r="Y91" s="139">
        <f t="shared" si="45"/>
        <v>18633000</v>
      </c>
      <c r="Z91" s="584"/>
    </row>
    <row r="92" spans="1:26" ht="45" customHeight="1">
      <c r="A92" s="484"/>
      <c r="B92" s="484"/>
      <c r="C92" s="517"/>
      <c r="D92" s="159"/>
      <c r="E92" s="34" t="s">
        <v>858</v>
      </c>
      <c r="F92" s="27" t="s">
        <v>879</v>
      </c>
      <c r="G92" s="69" t="s">
        <v>267</v>
      </c>
      <c r="H92" s="68">
        <v>13700000</v>
      </c>
      <c r="I92" s="68">
        <v>23833000</v>
      </c>
      <c r="J92" s="68">
        <v>23833000</v>
      </c>
      <c r="K92" s="68">
        <v>18633000</v>
      </c>
      <c r="L92" s="15">
        <v>0</v>
      </c>
      <c r="M92" s="15"/>
      <c r="N92" s="15"/>
      <c r="O92" s="15"/>
      <c r="P92" s="131"/>
      <c r="Q92" s="15">
        <v>0</v>
      </c>
      <c r="R92" s="15"/>
      <c r="S92" s="15"/>
      <c r="T92" s="15"/>
      <c r="U92" s="73"/>
      <c r="V92" s="140">
        <f>H92+L92+Q92</f>
        <v>13700000</v>
      </c>
      <c r="W92" s="140">
        <f t="shared" si="45"/>
        <v>23833000</v>
      </c>
      <c r="X92" s="140">
        <f t="shared" si="45"/>
        <v>23833000</v>
      </c>
      <c r="Y92" s="140">
        <f t="shared" si="45"/>
        <v>18633000</v>
      </c>
      <c r="Z92" s="584"/>
    </row>
    <row r="93" spans="1:26" ht="27">
      <c r="A93" s="484"/>
      <c r="B93" s="484"/>
      <c r="C93" s="156" t="s">
        <v>33</v>
      </c>
      <c r="D93" s="157"/>
      <c r="E93" s="157"/>
      <c r="F93" s="156"/>
      <c r="G93" s="6" t="s">
        <v>34</v>
      </c>
      <c r="H93" s="15">
        <f aca="true" t="shared" si="46" ref="H93:O93">H94+H98+H100</f>
        <v>92300000</v>
      </c>
      <c r="I93" s="15">
        <f t="shared" si="46"/>
        <v>392376466</v>
      </c>
      <c r="J93" s="15">
        <f t="shared" si="46"/>
        <v>388376466</v>
      </c>
      <c r="K93" s="15">
        <f t="shared" si="46"/>
        <v>325196989</v>
      </c>
      <c r="L93" s="15">
        <f t="shared" si="46"/>
        <v>1109210400</v>
      </c>
      <c r="M93" s="15">
        <f t="shared" si="46"/>
        <v>1609284824.05</v>
      </c>
      <c r="N93" s="15">
        <f t="shared" si="46"/>
        <v>1477390211</v>
      </c>
      <c r="O93" s="15">
        <f t="shared" si="46"/>
        <v>1197459044</v>
      </c>
      <c r="P93" s="15"/>
      <c r="Q93" s="15">
        <f>Q94+Q98+Q100</f>
        <v>0</v>
      </c>
      <c r="R93" s="15"/>
      <c r="S93" s="15"/>
      <c r="T93" s="15"/>
      <c r="U93" s="28"/>
      <c r="V93" s="139">
        <f>H93+L93+Q93</f>
        <v>1201510400</v>
      </c>
      <c r="W93" s="139">
        <f t="shared" si="45"/>
        <v>2001661290.05</v>
      </c>
      <c r="X93" s="139">
        <f t="shared" si="45"/>
        <v>1865766677</v>
      </c>
      <c r="Y93" s="139">
        <f t="shared" si="45"/>
        <v>1522656033</v>
      </c>
      <c r="Z93" s="584"/>
    </row>
    <row r="94" spans="1:26" ht="27">
      <c r="A94" s="484"/>
      <c r="B94" s="484"/>
      <c r="C94" s="515"/>
      <c r="D94" s="156" t="s">
        <v>268</v>
      </c>
      <c r="E94" s="34"/>
      <c r="F94" s="31"/>
      <c r="G94" s="6" t="s">
        <v>269</v>
      </c>
      <c r="H94" s="15">
        <f aca="true" t="shared" si="47" ref="H94:O94">H95</f>
        <v>64800000</v>
      </c>
      <c r="I94" s="15">
        <f t="shared" si="47"/>
        <v>380476466</v>
      </c>
      <c r="J94" s="15">
        <f t="shared" si="47"/>
        <v>376476466</v>
      </c>
      <c r="K94" s="15">
        <f t="shared" si="47"/>
        <v>313296989</v>
      </c>
      <c r="L94" s="15">
        <f t="shared" si="47"/>
        <v>773245600</v>
      </c>
      <c r="M94" s="15">
        <f t="shared" si="47"/>
        <v>950440014.68</v>
      </c>
      <c r="N94" s="15">
        <f t="shared" si="47"/>
        <v>931737485</v>
      </c>
      <c r="O94" s="15">
        <f t="shared" si="47"/>
        <v>739493742</v>
      </c>
      <c r="P94" s="15"/>
      <c r="Q94" s="15">
        <f>Q95</f>
        <v>0</v>
      </c>
      <c r="R94" s="15"/>
      <c r="S94" s="15"/>
      <c r="T94" s="15"/>
      <c r="U94" s="28"/>
      <c r="V94" s="139">
        <f>H94+L94+Q94</f>
        <v>838045600</v>
      </c>
      <c r="W94" s="139">
        <f t="shared" si="45"/>
        <v>1330916480.6799998</v>
      </c>
      <c r="X94" s="139">
        <f t="shared" si="45"/>
        <v>1308213951</v>
      </c>
      <c r="Y94" s="139">
        <f t="shared" si="45"/>
        <v>1052790731</v>
      </c>
      <c r="Z94" s="584"/>
    </row>
    <row r="95" spans="1:26" ht="15" customHeight="1">
      <c r="A95" s="484"/>
      <c r="B95" s="484"/>
      <c r="C95" s="516"/>
      <c r="D95" s="515"/>
      <c r="E95" s="34" t="s">
        <v>270</v>
      </c>
      <c r="F95" s="497" t="s">
        <v>880</v>
      </c>
      <c r="G95" s="494" t="s">
        <v>271</v>
      </c>
      <c r="H95" s="409">
        <v>64800000</v>
      </c>
      <c r="I95" s="409">
        <v>380476466</v>
      </c>
      <c r="J95" s="409">
        <v>376476466</v>
      </c>
      <c r="K95" s="409">
        <v>313296989</v>
      </c>
      <c r="L95" s="409">
        <v>773245600</v>
      </c>
      <c r="M95" s="409">
        <v>950440014.68</v>
      </c>
      <c r="N95" s="409">
        <v>931737485</v>
      </c>
      <c r="O95" s="409">
        <v>739493742</v>
      </c>
      <c r="P95" s="409" t="s">
        <v>32</v>
      </c>
      <c r="Q95" s="409">
        <v>0</v>
      </c>
      <c r="R95" s="409"/>
      <c r="S95" s="409"/>
      <c r="T95" s="409"/>
      <c r="U95" s="409"/>
      <c r="V95" s="412">
        <f>H95+L95+Q95</f>
        <v>838045600</v>
      </c>
      <c r="W95" s="412">
        <f t="shared" si="45"/>
        <v>1330916480.6799998</v>
      </c>
      <c r="X95" s="412">
        <f t="shared" si="45"/>
        <v>1308213951</v>
      </c>
      <c r="Y95" s="412">
        <f t="shared" si="45"/>
        <v>1052790731</v>
      </c>
      <c r="Z95" s="584"/>
    </row>
    <row r="96" spans="1:26" ht="13.5">
      <c r="A96" s="484"/>
      <c r="B96" s="484"/>
      <c r="C96" s="516"/>
      <c r="D96" s="516"/>
      <c r="E96" s="34" t="s">
        <v>272</v>
      </c>
      <c r="F96" s="498"/>
      <c r="G96" s="50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3"/>
      <c r="W96" s="413"/>
      <c r="X96" s="413"/>
      <c r="Y96" s="413"/>
      <c r="Z96" s="584"/>
    </row>
    <row r="97" spans="1:26" ht="13.5">
      <c r="A97" s="484"/>
      <c r="B97" s="484"/>
      <c r="C97" s="516"/>
      <c r="D97" s="517"/>
      <c r="E97" s="34" t="s">
        <v>273</v>
      </c>
      <c r="F97" s="499"/>
      <c r="G97" s="495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4"/>
      <c r="W97" s="414"/>
      <c r="X97" s="414"/>
      <c r="Y97" s="414"/>
      <c r="Z97" s="584"/>
    </row>
    <row r="98" spans="1:26" ht="20.25" customHeight="1">
      <c r="A98" s="484"/>
      <c r="B98" s="484"/>
      <c r="C98" s="516"/>
      <c r="D98" s="156" t="s">
        <v>274</v>
      </c>
      <c r="E98" s="160"/>
      <c r="F98" s="27"/>
      <c r="G98" s="6" t="s">
        <v>275</v>
      </c>
      <c r="H98" s="15">
        <f aca="true" t="shared" si="48" ref="H98:O98">H99</f>
        <v>13750000</v>
      </c>
      <c r="I98" s="15">
        <f t="shared" si="48"/>
        <v>11900000</v>
      </c>
      <c r="J98" s="15">
        <f t="shared" si="48"/>
        <v>11900000</v>
      </c>
      <c r="K98" s="15">
        <f t="shared" si="48"/>
        <v>11900000</v>
      </c>
      <c r="L98" s="15">
        <f t="shared" si="48"/>
        <v>212719200</v>
      </c>
      <c r="M98" s="15">
        <f t="shared" si="48"/>
        <v>417258413.34</v>
      </c>
      <c r="N98" s="15">
        <f t="shared" si="48"/>
        <v>415673333</v>
      </c>
      <c r="O98" s="15">
        <f t="shared" si="48"/>
        <v>346685909</v>
      </c>
      <c r="P98" s="31"/>
      <c r="Q98" s="15">
        <f>Q99</f>
        <v>0</v>
      </c>
      <c r="R98" s="15">
        <f>R99</f>
        <v>0</v>
      </c>
      <c r="S98" s="15">
        <f>S99</f>
        <v>0</v>
      </c>
      <c r="T98" s="15">
        <f>T99</f>
        <v>0</v>
      </c>
      <c r="U98" s="28"/>
      <c r="V98" s="139">
        <f>H98+L98+Q98</f>
        <v>226469200</v>
      </c>
      <c r="W98" s="139">
        <f aca="true" t="shared" si="49" ref="W98:Y101">I98+M98+R98</f>
        <v>429158413.34</v>
      </c>
      <c r="X98" s="139">
        <f t="shared" si="49"/>
        <v>427573333</v>
      </c>
      <c r="Y98" s="139">
        <f t="shared" si="49"/>
        <v>358585909</v>
      </c>
      <c r="Z98" s="584"/>
    </row>
    <row r="99" spans="1:26" ht="41.25" customHeight="1">
      <c r="A99" s="484"/>
      <c r="B99" s="484"/>
      <c r="C99" s="516"/>
      <c r="D99" s="159"/>
      <c r="E99" s="34" t="s">
        <v>276</v>
      </c>
      <c r="F99" s="27" t="s">
        <v>881</v>
      </c>
      <c r="G99" s="69" t="s">
        <v>277</v>
      </c>
      <c r="H99" s="68">
        <v>13750000</v>
      </c>
      <c r="I99" s="68">
        <v>11900000</v>
      </c>
      <c r="J99" s="68">
        <v>11900000</v>
      </c>
      <c r="K99" s="68">
        <v>11900000</v>
      </c>
      <c r="L99" s="68">
        <v>212719200</v>
      </c>
      <c r="M99" s="68">
        <f>400258413.34+17000000</f>
        <v>417258413.34</v>
      </c>
      <c r="N99" s="68">
        <f>398673333+17000000</f>
        <v>415673333</v>
      </c>
      <c r="O99" s="68">
        <f>342260000+4425909</f>
        <v>346685909</v>
      </c>
      <c r="P99" s="70" t="s">
        <v>1084</v>
      </c>
      <c r="Q99" s="15">
        <v>0</v>
      </c>
      <c r="R99" s="68"/>
      <c r="S99" s="68"/>
      <c r="T99" s="68"/>
      <c r="U99" s="73"/>
      <c r="V99" s="140">
        <f>H99+L99+Q99</f>
        <v>226469200</v>
      </c>
      <c r="W99" s="140">
        <f t="shared" si="49"/>
        <v>429158413.34</v>
      </c>
      <c r="X99" s="140">
        <f t="shared" si="49"/>
        <v>427573333</v>
      </c>
      <c r="Y99" s="140">
        <f t="shared" si="49"/>
        <v>358585909</v>
      </c>
      <c r="Z99" s="584"/>
    </row>
    <row r="100" spans="1:26" ht="27">
      <c r="A100" s="484"/>
      <c r="B100" s="484"/>
      <c r="C100" s="516"/>
      <c r="D100" s="127" t="s">
        <v>278</v>
      </c>
      <c r="E100" s="34"/>
      <c r="F100" s="31"/>
      <c r="G100" s="33" t="s">
        <v>279</v>
      </c>
      <c r="H100" s="15">
        <f aca="true" t="shared" si="50" ref="H100:O100">H101</f>
        <v>13750000</v>
      </c>
      <c r="I100" s="15">
        <f t="shared" si="50"/>
        <v>0</v>
      </c>
      <c r="J100" s="15">
        <f t="shared" si="50"/>
        <v>0</v>
      </c>
      <c r="K100" s="15">
        <f t="shared" si="50"/>
        <v>0</v>
      </c>
      <c r="L100" s="15">
        <f t="shared" si="50"/>
        <v>123245600</v>
      </c>
      <c r="M100" s="15">
        <f t="shared" si="50"/>
        <v>241586396.03</v>
      </c>
      <c r="N100" s="15">
        <f t="shared" si="50"/>
        <v>129979393</v>
      </c>
      <c r="O100" s="15">
        <f t="shared" si="50"/>
        <v>111279393</v>
      </c>
      <c r="P100" s="31"/>
      <c r="Q100" s="15">
        <f>Q101</f>
        <v>0</v>
      </c>
      <c r="R100" s="15"/>
      <c r="S100" s="15"/>
      <c r="T100" s="15"/>
      <c r="U100" s="28"/>
      <c r="V100" s="139">
        <f>H100+L100+Q100</f>
        <v>136995600</v>
      </c>
      <c r="W100" s="139">
        <f t="shared" si="49"/>
        <v>241586396.03</v>
      </c>
      <c r="X100" s="139">
        <f t="shared" si="49"/>
        <v>129979393</v>
      </c>
      <c r="Y100" s="139">
        <f t="shared" si="49"/>
        <v>111279393</v>
      </c>
      <c r="Z100" s="584"/>
    </row>
    <row r="101" spans="1:26" ht="15" customHeight="1">
      <c r="A101" s="484"/>
      <c r="B101" s="484"/>
      <c r="C101" s="516"/>
      <c r="D101" s="515"/>
      <c r="E101" s="34" t="s">
        <v>280</v>
      </c>
      <c r="F101" s="497" t="s">
        <v>882</v>
      </c>
      <c r="G101" s="494" t="s">
        <v>281</v>
      </c>
      <c r="H101" s="409">
        <v>13750000</v>
      </c>
      <c r="I101" s="409"/>
      <c r="J101" s="409"/>
      <c r="K101" s="409"/>
      <c r="L101" s="409">
        <v>123245600</v>
      </c>
      <c r="M101" s="409">
        <v>241586396.03</v>
      </c>
      <c r="N101" s="409">
        <v>129979393</v>
      </c>
      <c r="O101" s="409">
        <v>111279393</v>
      </c>
      <c r="P101" s="409" t="s">
        <v>32</v>
      </c>
      <c r="Q101" s="409">
        <v>0</v>
      </c>
      <c r="R101" s="409"/>
      <c r="S101" s="409"/>
      <c r="T101" s="409"/>
      <c r="U101" s="409"/>
      <c r="V101" s="412">
        <f>H101+L101+Q101</f>
        <v>136995600</v>
      </c>
      <c r="W101" s="412">
        <f t="shared" si="49"/>
        <v>241586396.03</v>
      </c>
      <c r="X101" s="412">
        <f t="shared" si="49"/>
        <v>129979393</v>
      </c>
      <c r="Y101" s="412">
        <f t="shared" si="49"/>
        <v>111279393</v>
      </c>
      <c r="Z101" s="584"/>
    </row>
    <row r="102" spans="1:26" ht="13.5">
      <c r="A102" s="484"/>
      <c r="B102" s="484"/>
      <c r="C102" s="516"/>
      <c r="D102" s="516"/>
      <c r="E102" s="34" t="s">
        <v>282</v>
      </c>
      <c r="F102" s="498"/>
      <c r="G102" s="50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3"/>
      <c r="W102" s="413"/>
      <c r="X102" s="413"/>
      <c r="Y102" s="413"/>
      <c r="Z102" s="584"/>
    </row>
    <row r="103" spans="1:26" ht="13.5">
      <c r="A103" s="484"/>
      <c r="B103" s="484"/>
      <c r="C103" s="517"/>
      <c r="D103" s="517"/>
      <c r="E103" s="34" t="s">
        <v>283</v>
      </c>
      <c r="F103" s="499"/>
      <c r="G103" s="495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4"/>
      <c r="W103" s="414"/>
      <c r="X103" s="414"/>
      <c r="Y103" s="414"/>
      <c r="Z103" s="584"/>
    </row>
    <row r="104" spans="1:26" ht="13.5">
      <c r="A104" s="484"/>
      <c r="B104" s="484"/>
      <c r="C104" s="156" t="s">
        <v>30</v>
      </c>
      <c r="D104" s="157"/>
      <c r="E104" s="157"/>
      <c r="F104" s="156"/>
      <c r="G104" s="6" t="s">
        <v>31</v>
      </c>
      <c r="H104" s="15">
        <f aca="true" t="shared" si="51" ref="H104:O104">H105+H108</f>
        <v>29300000</v>
      </c>
      <c r="I104" s="15">
        <f t="shared" si="51"/>
        <v>76193299</v>
      </c>
      <c r="J104" s="15">
        <f t="shared" si="51"/>
        <v>76193299</v>
      </c>
      <c r="K104" s="15">
        <f t="shared" si="51"/>
        <v>60593299</v>
      </c>
      <c r="L104" s="15">
        <f t="shared" si="51"/>
        <v>123245600</v>
      </c>
      <c r="M104" s="15">
        <f t="shared" si="51"/>
        <v>498937621.03</v>
      </c>
      <c r="N104" s="15">
        <f t="shared" si="51"/>
        <v>0</v>
      </c>
      <c r="O104" s="15">
        <f t="shared" si="51"/>
        <v>0</v>
      </c>
      <c r="P104" s="15"/>
      <c r="Q104" s="15">
        <f>Q105+Q108</f>
        <v>0</v>
      </c>
      <c r="R104" s="15"/>
      <c r="S104" s="15"/>
      <c r="T104" s="15"/>
      <c r="U104" s="15"/>
      <c r="V104" s="139">
        <f>H104+L104+Q104</f>
        <v>152545600</v>
      </c>
      <c r="W104" s="139">
        <f aca="true" t="shared" si="52" ref="W104:Y106">I104+M104+R104</f>
        <v>575130920.03</v>
      </c>
      <c r="X104" s="139">
        <f t="shared" si="52"/>
        <v>76193299</v>
      </c>
      <c r="Y104" s="139">
        <f t="shared" si="52"/>
        <v>60593299</v>
      </c>
      <c r="Z104" s="584"/>
    </row>
    <row r="105" spans="1:26" ht="13.5">
      <c r="A105" s="484"/>
      <c r="B105" s="484"/>
      <c r="C105" s="515"/>
      <c r="D105" s="156" t="s">
        <v>284</v>
      </c>
      <c r="E105" s="34"/>
      <c r="F105" s="31"/>
      <c r="G105" s="6" t="s">
        <v>285</v>
      </c>
      <c r="H105" s="15">
        <f aca="true" t="shared" si="53" ref="H105:O105">H106</f>
        <v>15000000</v>
      </c>
      <c r="I105" s="15">
        <f t="shared" si="53"/>
        <v>34753266</v>
      </c>
      <c r="J105" s="15">
        <f t="shared" si="53"/>
        <v>34753266</v>
      </c>
      <c r="K105" s="15">
        <f t="shared" si="53"/>
        <v>26953266</v>
      </c>
      <c r="L105" s="15">
        <f t="shared" si="53"/>
        <v>0</v>
      </c>
      <c r="M105" s="15">
        <f t="shared" si="53"/>
        <v>0</v>
      </c>
      <c r="N105" s="15">
        <f t="shared" si="53"/>
        <v>0</v>
      </c>
      <c r="O105" s="15">
        <f t="shared" si="53"/>
        <v>0</v>
      </c>
      <c r="P105" s="15"/>
      <c r="Q105" s="15">
        <f>Q106</f>
        <v>0</v>
      </c>
      <c r="R105" s="15"/>
      <c r="S105" s="15"/>
      <c r="T105" s="15"/>
      <c r="U105" s="15"/>
      <c r="V105" s="139">
        <f>H105+L105+Q105</f>
        <v>15000000</v>
      </c>
      <c r="W105" s="139">
        <f t="shared" si="52"/>
        <v>34753266</v>
      </c>
      <c r="X105" s="139">
        <f t="shared" si="52"/>
        <v>34753266</v>
      </c>
      <c r="Y105" s="139">
        <f t="shared" si="52"/>
        <v>26953266</v>
      </c>
      <c r="Z105" s="584"/>
    </row>
    <row r="106" spans="1:26" ht="19.5" customHeight="1">
      <c r="A106" s="484"/>
      <c r="B106" s="484"/>
      <c r="C106" s="516"/>
      <c r="D106" s="515"/>
      <c r="E106" s="34" t="s">
        <v>286</v>
      </c>
      <c r="F106" s="513" t="s">
        <v>883</v>
      </c>
      <c r="G106" s="494" t="s">
        <v>287</v>
      </c>
      <c r="H106" s="409">
        <v>15000000</v>
      </c>
      <c r="I106" s="409">
        <v>34753266</v>
      </c>
      <c r="J106" s="409">
        <v>34753266</v>
      </c>
      <c r="K106" s="409">
        <v>26953266</v>
      </c>
      <c r="L106" s="540">
        <v>0</v>
      </c>
      <c r="M106" s="540"/>
      <c r="N106" s="540"/>
      <c r="O106" s="540"/>
      <c r="P106" s="409" t="s">
        <v>32</v>
      </c>
      <c r="Q106" s="409"/>
      <c r="R106" s="409"/>
      <c r="S106" s="409"/>
      <c r="T106" s="409"/>
      <c r="U106" s="409"/>
      <c r="V106" s="417">
        <f>H106+L106+Q106</f>
        <v>15000000</v>
      </c>
      <c r="W106" s="417">
        <f t="shared" si="52"/>
        <v>34753266</v>
      </c>
      <c r="X106" s="417">
        <f t="shared" si="52"/>
        <v>34753266</v>
      </c>
      <c r="Y106" s="417">
        <f t="shared" si="52"/>
        <v>26953266</v>
      </c>
      <c r="Z106" s="584"/>
    </row>
    <row r="107" spans="1:26" ht="13.5">
      <c r="A107" s="484"/>
      <c r="B107" s="484"/>
      <c r="C107" s="516"/>
      <c r="D107" s="517"/>
      <c r="E107" s="34" t="s">
        <v>288</v>
      </c>
      <c r="F107" s="514"/>
      <c r="G107" s="495"/>
      <c r="H107" s="411"/>
      <c r="I107" s="411"/>
      <c r="J107" s="411"/>
      <c r="K107" s="411"/>
      <c r="L107" s="542"/>
      <c r="M107" s="542"/>
      <c r="N107" s="542"/>
      <c r="O107" s="542"/>
      <c r="P107" s="411"/>
      <c r="Q107" s="411"/>
      <c r="R107" s="411"/>
      <c r="S107" s="411"/>
      <c r="T107" s="411"/>
      <c r="U107" s="411"/>
      <c r="V107" s="418"/>
      <c r="W107" s="418"/>
      <c r="X107" s="418"/>
      <c r="Y107" s="418"/>
      <c r="Z107" s="584"/>
    </row>
    <row r="108" spans="1:26" ht="31.5" customHeight="1">
      <c r="A108" s="484"/>
      <c r="B108" s="484"/>
      <c r="C108" s="516"/>
      <c r="D108" s="161" t="s">
        <v>289</v>
      </c>
      <c r="E108" s="34"/>
      <c r="F108" s="31"/>
      <c r="G108" s="6" t="s">
        <v>290</v>
      </c>
      <c r="H108" s="15">
        <f aca="true" t="shared" si="54" ref="H108:O108">H109</f>
        <v>14300000</v>
      </c>
      <c r="I108" s="15">
        <f t="shared" si="54"/>
        <v>41440033</v>
      </c>
      <c r="J108" s="15">
        <f t="shared" si="54"/>
        <v>41440033</v>
      </c>
      <c r="K108" s="15">
        <f t="shared" si="54"/>
        <v>33640033</v>
      </c>
      <c r="L108" s="15">
        <f t="shared" si="54"/>
        <v>123245600</v>
      </c>
      <c r="M108" s="15">
        <f t="shared" si="54"/>
        <v>498937621.03</v>
      </c>
      <c r="N108" s="15">
        <f t="shared" si="54"/>
        <v>0</v>
      </c>
      <c r="O108" s="15">
        <f t="shared" si="54"/>
        <v>0</v>
      </c>
      <c r="P108" s="15"/>
      <c r="Q108" s="15">
        <f>Q109</f>
        <v>0</v>
      </c>
      <c r="R108" s="15"/>
      <c r="S108" s="15"/>
      <c r="T108" s="15"/>
      <c r="U108" s="15"/>
      <c r="V108" s="110">
        <f>H108+L108+Q108</f>
        <v>137545600</v>
      </c>
      <c r="W108" s="110">
        <f aca="true" t="shared" si="55" ref="W108:Y112">I108+M108+R108</f>
        <v>540377654.03</v>
      </c>
      <c r="X108" s="110">
        <f t="shared" si="55"/>
        <v>41440033</v>
      </c>
      <c r="Y108" s="110">
        <f t="shared" si="55"/>
        <v>33640033</v>
      </c>
      <c r="Z108" s="584"/>
    </row>
    <row r="109" spans="1:26" ht="33" customHeight="1">
      <c r="A109" s="484"/>
      <c r="B109" s="484"/>
      <c r="C109" s="517"/>
      <c r="D109" s="161"/>
      <c r="E109" s="34" t="s">
        <v>291</v>
      </c>
      <c r="F109" s="31" t="s">
        <v>884</v>
      </c>
      <c r="G109" s="69" t="s">
        <v>292</v>
      </c>
      <c r="H109" s="68">
        <v>14300000</v>
      </c>
      <c r="I109" s="68">
        <v>41440033</v>
      </c>
      <c r="J109" s="68">
        <v>41440033</v>
      </c>
      <c r="K109" s="68">
        <v>33640033</v>
      </c>
      <c r="L109" s="14">
        <v>123245600</v>
      </c>
      <c r="M109" s="14">
        <v>498937621.03</v>
      </c>
      <c r="N109" s="14">
        <v>0</v>
      </c>
      <c r="O109" s="14">
        <v>0</v>
      </c>
      <c r="P109" s="70" t="s">
        <v>32</v>
      </c>
      <c r="Q109" s="15">
        <v>0</v>
      </c>
      <c r="R109" s="15"/>
      <c r="S109" s="15"/>
      <c r="T109" s="15"/>
      <c r="U109" s="73"/>
      <c r="V109" s="140">
        <f>H109+L109+Q109</f>
        <v>137545600</v>
      </c>
      <c r="W109" s="140">
        <f t="shared" si="55"/>
        <v>540377654.03</v>
      </c>
      <c r="X109" s="140">
        <f t="shared" si="55"/>
        <v>41440033</v>
      </c>
      <c r="Y109" s="140">
        <f t="shared" si="55"/>
        <v>33640033</v>
      </c>
      <c r="Z109" s="584"/>
    </row>
    <row r="110" spans="1:26" ht="32.25" customHeight="1">
      <c r="A110" s="484"/>
      <c r="B110" s="484"/>
      <c r="C110" s="156" t="s">
        <v>28</v>
      </c>
      <c r="D110" s="157"/>
      <c r="E110" s="157"/>
      <c r="F110" s="156"/>
      <c r="G110" s="6" t="s">
        <v>29</v>
      </c>
      <c r="H110" s="15">
        <f aca="true" t="shared" si="56" ref="H110:O110">H111+H115</f>
        <v>15000000</v>
      </c>
      <c r="I110" s="15">
        <f t="shared" si="56"/>
        <v>48779999</v>
      </c>
      <c r="J110" s="15">
        <f t="shared" si="56"/>
        <v>48779998</v>
      </c>
      <c r="K110" s="15">
        <f t="shared" si="56"/>
        <v>43579666</v>
      </c>
      <c r="L110" s="16">
        <f t="shared" si="56"/>
        <v>211178443.45</v>
      </c>
      <c r="M110" s="16">
        <f t="shared" si="56"/>
        <v>551537073.1</v>
      </c>
      <c r="N110" s="16">
        <f t="shared" si="56"/>
        <v>449231000</v>
      </c>
      <c r="O110" s="16">
        <f t="shared" si="56"/>
        <v>440481000</v>
      </c>
      <c r="P110" s="16"/>
      <c r="Q110" s="15">
        <f>Q111+Q115</f>
        <v>0</v>
      </c>
      <c r="R110" s="15"/>
      <c r="S110" s="15"/>
      <c r="T110" s="15"/>
      <c r="U110" s="28"/>
      <c r="V110" s="139">
        <f>H110+L110+Q110</f>
        <v>226178443.45</v>
      </c>
      <c r="W110" s="139">
        <f t="shared" si="55"/>
        <v>600317072.1</v>
      </c>
      <c r="X110" s="139">
        <f t="shared" si="55"/>
        <v>498010998</v>
      </c>
      <c r="Y110" s="139">
        <f t="shared" si="55"/>
        <v>484060666</v>
      </c>
      <c r="Z110" s="584"/>
    </row>
    <row r="111" spans="1:26" ht="27">
      <c r="A111" s="484"/>
      <c r="B111" s="484"/>
      <c r="C111" s="515"/>
      <c r="D111" s="156" t="s">
        <v>293</v>
      </c>
      <c r="E111" s="34"/>
      <c r="F111" s="31"/>
      <c r="G111" s="6" t="s">
        <v>294</v>
      </c>
      <c r="H111" s="15">
        <f aca="true" t="shared" si="57" ref="H111:O111">H112</f>
        <v>15000000</v>
      </c>
      <c r="I111" s="15">
        <f t="shared" si="57"/>
        <v>48779999</v>
      </c>
      <c r="J111" s="15">
        <f t="shared" si="57"/>
        <v>48779998</v>
      </c>
      <c r="K111" s="15">
        <f t="shared" si="57"/>
        <v>43579666</v>
      </c>
      <c r="L111" s="15">
        <f t="shared" si="57"/>
        <v>0</v>
      </c>
      <c r="M111" s="15">
        <f t="shared" si="57"/>
        <v>36000000</v>
      </c>
      <c r="N111" s="15">
        <f t="shared" si="57"/>
        <v>36000000</v>
      </c>
      <c r="O111" s="15">
        <f t="shared" si="57"/>
        <v>36000000</v>
      </c>
      <c r="P111" s="4"/>
      <c r="Q111" s="15">
        <f>Q112</f>
        <v>0</v>
      </c>
      <c r="R111" s="15"/>
      <c r="S111" s="15"/>
      <c r="T111" s="15"/>
      <c r="U111" s="28"/>
      <c r="V111" s="139">
        <f>H111+L111+Q111</f>
        <v>15000000</v>
      </c>
      <c r="W111" s="139">
        <f t="shared" si="55"/>
        <v>84779999</v>
      </c>
      <c r="X111" s="139">
        <f t="shared" si="55"/>
        <v>84779998</v>
      </c>
      <c r="Y111" s="139">
        <f t="shared" si="55"/>
        <v>79579666</v>
      </c>
      <c r="Z111" s="584"/>
    </row>
    <row r="112" spans="1:26" ht="17.25" customHeight="1">
      <c r="A112" s="484"/>
      <c r="B112" s="484"/>
      <c r="C112" s="516"/>
      <c r="D112" s="515"/>
      <c r="E112" s="34" t="s">
        <v>295</v>
      </c>
      <c r="F112" s="497" t="s">
        <v>885</v>
      </c>
      <c r="G112" s="494" t="s">
        <v>296</v>
      </c>
      <c r="H112" s="409">
        <v>15000000</v>
      </c>
      <c r="I112" s="409">
        <v>48779999</v>
      </c>
      <c r="J112" s="409">
        <v>48779998</v>
      </c>
      <c r="K112" s="409">
        <v>43579666</v>
      </c>
      <c r="L112" s="540">
        <v>0</v>
      </c>
      <c r="M112" s="409">
        <v>36000000</v>
      </c>
      <c r="N112" s="409">
        <v>36000000</v>
      </c>
      <c r="O112" s="409">
        <v>36000000</v>
      </c>
      <c r="P112" s="409" t="s">
        <v>32</v>
      </c>
      <c r="Q112" s="540">
        <v>0</v>
      </c>
      <c r="R112" s="540"/>
      <c r="S112" s="540"/>
      <c r="T112" s="540"/>
      <c r="U112" s="397"/>
      <c r="V112" s="422">
        <f>H112+L112+Q112</f>
        <v>15000000</v>
      </c>
      <c r="W112" s="422">
        <f t="shared" si="55"/>
        <v>84779999</v>
      </c>
      <c r="X112" s="422">
        <f t="shared" si="55"/>
        <v>84779998</v>
      </c>
      <c r="Y112" s="422">
        <f t="shared" si="55"/>
        <v>79579666</v>
      </c>
      <c r="Z112" s="584"/>
    </row>
    <row r="113" spans="1:26" ht="17.25" customHeight="1">
      <c r="A113" s="484"/>
      <c r="B113" s="484"/>
      <c r="C113" s="516"/>
      <c r="D113" s="516"/>
      <c r="E113" s="34" t="s">
        <v>297</v>
      </c>
      <c r="F113" s="498"/>
      <c r="G113" s="500"/>
      <c r="H113" s="410"/>
      <c r="I113" s="410"/>
      <c r="J113" s="410"/>
      <c r="K113" s="410"/>
      <c r="L113" s="541"/>
      <c r="M113" s="410"/>
      <c r="N113" s="410"/>
      <c r="O113" s="410"/>
      <c r="P113" s="398"/>
      <c r="Q113" s="541"/>
      <c r="R113" s="541"/>
      <c r="S113" s="541"/>
      <c r="T113" s="541"/>
      <c r="U113" s="398"/>
      <c r="V113" s="423"/>
      <c r="W113" s="423"/>
      <c r="X113" s="423"/>
      <c r="Y113" s="423"/>
      <c r="Z113" s="584"/>
    </row>
    <row r="114" spans="1:26" ht="17.25" customHeight="1">
      <c r="A114" s="484"/>
      <c r="B114" s="484"/>
      <c r="C114" s="516"/>
      <c r="D114" s="517"/>
      <c r="E114" s="34" t="s">
        <v>298</v>
      </c>
      <c r="F114" s="499"/>
      <c r="G114" s="495"/>
      <c r="H114" s="411"/>
      <c r="I114" s="411"/>
      <c r="J114" s="411"/>
      <c r="K114" s="411"/>
      <c r="L114" s="542"/>
      <c r="M114" s="411"/>
      <c r="N114" s="411"/>
      <c r="O114" s="411"/>
      <c r="P114" s="399"/>
      <c r="Q114" s="542"/>
      <c r="R114" s="542"/>
      <c r="S114" s="542"/>
      <c r="T114" s="542"/>
      <c r="U114" s="399"/>
      <c r="V114" s="424"/>
      <c r="W114" s="424"/>
      <c r="X114" s="424"/>
      <c r="Y114" s="424"/>
      <c r="Z114" s="584"/>
    </row>
    <row r="115" spans="1:26" ht="30" customHeight="1">
      <c r="A115" s="484"/>
      <c r="B115" s="484"/>
      <c r="C115" s="516"/>
      <c r="D115" s="156" t="s">
        <v>299</v>
      </c>
      <c r="E115" s="34"/>
      <c r="F115" s="31"/>
      <c r="G115" s="6" t="s">
        <v>300</v>
      </c>
      <c r="H115" s="15">
        <f aca="true" t="shared" si="58" ref="H115:O115">H116</f>
        <v>0</v>
      </c>
      <c r="I115" s="15">
        <f t="shared" si="58"/>
        <v>0</v>
      </c>
      <c r="J115" s="15">
        <f t="shared" si="58"/>
        <v>0</v>
      </c>
      <c r="K115" s="15">
        <f t="shared" si="58"/>
        <v>0</v>
      </c>
      <c r="L115" s="47">
        <f t="shared" si="58"/>
        <v>211178443.45</v>
      </c>
      <c r="M115" s="47">
        <f t="shared" si="58"/>
        <v>515537073.1</v>
      </c>
      <c r="N115" s="47">
        <f t="shared" si="58"/>
        <v>413231000</v>
      </c>
      <c r="O115" s="47">
        <f t="shared" si="58"/>
        <v>404481000</v>
      </c>
      <c r="P115" s="4"/>
      <c r="Q115" s="15">
        <f>Q116</f>
        <v>0</v>
      </c>
      <c r="R115" s="15"/>
      <c r="S115" s="15"/>
      <c r="T115" s="15"/>
      <c r="U115" s="28"/>
      <c r="V115" s="139">
        <f aca="true" t="shared" si="59" ref="V115:V122">H115+L115+Q115</f>
        <v>211178443.45</v>
      </c>
      <c r="W115" s="139">
        <f aca="true" t="shared" si="60" ref="W115:W122">I115+M115+R115</f>
        <v>515537073.1</v>
      </c>
      <c r="X115" s="139">
        <f aca="true" t="shared" si="61" ref="X115:X122">J115+N115+S115</f>
        <v>413231000</v>
      </c>
      <c r="Y115" s="139">
        <f aca="true" t="shared" si="62" ref="Y115:Y122">K115+O115+T115</f>
        <v>404481000</v>
      </c>
      <c r="Z115" s="584"/>
    </row>
    <row r="116" spans="1:26" ht="45.75" customHeight="1" thickBot="1">
      <c r="A116" s="484"/>
      <c r="B116" s="484"/>
      <c r="C116" s="516"/>
      <c r="D116" s="257"/>
      <c r="E116" s="301" t="s">
        <v>301</v>
      </c>
      <c r="F116" s="363" t="s">
        <v>886</v>
      </c>
      <c r="G116" s="246" t="s">
        <v>302</v>
      </c>
      <c r="H116" s="239">
        <v>0</v>
      </c>
      <c r="I116" s="239"/>
      <c r="J116" s="239"/>
      <c r="K116" s="239"/>
      <c r="L116" s="77">
        <v>211178443.45</v>
      </c>
      <c r="M116" s="77">
        <v>515537073.1</v>
      </c>
      <c r="N116" s="77">
        <v>413231000</v>
      </c>
      <c r="O116" s="77">
        <v>404481000</v>
      </c>
      <c r="P116" s="233" t="s">
        <v>1085</v>
      </c>
      <c r="Q116" s="239">
        <v>0</v>
      </c>
      <c r="R116" s="239"/>
      <c r="S116" s="239"/>
      <c r="T116" s="239"/>
      <c r="U116" s="262"/>
      <c r="V116" s="146">
        <f t="shared" si="59"/>
        <v>211178443.45</v>
      </c>
      <c r="W116" s="146">
        <f t="shared" si="60"/>
        <v>515537073.1</v>
      </c>
      <c r="X116" s="146">
        <f t="shared" si="61"/>
        <v>413231000</v>
      </c>
      <c r="Y116" s="146">
        <f t="shared" si="62"/>
        <v>404481000</v>
      </c>
      <c r="Z116" s="585"/>
    </row>
    <row r="117" spans="1:26" ht="13.5" customHeight="1" thickBot="1">
      <c r="A117" s="396" t="s">
        <v>54</v>
      </c>
      <c r="B117" s="396"/>
      <c r="C117" s="396"/>
      <c r="D117" s="396"/>
      <c r="E117" s="396"/>
      <c r="F117" s="396"/>
      <c r="G117" s="396"/>
      <c r="H117" s="266">
        <f aca="true" t="shared" si="63" ref="H117:O117">H118+H144+H156</f>
        <v>526216043</v>
      </c>
      <c r="I117" s="266">
        <f t="shared" si="63"/>
        <v>1595036742.87</v>
      </c>
      <c r="J117" s="266">
        <f t="shared" si="63"/>
        <v>1415401120</v>
      </c>
      <c r="K117" s="266">
        <f t="shared" si="63"/>
        <v>1020433652</v>
      </c>
      <c r="L117" s="266">
        <f t="shared" si="63"/>
        <v>0</v>
      </c>
      <c r="M117" s="266">
        <f t="shared" si="63"/>
        <v>4911726546.14</v>
      </c>
      <c r="N117" s="266">
        <f t="shared" si="63"/>
        <v>1099255247.33</v>
      </c>
      <c r="O117" s="266">
        <f t="shared" si="63"/>
        <v>113126077.14</v>
      </c>
      <c r="P117" s="266"/>
      <c r="Q117" s="266">
        <f>Q118+Q144+Q156</f>
        <v>0</v>
      </c>
      <c r="R117" s="266"/>
      <c r="S117" s="266"/>
      <c r="T117" s="266"/>
      <c r="U117" s="269"/>
      <c r="V117" s="312">
        <f t="shared" si="59"/>
        <v>526216043</v>
      </c>
      <c r="W117" s="312">
        <f t="shared" si="60"/>
        <v>6506763289.01</v>
      </c>
      <c r="X117" s="312">
        <f t="shared" si="61"/>
        <v>2514656367.33</v>
      </c>
      <c r="Y117" s="312">
        <f t="shared" si="62"/>
        <v>1133559729.14</v>
      </c>
      <c r="Z117" s="583">
        <v>8</v>
      </c>
    </row>
    <row r="118" spans="1:26" ht="13.5">
      <c r="A118" s="242">
        <v>1</v>
      </c>
      <c r="B118" s="242"/>
      <c r="C118" s="260"/>
      <c r="D118" s="260"/>
      <c r="E118" s="260"/>
      <c r="F118" s="354"/>
      <c r="G118" s="304" t="s">
        <v>35</v>
      </c>
      <c r="H118" s="240">
        <f aca="true" t="shared" si="64" ref="H118:O118">H119+H131</f>
        <v>375566043</v>
      </c>
      <c r="I118" s="240">
        <f t="shared" si="64"/>
        <v>760740898.87</v>
      </c>
      <c r="J118" s="240">
        <f t="shared" si="64"/>
        <v>634290503</v>
      </c>
      <c r="K118" s="240">
        <f t="shared" si="64"/>
        <v>429948628</v>
      </c>
      <c r="L118" s="240">
        <f t="shared" si="64"/>
        <v>0</v>
      </c>
      <c r="M118" s="240">
        <f t="shared" si="64"/>
        <v>4911726546.14</v>
      </c>
      <c r="N118" s="240">
        <f t="shared" si="64"/>
        <v>1099255247.33</v>
      </c>
      <c r="O118" s="240">
        <f t="shared" si="64"/>
        <v>113126077.14</v>
      </c>
      <c r="P118" s="305"/>
      <c r="Q118" s="237">
        <v>0</v>
      </c>
      <c r="R118" s="237"/>
      <c r="S118" s="237"/>
      <c r="T118" s="237"/>
      <c r="U118" s="263"/>
      <c r="V118" s="306">
        <f t="shared" si="59"/>
        <v>375566043</v>
      </c>
      <c r="W118" s="306">
        <f t="shared" si="60"/>
        <v>5672467445.01</v>
      </c>
      <c r="X118" s="306">
        <f t="shared" si="61"/>
        <v>1733545750.33</v>
      </c>
      <c r="Y118" s="306">
        <f t="shared" si="62"/>
        <v>543074705.14</v>
      </c>
      <c r="Z118" s="584"/>
    </row>
    <row r="119" spans="1:26" ht="13.5">
      <c r="A119" s="483"/>
      <c r="B119" s="28" t="s">
        <v>36</v>
      </c>
      <c r="C119" s="162"/>
      <c r="D119" s="162"/>
      <c r="E119" s="162"/>
      <c r="F119" s="162"/>
      <c r="G119" s="163" t="s">
        <v>37</v>
      </c>
      <c r="H119" s="15">
        <f aca="true" t="shared" si="65" ref="H119:O119">H120+H126</f>
        <v>87425000</v>
      </c>
      <c r="I119" s="15">
        <f t="shared" si="65"/>
        <v>308275000</v>
      </c>
      <c r="J119" s="15">
        <f t="shared" si="65"/>
        <v>300308571</v>
      </c>
      <c r="K119" s="15">
        <f t="shared" si="65"/>
        <v>175070671</v>
      </c>
      <c r="L119" s="15">
        <f t="shared" si="65"/>
        <v>0</v>
      </c>
      <c r="M119" s="15">
        <f t="shared" si="65"/>
        <v>4911726546.14</v>
      </c>
      <c r="N119" s="15">
        <f t="shared" si="65"/>
        <v>1099255247.33</v>
      </c>
      <c r="O119" s="15">
        <f t="shared" si="65"/>
        <v>113126077.14</v>
      </c>
      <c r="P119" s="15"/>
      <c r="Q119" s="15">
        <f>Q120+Q126</f>
        <v>0</v>
      </c>
      <c r="R119" s="15"/>
      <c r="S119" s="15"/>
      <c r="T119" s="15"/>
      <c r="U119" s="73"/>
      <c r="V119" s="141">
        <f t="shared" si="59"/>
        <v>87425000</v>
      </c>
      <c r="W119" s="141">
        <f t="shared" si="60"/>
        <v>5220001546.14</v>
      </c>
      <c r="X119" s="141">
        <f t="shared" si="61"/>
        <v>1399563818.33</v>
      </c>
      <c r="Y119" s="141">
        <f t="shared" si="62"/>
        <v>288196748.14</v>
      </c>
      <c r="Z119" s="584"/>
    </row>
    <row r="120" spans="1:26" ht="13.5">
      <c r="A120" s="484"/>
      <c r="B120" s="483"/>
      <c r="C120" s="162" t="s">
        <v>38</v>
      </c>
      <c r="D120" s="164"/>
      <c r="E120" s="164"/>
      <c r="F120" s="162"/>
      <c r="G120" s="6" t="s">
        <v>39</v>
      </c>
      <c r="H120" s="15">
        <f>H121</f>
        <v>50025000</v>
      </c>
      <c r="I120" s="15">
        <f aca="true" t="shared" si="66" ref="I120:K121">I121</f>
        <v>193675000</v>
      </c>
      <c r="J120" s="15">
        <f t="shared" si="66"/>
        <v>188562058</v>
      </c>
      <c r="K120" s="15">
        <f t="shared" si="66"/>
        <v>95344158</v>
      </c>
      <c r="L120" s="15">
        <f aca="true" t="shared" si="67" ref="L120:O121">L121</f>
        <v>0</v>
      </c>
      <c r="M120" s="15">
        <f t="shared" si="67"/>
        <v>3849521441.57</v>
      </c>
      <c r="N120" s="15">
        <f t="shared" si="67"/>
        <v>1099255247.33</v>
      </c>
      <c r="O120" s="15">
        <f t="shared" si="67"/>
        <v>113126077.14</v>
      </c>
      <c r="P120" s="15"/>
      <c r="Q120" s="15">
        <f>Q121</f>
        <v>0</v>
      </c>
      <c r="R120" s="15"/>
      <c r="S120" s="15"/>
      <c r="T120" s="15"/>
      <c r="U120" s="28"/>
      <c r="V120" s="139">
        <f t="shared" si="59"/>
        <v>50025000</v>
      </c>
      <c r="W120" s="139">
        <f t="shared" si="60"/>
        <v>4043196441.57</v>
      </c>
      <c r="X120" s="139">
        <f t="shared" si="61"/>
        <v>1287817305.33</v>
      </c>
      <c r="Y120" s="139">
        <f t="shared" si="62"/>
        <v>208470235.14</v>
      </c>
      <c r="Z120" s="584"/>
    </row>
    <row r="121" spans="1:26" ht="41.25">
      <c r="A121" s="484"/>
      <c r="B121" s="484"/>
      <c r="C121" s="537"/>
      <c r="D121" s="162" t="s">
        <v>303</v>
      </c>
      <c r="E121" s="165"/>
      <c r="F121" s="163"/>
      <c r="G121" s="6" t="s">
        <v>304</v>
      </c>
      <c r="H121" s="15">
        <f>H122</f>
        <v>50025000</v>
      </c>
      <c r="I121" s="15">
        <f t="shared" si="66"/>
        <v>193675000</v>
      </c>
      <c r="J121" s="15">
        <f t="shared" si="66"/>
        <v>188562058</v>
      </c>
      <c r="K121" s="15">
        <f t="shared" si="66"/>
        <v>95344158</v>
      </c>
      <c r="L121" s="15">
        <f t="shared" si="67"/>
        <v>0</v>
      </c>
      <c r="M121" s="15">
        <f t="shared" si="67"/>
        <v>3849521441.57</v>
      </c>
      <c r="N121" s="15">
        <f t="shared" si="67"/>
        <v>1099255247.33</v>
      </c>
      <c r="O121" s="15">
        <f t="shared" si="67"/>
        <v>113126077.14</v>
      </c>
      <c r="P121" s="15"/>
      <c r="Q121" s="15">
        <f>Q122</f>
        <v>0</v>
      </c>
      <c r="R121" s="15"/>
      <c r="S121" s="15"/>
      <c r="T121" s="15"/>
      <c r="U121" s="28"/>
      <c r="V121" s="139">
        <f t="shared" si="59"/>
        <v>50025000</v>
      </c>
      <c r="W121" s="139">
        <f t="shared" si="60"/>
        <v>4043196441.57</v>
      </c>
      <c r="X121" s="139">
        <f t="shared" si="61"/>
        <v>1287817305.33</v>
      </c>
      <c r="Y121" s="139">
        <f t="shared" si="62"/>
        <v>208470235.14</v>
      </c>
      <c r="Z121" s="584"/>
    </row>
    <row r="122" spans="1:26" ht="13.5">
      <c r="A122" s="484"/>
      <c r="B122" s="484"/>
      <c r="C122" s="539"/>
      <c r="D122" s="537"/>
      <c r="E122" s="165" t="s">
        <v>305</v>
      </c>
      <c r="F122" s="537" t="s">
        <v>887</v>
      </c>
      <c r="G122" s="494" t="s">
        <v>306</v>
      </c>
      <c r="H122" s="409">
        <v>50025000</v>
      </c>
      <c r="I122" s="409">
        <v>193675000</v>
      </c>
      <c r="J122" s="409">
        <v>188562058</v>
      </c>
      <c r="K122" s="409">
        <v>95344158</v>
      </c>
      <c r="L122" s="409">
        <v>0</v>
      </c>
      <c r="M122" s="409">
        <v>3849521441.57</v>
      </c>
      <c r="N122" s="409">
        <v>1099255247.33</v>
      </c>
      <c r="O122" s="409">
        <v>113126077.14</v>
      </c>
      <c r="P122" s="409" t="s">
        <v>1086</v>
      </c>
      <c r="Q122" s="409">
        <v>0</v>
      </c>
      <c r="R122" s="409"/>
      <c r="S122" s="409"/>
      <c r="T122" s="409"/>
      <c r="U122" s="409"/>
      <c r="V122" s="417">
        <f t="shared" si="59"/>
        <v>50025000</v>
      </c>
      <c r="W122" s="417">
        <f t="shared" si="60"/>
        <v>4043196441.57</v>
      </c>
      <c r="X122" s="417">
        <f t="shared" si="61"/>
        <v>1287817305.33</v>
      </c>
      <c r="Y122" s="417">
        <f t="shared" si="62"/>
        <v>208470235.14</v>
      </c>
      <c r="Z122" s="584"/>
    </row>
    <row r="123" spans="1:26" ht="13.5">
      <c r="A123" s="484"/>
      <c r="B123" s="484"/>
      <c r="C123" s="539"/>
      <c r="D123" s="539"/>
      <c r="E123" s="165" t="s">
        <v>307</v>
      </c>
      <c r="F123" s="539"/>
      <c r="G123" s="50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29"/>
      <c r="W123" s="429"/>
      <c r="X123" s="429"/>
      <c r="Y123" s="429"/>
      <c r="Z123" s="584"/>
    </row>
    <row r="124" spans="1:26" ht="13.5">
      <c r="A124" s="484"/>
      <c r="B124" s="484"/>
      <c r="C124" s="539"/>
      <c r="D124" s="539"/>
      <c r="E124" s="165" t="s">
        <v>308</v>
      </c>
      <c r="F124" s="539"/>
      <c r="G124" s="50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29"/>
      <c r="W124" s="429"/>
      <c r="X124" s="429"/>
      <c r="Y124" s="429"/>
      <c r="Z124" s="584"/>
    </row>
    <row r="125" spans="1:26" ht="13.5">
      <c r="A125" s="484"/>
      <c r="B125" s="484"/>
      <c r="C125" s="538"/>
      <c r="D125" s="538"/>
      <c r="E125" s="165" t="s">
        <v>309</v>
      </c>
      <c r="F125" s="538"/>
      <c r="G125" s="495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418"/>
      <c r="W125" s="418"/>
      <c r="X125" s="418"/>
      <c r="Y125" s="418"/>
      <c r="Z125" s="584"/>
    </row>
    <row r="126" spans="1:26" ht="18" customHeight="1">
      <c r="A126" s="484"/>
      <c r="B126" s="484"/>
      <c r="C126" s="162" t="s">
        <v>40</v>
      </c>
      <c r="D126" s="164"/>
      <c r="E126" s="164"/>
      <c r="F126" s="162"/>
      <c r="G126" s="6" t="s">
        <v>41</v>
      </c>
      <c r="H126" s="15">
        <f>H127</f>
        <v>37400000</v>
      </c>
      <c r="I126" s="15">
        <f aca="true" t="shared" si="68" ref="I126:K127">I127</f>
        <v>114600000</v>
      </c>
      <c r="J126" s="15">
        <f t="shared" si="68"/>
        <v>111746513</v>
      </c>
      <c r="K126" s="15">
        <f t="shared" si="68"/>
        <v>79726513</v>
      </c>
      <c r="L126" s="15">
        <f>L127</f>
        <v>0</v>
      </c>
      <c r="M126" s="15">
        <f aca="true" t="shared" si="69" ref="M126:O127">M127</f>
        <v>1062205104.57</v>
      </c>
      <c r="N126" s="15">
        <f t="shared" si="69"/>
        <v>0</v>
      </c>
      <c r="O126" s="15">
        <f t="shared" si="69"/>
        <v>0</v>
      </c>
      <c r="P126" s="15"/>
      <c r="Q126" s="15">
        <f>Q127</f>
        <v>0</v>
      </c>
      <c r="R126" s="15"/>
      <c r="S126" s="15"/>
      <c r="T126" s="15"/>
      <c r="U126" s="28"/>
      <c r="V126" s="141">
        <f>H126+L126+Q126</f>
        <v>37400000</v>
      </c>
      <c r="W126" s="141">
        <f aca="true" t="shared" si="70" ref="W126:Y128">I126+M126+R126</f>
        <v>1176805104.5700002</v>
      </c>
      <c r="X126" s="141">
        <f t="shared" si="70"/>
        <v>111746513</v>
      </c>
      <c r="Y126" s="141">
        <f t="shared" si="70"/>
        <v>79726513</v>
      </c>
      <c r="Z126" s="584"/>
    </row>
    <row r="127" spans="1:26" ht="13.5">
      <c r="A127" s="484"/>
      <c r="B127" s="484"/>
      <c r="C127" s="537"/>
      <c r="D127" s="162" t="s">
        <v>310</v>
      </c>
      <c r="E127" s="165"/>
      <c r="F127" s="163"/>
      <c r="G127" s="166" t="s">
        <v>41</v>
      </c>
      <c r="H127" s="15">
        <f>H128</f>
        <v>37400000</v>
      </c>
      <c r="I127" s="15">
        <f t="shared" si="68"/>
        <v>114600000</v>
      </c>
      <c r="J127" s="15">
        <f t="shared" si="68"/>
        <v>111746513</v>
      </c>
      <c r="K127" s="15">
        <f t="shared" si="68"/>
        <v>79726513</v>
      </c>
      <c r="L127" s="15">
        <f>L128</f>
        <v>0</v>
      </c>
      <c r="M127" s="15">
        <f t="shared" si="69"/>
        <v>1062205104.57</v>
      </c>
      <c r="N127" s="15">
        <f t="shared" si="69"/>
        <v>0</v>
      </c>
      <c r="O127" s="15">
        <f t="shared" si="69"/>
        <v>0</v>
      </c>
      <c r="P127" s="15"/>
      <c r="Q127" s="15">
        <f>Q128</f>
        <v>0</v>
      </c>
      <c r="R127" s="15"/>
      <c r="S127" s="15"/>
      <c r="T127" s="15"/>
      <c r="U127" s="28"/>
      <c r="V127" s="141">
        <f>H127+L127+Q127</f>
        <v>37400000</v>
      </c>
      <c r="W127" s="141">
        <f t="shared" si="70"/>
        <v>1176805104.5700002</v>
      </c>
      <c r="X127" s="141">
        <f t="shared" si="70"/>
        <v>111746513</v>
      </c>
      <c r="Y127" s="141">
        <f t="shared" si="70"/>
        <v>79726513</v>
      </c>
      <c r="Z127" s="584"/>
    </row>
    <row r="128" spans="1:26" ht="13.5">
      <c r="A128" s="484"/>
      <c r="B128" s="484"/>
      <c r="C128" s="539"/>
      <c r="D128" s="537"/>
      <c r="E128" s="165" t="s">
        <v>311</v>
      </c>
      <c r="F128" s="537" t="s">
        <v>888</v>
      </c>
      <c r="G128" s="494" t="s">
        <v>312</v>
      </c>
      <c r="H128" s="409">
        <v>37400000</v>
      </c>
      <c r="I128" s="409">
        <v>114600000</v>
      </c>
      <c r="J128" s="409">
        <v>111746513</v>
      </c>
      <c r="K128" s="409">
        <v>79726513</v>
      </c>
      <c r="L128" s="409">
        <v>0</v>
      </c>
      <c r="M128" s="409">
        <v>1062205104.57</v>
      </c>
      <c r="N128" s="409">
        <v>0</v>
      </c>
      <c r="O128" s="409">
        <v>0</v>
      </c>
      <c r="P128" s="409" t="s">
        <v>1086</v>
      </c>
      <c r="Q128" s="409">
        <v>0</v>
      </c>
      <c r="R128" s="409"/>
      <c r="S128" s="409"/>
      <c r="T128" s="409"/>
      <c r="U128" s="409"/>
      <c r="V128" s="412">
        <f>H128+L128+Q128</f>
        <v>37400000</v>
      </c>
      <c r="W128" s="412">
        <f t="shared" si="70"/>
        <v>1176805104.5700002</v>
      </c>
      <c r="X128" s="412">
        <f t="shared" si="70"/>
        <v>111746513</v>
      </c>
      <c r="Y128" s="412">
        <f t="shared" si="70"/>
        <v>79726513</v>
      </c>
      <c r="Z128" s="584"/>
    </row>
    <row r="129" spans="1:26" ht="13.5">
      <c r="A129" s="484"/>
      <c r="B129" s="484"/>
      <c r="C129" s="539"/>
      <c r="D129" s="539"/>
      <c r="E129" s="165" t="s">
        <v>313</v>
      </c>
      <c r="F129" s="539"/>
      <c r="G129" s="50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410"/>
      <c r="U129" s="410"/>
      <c r="V129" s="413"/>
      <c r="W129" s="413"/>
      <c r="X129" s="413"/>
      <c r="Y129" s="413"/>
      <c r="Z129" s="584"/>
    </row>
    <row r="130" spans="1:26" ht="13.5">
      <c r="A130" s="484"/>
      <c r="B130" s="530"/>
      <c r="C130" s="538"/>
      <c r="D130" s="538"/>
      <c r="E130" s="165" t="s">
        <v>314</v>
      </c>
      <c r="F130" s="538"/>
      <c r="G130" s="495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414"/>
      <c r="W130" s="414"/>
      <c r="X130" s="414"/>
      <c r="Y130" s="414"/>
      <c r="Z130" s="584"/>
    </row>
    <row r="131" spans="1:26" ht="13.5">
      <c r="A131" s="484"/>
      <c r="B131" s="28" t="s">
        <v>315</v>
      </c>
      <c r="C131" s="167"/>
      <c r="D131" s="167"/>
      <c r="E131" s="165"/>
      <c r="F131" s="354"/>
      <c r="G131" s="6" t="s">
        <v>850</v>
      </c>
      <c r="H131" s="15">
        <f>H132</f>
        <v>288141043</v>
      </c>
      <c r="I131" s="15">
        <f>I132</f>
        <v>452465898.87</v>
      </c>
      <c r="J131" s="15">
        <f>J132</f>
        <v>333981932</v>
      </c>
      <c r="K131" s="15">
        <f>K132</f>
        <v>254877957</v>
      </c>
      <c r="L131" s="15">
        <f>L132</f>
        <v>0</v>
      </c>
      <c r="M131" s="15"/>
      <c r="N131" s="15"/>
      <c r="O131" s="15"/>
      <c r="P131" s="15"/>
      <c r="Q131" s="15">
        <f>Q132</f>
        <v>0</v>
      </c>
      <c r="R131" s="15"/>
      <c r="S131" s="15"/>
      <c r="T131" s="15"/>
      <c r="U131" s="28"/>
      <c r="V131" s="141">
        <f>H131+L131+Q131</f>
        <v>288141043</v>
      </c>
      <c r="W131" s="141">
        <f aca="true" t="shared" si="71" ref="W131:Y134">I131+M131+R131</f>
        <v>452465898.87</v>
      </c>
      <c r="X131" s="141">
        <f t="shared" si="71"/>
        <v>333981932</v>
      </c>
      <c r="Y131" s="141">
        <f t="shared" si="71"/>
        <v>254877957</v>
      </c>
      <c r="Z131" s="584"/>
    </row>
    <row r="132" spans="1:26" ht="13.5">
      <c r="A132" s="484"/>
      <c r="B132" s="483"/>
      <c r="C132" s="162" t="s">
        <v>42</v>
      </c>
      <c r="D132" s="164"/>
      <c r="E132" s="164"/>
      <c r="F132" s="162"/>
      <c r="G132" s="166" t="s">
        <v>43</v>
      </c>
      <c r="H132" s="11">
        <f>H133+H136+H141</f>
        <v>288141043</v>
      </c>
      <c r="I132" s="11">
        <f>I133+I136+I141</f>
        <v>452465898.87</v>
      </c>
      <c r="J132" s="11">
        <f>J133+J136+J141</f>
        <v>333981932</v>
      </c>
      <c r="K132" s="11">
        <f>K133+K136+K141</f>
        <v>254877957</v>
      </c>
      <c r="L132" s="15">
        <f>L133+L136+L141</f>
        <v>0</v>
      </c>
      <c r="M132" s="15"/>
      <c r="N132" s="15"/>
      <c r="O132" s="15"/>
      <c r="P132" s="11"/>
      <c r="Q132" s="15">
        <f>Q133+Q136+Q141</f>
        <v>0</v>
      </c>
      <c r="R132" s="15"/>
      <c r="S132" s="15"/>
      <c r="T132" s="15"/>
      <c r="U132" s="28"/>
      <c r="V132" s="139">
        <f>H132+L132+Q132</f>
        <v>288141043</v>
      </c>
      <c r="W132" s="139">
        <f t="shared" si="71"/>
        <v>452465898.87</v>
      </c>
      <c r="X132" s="139">
        <f t="shared" si="71"/>
        <v>333981932</v>
      </c>
      <c r="Y132" s="139">
        <f t="shared" si="71"/>
        <v>254877957</v>
      </c>
      <c r="Z132" s="584"/>
    </row>
    <row r="133" spans="1:26" ht="27">
      <c r="A133" s="484"/>
      <c r="B133" s="484"/>
      <c r="C133" s="537"/>
      <c r="D133" s="162" t="s">
        <v>316</v>
      </c>
      <c r="E133" s="165"/>
      <c r="F133" s="163"/>
      <c r="G133" s="6" t="s">
        <v>317</v>
      </c>
      <c r="H133" s="11">
        <f>H134</f>
        <v>66970193</v>
      </c>
      <c r="I133" s="11">
        <f>I134</f>
        <v>105801488.27</v>
      </c>
      <c r="J133" s="11">
        <f>J134</f>
        <v>60064443.66</v>
      </c>
      <c r="K133" s="11">
        <f>K134</f>
        <v>50284443.66</v>
      </c>
      <c r="L133" s="15">
        <f>L134</f>
        <v>0</v>
      </c>
      <c r="M133" s="15"/>
      <c r="N133" s="15"/>
      <c r="O133" s="15"/>
      <c r="P133" s="11"/>
      <c r="Q133" s="15">
        <f>Q134</f>
        <v>0</v>
      </c>
      <c r="R133" s="15"/>
      <c r="S133" s="15"/>
      <c r="T133" s="15"/>
      <c r="U133" s="28"/>
      <c r="V133" s="139">
        <f>H133+L133+Q133</f>
        <v>66970193</v>
      </c>
      <c r="W133" s="139">
        <f t="shared" si="71"/>
        <v>105801488.27</v>
      </c>
      <c r="X133" s="139">
        <f t="shared" si="71"/>
        <v>60064443.66</v>
      </c>
      <c r="Y133" s="139">
        <f t="shared" si="71"/>
        <v>50284443.66</v>
      </c>
      <c r="Z133" s="584"/>
    </row>
    <row r="134" spans="1:26" ht="13.5">
      <c r="A134" s="484"/>
      <c r="B134" s="484"/>
      <c r="C134" s="539"/>
      <c r="D134" s="537"/>
      <c r="E134" s="165" t="s">
        <v>318</v>
      </c>
      <c r="F134" s="513" t="s">
        <v>889</v>
      </c>
      <c r="G134" s="494" t="s">
        <v>319</v>
      </c>
      <c r="H134" s="409">
        <v>66970193</v>
      </c>
      <c r="I134" s="409">
        <v>105801488.27</v>
      </c>
      <c r="J134" s="409">
        <v>60064443.66</v>
      </c>
      <c r="K134" s="409">
        <v>50284443.66</v>
      </c>
      <c r="L134" s="409">
        <v>0</v>
      </c>
      <c r="M134" s="409"/>
      <c r="N134" s="409"/>
      <c r="O134" s="409"/>
      <c r="P134" s="415"/>
      <c r="Q134" s="409">
        <v>0</v>
      </c>
      <c r="R134" s="409"/>
      <c r="S134" s="409"/>
      <c r="T134" s="409"/>
      <c r="U134" s="415"/>
      <c r="V134" s="412">
        <f>H134+L134+Q134</f>
        <v>66970193</v>
      </c>
      <c r="W134" s="412">
        <f t="shared" si="71"/>
        <v>105801488.27</v>
      </c>
      <c r="X134" s="412">
        <f t="shared" si="71"/>
        <v>60064443.66</v>
      </c>
      <c r="Y134" s="412">
        <f t="shared" si="71"/>
        <v>50284443.66</v>
      </c>
      <c r="Z134" s="584"/>
    </row>
    <row r="135" spans="1:26" ht="13.5">
      <c r="A135" s="484"/>
      <c r="B135" s="484"/>
      <c r="C135" s="539"/>
      <c r="D135" s="538"/>
      <c r="E135" s="165" t="s">
        <v>320</v>
      </c>
      <c r="F135" s="514"/>
      <c r="G135" s="495"/>
      <c r="H135" s="411"/>
      <c r="I135" s="411"/>
      <c r="J135" s="411"/>
      <c r="K135" s="411"/>
      <c r="L135" s="411"/>
      <c r="M135" s="411"/>
      <c r="N135" s="411"/>
      <c r="O135" s="411"/>
      <c r="P135" s="416"/>
      <c r="Q135" s="411"/>
      <c r="R135" s="411"/>
      <c r="S135" s="411"/>
      <c r="T135" s="411"/>
      <c r="U135" s="416"/>
      <c r="V135" s="414"/>
      <c r="W135" s="414"/>
      <c r="X135" s="414"/>
      <c r="Y135" s="414"/>
      <c r="Z135" s="584"/>
    </row>
    <row r="136" spans="1:26" ht="27.75" customHeight="1">
      <c r="A136" s="484"/>
      <c r="B136" s="484"/>
      <c r="C136" s="539"/>
      <c r="D136" s="162" t="s">
        <v>321</v>
      </c>
      <c r="E136" s="165"/>
      <c r="F136" s="163"/>
      <c r="G136" s="6" t="s">
        <v>322</v>
      </c>
      <c r="H136" s="11">
        <f>H137</f>
        <v>207420850</v>
      </c>
      <c r="I136" s="11">
        <f>I137</f>
        <v>281174974.87</v>
      </c>
      <c r="J136" s="11">
        <f>J137</f>
        <v>216619713.67</v>
      </c>
      <c r="K136" s="11">
        <f>K137</f>
        <v>159795738.67</v>
      </c>
      <c r="L136" s="68">
        <v>0</v>
      </c>
      <c r="M136" s="68"/>
      <c r="N136" s="68"/>
      <c r="O136" s="68"/>
      <c r="P136" s="131"/>
      <c r="Q136" s="68">
        <v>0</v>
      </c>
      <c r="R136" s="68"/>
      <c r="S136" s="68"/>
      <c r="T136" s="68"/>
      <c r="U136" s="73"/>
      <c r="V136" s="139">
        <f>H136+L136+Q136</f>
        <v>207420850</v>
      </c>
      <c r="W136" s="139">
        <f aca="true" t="shared" si="72" ref="W136:Y137">I136+M136+R136</f>
        <v>281174974.87</v>
      </c>
      <c r="X136" s="139">
        <f t="shared" si="72"/>
        <v>216619713.67</v>
      </c>
      <c r="Y136" s="139">
        <f t="shared" si="72"/>
        <v>159795738.67</v>
      </c>
      <c r="Z136" s="584"/>
    </row>
    <row r="137" spans="1:26" ht="13.5">
      <c r="A137" s="484"/>
      <c r="B137" s="484"/>
      <c r="C137" s="539"/>
      <c r="D137" s="537"/>
      <c r="E137" s="165" t="s">
        <v>323</v>
      </c>
      <c r="F137" s="513" t="s">
        <v>890</v>
      </c>
      <c r="G137" s="494" t="s">
        <v>324</v>
      </c>
      <c r="H137" s="446">
        <v>207420850</v>
      </c>
      <c r="I137" s="446">
        <v>281174974.87</v>
      </c>
      <c r="J137" s="446">
        <v>216619713.67</v>
      </c>
      <c r="K137" s="446">
        <v>159795738.67</v>
      </c>
      <c r="L137" s="409">
        <v>0</v>
      </c>
      <c r="M137" s="409"/>
      <c r="N137" s="409"/>
      <c r="O137" s="409"/>
      <c r="P137" s="446"/>
      <c r="Q137" s="409">
        <v>0</v>
      </c>
      <c r="R137" s="409"/>
      <c r="S137" s="409"/>
      <c r="T137" s="409"/>
      <c r="U137" s="446"/>
      <c r="V137" s="449">
        <f>H137+L137+Q137</f>
        <v>207420850</v>
      </c>
      <c r="W137" s="449">
        <f t="shared" si="72"/>
        <v>281174974.87</v>
      </c>
      <c r="X137" s="449">
        <f t="shared" si="72"/>
        <v>216619713.67</v>
      </c>
      <c r="Y137" s="449">
        <f t="shared" si="72"/>
        <v>159795738.67</v>
      </c>
      <c r="Z137" s="584"/>
    </row>
    <row r="138" spans="1:26" ht="13.5">
      <c r="A138" s="484"/>
      <c r="B138" s="484"/>
      <c r="C138" s="539"/>
      <c r="D138" s="539"/>
      <c r="E138" s="165" t="s">
        <v>325</v>
      </c>
      <c r="F138" s="518"/>
      <c r="G138" s="500"/>
      <c r="H138" s="447"/>
      <c r="I138" s="447"/>
      <c r="J138" s="447"/>
      <c r="K138" s="447"/>
      <c r="L138" s="410"/>
      <c r="M138" s="410"/>
      <c r="N138" s="410"/>
      <c r="O138" s="410"/>
      <c r="P138" s="447"/>
      <c r="Q138" s="410"/>
      <c r="R138" s="410"/>
      <c r="S138" s="410"/>
      <c r="T138" s="410"/>
      <c r="U138" s="447"/>
      <c r="V138" s="450"/>
      <c r="W138" s="450"/>
      <c r="X138" s="450"/>
      <c r="Y138" s="450"/>
      <c r="Z138" s="584"/>
    </row>
    <row r="139" spans="1:26" ht="13.5">
      <c r="A139" s="484"/>
      <c r="B139" s="484"/>
      <c r="C139" s="539"/>
      <c r="D139" s="539"/>
      <c r="E139" s="165" t="s">
        <v>326</v>
      </c>
      <c r="F139" s="518"/>
      <c r="G139" s="500"/>
      <c r="H139" s="447"/>
      <c r="I139" s="447"/>
      <c r="J139" s="447"/>
      <c r="K139" s="447"/>
      <c r="L139" s="410"/>
      <c r="M139" s="410"/>
      <c r="N139" s="410"/>
      <c r="O139" s="410"/>
      <c r="P139" s="447"/>
      <c r="Q139" s="410"/>
      <c r="R139" s="410"/>
      <c r="S139" s="410"/>
      <c r="T139" s="410"/>
      <c r="U139" s="447"/>
      <c r="V139" s="450"/>
      <c r="W139" s="450"/>
      <c r="X139" s="450"/>
      <c r="Y139" s="450"/>
      <c r="Z139" s="584"/>
    </row>
    <row r="140" spans="1:26" ht="13.5">
      <c r="A140" s="484"/>
      <c r="B140" s="484"/>
      <c r="C140" s="539"/>
      <c r="D140" s="538"/>
      <c r="E140" s="165" t="s">
        <v>327</v>
      </c>
      <c r="F140" s="514"/>
      <c r="G140" s="495"/>
      <c r="H140" s="448"/>
      <c r="I140" s="448"/>
      <c r="J140" s="448"/>
      <c r="K140" s="448"/>
      <c r="L140" s="411"/>
      <c r="M140" s="411"/>
      <c r="N140" s="411"/>
      <c r="O140" s="411"/>
      <c r="P140" s="448"/>
      <c r="Q140" s="411"/>
      <c r="R140" s="411"/>
      <c r="S140" s="411"/>
      <c r="T140" s="411"/>
      <c r="U140" s="448"/>
      <c r="V140" s="451"/>
      <c r="W140" s="451"/>
      <c r="X140" s="451"/>
      <c r="Y140" s="451"/>
      <c r="Z140" s="584"/>
    </row>
    <row r="141" spans="1:26" ht="41.25">
      <c r="A141" s="484"/>
      <c r="B141" s="484"/>
      <c r="C141" s="539"/>
      <c r="D141" s="162" t="s">
        <v>328</v>
      </c>
      <c r="E141" s="165"/>
      <c r="F141" s="163"/>
      <c r="G141" s="6" t="s">
        <v>329</v>
      </c>
      <c r="H141" s="15">
        <f>H142</f>
        <v>13750000</v>
      </c>
      <c r="I141" s="15">
        <f>I142</f>
        <v>65489435.73</v>
      </c>
      <c r="J141" s="15">
        <f>J142</f>
        <v>57297774.67</v>
      </c>
      <c r="K141" s="15">
        <f>K142</f>
        <v>44797774.67</v>
      </c>
      <c r="L141" s="15">
        <f>L142</f>
        <v>0</v>
      </c>
      <c r="M141" s="15"/>
      <c r="N141" s="15"/>
      <c r="O141" s="15"/>
      <c r="P141" s="11"/>
      <c r="Q141" s="15">
        <f>Q142</f>
        <v>0</v>
      </c>
      <c r="R141" s="15"/>
      <c r="S141" s="15"/>
      <c r="T141" s="15"/>
      <c r="U141" s="73"/>
      <c r="V141" s="139">
        <f>H141+L141+Q141</f>
        <v>13750000</v>
      </c>
      <c r="W141" s="139">
        <f aca="true" t="shared" si="73" ref="W141:Y142">I141+M141+R141</f>
        <v>65489435.73</v>
      </c>
      <c r="X141" s="139">
        <f t="shared" si="73"/>
        <v>57297774.67</v>
      </c>
      <c r="Y141" s="139">
        <f t="shared" si="73"/>
        <v>44797774.67</v>
      </c>
      <c r="Z141" s="584"/>
    </row>
    <row r="142" spans="1:26" ht="13.5">
      <c r="A142" s="484"/>
      <c r="B142" s="484"/>
      <c r="C142" s="539"/>
      <c r="D142" s="537"/>
      <c r="E142" s="165" t="s">
        <v>330</v>
      </c>
      <c r="F142" s="537" t="s">
        <v>891</v>
      </c>
      <c r="G142" s="494" t="s">
        <v>331</v>
      </c>
      <c r="H142" s="446">
        <v>13750000</v>
      </c>
      <c r="I142" s="446">
        <v>65489435.73</v>
      </c>
      <c r="J142" s="446">
        <v>57297774.67</v>
      </c>
      <c r="K142" s="446">
        <v>44797774.67</v>
      </c>
      <c r="L142" s="409">
        <v>0</v>
      </c>
      <c r="M142" s="409"/>
      <c r="N142" s="409"/>
      <c r="O142" s="409"/>
      <c r="P142" s="409"/>
      <c r="Q142" s="409">
        <v>0</v>
      </c>
      <c r="R142" s="409"/>
      <c r="S142" s="409"/>
      <c r="T142" s="409"/>
      <c r="U142" s="409"/>
      <c r="V142" s="412">
        <f>H142+L142+Q142</f>
        <v>13750000</v>
      </c>
      <c r="W142" s="412">
        <f t="shared" si="73"/>
        <v>65489435.73</v>
      </c>
      <c r="X142" s="412">
        <f t="shared" si="73"/>
        <v>57297774.67</v>
      </c>
      <c r="Y142" s="412">
        <f t="shared" si="73"/>
        <v>44797774.67</v>
      </c>
      <c r="Z142" s="584"/>
    </row>
    <row r="143" spans="1:26" ht="13.5">
      <c r="A143" s="530"/>
      <c r="B143" s="530"/>
      <c r="C143" s="538"/>
      <c r="D143" s="538"/>
      <c r="E143" s="165" t="s">
        <v>332</v>
      </c>
      <c r="F143" s="538"/>
      <c r="G143" s="495"/>
      <c r="H143" s="448"/>
      <c r="I143" s="448"/>
      <c r="J143" s="448"/>
      <c r="K143" s="448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414"/>
      <c r="W143" s="414"/>
      <c r="X143" s="414"/>
      <c r="Y143" s="414"/>
      <c r="Z143" s="584"/>
    </row>
    <row r="144" spans="1:26" ht="13.5">
      <c r="A144" s="28">
        <v>4</v>
      </c>
      <c r="B144" s="28"/>
      <c r="C144" s="168"/>
      <c r="D144" s="168"/>
      <c r="E144" s="168"/>
      <c r="F144" s="355"/>
      <c r="G144" s="6" t="s">
        <v>44</v>
      </c>
      <c r="H144" s="15">
        <f>H145</f>
        <v>87400000</v>
      </c>
      <c r="I144" s="15">
        <f aca="true" t="shared" si="74" ref="I144:K145">I145</f>
        <v>376795844</v>
      </c>
      <c r="J144" s="15">
        <f t="shared" si="74"/>
        <v>353855725</v>
      </c>
      <c r="K144" s="15">
        <f t="shared" si="74"/>
        <v>231810132</v>
      </c>
      <c r="L144" s="15">
        <f>L145</f>
        <v>0</v>
      </c>
      <c r="M144" s="15"/>
      <c r="N144" s="15"/>
      <c r="O144" s="15"/>
      <c r="P144" s="15"/>
      <c r="Q144" s="15">
        <f>Q145</f>
        <v>0</v>
      </c>
      <c r="R144" s="15"/>
      <c r="S144" s="15"/>
      <c r="T144" s="15"/>
      <c r="U144" s="15"/>
      <c r="V144" s="141">
        <f>H144+L144+Q144</f>
        <v>87400000</v>
      </c>
      <c r="W144" s="141">
        <f aca="true" t="shared" si="75" ref="W144:Y148">I144+M144+R144</f>
        <v>376795844</v>
      </c>
      <c r="X144" s="141">
        <f t="shared" si="75"/>
        <v>353855725</v>
      </c>
      <c r="Y144" s="141">
        <f t="shared" si="75"/>
        <v>231810132</v>
      </c>
      <c r="Z144" s="584"/>
    </row>
    <row r="145" spans="1:26" ht="13.5">
      <c r="A145" s="483"/>
      <c r="B145" s="28" t="s">
        <v>45</v>
      </c>
      <c r="C145" s="168"/>
      <c r="D145" s="168"/>
      <c r="E145" s="168"/>
      <c r="F145" s="355"/>
      <c r="G145" s="6" t="s">
        <v>46</v>
      </c>
      <c r="H145" s="15">
        <f>H146</f>
        <v>87400000</v>
      </c>
      <c r="I145" s="15">
        <f t="shared" si="74"/>
        <v>376795844</v>
      </c>
      <c r="J145" s="15">
        <f t="shared" si="74"/>
        <v>353855725</v>
      </c>
      <c r="K145" s="15">
        <f t="shared" si="74"/>
        <v>231810132</v>
      </c>
      <c r="L145" s="15">
        <f>L146</f>
        <v>0</v>
      </c>
      <c r="M145" s="15"/>
      <c r="N145" s="15"/>
      <c r="O145" s="15"/>
      <c r="P145" s="15"/>
      <c r="Q145" s="15">
        <f>Q146</f>
        <v>0</v>
      </c>
      <c r="R145" s="15"/>
      <c r="S145" s="15"/>
      <c r="T145" s="15"/>
      <c r="U145" s="15"/>
      <c r="V145" s="141">
        <f>H145+L145+Q145</f>
        <v>87400000</v>
      </c>
      <c r="W145" s="141">
        <f t="shared" si="75"/>
        <v>376795844</v>
      </c>
      <c r="X145" s="141">
        <f t="shared" si="75"/>
        <v>353855725</v>
      </c>
      <c r="Y145" s="141">
        <f t="shared" si="75"/>
        <v>231810132</v>
      </c>
      <c r="Z145" s="584"/>
    </row>
    <row r="146" spans="1:26" ht="29.25" customHeight="1">
      <c r="A146" s="484"/>
      <c r="B146" s="483"/>
      <c r="C146" s="168" t="s">
        <v>47</v>
      </c>
      <c r="D146" s="169"/>
      <c r="E146" s="169"/>
      <c r="F146" s="355"/>
      <c r="G146" s="166" t="s">
        <v>48</v>
      </c>
      <c r="H146" s="15">
        <f>H147+H151</f>
        <v>87400000</v>
      </c>
      <c r="I146" s="15">
        <f>I147+I151</f>
        <v>376795844</v>
      </c>
      <c r="J146" s="15">
        <f>J147+J151</f>
        <v>353855725</v>
      </c>
      <c r="K146" s="15">
        <f>K147+K151</f>
        <v>231810132</v>
      </c>
      <c r="L146" s="15">
        <f>L147+L151</f>
        <v>0</v>
      </c>
      <c r="M146" s="15"/>
      <c r="N146" s="15"/>
      <c r="O146" s="15"/>
      <c r="P146" s="15"/>
      <c r="Q146" s="15">
        <f>Q147+Q151</f>
        <v>0</v>
      </c>
      <c r="R146" s="15"/>
      <c r="S146" s="15"/>
      <c r="T146" s="15"/>
      <c r="U146" s="15"/>
      <c r="V146" s="139">
        <f>H146+L146+Q146</f>
        <v>87400000</v>
      </c>
      <c r="W146" s="139">
        <f t="shared" si="75"/>
        <v>376795844</v>
      </c>
      <c r="X146" s="139">
        <f t="shared" si="75"/>
        <v>353855725</v>
      </c>
      <c r="Y146" s="139">
        <f t="shared" si="75"/>
        <v>231810132</v>
      </c>
      <c r="Z146" s="584"/>
    </row>
    <row r="147" spans="1:26" ht="13.5">
      <c r="A147" s="484"/>
      <c r="B147" s="484"/>
      <c r="C147" s="400"/>
      <c r="D147" s="162" t="s">
        <v>333</v>
      </c>
      <c r="E147" s="170"/>
      <c r="F147" s="31"/>
      <c r="G147" s="6" t="s">
        <v>334</v>
      </c>
      <c r="H147" s="15">
        <f>H148</f>
        <v>43450000</v>
      </c>
      <c r="I147" s="15">
        <f>I148</f>
        <v>100800000</v>
      </c>
      <c r="J147" s="15">
        <f>J148</f>
        <v>89319999</v>
      </c>
      <c r="K147" s="15">
        <f>K148</f>
        <v>67469399</v>
      </c>
      <c r="L147" s="15">
        <f>L148</f>
        <v>0</v>
      </c>
      <c r="M147" s="15"/>
      <c r="N147" s="15"/>
      <c r="O147" s="15"/>
      <c r="P147" s="15"/>
      <c r="Q147" s="15">
        <f>Q148</f>
        <v>0</v>
      </c>
      <c r="R147" s="15"/>
      <c r="S147" s="15"/>
      <c r="T147" s="15"/>
      <c r="U147" s="15"/>
      <c r="V147" s="141">
        <f>H147+L147+Q147</f>
        <v>43450000</v>
      </c>
      <c r="W147" s="141">
        <f t="shared" si="75"/>
        <v>100800000</v>
      </c>
      <c r="X147" s="141">
        <f t="shared" si="75"/>
        <v>89319999</v>
      </c>
      <c r="Y147" s="141">
        <f t="shared" si="75"/>
        <v>67469399</v>
      </c>
      <c r="Z147" s="584"/>
    </row>
    <row r="148" spans="1:26" ht="13.5">
      <c r="A148" s="484"/>
      <c r="B148" s="484"/>
      <c r="C148" s="401"/>
      <c r="D148" s="400"/>
      <c r="E148" s="170" t="s">
        <v>335</v>
      </c>
      <c r="F148" s="497" t="s">
        <v>892</v>
      </c>
      <c r="G148" s="494" t="s">
        <v>336</v>
      </c>
      <c r="H148" s="409">
        <v>43450000</v>
      </c>
      <c r="I148" s="409">
        <v>100800000</v>
      </c>
      <c r="J148" s="409">
        <v>89319999</v>
      </c>
      <c r="K148" s="409">
        <v>67469399</v>
      </c>
      <c r="L148" s="409">
        <v>0</v>
      </c>
      <c r="M148" s="409"/>
      <c r="N148" s="409"/>
      <c r="O148" s="409"/>
      <c r="P148" s="409"/>
      <c r="Q148" s="409">
        <v>0</v>
      </c>
      <c r="R148" s="409"/>
      <c r="S148" s="409"/>
      <c r="T148" s="409"/>
      <c r="U148" s="409"/>
      <c r="V148" s="412">
        <f>H148+L148+Q148</f>
        <v>43450000</v>
      </c>
      <c r="W148" s="412">
        <f t="shared" si="75"/>
        <v>100800000</v>
      </c>
      <c r="X148" s="412">
        <f t="shared" si="75"/>
        <v>89319999</v>
      </c>
      <c r="Y148" s="412">
        <f t="shared" si="75"/>
        <v>67469399</v>
      </c>
      <c r="Z148" s="584"/>
    </row>
    <row r="149" spans="1:26" ht="13.5">
      <c r="A149" s="484"/>
      <c r="B149" s="484"/>
      <c r="C149" s="401"/>
      <c r="D149" s="401"/>
      <c r="E149" s="170" t="s">
        <v>337</v>
      </c>
      <c r="F149" s="498"/>
      <c r="G149" s="50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3"/>
      <c r="W149" s="413"/>
      <c r="X149" s="413"/>
      <c r="Y149" s="413"/>
      <c r="Z149" s="584"/>
    </row>
    <row r="150" spans="1:26" ht="13.5">
      <c r="A150" s="484"/>
      <c r="B150" s="484"/>
      <c r="C150" s="401"/>
      <c r="D150" s="402"/>
      <c r="E150" s="170" t="s">
        <v>338</v>
      </c>
      <c r="F150" s="499"/>
      <c r="G150" s="495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414"/>
      <c r="W150" s="414"/>
      <c r="X150" s="414"/>
      <c r="Y150" s="414"/>
      <c r="Z150" s="584"/>
    </row>
    <row r="151" spans="1:26" ht="13.5">
      <c r="A151" s="484"/>
      <c r="B151" s="484"/>
      <c r="C151" s="401"/>
      <c r="D151" s="162" t="s">
        <v>339</v>
      </c>
      <c r="E151" s="170"/>
      <c r="F151" s="31"/>
      <c r="G151" s="6" t="s">
        <v>340</v>
      </c>
      <c r="H151" s="15">
        <f>H152</f>
        <v>43950000</v>
      </c>
      <c r="I151" s="15">
        <f>I152</f>
        <v>275995844</v>
      </c>
      <c r="J151" s="15">
        <f>J152</f>
        <v>264535726</v>
      </c>
      <c r="K151" s="15">
        <f>K152</f>
        <v>164340733</v>
      </c>
      <c r="L151" s="15">
        <f>L152</f>
        <v>0</v>
      </c>
      <c r="M151" s="15"/>
      <c r="N151" s="15"/>
      <c r="O151" s="15"/>
      <c r="P151" s="15"/>
      <c r="Q151" s="15">
        <f>Q152</f>
        <v>0</v>
      </c>
      <c r="R151" s="15"/>
      <c r="S151" s="15"/>
      <c r="T151" s="15"/>
      <c r="U151" s="15"/>
      <c r="V151" s="141">
        <f>H151+L151+Q151</f>
        <v>43950000</v>
      </c>
      <c r="W151" s="141">
        <f aca="true" t="shared" si="76" ref="W151:Y152">I151+M151+R151</f>
        <v>275995844</v>
      </c>
      <c r="X151" s="141">
        <f t="shared" si="76"/>
        <v>264535726</v>
      </c>
      <c r="Y151" s="141">
        <f t="shared" si="76"/>
        <v>164340733</v>
      </c>
      <c r="Z151" s="584"/>
    </row>
    <row r="152" spans="1:26" ht="13.5">
      <c r="A152" s="484"/>
      <c r="B152" s="484"/>
      <c r="C152" s="401"/>
      <c r="D152" s="400"/>
      <c r="E152" s="170" t="s">
        <v>341</v>
      </c>
      <c r="F152" s="497" t="s">
        <v>893</v>
      </c>
      <c r="G152" s="494" t="s">
        <v>342</v>
      </c>
      <c r="H152" s="409">
        <v>43950000</v>
      </c>
      <c r="I152" s="409">
        <v>275995844</v>
      </c>
      <c r="J152" s="409">
        <v>264535726</v>
      </c>
      <c r="K152" s="409">
        <v>164340733</v>
      </c>
      <c r="L152" s="409">
        <v>0</v>
      </c>
      <c r="M152" s="409"/>
      <c r="N152" s="409"/>
      <c r="O152" s="409"/>
      <c r="P152" s="409"/>
      <c r="Q152" s="409">
        <v>0</v>
      </c>
      <c r="R152" s="409"/>
      <c r="S152" s="409"/>
      <c r="T152" s="409"/>
      <c r="U152" s="409"/>
      <c r="V152" s="412">
        <f>H152+L152+Q152</f>
        <v>43950000</v>
      </c>
      <c r="W152" s="412">
        <f t="shared" si="76"/>
        <v>275995844</v>
      </c>
      <c r="X152" s="412">
        <f t="shared" si="76"/>
        <v>264535726</v>
      </c>
      <c r="Y152" s="412">
        <f t="shared" si="76"/>
        <v>164340733</v>
      </c>
      <c r="Z152" s="584"/>
    </row>
    <row r="153" spans="1:26" ht="13.5">
      <c r="A153" s="484"/>
      <c r="B153" s="484"/>
      <c r="C153" s="401"/>
      <c r="D153" s="401"/>
      <c r="E153" s="170" t="s">
        <v>343</v>
      </c>
      <c r="F153" s="498"/>
      <c r="G153" s="500"/>
      <c r="H153" s="410"/>
      <c r="I153" s="410"/>
      <c r="J153" s="410"/>
      <c r="K153" s="410"/>
      <c r="L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3"/>
      <c r="W153" s="413"/>
      <c r="X153" s="413"/>
      <c r="Y153" s="413"/>
      <c r="Z153" s="584"/>
    </row>
    <row r="154" spans="1:26" ht="13.5">
      <c r="A154" s="484"/>
      <c r="B154" s="484"/>
      <c r="C154" s="401"/>
      <c r="D154" s="401"/>
      <c r="E154" s="170" t="s">
        <v>344</v>
      </c>
      <c r="F154" s="498"/>
      <c r="G154" s="50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3"/>
      <c r="W154" s="413"/>
      <c r="X154" s="413"/>
      <c r="Y154" s="413"/>
      <c r="Z154" s="584"/>
    </row>
    <row r="155" spans="1:26" ht="13.5">
      <c r="A155" s="530"/>
      <c r="B155" s="530"/>
      <c r="C155" s="402"/>
      <c r="D155" s="402"/>
      <c r="E155" s="170" t="s">
        <v>345</v>
      </c>
      <c r="F155" s="499"/>
      <c r="G155" s="495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414"/>
      <c r="W155" s="414"/>
      <c r="X155" s="414"/>
      <c r="Y155" s="414"/>
      <c r="Z155" s="584"/>
    </row>
    <row r="156" spans="1:26" ht="13.5">
      <c r="A156" s="28">
        <v>5</v>
      </c>
      <c r="B156" s="28"/>
      <c r="C156" s="168"/>
      <c r="D156" s="168"/>
      <c r="E156" s="168"/>
      <c r="F156" s="355"/>
      <c r="G156" s="6" t="s">
        <v>49</v>
      </c>
      <c r="H156" s="15">
        <f>H157</f>
        <v>63250000</v>
      </c>
      <c r="I156" s="15">
        <f aca="true" t="shared" si="77" ref="I156:K159">I157</f>
        <v>457500000</v>
      </c>
      <c r="J156" s="15">
        <f t="shared" si="77"/>
        <v>427254892</v>
      </c>
      <c r="K156" s="15">
        <f t="shared" si="77"/>
        <v>358674892</v>
      </c>
      <c r="L156" s="15">
        <f>L157</f>
        <v>0</v>
      </c>
      <c r="M156" s="15"/>
      <c r="N156" s="15"/>
      <c r="O156" s="15"/>
      <c r="P156" s="15"/>
      <c r="Q156" s="15">
        <f>Q157</f>
        <v>0</v>
      </c>
      <c r="R156" s="15"/>
      <c r="S156" s="15"/>
      <c r="T156" s="15"/>
      <c r="U156" s="15"/>
      <c r="V156" s="141">
        <f>H156+L156+Q156</f>
        <v>63250000</v>
      </c>
      <c r="W156" s="141">
        <f aca="true" t="shared" si="78" ref="W156:Y160">I156+M156+R156</f>
        <v>457500000</v>
      </c>
      <c r="X156" s="141">
        <f t="shared" si="78"/>
        <v>427254892</v>
      </c>
      <c r="Y156" s="141">
        <f t="shared" si="78"/>
        <v>358674892</v>
      </c>
      <c r="Z156" s="584"/>
    </row>
    <row r="157" spans="1:26" ht="13.5">
      <c r="A157" s="483"/>
      <c r="B157" s="28" t="s">
        <v>50</v>
      </c>
      <c r="C157" s="168"/>
      <c r="D157" s="168"/>
      <c r="E157" s="168"/>
      <c r="F157" s="355"/>
      <c r="G157" s="6" t="s">
        <v>51</v>
      </c>
      <c r="H157" s="15">
        <f>H158</f>
        <v>63250000</v>
      </c>
      <c r="I157" s="15">
        <f t="shared" si="77"/>
        <v>457500000</v>
      </c>
      <c r="J157" s="15">
        <f t="shared" si="77"/>
        <v>427254892</v>
      </c>
      <c r="K157" s="15">
        <f t="shared" si="77"/>
        <v>358674892</v>
      </c>
      <c r="L157" s="15">
        <f>L158</f>
        <v>0</v>
      </c>
      <c r="M157" s="15"/>
      <c r="N157" s="15"/>
      <c r="O157" s="15"/>
      <c r="P157" s="15"/>
      <c r="Q157" s="15">
        <f>Q158</f>
        <v>0</v>
      </c>
      <c r="R157" s="15"/>
      <c r="S157" s="15"/>
      <c r="T157" s="15"/>
      <c r="U157" s="15"/>
      <c r="V157" s="141">
        <f>H157+L157+Q157</f>
        <v>63250000</v>
      </c>
      <c r="W157" s="141">
        <f t="shared" si="78"/>
        <v>457500000</v>
      </c>
      <c r="X157" s="141">
        <f t="shared" si="78"/>
        <v>427254892</v>
      </c>
      <c r="Y157" s="141">
        <f t="shared" si="78"/>
        <v>358674892</v>
      </c>
      <c r="Z157" s="584"/>
    </row>
    <row r="158" spans="1:26" ht="13.5">
      <c r="A158" s="484"/>
      <c r="B158" s="483"/>
      <c r="C158" s="168" t="s">
        <v>52</v>
      </c>
      <c r="D158" s="169"/>
      <c r="E158" s="169"/>
      <c r="F158" s="355"/>
      <c r="G158" s="166" t="s">
        <v>53</v>
      </c>
      <c r="H158" s="15">
        <f>H159</f>
        <v>63250000</v>
      </c>
      <c r="I158" s="15">
        <f t="shared" si="77"/>
        <v>457500000</v>
      </c>
      <c r="J158" s="15">
        <f t="shared" si="77"/>
        <v>427254892</v>
      </c>
      <c r="K158" s="15">
        <f t="shared" si="77"/>
        <v>358674892</v>
      </c>
      <c r="L158" s="15">
        <f>L159</f>
        <v>0</v>
      </c>
      <c r="M158" s="15"/>
      <c r="N158" s="15"/>
      <c r="O158" s="15"/>
      <c r="P158" s="15"/>
      <c r="Q158" s="15">
        <f>Q159</f>
        <v>0</v>
      </c>
      <c r="R158" s="15"/>
      <c r="S158" s="15"/>
      <c r="T158" s="15"/>
      <c r="U158" s="15"/>
      <c r="V158" s="141">
        <f>H158+L158+Q158</f>
        <v>63250000</v>
      </c>
      <c r="W158" s="141">
        <f t="shared" si="78"/>
        <v>457500000</v>
      </c>
      <c r="X158" s="141">
        <f t="shared" si="78"/>
        <v>427254892</v>
      </c>
      <c r="Y158" s="141">
        <f t="shared" si="78"/>
        <v>358674892</v>
      </c>
      <c r="Z158" s="584"/>
    </row>
    <row r="159" spans="1:26" ht="27">
      <c r="A159" s="484"/>
      <c r="B159" s="484"/>
      <c r="C159" s="400"/>
      <c r="D159" s="168" t="s">
        <v>346</v>
      </c>
      <c r="E159" s="170"/>
      <c r="F159" s="31"/>
      <c r="G159" s="6" t="s">
        <v>347</v>
      </c>
      <c r="H159" s="15">
        <f>H160</f>
        <v>63250000</v>
      </c>
      <c r="I159" s="15">
        <f t="shared" si="77"/>
        <v>457500000</v>
      </c>
      <c r="J159" s="15">
        <f t="shared" si="77"/>
        <v>427254892</v>
      </c>
      <c r="K159" s="15">
        <f t="shared" si="77"/>
        <v>358674892</v>
      </c>
      <c r="L159" s="15">
        <f>L160</f>
        <v>0</v>
      </c>
      <c r="M159" s="15"/>
      <c r="N159" s="15"/>
      <c r="O159" s="15"/>
      <c r="P159" s="15"/>
      <c r="Q159" s="15">
        <f>Q160</f>
        <v>0</v>
      </c>
      <c r="R159" s="15"/>
      <c r="S159" s="15"/>
      <c r="T159" s="15"/>
      <c r="U159" s="15"/>
      <c r="V159" s="139">
        <f>H159+L159+Q159</f>
        <v>63250000</v>
      </c>
      <c r="W159" s="139">
        <f t="shared" si="78"/>
        <v>457500000</v>
      </c>
      <c r="X159" s="139">
        <f t="shared" si="78"/>
        <v>427254892</v>
      </c>
      <c r="Y159" s="139">
        <f t="shared" si="78"/>
        <v>358674892</v>
      </c>
      <c r="Z159" s="584"/>
    </row>
    <row r="160" spans="1:26" ht="15.75" customHeight="1">
      <c r="A160" s="484"/>
      <c r="B160" s="484"/>
      <c r="C160" s="401"/>
      <c r="D160" s="400"/>
      <c r="E160" s="170" t="s">
        <v>348</v>
      </c>
      <c r="F160" s="513" t="s">
        <v>894</v>
      </c>
      <c r="G160" s="494" t="s">
        <v>349</v>
      </c>
      <c r="H160" s="409">
        <v>63250000</v>
      </c>
      <c r="I160" s="409">
        <v>457500000</v>
      </c>
      <c r="J160" s="409">
        <v>427254892</v>
      </c>
      <c r="K160" s="409">
        <v>358674892</v>
      </c>
      <c r="L160" s="409">
        <v>0</v>
      </c>
      <c r="M160" s="409"/>
      <c r="N160" s="409"/>
      <c r="O160" s="409"/>
      <c r="P160" s="409"/>
      <c r="Q160" s="409">
        <v>0</v>
      </c>
      <c r="R160" s="409"/>
      <c r="S160" s="409"/>
      <c r="T160" s="409"/>
      <c r="U160" s="409"/>
      <c r="V160" s="412">
        <f>H160+L160+Q160</f>
        <v>63250000</v>
      </c>
      <c r="W160" s="412">
        <f t="shared" si="78"/>
        <v>457500000</v>
      </c>
      <c r="X160" s="412">
        <f t="shared" si="78"/>
        <v>427254892</v>
      </c>
      <c r="Y160" s="412">
        <f t="shared" si="78"/>
        <v>358674892</v>
      </c>
      <c r="Z160" s="584"/>
    </row>
    <row r="161" spans="1:26" ht="15.75" customHeight="1">
      <c r="A161" s="484"/>
      <c r="B161" s="484"/>
      <c r="C161" s="401"/>
      <c r="D161" s="401"/>
      <c r="E161" s="170" t="s">
        <v>350</v>
      </c>
      <c r="F161" s="518"/>
      <c r="G161" s="500"/>
      <c r="H161" s="410"/>
      <c r="I161" s="410"/>
      <c r="J161" s="410"/>
      <c r="K161" s="410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3"/>
      <c r="W161" s="413"/>
      <c r="X161" s="413"/>
      <c r="Y161" s="413"/>
      <c r="Z161" s="584"/>
    </row>
    <row r="162" spans="1:26" ht="15.75" customHeight="1">
      <c r="A162" s="484"/>
      <c r="B162" s="484"/>
      <c r="C162" s="401"/>
      <c r="D162" s="401"/>
      <c r="E162" s="170" t="s">
        <v>351</v>
      </c>
      <c r="F162" s="518"/>
      <c r="G162" s="500"/>
      <c r="H162" s="410"/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3"/>
      <c r="W162" s="413"/>
      <c r="X162" s="413"/>
      <c r="Y162" s="413"/>
      <c r="Z162" s="584"/>
    </row>
    <row r="163" spans="1:26" ht="15.75" customHeight="1" thickBot="1">
      <c r="A163" s="484"/>
      <c r="B163" s="484"/>
      <c r="C163" s="401"/>
      <c r="D163" s="401"/>
      <c r="E163" s="243" t="s">
        <v>352</v>
      </c>
      <c r="F163" s="518"/>
      <c r="G163" s="500"/>
      <c r="H163" s="410"/>
      <c r="I163" s="410"/>
      <c r="J163" s="410"/>
      <c r="K163" s="410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3"/>
      <c r="W163" s="413"/>
      <c r="X163" s="413"/>
      <c r="Y163" s="413"/>
      <c r="Z163" s="585"/>
    </row>
    <row r="164" spans="1:26" ht="13.5" customHeight="1" thickBot="1">
      <c r="A164" s="396" t="s">
        <v>158</v>
      </c>
      <c r="B164" s="396"/>
      <c r="C164" s="396"/>
      <c r="D164" s="396"/>
      <c r="E164" s="396"/>
      <c r="F164" s="396"/>
      <c r="G164" s="396"/>
      <c r="H164" s="299">
        <f aca="true" t="shared" si="79" ref="H164:O164">H165</f>
        <v>2580397000</v>
      </c>
      <c r="I164" s="299">
        <f t="shared" si="79"/>
        <v>4549353112</v>
      </c>
      <c r="J164" s="299">
        <f t="shared" si="79"/>
        <v>4513568734</v>
      </c>
      <c r="K164" s="299">
        <f t="shared" si="79"/>
        <v>3651523508.3399997</v>
      </c>
      <c r="L164" s="299">
        <f t="shared" si="79"/>
        <v>2836000000</v>
      </c>
      <c r="M164" s="299">
        <f t="shared" si="79"/>
        <v>3198914338.84</v>
      </c>
      <c r="N164" s="299">
        <f t="shared" si="79"/>
        <v>2292098708.27</v>
      </c>
      <c r="O164" s="299">
        <f t="shared" si="79"/>
        <v>1618296095.77</v>
      </c>
      <c r="P164" s="282"/>
      <c r="Q164" s="266">
        <v>0</v>
      </c>
      <c r="R164" s="266"/>
      <c r="S164" s="266"/>
      <c r="T164" s="266"/>
      <c r="U164" s="269"/>
      <c r="V164" s="298">
        <f>H164+L164+Q164</f>
        <v>5416397000</v>
      </c>
      <c r="W164" s="298">
        <f>I164+M164+R164</f>
        <v>7748267450.84</v>
      </c>
      <c r="X164" s="298">
        <f>J164+N164+S164</f>
        <v>6805667442.27</v>
      </c>
      <c r="Y164" s="298">
        <f>K164+O164+T164</f>
        <v>5269819604.11</v>
      </c>
      <c r="Z164" s="583">
        <v>25</v>
      </c>
    </row>
    <row r="165" spans="1:26" ht="13.5">
      <c r="A165" s="242">
        <v>1</v>
      </c>
      <c r="B165" s="242"/>
      <c r="C165" s="245"/>
      <c r="D165" s="245"/>
      <c r="E165" s="245"/>
      <c r="F165" s="351"/>
      <c r="G165" s="40" t="s">
        <v>1</v>
      </c>
      <c r="H165" s="94">
        <f aca="true" t="shared" si="80" ref="H165:O165">H166+H170+H182+H204+H251</f>
        <v>2580397000</v>
      </c>
      <c r="I165" s="94">
        <f t="shared" si="80"/>
        <v>4549353112</v>
      </c>
      <c r="J165" s="94">
        <f t="shared" si="80"/>
        <v>4513568734</v>
      </c>
      <c r="K165" s="94">
        <f t="shared" si="80"/>
        <v>3651523508.3399997</v>
      </c>
      <c r="L165" s="94">
        <f t="shared" si="80"/>
        <v>2836000000</v>
      </c>
      <c r="M165" s="94">
        <f t="shared" si="80"/>
        <v>3198914338.84</v>
      </c>
      <c r="N165" s="94">
        <f t="shared" si="80"/>
        <v>2292098708.27</v>
      </c>
      <c r="O165" s="94">
        <f t="shared" si="80"/>
        <v>1618296095.77</v>
      </c>
      <c r="P165" s="94"/>
      <c r="Q165" s="237">
        <f>Q166+Q170+Q182+Q204+Q251</f>
        <v>0</v>
      </c>
      <c r="R165" s="237">
        <f>R166+R170+R182+R204+R251</f>
        <v>0</v>
      </c>
      <c r="S165" s="237">
        <f>S166+S170+S182+S204+S251</f>
        <v>0</v>
      </c>
      <c r="T165" s="237">
        <f>T166+T170+T182+T204+T251</f>
        <v>0</v>
      </c>
      <c r="U165" s="263"/>
      <c r="V165" s="138">
        <f>H165+L165+Q165</f>
        <v>5416397000</v>
      </c>
      <c r="W165" s="138">
        <f aca="true" t="shared" si="81" ref="W165:Y175">I165+M165+R165</f>
        <v>7748267450.84</v>
      </c>
      <c r="X165" s="138">
        <f t="shared" si="81"/>
        <v>6805667442.27</v>
      </c>
      <c r="Y165" s="138">
        <f t="shared" si="81"/>
        <v>5269819604.11</v>
      </c>
      <c r="Z165" s="584"/>
    </row>
    <row r="166" spans="1:26" ht="13.5">
      <c r="A166" s="483"/>
      <c r="B166" s="168" t="s">
        <v>55</v>
      </c>
      <c r="C166" s="168"/>
      <c r="D166" s="168"/>
      <c r="E166" s="168"/>
      <c r="F166" s="355"/>
      <c r="G166" s="6" t="s">
        <v>56</v>
      </c>
      <c r="H166" s="4">
        <f>H167</f>
        <v>36850000</v>
      </c>
      <c r="I166" s="4">
        <f aca="true" t="shared" si="82" ref="I166:K168">I167</f>
        <v>109623330</v>
      </c>
      <c r="J166" s="4">
        <f t="shared" si="82"/>
        <v>109623330</v>
      </c>
      <c r="K166" s="4">
        <f t="shared" si="82"/>
        <v>71673330</v>
      </c>
      <c r="L166" s="68">
        <f aca="true" t="shared" si="83" ref="L166:L174">L167</f>
        <v>0</v>
      </c>
      <c r="M166" s="68">
        <f aca="true" t="shared" si="84" ref="M166:O168">M167</f>
        <v>0</v>
      </c>
      <c r="N166" s="68">
        <f t="shared" si="84"/>
        <v>0</v>
      </c>
      <c r="O166" s="68">
        <f t="shared" si="84"/>
        <v>0</v>
      </c>
      <c r="P166" s="4"/>
      <c r="Q166" s="68">
        <f>Q167</f>
        <v>0</v>
      </c>
      <c r="R166" s="68">
        <f aca="true" t="shared" si="85" ref="R166:T168">R167</f>
        <v>0</v>
      </c>
      <c r="S166" s="68">
        <f t="shared" si="85"/>
        <v>0</v>
      </c>
      <c r="T166" s="68">
        <f t="shared" si="85"/>
        <v>0</v>
      </c>
      <c r="U166" s="73"/>
      <c r="V166" s="139">
        <f aca="true" t="shared" si="86" ref="V166:V174">H166+L166+Q166</f>
        <v>36850000</v>
      </c>
      <c r="W166" s="139">
        <f t="shared" si="81"/>
        <v>109623330</v>
      </c>
      <c r="X166" s="139">
        <f t="shared" si="81"/>
        <v>109623330</v>
      </c>
      <c r="Y166" s="139">
        <f t="shared" si="81"/>
        <v>71673330</v>
      </c>
      <c r="Z166" s="584"/>
    </row>
    <row r="167" spans="1:26" ht="13.5">
      <c r="A167" s="484"/>
      <c r="B167" s="483"/>
      <c r="C167" s="168" t="s">
        <v>57</v>
      </c>
      <c r="D167" s="169"/>
      <c r="E167" s="169"/>
      <c r="F167" s="355"/>
      <c r="G167" s="6" t="s">
        <v>159</v>
      </c>
      <c r="H167" s="4">
        <f>H168</f>
        <v>36850000</v>
      </c>
      <c r="I167" s="4">
        <f t="shared" si="82"/>
        <v>109623330</v>
      </c>
      <c r="J167" s="4">
        <f t="shared" si="82"/>
        <v>109623330</v>
      </c>
      <c r="K167" s="4">
        <f t="shared" si="82"/>
        <v>71673330</v>
      </c>
      <c r="L167" s="68">
        <f t="shared" si="83"/>
        <v>0</v>
      </c>
      <c r="M167" s="68">
        <f t="shared" si="84"/>
        <v>0</v>
      </c>
      <c r="N167" s="68">
        <f t="shared" si="84"/>
        <v>0</v>
      </c>
      <c r="O167" s="68">
        <f t="shared" si="84"/>
        <v>0</v>
      </c>
      <c r="P167" s="4"/>
      <c r="Q167" s="68">
        <f>Q168</f>
        <v>0</v>
      </c>
      <c r="R167" s="68">
        <f t="shared" si="85"/>
        <v>0</v>
      </c>
      <c r="S167" s="68">
        <f t="shared" si="85"/>
        <v>0</v>
      </c>
      <c r="T167" s="68">
        <f t="shared" si="85"/>
        <v>0</v>
      </c>
      <c r="U167" s="73"/>
      <c r="V167" s="139">
        <f t="shared" si="86"/>
        <v>36850000</v>
      </c>
      <c r="W167" s="139">
        <f t="shared" si="81"/>
        <v>109623330</v>
      </c>
      <c r="X167" s="139">
        <f t="shared" si="81"/>
        <v>109623330</v>
      </c>
      <c r="Y167" s="139">
        <f t="shared" si="81"/>
        <v>71673330</v>
      </c>
      <c r="Z167" s="584"/>
    </row>
    <row r="168" spans="1:26" ht="13.5">
      <c r="A168" s="484"/>
      <c r="B168" s="484"/>
      <c r="C168" s="521"/>
      <c r="D168" s="171" t="s">
        <v>353</v>
      </c>
      <c r="E168" s="170"/>
      <c r="F168" s="31"/>
      <c r="G168" s="6" t="s">
        <v>354</v>
      </c>
      <c r="H168" s="4">
        <f>H169</f>
        <v>36850000</v>
      </c>
      <c r="I168" s="4">
        <f t="shared" si="82"/>
        <v>109623330</v>
      </c>
      <c r="J168" s="4">
        <f t="shared" si="82"/>
        <v>109623330</v>
      </c>
      <c r="K168" s="4">
        <f t="shared" si="82"/>
        <v>71673330</v>
      </c>
      <c r="L168" s="68">
        <f t="shared" si="83"/>
        <v>0</v>
      </c>
      <c r="M168" s="68">
        <f t="shared" si="84"/>
        <v>0</v>
      </c>
      <c r="N168" s="68">
        <f t="shared" si="84"/>
        <v>0</v>
      </c>
      <c r="O168" s="68">
        <f t="shared" si="84"/>
        <v>0</v>
      </c>
      <c r="P168" s="4"/>
      <c r="Q168" s="68">
        <f>Q169</f>
        <v>0</v>
      </c>
      <c r="R168" s="68">
        <f t="shared" si="85"/>
        <v>0</v>
      </c>
      <c r="S168" s="68">
        <f t="shared" si="85"/>
        <v>0</v>
      </c>
      <c r="T168" s="68">
        <f t="shared" si="85"/>
        <v>0</v>
      </c>
      <c r="U168" s="73"/>
      <c r="V168" s="139">
        <f t="shared" si="86"/>
        <v>36850000</v>
      </c>
      <c r="W168" s="139">
        <f t="shared" si="81"/>
        <v>109623330</v>
      </c>
      <c r="X168" s="139">
        <f t="shared" si="81"/>
        <v>109623330</v>
      </c>
      <c r="Y168" s="139">
        <f t="shared" si="81"/>
        <v>71673330</v>
      </c>
      <c r="Z168" s="584"/>
    </row>
    <row r="169" spans="1:26" ht="41.25">
      <c r="A169" s="484"/>
      <c r="B169" s="530"/>
      <c r="C169" s="523"/>
      <c r="D169" s="172"/>
      <c r="E169" s="170" t="s">
        <v>355</v>
      </c>
      <c r="F169" s="27" t="s">
        <v>895</v>
      </c>
      <c r="G169" s="69" t="s">
        <v>356</v>
      </c>
      <c r="H169" s="131">
        <v>36850000</v>
      </c>
      <c r="I169" s="131">
        <v>109623330</v>
      </c>
      <c r="J169" s="131">
        <v>109623330</v>
      </c>
      <c r="K169" s="131">
        <v>71673330</v>
      </c>
      <c r="L169" s="68">
        <f t="shared" si="83"/>
        <v>0</v>
      </c>
      <c r="M169" s="68"/>
      <c r="N169" s="68"/>
      <c r="O169" s="68"/>
      <c r="P169" s="131"/>
      <c r="Q169" s="68">
        <v>0</v>
      </c>
      <c r="R169" s="68"/>
      <c r="S169" s="68"/>
      <c r="T169" s="68"/>
      <c r="U169" s="73"/>
      <c r="V169" s="140">
        <f t="shared" si="86"/>
        <v>36850000</v>
      </c>
      <c r="W169" s="140">
        <f t="shared" si="81"/>
        <v>109623330</v>
      </c>
      <c r="X169" s="140">
        <f t="shared" si="81"/>
        <v>109623330</v>
      </c>
      <c r="Y169" s="140">
        <f t="shared" si="81"/>
        <v>71673330</v>
      </c>
      <c r="Z169" s="584"/>
    </row>
    <row r="170" spans="1:26" ht="13.5">
      <c r="A170" s="484"/>
      <c r="B170" s="27" t="s">
        <v>59</v>
      </c>
      <c r="C170" s="27"/>
      <c r="D170" s="27"/>
      <c r="E170" s="27"/>
      <c r="F170" s="27"/>
      <c r="G170" s="6" t="s">
        <v>60</v>
      </c>
      <c r="H170" s="16">
        <f>H171</f>
        <v>332550000</v>
      </c>
      <c r="I170" s="16">
        <f>I171</f>
        <v>272899996</v>
      </c>
      <c r="J170" s="16">
        <f>J171</f>
        <v>259069996</v>
      </c>
      <c r="K170" s="16">
        <f>K171</f>
        <v>196383330</v>
      </c>
      <c r="L170" s="68">
        <f t="shared" si="83"/>
        <v>0</v>
      </c>
      <c r="M170" s="68"/>
      <c r="N170" s="68"/>
      <c r="O170" s="68"/>
      <c r="P170" s="16"/>
      <c r="Q170" s="68">
        <f>Q171</f>
        <v>0</v>
      </c>
      <c r="R170" s="68"/>
      <c r="S170" s="68"/>
      <c r="T170" s="68"/>
      <c r="U170" s="73"/>
      <c r="V170" s="139">
        <f t="shared" si="86"/>
        <v>332550000</v>
      </c>
      <c r="W170" s="139">
        <f t="shared" si="81"/>
        <v>272899996</v>
      </c>
      <c r="X170" s="139">
        <f t="shared" si="81"/>
        <v>259069996</v>
      </c>
      <c r="Y170" s="139">
        <f t="shared" si="81"/>
        <v>196383330</v>
      </c>
      <c r="Z170" s="584"/>
    </row>
    <row r="171" spans="1:26" ht="13.5">
      <c r="A171" s="484"/>
      <c r="B171" s="483"/>
      <c r="C171" s="168" t="s">
        <v>61</v>
      </c>
      <c r="D171" s="169"/>
      <c r="E171" s="169"/>
      <c r="F171" s="355"/>
      <c r="G171" s="6" t="s">
        <v>62</v>
      </c>
      <c r="H171" s="16">
        <f>H172+H174+H177+H180</f>
        <v>332550000</v>
      </c>
      <c r="I171" s="16">
        <f>I172+I174+I177+I180</f>
        <v>272899996</v>
      </c>
      <c r="J171" s="16">
        <f>J172+J174+J177+J180</f>
        <v>259069996</v>
      </c>
      <c r="K171" s="16">
        <f>K172+K174+K177+K180</f>
        <v>196383330</v>
      </c>
      <c r="L171" s="68">
        <f t="shared" si="83"/>
        <v>0</v>
      </c>
      <c r="M171" s="68"/>
      <c r="N171" s="68"/>
      <c r="O171" s="68"/>
      <c r="P171" s="16"/>
      <c r="Q171" s="68">
        <f>Q172</f>
        <v>0</v>
      </c>
      <c r="R171" s="68"/>
      <c r="S171" s="68"/>
      <c r="T171" s="68"/>
      <c r="U171" s="73"/>
      <c r="V171" s="139">
        <f t="shared" si="86"/>
        <v>332550000</v>
      </c>
      <c r="W171" s="139">
        <f t="shared" si="81"/>
        <v>272899996</v>
      </c>
      <c r="X171" s="139">
        <f t="shared" si="81"/>
        <v>259069996</v>
      </c>
      <c r="Y171" s="139">
        <f t="shared" si="81"/>
        <v>196383330</v>
      </c>
      <c r="Z171" s="584"/>
    </row>
    <row r="172" spans="1:26" ht="13.5">
      <c r="A172" s="484"/>
      <c r="B172" s="484"/>
      <c r="C172" s="400"/>
      <c r="D172" s="171" t="s">
        <v>357</v>
      </c>
      <c r="E172" s="37"/>
      <c r="F172" s="31"/>
      <c r="G172" s="6" t="s">
        <v>358</v>
      </c>
      <c r="H172" s="16">
        <f>H173</f>
        <v>13750000</v>
      </c>
      <c r="I172" s="16">
        <f>I173</f>
        <v>38883333</v>
      </c>
      <c r="J172" s="16">
        <f>J173</f>
        <v>36983333</v>
      </c>
      <c r="K172" s="16">
        <f>K173</f>
        <v>36350000</v>
      </c>
      <c r="L172" s="68">
        <f t="shared" si="83"/>
        <v>0</v>
      </c>
      <c r="M172" s="68"/>
      <c r="N172" s="68"/>
      <c r="O172" s="68"/>
      <c r="P172" s="16"/>
      <c r="Q172" s="68">
        <f>Q173</f>
        <v>0</v>
      </c>
      <c r="R172" s="68"/>
      <c r="S172" s="68"/>
      <c r="T172" s="68"/>
      <c r="U172" s="73"/>
      <c r="V172" s="139">
        <f t="shared" si="86"/>
        <v>13750000</v>
      </c>
      <c r="W172" s="139">
        <f t="shared" si="81"/>
        <v>38883333</v>
      </c>
      <c r="X172" s="139">
        <f t="shared" si="81"/>
        <v>36983333</v>
      </c>
      <c r="Y172" s="139">
        <f t="shared" si="81"/>
        <v>36350000</v>
      </c>
      <c r="Z172" s="584"/>
    </row>
    <row r="173" spans="1:26" ht="27">
      <c r="A173" s="484"/>
      <c r="B173" s="484"/>
      <c r="C173" s="401"/>
      <c r="D173" s="38"/>
      <c r="E173" s="170" t="s">
        <v>359</v>
      </c>
      <c r="F173" s="27" t="s">
        <v>896</v>
      </c>
      <c r="G173" s="69" t="s">
        <v>360</v>
      </c>
      <c r="H173" s="71">
        <v>13750000</v>
      </c>
      <c r="I173" s="71">
        <v>38883333</v>
      </c>
      <c r="J173" s="71">
        <v>36983333</v>
      </c>
      <c r="K173" s="71">
        <v>36350000</v>
      </c>
      <c r="L173" s="68">
        <f t="shared" si="83"/>
        <v>0</v>
      </c>
      <c r="M173" s="68"/>
      <c r="N173" s="68"/>
      <c r="O173" s="68"/>
      <c r="P173" s="131"/>
      <c r="Q173" s="68">
        <v>0</v>
      </c>
      <c r="R173" s="68"/>
      <c r="S173" s="68"/>
      <c r="T173" s="68"/>
      <c r="U173" s="73"/>
      <c r="V173" s="140">
        <f t="shared" si="86"/>
        <v>13750000</v>
      </c>
      <c r="W173" s="140">
        <f t="shared" si="81"/>
        <v>38883333</v>
      </c>
      <c r="X173" s="140">
        <f t="shared" si="81"/>
        <v>36983333</v>
      </c>
      <c r="Y173" s="140">
        <f t="shared" si="81"/>
        <v>36350000</v>
      </c>
      <c r="Z173" s="584"/>
    </row>
    <row r="174" spans="1:26" ht="13.5">
      <c r="A174" s="484"/>
      <c r="B174" s="484"/>
      <c r="C174" s="401"/>
      <c r="D174" s="171" t="s">
        <v>361</v>
      </c>
      <c r="E174" s="170"/>
      <c r="F174" s="27"/>
      <c r="G174" s="6" t="s">
        <v>362</v>
      </c>
      <c r="H174" s="16">
        <f>H175</f>
        <v>137400000</v>
      </c>
      <c r="I174" s="16">
        <f>I175</f>
        <v>108519998</v>
      </c>
      <c r="J174" s="16">
        <f>J175</f>
        <v>96589998</v>
      </c>
      <c r="K174" s="16">
        <f>K175</f>
        <v>66959998</v>
      </c>
      <c r="L174" s="68">
        <f t="shared" si="83"/>
        <v>0</v>
      </c>
      <c r="M174" s="68">
        <f>M175</f>
        <v>0</v>
      </c>
      <c r="N174" s="68">
        <f>N175</f>
        <v>0</v>
      </c>
      <c r="O174" s="68">
        <f>O175</f>
        <v>0</v>
      </c>
      <c r="P174" s="16"/>
      <c r="Q174" s="68">
        <f>Q175</f>
        <v>0</v>
      </c>
      <c r="R174" s="68"/>
      <c r="S174" s="68"/>
      <c r="T174" s="68"/>
      <c r="U174" s="73"/>
      <c r="V174" s="139">
        <f t="shared" si="86"/>
        <v>137400000</v>
      </c>
      <c r="W174" s="139">
        <f t="shared" si="81"/>
        <v>108519998</v>
      </c>
      <c r="X174" s="139">
        <f t="shared" si="81"/>
        <v>96589998</v>
      </c>
      <c r="Y174" s="139">
        <f t="shared" si="81"/>
        <v>66959998</v>
      </c>
      <c r="Z174" s="584"/>
    </row>
    <row r="175" spans="1:26" ht="19.5" customHeight="1">
      <c r="A175" s="484"/>
      <c r="B175" s="484"/>
      <c r="C175" s="401"/>
      <c r="D175" s="531"/>
      <c r="E175" s="170" t="s">
        <v>363</v>
      </c>
      <c r="F175" s="497" t="s">
        <v>897</v>
      </c>
      <c r="G175" s="494" t="s">
        <v>364</v>
      </c>
      <c r="H175" s="397">
        <v>137400000</v>
      </c>
      <c r="I175" s="397">
        <v>108519998</v>
      </c>
      <c r="J175" s="397">
        <v>96589998</v>
      </c>
      <c r="K175" s="397">
        <v>66959998</v>
      </c>
      <c r="L175" s="415">
        <v>0</v>
      </c>
      <c r="M175" s="415"/>
      <c r="N175" s="415"/>
      <c r="O175" s="415"/>
      <c r="P175" s="415"/>
      <c r="Q175" s="415">
        <v>0</v>
      </c>
      <c r="R175" s="415"/>
      <c r="S175" s="415"/>
      <c r="T175" s="415"/>
      <c r="U175" s="397"/>
      <c r="V175" s="422">
        <f>H175+L175+Q175</f>
        <v>137400000</v>
      </c>
      <c r="W175" s="422">
        <f t="shared" si="81"/>
        <v>108519998</v>
      </c>
      <c r="X175" s="422">
        <f t="shared" si="81"/>
        <v>96589998</v>
      </c>
      <c r="Y175" s="422">
        <f t="shared" si="81"/>
        <v>66959998</v>
      </c>
      <c r="Z175" s="584"/>
    </row>
    <row r="176" spans="1:26" ht="20.25" customHeight="1">
      <c r="A176" s="484"/>
      <c r="B176" s="484"/>
      <c r="C176" s="401"/>
      <c r="D176" s="533"/>
      <c r="E176" s="170" t="s">
        <v>365</v>
      </c>
      <c r="F176" s="499"/>
      <c r="G176" s="495"/>
      <c r="H176" s="399"/>
      <c r="I176" s="399"/>
      <c r="J176" s="399"/>
      <c r="K176" s="399"/>
      <c r="L176" s="416"/>
      <c r="M176" s="416"/>
      <c r="N176" s="416"/>
      <c r="O176" s="416"/>
      <c r="P176" s="416"/>
      <c r="Q176" s="416"/>
      <c r="R176" s="416"/>
      <c r="S176" s="416"/>
      <c r="T176" s="416"/>
      <c r="U176" s="399"/>
      <c r="V176" s="424"/>
      <c r="W176" s="424"/>
      <c r="X176" s="424"/>
      <c r="Y176" s="424"/>
      <c r="Z176" s="584"/>
    </row>
    <row r="177" spans="1:26" ht="27" customHeight="1">
      <c r="A177" s="484"/>
      <c r="B177" s="484"/>
      <c r="C177" s="401"/>
      <c r="D177" s="171" t="s">
        <v>366</v>
      </c>
      <c r="E177" s="170"/>
      <c r="F177" s="364"/>
      <c r="G177" s="6" t="s">
        <v>367</v>
      </c>
      <c r="H177" s="16">
        <f aca="true" t="shared" si="87" ref="H177:O177">H178</f>
        <v>137400000</v>
      </c>
      <c r="I177" s="16">
        <f t="shared" si="87"/>
        <v>69659999</v>
      </c>
      <c r="J177" s="16">
        <f t="shared" si="87"/>
        <v>69659999</v>
      </c>
      <c r="K177" s="16">
        <f t="shared" si="87"/>
        <v>47826666</v>
      </c>
      <c r="L177" s="15">
        <f t="shared" si="87"/>
        <v>0</v>
      </c>
      <c r="M177" s="15">
        <f t="shared" si="87"/>
        <v>0</v>
      </c>
      <c r="N177" s="15">
        <f t="shared" si="87"/>
        <v>0</v>
      </c>
      <c r="O177" s="15">
        <f t="shared" si="87"/>
        <v>0</v>
      </c>
      <c r="P177" s="16"/>
      <c r="Q177" s="15">
        <f>Q178</f>
        <v>0</v>
      </c>
      <c r="R177" s="15"/>
      <c r="S177" s="15"/>
      <c r="T177" s="15"/>
      <c r="U177" s="73"/>
      <c r="V177" s="139">
        <f>H177+L177+Q177</f>
        <v>137400000</v>
      </c>
      <c r="W177" s="139">
        <f aca="true" t="shared" si="88" ref="W177:Y178">I177+M177+R177</f>
        <v>69659999</v>
      </c>
      <c r="X177" s="139">
        <f t="shared" si="88"/>
        <v>69659999</v>
      </c>
      <c r="Y177" s="139">
        <f t="shared" si="88"/>
        <v>47826666</v>
      </c>
      <c r="Z177" s="584"/>
    </row>
    <row r="178" spans="1:26" ht="20.25" customHeight="1">
      <c r="A178" s="484"/>
      <c r="B178" s="484"/>
      <c r="C178" s="401"/>
      <c r="D178" s="531"/>
      <c r="E178" s="170" t="s">
        <v>368</v>
      </c>
      <c r="F178" s="497" t="s">
        <v>898</v>
      </c>
      <c r="G178" s="494" t="s">
        <v>369</v>
      </c>
      <c r="H178" s="397">
        <v>137400000</v>
      </c>
      <c r="I178" s="397">
        <v>69659999</v>
      </c>
      <c r="J178" s="397">
        <v>69659999</v>
      </c>
      <c r="K178" s="397">
        <v>47826666</v>
      </c>
      <c r="L178" s="415">
        <v>0</v>
      </c>
      <c r="M178" s="415"/>
      <c r="N178" s="415"/>
      <c r="O178" s="415"/>
      <c r="P178" s="415"/>
      <c r="Q178" s="415">
        <v>0</v>
      </c>
      <c r="R178" s="415"/>
      <c r="S178" s="415"/>
      <c r="T178" s="415"/>
      <c r="U178" s="397"/>
      <c r="V178" s="422">
        <f>H178+L178+Q178</f>
        <v>137400000</v>
      </c>
      <c r="W178" s="422">
        <f t="shared" si="88"/>
        <v>69659999</v>
      </c>
      <c r="X178" s="422">
        <f t="shared" si="88"/>
        <v>69659999</v>
      </c>
      <c r="Y178" s="422">
        <f t="shared" si="88"/>
        <v>47826666</v>
      </c>
      <c r="Z178" s="584"/>
    </row>
    <row r="179" spans="1:26" ht="15.75" customHeight="1">
      <c r="A179" s="484"/>
      <c r="B179" s="484"/>
      <c r="C179" s="401"/>
      <c r="D179" s="533"/>
      <c r="E179" s="170" t="s">
        <v>370</v>
      </c>
      <c r="F179" s="499"/>
      <c r="G179" s="495"/>
      <c r="H179" s="399"/>
      <c r="I179" s="399"/>
      <c r="J179" s="399"/>
      <c r="K179" s="399"/>
      <c r="L179" s="416"/>
      <c r="M179" s="416"/>
      <c r="N179" s="416"/>
      <c r="O179" s="416"/>
      <c r="P179" s="416"/>
      <c r="Q179" s="416"/>
      <c r="R179" s="416"/>
      <c r="S179" s="416"/>
      <c r="T179" s="416"/>
      <c r="U179" s="399"/>
      <c r="V179" s="424"/>
      <c r="W179" s="424"/>
      <c r="X179" s="424"/>
      <c r="Y179" s="424"/>
      <c r="Z179" s="584"/>
    </row>
    <row r="180" spans="1:26" ht="13.5">
      <c r="A180" s="484"/>
      <c r="B180" s="484"/>
      <c r="C180" s="401"/>
      <c r="D180" s="171" t="s">
        <v>371</v>
      </c>
      <c r="E180" s="170"/>
      <c r="F180" s="364"/>
      <c r="G180" s="6" t="s">
        <v>372</v>
      </c>
      <c r="H180" s="16">
        <f aca="true" t="shared" si="89" ref="H180:O180">H181</f>
        <v>44000000</v>
      </c>
      <c r="I180" s="16">
        <f t="shared" si="89"/>
        <v>55836666</v>
      </c>
      <c r="J180" s="16">
        <f t="shared" si="89"/>
        <v>55836666</v>
      </c>
      <c r="K180" s="16">
        <f t="shared" si="89"/>
        <v>45246666</v>
      </c>
      <c r="L180" s="15">
        <f t="shared" si="89"/>
        <v>0</v>
      </c>
      <c r="M180" s="15">
        <f t="shared" si="89"/>
        <v>0</v>
      </c>
      <c r="N180" s="15">
        <f t="shared" si="89"/>
        <v>0</v>
      </c>
      <c r="O180" s="15">
        <f t="shared" si="89"/>
        <v>0</v>
      </c>
      <c r="P180" s="16"/>
      <c r="Q180" s="15">
        <f>Q181</f>
        <v>0</v>
      </c>
      <c r="R180" s="15"/>
      <c r="S180" s="15"/>
      <c r="T180" s="15"/>
      <c r="U180" s="73"/>
      <c r="V180" s="139">
        <f aca="true" t="shared" si="90" ref="V180:V192">H180+L180+Q180</f>
        <v>44000000</v>
      </c>
      <c r="W180" s="139">
        <f aca="true" t="shared" si="91" ref="W180:W192">I180+M180+R180</f>
        <v>55836666</v>
      </c>
      <c r="X180" s="139">
        <f aca="true" t="shared" si="92" ref="X180:X192">J180+N180+S180</f>
        <v>55836666</v>
      </c>
      <c r="Y180" s="139">
        <f aca="true" t="shared" si="93" ref="Y180:Y192">K180+O180+T180</f>
        <v>45246666</v>
      </c>
      <c r="Z180" s="584"/>
    </row>
    <row r="181" spans="1:26" ht="28.5" customHeight="1">
      <c r="A181" s="484"/>
      <c r="B181" s="484"/>
      <c r="C181" s="401"/>
      <c r="D181" s="173"/>
      <c r="E181" s="170" t="s">
        <v>373</v>
      </c>
      <c r="F181" s="363" t="s">
        <v>899</v>
      </c>
      <c r="G181" s="116" t="s">
        <v>374</v>
      </c>
      <c r="H181" s="121">
        <v>44000000</v>
      </c>
      <c r="I181" s="121">
        <v>55836666</v>
      </c>
      <c r="J181" s="121">
        <v>55836666</v>
      </c>
      <c r="K181" s="121">
        <v>45246666</v>
      </c>
      <c r="L181" s="125">
        <v>0</v>
      </c>
      <c r="M181" s="125"/>
      <c r="N181" s="125"/>
      <c r="O181" s="125"/>
      <c r="P181" s="121"/>
      <c r="Q181" s="125">
        <v>0</v>
      </c>
      <c r="R181" s="125"/>
      <c r="S181" s="125"/>
      <c r="T181" s="125"/>
      <c r="U181" s="121"/>
      <c r="V181" s="142">
        <f t="shared" si="90"/>
        <v>44000000</v>
      </c>
      <c r="W181" s="142">
        <f t="shared" si="91"/>
        <v>55836666</v>
      </c>
      <c r="X181" s="142">
        <f t="shared" si="92"/>
        <v>55836666</v>
      </c>
      <c r="Y181" s="195">
        <f t="shared" si="93"/>
        <v>45246666</v>
      </c>
      <c r="Z181" s="584"/>
    </row>
    <row r="182" spans="1:26" ht="25.5" customHeight="1">
      <c r="A182" s="484"/>
      <c r="B182" s="27" t="s">
        <v>63</v>
      </c>
      <c r="C182" s="36"/>
      <c r="D182" s="2"/>
      <c r="E182" s="48"/>
      <c r="F182" s="365"/>
      <c r="G182" s="6" t="s">
        <v>64</v>
      </c>
      <c r="H182" s="16">
        <f>H183+H188+H196</f>
        <v>401500000</v>
      </c>
      <c r="I182" s="16">
        <f>I183+I188+I196</f>
        <v>622586861</v>
      </c>
      <c r="J182" s="16">
        <f>J183+J188+J196</f>
        <v>615960498</v>
      </c>
      <c r="K182" s="16">
        <f>K183+K188+K196</f>
        <v>522125584</v>
      </c>
      <c r="L182" s="15">
        <f>L183</f>
        <v>0</v>
      </c>
      <c r="M182" s="15">
        <f>M183</f>
        <v>46090000</v>
      </c>
      <c r="N182" s="15">
        <f>N183</f>
        <v>46090000</v>
      </c>
      <c r="O182" s="15">
        <f>O183</f>
        <v>46090000</v>
      </c>
      <c r="P182" s="16"/>
      <c r="Q182" s="15">
        <f>Q183</f>
        <v>0</v>
      </c>
      <c r="R182" s="15"/>
      <c r="S182" s="15"/>
      <c r="T182" s="15"/>
      <c r="U182" s="73"/>
      <c r="V182" s="139">
        <f t="shared" si="90"/>
        <v>401500000</v>
      </c>
      <c r="W182" s="139">
        <f t="shared" si="91"/>
        <v>668676861</v>
      </c>
      <c r="X182" s="139">
        <f t="shared" si="92"/>
        <v>662050498</v>
      </c>
      <c r="Y182" s="139">
        <f t="shared" si="93"/>
        <v>568215584</v>
      </c>
      <c r="Z182" s="584"/>
    </row>
    <row r="183" spans="1:26" ht="15.75" customHeight="1">
      <c r="A183" s="484"/>
      <c r="B183" s="483"/>
      <c r="C183" s="168" t="s">
        <v>65</v>
      </c>
      <c r="D183" s="169"/>
      <c r="E183" s="169"/>
      <c r="F183" s="355"/>
      <c r="G183" s="6" t="s">
        <v>66</v>
      </c>
      <c r="H183" s="16">
        <f aca="true" t="shared" si="94" ref="H183:O183">H184+H186</f>
        <v>98890000</v>
      </c>
      <c r="I183" s="16">
        <f t="shared" si="94"/>
        <v>142878000</v>
      </c>
      <c r="J183" s="16">
        <f t="shared" si="94"/>
        <v>142878000</v>
      </c>
      <c r="K183" s="16">
        <f t="shared" si="94"/>
        <v>120817750</v>
      </c>
      <c r="L183" s="15">
        <f t="shared" si="94"/>
        <v>0</v>
      </c>
      <c r="M183" s="15">
        <f t="shared" si="94"/>
        <v>46090000</v>
      </c>
      <c r="N183" s="15">
        <f t="shared" si="94"/>
        <v>46090000</v>
      </c>
      <c r="O183" s="15">
        <f t="shared" si="94"/>
        <v>46090000</v>
      </c>
      <c r="P183" s="15"/>
      <c r="Q183" s="15">
        <f>Q184+Q186</f>
        <v>0</v>
      </c>
      <c r="R183" s="15"/>
      <c r="S183" s="15"/>
      <c r="T183" s="15"/>
      <c r="U183" s="28"/>
      <c r="V183" s="139">
        <f t="shared" si="90"/>
        <v>98890000</v>
      </c>
      <c r="W183" s="139">
        <f t="shared" si="91"/>
        <v>188968000</v>
      </c>
      <c r="X183" s="139">
        <f t="shared" si="92"/>
        <v>188968000</v>
      </c>
      <c r="Y183" s="139">
        <f t="shared" si="93"/>
        <v>166907750</v>
      </c>
      <c r="Z183" s="584"/>
    </row>
    <row r="184" spans="1:26" ht="13.5">
      <c r="A184" s="484"/>
      <c r="B184" s="484"/>
      <c r="C184" s="400"/>
      <c r="D184" s="171" t="s">
        <v>375</v>
      </c>
      <c r="E184" s="122"/>
      <c r="F184" s="366"/>
      <c r="G184" s="6" t="s">
        <v>376</v>
      </c>
      <c r="H184" s="16">
        <f aca="true" t="shared" si="95" ref="H184:O184">H185</f>
        <v>19778000</v>
      </c>
      <c r="I184" s="16">
        <f t="shared" si="95"/>
        <v>54778000</v>
      </c>
      <c r="J184" s="16">
        <f t="shared" si="95"/>
        <v>54778000</v>
      </c>
      <c r="K184" s="16">
        <f t="shared" si="95"/>
        <v>35717750</v>
      </c>
      <c r="L184" s="15">
        <f t="shared" si="95"/>
        <v>0</v>
      </c>
      <c r="M184" s="15">
        <f t="shared" si="95"/>
        <v>0</v>
      </c>
      <c r="N184" s="15">
        <f t="shared" si="95"/>
        <v>0</v>
      </c>
      <c r="O184" s="15">
        <f t="shared" si="95"/>
        <v>0</v>
      </c>
      <c r="P184" s="15"/>
      <c r="Q184" s="15">
        <f>Q185</f>
        <v>0</v>
      </c>
      <c r="R184" s="15"/>
      <c r="S184" s="15"/>
      <c r="T184" s="15"/>
      <c r="U184" s="28"/>
      <c r="V184" s="139">
        <f t="shared" si="90"/>
        <v>19778000</v>
      </c>
      <c r="W184" s="139">
        <f t="shared" si="91"/>
        <v>54778000</v>
      </c>
      <c r="X184" s="139">
        <f t="shared" si="92"/>
        <v>54778000</v>
      </c>
      <c r="Y184" s="139">
        <f t="shared" si="93"/>
        <v>35717750</v>
      </c>
      <c r="Z184" s="584"/>
    </row>
    <row r="185" spans="1:26" ht="41.25">
      <c r="A185" s="484"/>
      <c r="B185" s="484"/>
      <c r="C185" s="401"/>
      <c r="D185" s="38"/>
      <c r="E185" s="170" t="s">
        <v>377</v>
      </c>
      <c r="F185" s="31" t="s">
        <v>900</v>
      </c>
      <c r="G185" s="69" t="s">
        <v>378</v>
      </c>
      <c r="H185" s="71">
        <v>19778000</v>
      </c>
      <c r="I185" s="71">
        <v>54778000</v>
      </c>
      <c r="J185" s="71">
        <v>54778000</v>
      </c>
      <c r="K185" s="71">
        <v>35717750</v>
      </c>
      <c r="L185" s="68">
        <v>0</v>
      </c>
      <c r="M185" s="68"/>
      <c r="N185" s="68"/>
      <c r="O185" s="68"/>
      <c r="P185" s="131"/>
      <c r="Q185" s="68">
        <v>0</v>
      </c>
      <c r="R185" s="68"/>
      <c r="S185" s="68"/>
      <c r="T185" s="68"/>
      <c r="U185" s="73"/>
      <c r="V185" s="140">
        <f t="shared" si="90"/>
        <v>19778000</v>
      </c>
      <c r="W185" s="140">
        <f t="shared" si="91"/>
        <v>54778000</v>
      </c>
      <c r="X185" s="140">
        <f t="shared" si="92"/>
        <v>54778000</v>
      </c>
      <c r="Y185" s="140">
        <f t="shared" si="93"/>
        <v>35717750</v>
      </c>
      <c r="Z185" s="584"/>
    </row>
    <row r="186" spans="1:26" ht="13.5">
      <c r="A186" s="484"/>
      <c r="B186" s="484"/>
      <c r="C186" s="401"/>
      <c r="D186" s="171" t="s">
        <v>379</v>
      </c>
      <c r="E186" s="170"/>
      <c r="F186" s="367"/>
      <c r="G186" s="33" t="s">
        <v>380</v>
      </c>
      <c r="H186" s="16">
        <f aca="true" t="shared" si="96" ref="H186:O186">H187</f>
        <v>79112000</v>
      </c>
      <c r="I186" s="16">
        <f t="shared" si="96"/>
        <v>88100000</v>
      </c>
      <c r="J186" s="16">
        <f t="shared" si="96"/>
        <v>88100000</v>
      </c>
      <c r="K186" s="16">
        <f t="shared" si="96"/>
        <v>85100000</v>
      </c>
      <c r="L186" s="15">
        <f t="shared" si="96"/>
        <v>0</v>
      </c>
      <c r="M186" s="15">
        <f t="shared" si="96"/>
        <v>46090000</v>
      </c>
      <c r="N186" s="15">
        <f t="shared" si="96"/>
        <v>46090000</v>
      </c>
      <c r="O186" s="15">
        <f t="shared" si="96"/>
        <v>46090000</v>
      </c>
      <c r="P186" s="15"/>
      <c r="Q186" s="15">
        <f>Q187</f>
        <v>0</v>
      </c>
      <c r="R186" s="15"/>
      <c r="S186" s="15"/>
      <c r="T186" s="15"/>
      <c r="U186" s="28"/>
      <c r="V186" s="139">
        <f t="shared" si="90"/>
        <v>79112000</v>
      </c>
      <c r="W186" s="139">
        <f t="shared" si="91"/>
        <v>134190000</v>
      </c>
      <c r="X186" s="139">
        <f t="shared" si="92"/>
        <v>134190000</v>
      </c>
      <c r="Y186" s="139">
        <f t="shared" si="93"/>
        <v>131190000</v>
      </c>
      <c r="Z186" s="584"/>
    </row>
    <row r="187" spans="1:26" ht="27.75" customHeight="1">
      <c r="A187" s="484"/>
      <c r="B187" s="484"/>
      <c r="C187" s="402"/>
      <c r="D187" s="172"/>
      <c r="E187" s="170" t="s">
        <v>382</v>
      </c>
      <c r="F187" s="27" t="s">
        <v>901</v>
      </c>
      <c r="G187" s="69" t="s">
        <v>381</v>
      </c>
      <c r="H187" s="77">
        <v>79112000</v>
      </c>
      <c r="I187" s="77">
        <v>88100000</v>
      </c>
      <c r="J187" s="77">
        <v>88100000</v>
      </c>
      <c r="K187" s="77">
        <v>85100000</v>
      </c>
      <c r="L187" s="15">
        <v>0</v>
      </c>
      <c r="M187" s="118">
        <v>46090000</v>
      </c>
      <c r="N187" s="118">
        <v>46090000</v>
      </c>
      <c r="O187" s="118">
        <v>46090000</v>
      </c>
      <c r="P187" s="192" t="s">
        <v>1065</v>
      </c>
      <c r="Q187" s="15">
        <v>0</v>
      </c>
      <c r="R187" s="125"/>
      <c r="S187" s="125"/>
      <c r="T187" s="125"/>
      <c r="U187" s="66"/>
      <c r="V187" s="143">
        <f t="shared" si="90"/>
        <v>79112000</v>
      </c>
      <c r="W187" s="143">
        <f t="shared" si="91"/>
        <v>134190000</v>
      </c>
      <c r="X187" s="143">
        <f t="shared" si="92"/>
        <v>134190000</v>
      </c>
      <c r="Y187" s="143">
        <f t="shared" si="93"/>
        <v>131190000</v>
      </c>
      <c r="Z187" s="584"/>
    </row>
    <row r="188" spans="1:26" ht="30" customHeight="1">
      <c r="A188" s="484"/>
      <c r="B188" s="484"/>
      <c r="C188" s="168" t="s">
        <v>67</v>
      </c>
      <c r="D188" s="169"/>
      <c r="E188" s="169"/>
      <c r="F188" s="355"/>
      <c r="G188" s="6" t="s">
        <v>68</v>
      </c>
      <c r="H188" s="16">
        <f aca="true" t="shared" si="97" ref="H188:O188">H189+H191</f>
        <v>92510000</v>
      </c>
      <c r="I188" s="16">
        <f t="shared" si="97"/>
        <v>122510000</v>
      </c>
      <c r="J188" s="16">
        <f t="shared" si="97"/>
        <v>115943640</v>
      </c>
      <c r="K188" s="16">
        <f t="shared" si="97"/>
        <v>105943640</v>
      </c>
      <c r="L188" s="15">
        <f t="shared" si="97"/>
        <v>0</v>
      </c>
      <c r="M188" s="15">
        <f t="shared" si="97"/>
        <v>0</v>
      </c>
      <c r="N188" s="15">
        <f t="shared" si="97"/>
        <v>0</v>
      </c>
      <c r="O188" s="15">
        <f t="shared" si="97"/>
        <v>0</v>
      </c>
      <c r="P188" s="16"/>
      <c r="Q188" s="15">
        <f>Q189+Q191</f>
        <v>0</v>
      </c>
      <c r="R188" s="15"/>
      <c r="S188" s="15"/>
      <c r="T188" s="15"/>
      <c r="U188" s="28"/>
      <c r="V188" s="139">
        <f t="shared" si="90"/>
        <v>92510000</v>
      </c>
      <c r="W188" s="139">
        <f t="shared" si="91"/>
        <v>122510000</v>
      </c>
      <c r="X188" s="139">
        <f t="shared" si="92"/>
        <v>115943640</v>
      </c>
      <c r="Y188" s="139">
        <f t="shared" si="93"/>
        <v>105943640</v>
      </c>
      <c r="Z188" s="584"/>
    </row>
    <row r="189" spans="1:26" ht="30" customHeight="1">
      <c r="A189" s="484"/>
      <c r="B189" s="484"/>
      <c r="C189" s="400"/>
      <c r="D189" s="171" t="s">
        <v>383</v>
      </c>
      <c r="E189" s="170"/>
      <c r="F189" s="31"/>
      <c r="G189" s="6" t="s">
        <v>384</v>
      </c>
      <c r="H189" s="16">
        <f aca="true" t="shared" si="98" ref="H189:O189">H190</f>
        <v>20000000</v>
      </c>
      <c r="I189" s="16">
        <f t="shared" si="98"/>
        <v>50000000</v>
      </c>
      <c r="J189" s="16">
        <f t="shared" si="98"/>
        <v>50000000</v>
      </c>
      <c r="K189" s="16">
        <f t="shared" si="98"/>
        <v>40000000</v>
      </c>
      <c r="L189" s="15">
        <f t="shared" si="98"/>
        <v>0</v>
      </c>
      <c r="M189" s="15">
        <f t="shared" si="98"/>
        <v>0</v>
      </c>
      <c r="N189" s="15">
        <f t="shared" si="98"/>
        <v>0</v>
      </c>
      <c r="O189" s="15">
        <f t="shared" si="98"/>
        <v>0</v>
      </c>
      <c r="P189" s="15"/>
      <c r="Q189" s="15">
        <f>Q190</f>
        <v>0</v>
      </c>
      <c r="R189" s="15"/>
      <c r="S189" s="15"/>
      <c r="T189" s="15"/>
      <c r="U189" s="28"/>
      <c r="V189" s="139">
        <f t="shared" si="90"/>
        <v>20000000</v>
      </c>
      <c r="W189" s="139">
        <f t="shared" si="91"/>
        <v>50000000</v>
      </c>
      <c r="X189" s="139">
        <f t="shared" si="92"/>
        <v>50000000</v>
      </c>
      <c r="Y189" s="139">
        <f t="shared" si="93"/>
        <v>40000000</v>
      </c>
      <c r="Z189" s="584"/>
    </row>
    <row r="190" spans="1:26" ht="46.5" customHeight="1">
      <c r="A190" s="484"/>
      <c r="B190" s="484"/>
      <c r="C190" s="401"/>
      <c r="D190" s="172"/>
      <c r="E190" s="170" t="s">
        <v>386</v>
      </c>
      <c r="F190" s="368" t="s">
        <v>902</v>
      </c>
      <c r="G190" s="69" t="s">
        <v>385</v>
      </c>
      <c r="H190" s="77">
        <v>20000000</v>
      </c>
      <c r="I190" s="77">
        <v>50000000</v>
      </c>
      <c r="J190" s="77">
        <v>50000000</v>
      </c>
      <c r="K190" s="77">
        <v>40000000</v>
      </c>
      <c r="L190" s="66">
        <v>0</v>
      </c>
      <c r="M190" s="66"/>
      <c r="N190" s="66"/>
      <c r="O190" s="66"/>
      <c r="P190" s="66"/>
      <c r="Q190" s="66">
        <v>0</v>
      </c>
      <c r="R190" s="66"/>
      <c r="S190" s="66"/>
      <c r="T190" s="66"/>
      <c r="U190" s="66"/>
      <c r="V190" s="143">
        <f t="shared" si="90"/>
        <v>20000000</v>
      </c>
      <c r="W190" s="143">
        <f t="shared" si="91"/>
        <v>50000000</v>
      </c>
      <c r="X190" s="143">
        <f t="shared" si="92"/>
        <v>50000000</v>
      </c>
      <c r="Y190" s="143">
        <f t="shared" si="93"/>
        <v>40000000</v>
      </c>
      <c r="Z190" s="584"/>
    </row>
    <row r="191" spans="1:26" ht="13.5">
      <c r="A191" s="484"/>
      <c r="B191" s="484"/>
      <c r="C191" s="401"/>
      <c r="D191" s="171" t="s">
        <v>387</v>
      </c>
      <c r="E191" s="168"/>
      <c r="F191" s="351"/>
      <c r="G191" s="174" t="s">
        <v>388</v>
      </c>
      <c r="H191" s="16">
        <f aca="true" t="shared" si="99" ref="H191:O191">H192</f>
        <v>72510000</v>
      </c>
      <c r="I191" s="16">
        <f t="shared" si="99"/>
        <v>72510000</v>
      </c>
      <c r="J191" s="16">
        <f t="shared" si="99"/>
        <v>65943640</v>
      </c>
      <c r="K191" s="16">
        <f t="shared" si="99"/>
        <v>65943640</v>
      </c>
      <c r="L191" s="15">
        <f t="shared" si="99"/>
        <v>0</v>
      </c>
      <c r="M191" s="15">
        <f t="shared" si="99"/>
        <v>0</v>
      </c>
      <c r="N191" s="15">
        <f t="shared" si="99"/>
        <v>0</v>
      </c>
      <c r="O191" s="15">
        <f t="shared" si="99"/>
        <v>0</v>
      </c>
      <c r="P191" s="15"/>
      <c r="Q191" s="15">
        <f>Q192</f>
        <v>0</v>
      </c>
      <c r="R191" s="15"/>
      <c r="S191" s="15"/>
      <c r="T191" s="15"/>
      <c r="U191" s="28"/>
      <c r="V191" s="139">
        <f t="shared" si="90"/>
        <v>72510000</v>
      </c>
      <c r="W191" s="139">
        <f t="shared" si="91"/>
        <v>72510000</v>
      </c>
      <c r="X191" s="139">
        <f t="shared" si="92"/>
        <v>65943640</v>
      </c>
      <c r="Y191" s="139">
        <f t="shared" si="93"/>
        <v>65943640</v>
      </c>
      <c r="Z191" s="584"/>
    </row>
    <row r="192" spans="1:26" ht="13.5">
      <c r="A192" s="484"/>
      <c r="B192" s="484"/>
      <c r="C192" s="401"/>
      <c r="D192" s="531"/>
      <c r="E192" s="170" t="s">
        <v>389</v>
      </c>
      <c r="F192" s="497" t="s">
        <v>903</v>
      </c>
      <c r="G192" s="494" t="s">
        <v>390</v>
      </c>
      <c r="H192" s="397">
        <v>72510000</v>
      </c>
      <c r="I192" s="397">
        <v>72510000</v>
      </c>
      <c r="J192" s="397">
        <v>65943640</v>
      </c>
      <c r="K192" s="397">
        <v>65943640</v>
      </c>
      <c r="L192" s="409">
        <v>0</v>
      </c>
      <c r="M192" s="409"/>
      <c r="N192" s="409"/>
      <c r="O192" s="409"/>
      <c r="P192" s="409"/>
      <c r="Q192" s="409">
        <v>0</v>
      </c>
      <c r="R192" s="409"/>
      <c r="S192" s="409"/>
      <c r="T192" s="409"/>
      <c r="U192" s="397"/>
      <c r="V192" s="422">
        <f t="shared" si="90"/>
        <v>72510000</v>
      </c>
      <c r="W192" s="422">
        <f t="shared" si="91"/>
        <v>72510000</v>
      </c>
      <c r="X192" s="422">
        <f t="shared" si="92"/>
        <v>65943640</v>
      </c>
      <c r="Y192" s="422">
        <f t="shared" si="93"/>
        <v>65943640</v>
      </c>
      <c r="Z192" s="584"/>
    </row>
    <row r="193" spans="1:26" ht="13.5">
      <c r="A193" s="484"/>
      <c r="B193" s="484"/>
      <c r="C193" s="401"/>
      <c r="D193" s="532"/>
      <c r="E193" s="170" t="s">
        <v>391</v>
      </c>
      <c r="F193" s="498"/>
      <c r="G193" s="500"/>
      <c r="H193" s="398"/>
      <c r="I193" s="398"/>
      <c r="J193" s="398"/>
      <c r="K193" s="398"/>
      <c r="L193" s="410"/>
      <c r="M193" s="410"/>
      <c r="N193" s="410"/>
      <c r="O193" s="410"/>
      <c r="P193" s="410"/>
      <c r="Q193" s="410"/>
      <c r="R193" s="410"/>
      <c r="S193" s="410"/>
      <c r="T193" s="410"/>
      <c r="U193" s="398"/>
      <c r="V193" s="423"/>
      <c r="W193" s="423"/>
      <c r="X193" s="423"/>
      <c r="Y193" s="423"/>
      <c r="Z193" s="584"/>
    </row>
    <row r="194" spans="1:26" ht="13.5">
      <c r="A194" s="484"/>
      <c r="B194" s="484"/>
      <c r="C194" s="401"/>
      <c r="D194" s="532"/>
      <c r="E194" s="170" t="s">
        <v>392</v>
      </c>
      <c r="F194" s="498"/>
      <c r="G194" s="500"/>
      <c r="H194" s="398"/>
      <c r="I194" s="398"/>
      <c r="J194" s="398"/>
      <c r="K194" s="398"/>
      <c r="L194" s="410"/>
      <c r="M194" s="410"/>
      <c r="N194" s="410"/>
      <c r="O194" s="410"/>
      <c r="P194" s="410"/>
      <c r="Q194" s="410"/>
      <c r="R194" s="410"/>
      <c r="S194" s="410"/>
      <c r="T194" s="410"/>
      <c r="U194" s="398"/>
      <c r="V194" s="423"/>
      <c r="W194" s="423"/>
      <c r="X194" s="423"/>
      <c r="Y194" s="423"/>
      <c r="Z194" s="584"/>
    </row>
    <row r="195" spans="1:26" ht="13.5">
      <c r="A195" s="484"/>
      <c r="B195" s="484"/>
      <c r="C195" s="402"/>
      <c r="D195" s="533"/>
      <c r="E195" s="170" t="s">
        <v>393</v>
      </c>
      <c r="F195" s="499"/>
      <c r="G195" s="495"/>
      <c r="H195" s="399"/>
      <c r="I195" s="399"/>
      <c r="J195" s="399"/>
      <c r="K195" s="399"/>
      <c r="L195" s="411"/>
      <c r="M195" s="411"/>
      <c r="N195" s="411"/>
      <c r="O195" s="411"/>
      <c r="P195" s="411"/>
      <c r="Q195" s="411"/>
      <c r="R195" s="411"/>
      <c r="S195" s="411"/>
      <c r="T195" s="411"/>
      <c r="U195" s="399"/>
      <c r="V195" s="424"/>
      <c r="W195" s="424"/>
      <c r="X195" s="424"/>
      <c r="Y195" s="424"/>
      <c r="Z195" s="584"/>
    </row>
    <row r="196" spans="1:26" ht="13.5">
      <c r="A196" s="484"/>
      <c r="B196" s="484"/>
      <c r="C196" s="168" t="s">
        <v>69</v>
      </c>
      <c r="D196" s="169"/>
      <c r="E196" s="169"/>
      <c r="F196" s="355"/>
      <c r="G196" s="6" t="s">
        <v>70</v>
      </c>
      <c r="H196" s="16">
        <f aca="true" t="shared" si="100" ref="H196:O196">H197+H201</f>
        <v>210100000</v>
      </c>
      <c r="I196" s="16">
        <f t="shared" si="100"/>
        <v>357198861</v>
      </c>
      <c r="J196" s="16">
        <f t="shared" si="100"/>
        <v>357138858</v>
      </c>
      <c r="K196" s="16">
        <f t="shared" si="100"/>
        <v>295364194</v>
      </c>
      <c r="L196" s="15">
        <f t="shared" si="100"/>
        <v>0</v>
      </c>
      <c r="M196" s="15">
        <f t="shared" si="100"/>
        <v>0</v>
      </c>
      <c r="N196" s="15">
        <f t="shared" si="100"/>
        <v>0</v>
      </c>
      <c r="O196" s="15">
        <f t="shared" si="100"/>
        <v>0</v>
      </c>
      <c r="P196" s="15"/>
      <c r="Q196" s="15">
        <f>Q197+Q201</f>
        <v>0</v>
      </c>
      <c r="R196" s="15"/>
      <c r="S196" s="15"/>
      <c r="T196" s="15"/>
      <c r="U196" s="28"/>
      <c r="V196" s="139">
        <f>H196+L196+Q196</f>
        <v>210100000</v>
      </c>
      <c r="W196" s="139">
        <f aca="true" t="shared" si="101" ref="W196:Y198">I196+M196+R196</f>
        <v>357198861</v>
      </c>
      <c r="X196" s="139">
        <f t="shared" si="101"/>
        <v>357138858</v>
      </c>
      <c r="Y196" s="139">
        <f t="shared" si="101"/>
        <v>295364194</v>
      </c>
      <c r="Z196" s="584"/>
    </row>
    <row r="197" spans="1:26" ht="13.5">
      <c r="A197" s="484"/>
      <c r="B197" s="484"/>
      <c r="C197" s="400"/>
      <c r="D197" s="171" t="s">
        <v>394</v>
      </c>
      <c r="E197" s="170"/>
      <c r="F197" s="31"/>
      <c r="G197" s="6" t="s">
        <v>395</v>
      </c>
      <c r="H197" s="16">
        <f aca="true" t="shared" si="102" ref="H197:O197">H198</f>
        <v>119900000</v>
      </c>
      <c r="I197" s="16">
        <f t="shared" si="102"/>
        <v>234883244</v>
      </c>
      <c r="J197" s="16">
        <f t="shared" si="102"/>
        <v>234883243</v>
      </c>
      <c r="K197" s="16">
        <f t="shared" si="102"/>
        <v>201449910</v>
      </c>
      <c r="L197" s="15">
        <f t="shared" si="102"/>
        <v>0</v>
      </c>
      <c r="M197" s="15">
        <f t="shared" si="102"/>
        <v>0</v>
      </c>
      <c r="N197" s="15">
        <f t="shared" si="102"/>
        <v>0</v>
      </c>
      <c r="O197" s="15">
        <f t="shared" si="102"/>
        <v>0</v>
      </c>
      <c r="P197" s="15"/>
      <c r="Q197" s="15">
        <f>Q198</f>
        <v>0</v>
      </c>
      <c r="R197" s="15"/>
      <c r="S197" s="15"/>
      <c r="T197" s="15"/>
      <c r="U197" s="28"/>
      <c r="V197" s="139">
        <f>H197+L197+Q197</f>
        <v>119900000</v>
      </c>
      <c r="W197" s="139">
        <f t="shared" si="101"/>
        <v>234883244</v>
      </c>
      <c r="X197" s="139">
        <f t="shared" si="101"/>
        <v>234883243</v>
      </c>
      <c r="Y197" s="139">
        <f t="shared" si="101"/>
        <v>201449910</v>
      </c>
      <c r="Z197" s="584"/>
    </row>
    <row r="198" spans="1:26" ht="13.5">
      <c r="A198" s="484"/>
      <c r="B198" s="484"/>
      <c r="C198" s="401"/>
      <c r="D198" s="531"/>
      <c r="E198" s="170" t="s">
        <v>396</v>
      </c>
      <c r="F198" s="497" t="s">
        <v>904</v>
      </c>
      <c r="G198" s="494" t="s">
        <v>397</v>
      </c>
      <c r="H198" s="397">
        <v>119900000</v>
      </c>
      <c r="I198" s="397">
        <v>234883244</v>
      </c>
      <c r="J198" s="397">
        <v>234883243</v>
      </c>
      <c r="K198" s="397">
        <v>201449910</v>
      </c>
      <c r="L198" s="409">
        <v>0</v>
      </c>
      <c r="M198" s="409"/>
      <c r="N198" s="409"/>
      <c r="O198" s="409"/>
      <c r="P198" s="409"/>
      <c r="Q198" s="409">
        <v>0</v>
      </c>
      <c r="R198" s="409"/>
      <c r="S198" s="409"/>
      <c r="T198" s="409"/>
      <c r="U198" s="397"/>
      <c r="V198" s="422">
        <f>H198+L198+Q198</f>
        <v>119900000</v>
      </c>
      <c r="W198" s="422">
        <f t="shared" si="101"/>
        <v>234883244</v>
      </c>
      <c r="X198" s="422">
        <f t="shared" si="101"/>
        <v>234883243</v>
      </c>
      <c r="Y198" s="422">
        <f t="shared" si="101"/>
        <v>201449910</v>
      </c>
      <c r="Z198" s="584"/>
    </row>
    <row r="199" spans="1:26" ht="13.5">
      <c r="A199" s="484"/>
      <c r="B199" s="484"/>
      <c r="C199" s="401"/>
      <c r="D199" s="532"/>
      <c r="E199" s="170" t="s">
        <v>398</v>
      </c>
      <c r="F199" s="498"/>
      <c r="G199" s="500"/>
      <c r="H199" s="398"/>
      <c r="I199" s="398"/>
      <c r="J199" s="398"/>
      <c r="K199" s="398"/>
      <c r="L199" s="410"/>
      <c r="M199" s="410"/>
      <c r="N199" s="410"/>
      <c r="O199" s="410"/>
      <c r="P199" s="410"/>
      <c r="Q199" s="410"/>
      <c r="R199" s="410"/>
      <c r="S199" s="410"/>
      <c r="T199" s="410"/>
      <c r="U199" s="398"/>
      <c r="V199" s="423"/>
      <c r="W199" s="423"/>
      <c r="X199" s="423"/>
      <c r="Y199" s="423"/>
      <c r="Z199" s="584"/>
    </row>
    <row r="200" spans="1:26" ht="13.5">
      <c r="A200" s="484"/>
      <c r="B200" s="484"/>
      <c r="C200" s="401"/>
      <c r="D200" s="533"/>
      <c r="E200" s="170" t="s">
        <v>399</v>
      </c>
      <c r="F200" s="499"/>
      <c r="G200" s="495"/>
      <c r="H200" s="399"/>
      <c r="I200" s="399"/>
      <c r="J200" s="399"/>
      <c r="K200" s="399"/>
      <c r="L200" s="411"/>
      <c r="M200" s="411"/>
      <c r="N200" s="411"/>
      <c r="O200" s="411"/>
      <c r="P200" s="411"/>
      <c r="Q200" s="411"/>
      <c r="R200" s="411"/>
      <c r="S200" s="411"/>
      <c r="T200" s="411"/>
      <c r="U200" s="399"/>
      <c r="V200" s="424"/>
      <c r="W200" s="424"/>
      <c r="X200" s="424"/>
      <c r="Y200" s="424"/>
      <c r="Z200" s="584"/>
    </row>
    <row r="201" spans="1:26" ht="13.5">
      <c r="A201" s="484"/>
      <c r="B201" s="484"/>
      <c r="C201" s="401"/>
      <c r="D201" s="171" t="s">
        <v>400</v>
      </c>
      <c r="E201" s="170"/>
      <c r="F201" s="31"/>
      <c r="G201" s="6" t="s">
        <v>401</v>
      </c>
      <c r="H201" s="16">
        <f aca="true" t="shared" si="103" ref="H201:O201">H202</f>
        <v>90200000</v>
      </c>
      <c r="I201" s="16">
        <f t="shared" si="103"/>
        <v>122315617</v>
      </c>
      <c r="J201" s="16">
        <f t="shared" si="103"/>
        <v>122255615</v>
      </c>
      <c r="K201" s="16">
        <f t="shared" si="103"/>
        <v>93914284</v>
      </c>
      <c r="L201" s="15">
        <f t="shared" si="103"/>
        <v>0</v>
      </c>
      <c r="M201" s="15">
        <f t="shared" si="103"/>
        <v>0</v>
      </c>
      <c r="N201" s="15">
        <f t="shared" si="103"/>
        <v>0</v>
      </c>
      <c r="O201" s="15">
        <f t="shared" si="103"/>
        <v>0</v>
      </c>
      <c r="P201" s="15"/>
      <c r="Q201" s="15">
        <f>Q202</f>
        <v>0</v>
      </c>
      <c r="R201" s="15"/>
      <c r="S201" s="15"/>
      <c r="T201" s="15"/>
      <c r="U201" s="28"/>
      <c r="V201" s="139">
        <f>H201+L201+Q201</f>
        <v>90200000</v>
      </c>
      <c r="W201" s="139">
        <f aca="true" t="shared" si="104" ref="W201:Y202">I201+M201+R201</f>
        <v>122315617</v>
      </c>
      <c r="X201" s="139">
        <f t="shared" si="104"/>
        <v>122255615</v>
      </c>
      <c r="Y201" s="139">
        <f t="shared" si="104"/>
        <v>93914284</v>
      </c>
      <c r="Z201" s="584"/>
    </row>
    <row r="202" spans="1:26" ht="18.75" customHeight="1">
      <c r="A202" s="484"/>
      <c r="B202" s="484"/>
      <c r="C202" s="401"/>
      <c r="D202" s="531"/>
      <c r="E202" s="170" t="s">
        <v>402</v>
      </c>
      <c r="F202" s="497" t="s">
        <v>905</v>
      </c>
      <c r="G202" s="494" t="s">
        <v>403</v>
      </c>
      <c r="H202" s="397">
        <v>90200000</v>
      </c>
      <c r="I202" s="397">
        <v>122315617</v>
      </c>
      <c r="J202" s="397">
        <v>122255615</v>
      </c>
      <c r="K202" s="397">
        <v>93914284</v>
      </c>
      <c r="L202" s="409">
        <v>0</v>
      </c>
      <c r="M202" s="409"/>
      <c r="N202" s="409"/>
      <c r="O202" s="409"/>
      <c r="P202" s="409"/>
      <c r="Q202" s="409">
        <v>0</v>
      </c>
      <c r="R202" s="409"/>
      <c r="S202" s="409"/>
      <c r="T202" s="409"/>
      <c r="U202" s="397"/>
      <c r="V202" s="422">
        <f>H202+L202+Q202</f>
        <v>90200000</v>
      </c>
      <c r="W202" s="422">
        <f t="shared" si="104"/>
        <v>122315617</v>
      </c>
      <c r="X202" s="422">
        <f t="shared" si="104"/>
        <v>122255615</v>
      </c>
      <c r="Y202" s="422">
        <f t="shared" si="104"/>
        <v>93914284</v>
      </c>
      <c r="Z202" s="584"/>
    </row>
    <row r="203" spans="1:26" ht="22.5" customHeight="1">
      <c r="A203" s="484"/>
      <c r="B203" s="530"/>
      <c r="C203" s="402"/>
      <c r="D203" s="533"/>
      <c r="E203" s="170" t="s">
        <v>404</v>
      </c>
      <c r="F203" s="499"/>
      <c r="G203" s="495"/>
      <c r="H203" s="399"/>
      <c r="I203" s="399"/>
      <c r="J203" s="399"/>
      <c r="K203" s="399"/>
      <c r="L203" s="411"/>
      <c r="M203" s="411"/>
      <c r="N203" s="411"/>
      <c r="O203" s="411"/>
      <c r="P203" s="411"/>
      <c r="Q203" s="411"/>
      <c r="R203" s="411"/>
      <c r="S203" s="411"/>
      <c r="T203" s="411"/>
      <c r="U203" s="399"/>
      <c r="V203" s="424"/>
      <c r="W203" s="424"/>
      <c r="X203" s="424"/>
      <c r="Y203" s="424"/>
      <c r="Z203" s="584"/>
    </row>
    <row r="204" spans="1:26" ht="27">
      <c r="A204" s="484"/>
      <c r="B204" s="168" t="s">
        <v>71</v>
      </c>
      <c r="C204" s="36"/>
      <c r="D204" s="169"/>
      <c r="E204" s="48"/>
      <c r="F204" s="365"/>
      <c r="G204" s="6" t="s">
        <v>72</v>
      </c>
      <c r="H204" s="16">
        <f aca="true" t="shared" si="105" ref="H204:O204">H205+H228+H244</f>
        <v>1666597000</v>
      </c>
      <c r="I204" s="16">
        <f t="shared" si="105"/>
        <v>3288938594</v>
      </c>
      <c r="J204" s="16">
        <f t="shared" si="105"/>
        <v>3280994915</v>
      </c>
      <c r="K204" s="16">
        <f t="shared" si="105"/>
        <v>2713157935.66</v>
      </c>
      <c r="L204" s="16">
        <f t="shared" si="105"/>
        <v>2836000000</v>
      </c>
      <c r="M204" s="16">
        <f t="shared" si="105"/>
        <v>3152824338.84</v>
      </c>
      <c r="N204" s="16">
        <f t="shared" si="105"/>
        <v>2246008708.27</v>
      </c>
      <c r="O204" s="16">
        <f t="shared" si="105"/>
        <v>1572206095.77</v>
      </c>
      <c r="P204" s="16"/>
      <c r="Q204" s="15">
        <f>Q205+Q228+Q244</f>
        <v>0</v>
      </c>
      <c r="R204" s="15"/>
      <c r="S204" s="15"/>
      <c r="T204" s="15"/>
      <c r="U204" s="28"/>
      <c r="V204" s="139">
        <f aca="true" t="shared" si="106" ref="V204:V209">H204+L204+Q204</f>
        <v>4502597000</v>
      </c>
      <c r="W204" s="139">
        <f aca="true" t="shared" si="107" ref="W204:W209">I204+M204+R204</f>
        <v>6441762932.84</v>
      </c>
      <c r="X204" s="139">
        <f aca="true" t="shared" si="108" ref="X204:X209">J204+N204+S204</f>
        <v>5527003623.27</v>
      </c>
      <c r="Y204" s="139">
        <f aca="true" t="shared" si="109" ref="Y204:Y209">K204+O204+T204</f>
        <v>4285364031.43</v>
      </c>
      <c r="Z204" s="584"/>
    </row>
    <row r="205" spans="1:26" ht="27">
      <c r="A205" s="484"/>
      <c r="B205" s="483"/>
      <c r="C205" s="168" t="s">
        <v>73</v>
      </c>
      <c r="D205" s="2"/>
      <c r="E205" s="169"/>
      <c r="F205" s="355"/>
      <c r="G205" s="6" t="s">
        <v>74</v>
      </c>
      <c r="H205" s="16">
        <f>H206+H208+H214+H221+H225</f>
        <v>96800000</v>
      </c>
      <c r="I205" s="16">
        <f>I206+I208+I214+I221+I225</f>
        <v>415758326</v>
      </c>
      <c r="J205" s="16">
        <f>J206+J208+J214+J221+J225</f>
        <v>411468322</v>
      </c>
      <c r="K205" s="16">
        <f>K206+K208+K214+K221+K225</f>
        <v>321009252</v>
      </c>
      <c r="L205" s="15">
        <f>L206+L208+L214+L221+L225</f>
        <v>0</v>
      </c>
      <c r="M205" s="15"/>
      <c r="N205" s="15"/>
      <c r="O205" s="15"/>
      <c r="P205" s="15"/>
      <c r="Q205" s="15">
        <f>Q206+Q208+Q214+Q221+Q225</f>
        <v>0</v>
      </c>
      <c r="R205" s="15"/>
      <c r="S205" s="15"/>
      <c r="T205" s="15"/>
      <c r="U205" s="28"/>
      <c r="V205" s="139">
        <f t="shared" si="106"/>
        <v>96800000</v>
      </c>
      <c r="W205" s="139">
        <f t="shared" si="107"/>
        <v>415758326</v>
      </c>
      <c r="X205" s="139">
        <f t="shared" si="108"/>
        <v>411468322</v>
      </c>
      <c r="Y205" s="139">
        <f t="shared" si="109"/>
        <v>321009252</v>
      </c>
      <c r="Z205" s="584"/>
    </row>
    <row r="206" spans="1:26" ht="13.5">
      <c r="A206" s="484"/>
      <c r="B206" s="484"/>
      <c r="C206" s="400"/>
      <c r="D206" s="171" t="s">
        <v>405</v>
      </c>
      <c r="E206" s="170"/>
      <c r="F206" s="31"/>
      <c r="G206" s="6" t="s">
        <v>406</v>
      </c>
      <c r="H206" s="16">
        <f>H207</f>
        <v>13750000</v>
      </c>
      <c r="I206" s="16">
        <f>I207</f>
        <v>26274996</v>
      </c>
      <c r="J206" s="16">
        <f>J207</f>
        <v>26274996</v>
      </c>
      <c r="K206" s="16">
        <f>K207</f>
        <v>16050000</v>
      </c>
      <c r="L206" s="15">
        <f>L207</f>
        <v>0</v>
      </c>
      <c r="M206" s="15"/>
      <c r="N206" s="15"/>
      <c r="O206" s="15"/>
      <c r="P206" s="15"/>
      <c r="Q206" s="15">
        <f>Q207</f>
        <v>0</v>
      </c>
      <c r="R206" s="15"/>
      <c r="S206" s="15"/>
      <c r="T206" s="15"/>
      <c r="U206" s="28"/>
      <c r="V206" s="139">
        <f t="shared" si="106"/>
        <v>13750000</v>
      </c>
      <c r="W206" s="139">
        <f t="shared" si="107"/>
        <v>26274996</v>
      </c>
      <c r="X206" s="139">
        <f t="shared" si="108"/>
        <v>26274996</v>
      </c>
      <c r="Y206" s="139">
        <f t="shared" si="109"/>
        <v>16050000</v>
      </c>
      <c r="Z206" s="584"/>
    </row>
    <row r="207" spans="1:26" ht="42.75" customHeight="1">
      <c r="A207" s="484"/>
      <c r="B207" s="484"/>
      <c r="C207" s="401"/>
      <c r="D207" s="172"/>
      <c r="E207" s="170" t="s">
        <v>408</v>
      </c>
      <c r="F207" s="368" t="s">
        <v>906</v>
      </c>
      <c r="G207" s="69" t="s">
        <v>407</v>
      </c>
      <c r="H207" s="77">
        <v>13750000</v>
      </c>
      <c r="I207" s="77">
        <v>26274996</v>
      </c>
      <c r="J207" s="77">
        <v>26274996</v>
      </c>
      <c r="K207" s="77">
        <v>16050000</v>
      </c>
      <c r="L207" s="77">
        <v>0</v>
      </c>
      <c r="M207" s="77"/>
      <c r="N207" s="77"/>
      <c r="O207" s="77"/>
      <c r="P207" s="77"/>
      <c r="Q207" s="77">
        <v>0</v>
      </c>
      <c r="R207" s="77"/>
      <c r="S207" s="77"/>
      <c r="T207" s="77"/>
      <c r="U207" s="77"/>
      <c r="V207" s="144">
        <f t="shared" si="106"/>
        <v>13750000</v>
      </c>
      <c r="W207" s="144">
        <f t="shared" si="107"/>
        <v>26274996</v>
      </c>
      <c r="X207" s="144">
        <f t="shared" si="108"/>
        <v>26274996</v>
      </c>
      <c r="Y207" s="144">
        <f t="shared" si="109"/>
        <v>16050000</v>
      </c>
      <c r="Z207" s="584"/>
    </row>
    <row r="208" spans="1:26" ht="41.25">
      <c r="A208" s="484"/>
      <c r="B208" s="484"/>
      <c r="C208" s="401"/>
      <c r="D208" s="171" t="s">
        <v>409</v>
      </c>
      <c r="E208" s="170"/>
      <c r="F208" s="31"/>
      <c r="G208" s="6" t="s">
        <v>410</v>
      </c>
      <c r="H208" s="16">
        <f>H209</f>
        <v>27500000</v>
      </c>
      <c r="I208" s="16">
        <f>I209</f>
        <v>48000000</v>
      </c>
      <c r="J208" s="16">
        <f>J209</f>
        <v>45309999</v>
      </c>
      <c r="K208" s="16">
        <f>K209</f>
        <v>38273333</v>
      </c>
      <c r="L208" s="15">
        <f>L209</f>
        <v>0</v>
      </c>
      <c r="M208" s="15"/>
      <c r="N208" s="15"/>
      <c r="O208" s="15"/>
      <c r="P208" s="15"/>
      <c r="Q208" s="15">
        <f>Q209</f>
        <v>0</v>
      </c>
      <c r="R208" s="15"/>
      <c r="S208" s="15"/>
      <c r="T208" s="15"/>
      <c r="U208" s="28"/>
      <c r="V208" s="139">
        <f t="shared" si="106"/>
        <v>27500000</v>
      </c>
      <c r="W208" s="139">
        <f t="shared" si="107"/>
        <v>48000000</v>
      </c>
      <c r="X208" s="139">
        <f t="shared" si="108"/>
        <v>45309999</v>
      </c>
      <c r="Y208" s="139">
        <f t="shared" si="109"/>
        <v>38273333</v>
      </c>
      <c r="Z208" s="584"/>
    </row>
    <row r="209" spans="1:26" ht="19.5" customHeight="1">
      <c r="A209" s="484"/>
      <c r="B209" s="484"/>
      <c r="C209" s="401"/>
      <c r="D209" s="531"/>
      <c r="E209" s="170" t="s">
        <v>411</v>
      </c>
      <c r="F209" s="497" t="s">
        <v>907</v>
      </c>
      <c r="G209" s="534" t="s">
        <v>412</v>
      </c>
      <c r="H209" s="397">
        <v>27500000</v>
      </c>
      <c r="I209" s="397">
        <v>48000000</v>
      </c>
      <c r="J209" s="397">
        <v>45309999</v>
      </c>
      <c r="K209" s="397">
        <v>38273333</v>
      </c>
      <c r="L209" s="409">
        <v>0</v>
      </c>
      <c r="M209" s="409"/>
      <c r="N209" s="409"/>
      <c r="O209" s="409"/>
      <c r="P209" s="409"/>
      <c r="Q209" s="409">
        <v>0</v>
      </c>
      <c r="R209" s="409"/>
      <c r="S209" s="409"/>
      <c r="T209" s="409"/>
      <c r="U209" s="545"/>
      <c r="V209" s="456">
        <f t="shared" si="106"/>
        <v>27500000</v>
      </c>
      <c r="W209" s="456">
        <f t="shared" si="107"/>
        <v>48000000</v>
      </c>
      <c r="X209" s="456">
        <f t="shared" si="108"/>
        <v>45309999</v>
      </c>
      <c r="Y209" s="456">
        <f t="shared" si="109"/>
        <v>38273333</v>
      </c>
      <c r="Z209" s="584"/>
    </row>
    <row r="210" spans="1:26" ht="13.5">
      <c r="A210" s="484"/>
      <c r="B210" s="484"/>
      <c r="C210" s="401"/>
      <c r="D210" s="532"/>
      <c r="E210" s="170" t="s">
        <v>413</v>
      </c>
      <c r="F210" s="498"/>
      <c r="G210" s="535"/>
      <c r="H210" s="398"/>
      <c r="I210" s="398"/>
      <c r="J210" s="398"/>
      <c r="K210" s="398"/>
      <c r="L210" s="410"/>
      <c r="M210" s="410"/>
      <c r="N210" s="410"/>
      <c r="O210" s="410"/>
      <c r="P210" s="410"/>
      <c r="Q210" s="410"/>
      <c r="R210" s="410"/>
      <c r="S210" s="410"/>
      <c r="T210" s="410"/>
      <c r="U210" s="546"/>
      <c r="V210" s="458"/>
      <c r="W210" s="458"/>
      <c r="X210" s="458"/>
      <c r="Y210" s="458"/>
      <c r="Z210" s="584"/>
    </row>
    <row r="211" spans="1:26" ht="13.5">
      <c r="A211" s="484"/>
      <c r="B211" s="484"/>
      <c r="C211" s="401"/>
      <c r="D211" s="532"/>
      <c r="E211" s="170" t="s">
        <v>414</v>
      </c>
      <c r="F211" s="498"/>
      <c r="G211" s="535"/>
      <c r="H211" s="398"/>
      <c r="I211" s="398"/>
      <c r="J211" s="398"/>
      <c r="K211" s="398"/>
      <c r="L211" s="410"/>
      <c r="M211" s="410"/>
      <c r="N211" s="410"/>
      <c r="O211" s="410"/>
      <c r="P211" s="410"/>
      <c r="Q211" s="410"/>
      <c r="R211" s="410"/>
      <c r="S211" s="410"/>
      <c r="T211" s="410"/>
      <c r="U211" s="546"/>
      <c r="V211" s="458"/>
      <c r="W211" s="458"/>
      <c r="X211" s="458"/>
      <c r="Y211" s="458"/>
      <c r="Z211" s="584"/>
    </row>
    <row r="212" spans="1:26" ht="13.5">
      <c r="A212" s="484"/>
      <c r="B212" s="484"/>
      <c r="C212" s="401"/>
      <c r="D212" s="532"/>
      <c r="E212" s="170" t="s">
        <v>415</v>
      </c>
      <c r="F212" s="498"/>
      <c r="G212" s="535"/>
      <c r="H212" s="398"/>
      <c r="I212" s="398"/>
      <c r="J212" s="398"/>
      <c r="K212" s="398"/>
      <c r="L212" s="410"/>
      <c r="M212" s="410"/>
      <c r="N212" s="410"/>
      <c r="O212" s="410"/>
      <c r="P212" s="410"/>
      <c r="Q212" s="410"/>
      <c r="R212" s="410"/>
      <c r="S212" s="410"/>
      <c r="T212" s="410"/>
      <c r="U212" s="546"/>
      <c r="V212" s="458"/>
      <c r="W212" s="458"/>
      <c r="X212" s="458"/>
      <c r="Y212" s="458"/>
      <c r="Z212" s="584"/>
    </row>
    <row r="213" spans="1:26" ht="13.5">
      <c r="A213" s="484"/>
      <c r="B213" s="484"/>
      <c r="C213" s="401"/>
      <c r="D213" s="533"/>
      <c r="E213" s="170" t="s">
        <v>416</v>
      </c>
      <c r="F213" s="499"/>
      <c r="G213" s="536"/>
      <c r="H213" s="399"/>
      <c r="I213" s="399"/>
      <c r="J213" s="399"/>
      <c r="K213" s="399"/>
      <c r="L213" s="411"/>
      <c r="M213" s="411"/>
      <c r="N213" s="411"/>
      <c r="O213" s="411"/>
      <c r="P213" s="411"/>
      <c r="Q213" s="411"/>
      <c r="R213" s="411"/>
      <c r="S213" s="411"/>
      <c r="T213" s="411"/>
      <c r="U213" s="547"/>
      <c r="V213" s="457"/>
      <c r="W213" s="457"/>
      <c r="X213" s="457"/>
      <c r="Y213" s="457"/>
      <c r="Z213" s="584"/>
    </row>
    <row r="214" spans="1:26" ht="13.5">
      <c r="A214" s="484"/>
      <c r="B214" s="484"/>
      <c r="C214" s="401"/>
      <c r="D214" s="171" t="s">
        <v>417</v>
      </c>
      <c r="E214" s="170"/>
      <c r="F214" s="31"/>
      <c r="G214" s="6" t="s">
        <v>418</v>
      </c>
      <c r="H214" s="16">
        <f>H215</f>
        <v>27500000</v>
      </c>
      <c r="I214" s="16">
        <f>I215</f>
        <v>75599999</v>
      </c>
      <c r="J214" s="16">
        <f>J215</f>
        <v>73999999</v>
      </c>
      <c r="K214" s="16">
        <f>K215</f>
        <v>45509999</v>
      </c>
      <c r="L214" s="15">
        <f>L215</f>
        <v>0</v>
      </c>
      <c r="M214" s="15"/>
      <c r="N214" s="15"/>
      <c r="O214" s="15"/>
      <c r="P214" s="15"/>
      <c r="Q214" s="15">
        <f>Q215</f>
        <v>0</v>
      </c>
      <c r="R214" s="15"/>
      <c r="S214" s="15"/>
      <c r="T214" s="15"/>
      <c r="U214" s="28"/>
      <c r="V214" s="139">
        <f>H214+L214+Q214</f>
        <v>27500000</v>
      </c>
      <c r="W214" s="139">
        <f aca="true" t="shared" si="110" ref="W214:Y215">I214+M214+R214</f>
        <v>75599999</v>
      </c>
      <c r="X214" s="139">
        <f t="shared" si="110"/>
        <v>73999999</v>
      </c>
      <c r="Y214" s="139">
        <f t="shared" si="110"/>
        <v>45509999</v>
      </c>
      <c r="Z214" s="584"/>
    </row>
    <row r="215" spans="1:26" ht="13.5">
      <c r="A215" s="484"/>
      <c r="B215" s="484"/>
      <c r="C215" s="401"/>
      <c r="D215" s="531"/>
      <c r="E215" s="170" t="s">
        <v>419</v>
      </c>
      <c r="F215" s="497" t="s">
        <v>908</v>
      </c>
      <c r="G215" s="494" t="s">
        <v>420</v>
      </c>
      <c r="H215" s="397">
        <v>27500000</v>
      </c>
      <c r="I215" s="397">
        <v>75599999</v>
      </c>
      <c r="J215" s="397">
        <v>73999999</v>
      </c>
      <c r="K215" s="397">
        <v>45509999</v>
      </c>
      <c r="L215" s="409">
        <v>0</v>
      </c>
      <c r="M215" s="409"/>
      <c r="N215" s="409"/>
      <c r="O215" s="409"/>
      <c r="P215" s="409"/>
      <c r="Q215" s="409">
        <v>0</v>
      </c>
      <c r="R215" s="409"/>
      <c r="S215" s="409"/>
      <c r="T215" s="409"/>
      <c r="U215" s="545"/>
      <c r="V215" s="456">
        <f>H215+L215+Q215</f>
        <v>27500000</v>
      </c>
      <c r="W215" s="456">
        <f t="shared" si="110"/>
        <v>75599999</v>
      </c>
      <c r="X215" s="456">
        <f t="shared" si="110"/>
        <v>73999999</v>
      </c>
      <c r="Y215" s="456">
        <f t="shared" si="110"/>
        <v>45509999</v>
      </c>
      <c r="Z215" s="584"/>
    </row>
    <row r="216" spans="1:26" ht="13.5">
      <c r="A216" s="484"/>
      <c r="B216" s="484"/>
      <c r="C216" s="401"/>
      <c r="D216" s="532"/>
      <c r="E216" s="170" t="s">
        <v>421</v>
      </c>
      <c r="F216" s="498"/>
      <c r="G216" s="500"/>
      <c r="H216" s="398"/>
      <c r="I216" s="398"/>
      <c r="J216" s="398"/>
      <c r="K216" s="398"/>
      <c r="L216" s="410"/>
      <c r="M216" s="410"/>
      <c r="N216" s="410"/>
      <c r="O216" s="410"/>
      <c r="P216" s="410"/>
      <c r="Q216" s="410"/>
      <c r="R216" s="410"/>
      <c r="S216" s="410"/>
      <c r="T216" s="410"/>
      <c r="U216" s="546"/>
      <c r="V216" s="458"/>
      <c r="W216" s="458"/>
      <c r="X216" s="458"/>
      <c r="Y216" s="458"/>
      <c r="Z216" s="584"/>
    </row>
    <row r="217" spans="1:26" ht="13.5">
      <c r="A217" s="484"/>
      <c r="B217" s="484"/>
      <c r="C217" s="401"/>
      <c r="D217" s="532"/>
      <c r="E217" s="170" t="s">
        <v>422</v>
      </c>
      <c r="F217" s="498"/>
      <c r="G217" s="500"/>
      <c r="H217" s="398"/>
      <c r="I217" s="398"/>
      <c r="J217" s="398"/>
      <c r="K217" s="398"/>
      <c r="L217" s="410"/>
      <c r="M217" s="410"/>
      <c r="N217" s="410"/>
      <c r="O217" s="410"/>
      <c r="P217" s="410"/>
      <c r="Q217" s="410"/>
      <c r="R217" s="410"/>
      <c r="S217" s="410"/>
      <c r="T217" s="410"/>
      <c r="U217" s="546"/>
      <c r="V217" s="458"/>
      <c r="W217" s="458"/>
      <c r="X217" s="458"/>
      <c r="Y217" s="458"/>
      <c r="Z217" s="584"/>
    </row>
    <row r="218" spans="1:26" ht="13.5">
      <c r="A218" s="484"/>
      <c r="B218" s="484"/>
      <c r="C218" s="401"/>
      <c r="D218" s="532"/>
      <c r="E218" s="170" t="s">
        <v>423</v>
      </c>
      <c r="F218" s="498"/>
      <c r="G218" s="500"/>
      <c r="H218" s="398"/>
      <c r="I218" s="398"/>
      <c r="J218" s="398"/>
      <c r="K218" s="398"/>
      <c r="L218" s="410"/>
      <c r="M218" s="410"/>
      <c r="N218" s="410"/>
      <c r="O218" s="410"/>
      <c r="P218" s="410"/>
      <c r="Q218" s="410"/>
      <c r="R218" s="410"/>
      <c r="S218" s="410"/>
      <c r="T218" s="410"/>
      <c r="U218" s="546"/>
      <c r="V218" s="458"/>
      <c r="W218" s="458"/>
      <c r="X218" s="458"/>
      <c r="Y218" s="458"/>
      <c r="Z218" s="584"/>
    </row>
    <row r="219" spans="1:26" ht="13.5">
      <c r="A219" s="484"/>
      <c r="B219" s="484"/>
      <c r="C219" s="401"/>
      <c r="D219" s="532"/>
      <c r="E219" s="170" t="s">
        <v>424</v>
      </c>
      <c r="F219" s="498"/>
      <c r="G219" s="500"/>
      <c r="H219" s="398"/>
      <c r="I219" s="398"/>
      <c r="J219" s="398"/>
      <c r="K219" s="398"/>
      <c r="L219" s="410"/>
      <c r="M219" s="410"/>
      <c r="N219" s="410"/>
      <c r="O219" s="410"/>
      <c r="P219" s="410"/>
      <c r="Q219" s="410"/>
      <c r="R219" s="410"/>
      <c r="S219" s="410"/>
      <c r="T219" s="410"/>
      <c r="U219" s="546"/>
      <c r="V219" s="458"/>
      <c r="W219" s="458"/>
      <c r="X219" s="458"/>
      <c r="Y219" s="458"/>
      <c r="Z219" s="584"/>
    </row>
    <row r="220" spans="1:26" ht="13.5">
      <c r="A220" s="484"/>
      <c r="B220" s="484"/>
      <c r="C220" s="401"/>
      <c r="D220" s="533"/>
      <c r="E220" s="170" t="s">
        <v>425</v>
      </c>
      <c r="F220" s="499"/>
      <c r="G220" s="495"/>
      <c r="H220" s="399"/>
      <c r="I220" s="399"/>
      <c r="J220" s="399"/>
      <c r="K220" s="399"/>
      <c r="L220" s="411"/>
      <c r="M220" s="411"/>
      <c r="N220" s="411"/>
      <c r="O220" s="411"/>
      <c r="P220" s="411"/>
      <c r="Q220" s="411"/>
      <c r="R220" s="411"/>
      <c r="S220" s="411"/>
      <c r="T220" s="411"/>
      <c r="U220" s="547"/>
      <c r="V220" s="457"/>
      <c r="W220" s="457"/>
      <c r="X220" s="457"/>
      <c r="Y220" s="457"/>
      <c r="Z220" s="584"/>
    </row>
    <row r="221" spans="1:26" ht="27">
      <c r="A221" s="484"/>
      <c r="B221" s="484"/>
      <c r="C221" s="401"/>
      <c r="D221" s="171" t="s">
        <v>426</v>
      </c>
      <c r="E221" s="170"/>
      <c r="F221" s="31"/>
      <c r="G221" s="6" t="s">
        <v>427</v>
      </c>
      <c r="H221" s="16">
        <f>H222</f>
        <v>13750000</v>
      </c>
      <c r="I221" s="16">
        <f>I222</f>
        <v>34136665</v>
      </c>
      <c r="J221" s="16">
        <f>J222</f>
        <v>34136665</v>
      </c>
      <c r="K221" s="16">
        <f>K222</f>
        <v>28226665</v>
      </c>
      <c r="L221" s="15">
        <f>L222</f>
        <v>0</v>
      </c>
      <c r="M221" s="15"/>
      <c r="N221" s="15"/>
      <c r="O221" s="15"/>
      <c r="P221" s="15"/>
      <c r="Q221" s="15">
        <f>Q222</f>
        <v>0</v>
      </c>
      <c r="R221" s="15"/>
      <c r="S221" s="15"/>
      <c r="T221" s="15"/>
      <c r="U221" s="28"/>
      <c r="V221" s="139">
        <f>H221+L221+Q221</f>
        <v>13750000</v>
      </c>
      <c r="W221" s="139">
        <f aca="true" t="shared" si="111" ref="W221:Y222">I221+M221+R221</f>
        <v>34136665</v>
      </c>
      <c r="X221" s="139">
        <f t="shared" si="111"/>
        <v>34136665</v>
      </c>
      <c r="Y221" s="139">
        <f t="shared" si="111"/>
        <v>28226665</v>
      </c>
      <c r="Z221" s="584"/>
    </row>
    <row r="222" spans="1:26" ht="17.25" customHeight="1">
      <c r="A222" s="484"/>
      <c r="B222" s="484"/>
      <c r="C222" s="401"/>
      <c r="D222" s="531"/>
      <c r="E222" s="170" t="s">
        <v>428</v>
      </c>
      <c r="F222" s="497" t="s">
        <v>909</v>
      </c>
      <c r="G222" s="494" t="s">
        <v>429</v>
      </c>
      <c r="H222" s="397">
        <v>13750000</v>
      </c>
      <c r="I222" s="397">
        <v>34136665</v>
      </c>
      <c r="J222" s="397">
        <v>34136665</v>
      </c>
      <c r="K222" s="397">
        <v>28226665</v>
      </c>
      <c r="L222" s="540">
        <v>0</v>
      </c>
      <c r="M222" s="540"/>
      <c r="N222" s="540"/>
      <c r="O222" s="540"/>
      <c r="P222" s="545"/>
      <c r="Q222" s="540">
        <v>0</v>
      </c>
      <c r="R222" s="540"/>
      <c r="S222" s="540"/>
      <c r="T222" s="540"/>
      <c r="U222" s="545"/>
      <c r="V222" s="456">
        <f>H222+L222+Q222</f>
        <v>13750000</v>
      </c>
      <c r="W222" s="456">
        <f t="shared" si="111"/>
        <v>34136665</v>
      </c>
      <c r="X222" s="456">
        <f t="shared" si="111"/>
        <v>34136665</v>
      </c>
      <c r="Y222" s="456">
        <f t="shared" si="111"/>
        <v>28226665</v>
      </c>
      <c r="Z222" s="584"/>
    </row>
    <row r="223" spans="1:26" ht="17.25" customHeight="1">
      <c r="A223" s="484"/>
      <c r="B223" s="484"/>
      <c r="C223" s="401"/>
      <c r="D223" s="532"/>
      <c r="E223" s="170" t="s">
        <v>430</v>
      </c>
      <c r="F223" s="498"/>
      <c r="G223" s="500"/>
      <c r="H223" s="398"/>
      <c r="I223" s="398"/>
      <c r="J223" s="398"/>
      <c r="K223" s="398"/>
      <c r="L223" s="541"/>
      <c r="M223" s="541"/>
      <c r="N223" s="541"/>
      <c r="O223" s="541"/>
      <c r="P223" s="546"/>
      <c r="Q223" s="541"/>
      <c r="R223" s="541"/>
      <c r="S223" s="541"/>
      <c r="T223" s="541"/>
      <c r="U223" s="546"/>
      <c r="V223" s="458"/>
      <c r="W223" s="458"/>
      <c r="X223" s="458"/>
      <c r="Y223" s="458"/>
      <c r="Z223" s="584"/>
    </row>
    <row r="224" spans="1:26" ht="17.25" customHeight="1">
      <c r="A224" s="484"/>
      <c r="B224" s="484"/>
      <c r="C224" s="401"/>
      <c r="D224" s="533"/>
      <c r="E224" s="170" t="s">
        <v>431</v>
      </c>
      <c r="F224" s="499"/>
      <c r="G224" s="495"/>
      <c r="H224" s="399"/>
      <c r="I224" s="399"/>
      <c r="J224" s="399"/>
      <c r="K224" s="399"/>
      <c r="L224" s="542"/>
      <c r="M224" s="542"/>
      <c r="N224" s="542"/>
      <c r="O224" s="542"/>
      <c r="P224" s="547"/>
      <c r="Q224" s="542"/>
      <c r="R224" s="542"/>
      <c r="S224" s="542"/>
      <c r="T224" s="542"/>
      <c r="U224" s="547"/>
      <c r="V224" s="457"/>
      <c r="W224" s="457"/>
      <c r="X224" s="457"/>
      <c r="Y224" s="457"/>
      <c r="Z224" s="584"/>
    </row>
    <row r="225" spans="1:26" ht="13.5">
      <c r="A225" s="484"/>
      <c r="B225" s="484"/>
      <c r="C225" s="401"/>
      <c r="D225" s="171" t="s">
        <v>432</v>
      </c>
      <c r="E225" s="170"/>
      <c r="F225" s="31"/>
      <c r="G225" s="6" t="s">
        <v>433</v>
      </c>
      <c r="H225" s="16">
        <f>H226</f>
        <v>14300000</v>
      </c>
      <c r="I225" s="16">
        <f>I226</f>
        <v>231746666</v>
      </c>
      <c r="J225" s="16">
        <f>J226</f>
        <v>231746663</v>
      </c>
      <c r="K225" s="16">
        <f>K226</f>
        <v>192949255</v>
      </c>
      <c r="L225" s="15">
        <f>L226</f>
        <v>0</v>
      </c>
      <c r="M225" s="15"/>
      <c r="N225" s="15"/>
      <c r="O225" s="15"/>
      <c r="P225" s="15"/>
      <c r="Q225" s="15">
        <f>Q226</f>
        <v>0</v>
      </c>
      <c r="R225" s="15"/>
      <c r="S225" s="15"/>
      <c r="T225" s="15"/>
      <c r="U225" s="28"/>
      <c r="V225" s="139">
        <f>H225+L225+Q225</f>
        <v>14300000</v>
      </c>
      <c r="W225" s="139">
        <f aca="true" t="shared" si="112" ref="W225:Y226">I225+M225+R225</f>
        <v>231746666</v>
      </c>
      <c r="X225" s="139">
        <f t="shared" si="112"/>
        <v>231746663</v>
      </c>
      <c r="Y225" s="139">
        <f t="shared" si="112"/>
        <v>192949255</v>
      </c>
      <c r="Z225" s="584"/>
    </row>
    <row r="226" spans="1:26" ht="13.5">
      <c r="A226" s="484"/>
      <c r="B226" s="484"/>
      <c r="C226" s="401"/>
      <c r="D226" s="531"/>
      <c r="E226" s="170" t="s">
        <v>434</v>
      </c>
      <c r="F226" s="497" t="s">
        <v>910</v>
      </c>
      <c r="G226" s="494" t="s">
        <v>435</v>
      </c>
      <c r="H226" s="397">
        <v>14300000</v>
      </c>
      <c r="I226" s="397">
        <v>231746666</v>
      </c>
      <c r="J226" s="397">
        <v>231746663</v>
      </c>
      <c r="K226" s="397">
        <v>192949255</v>
      </c>
      <c r="L226" s="540">
        <v>0</v>
      </c>
      <c r="M226" s="540"/>
      <c r="N226" s="540"/>
      <c r="O226" s="540"/>
      <c r="P226" s="545"/>
      <c r="Q226" s="540">
        <v>0</v>
      </c>
      <c r="R226" s="540"/>
      <c r="S226" s="540"/>
      <c r="T226" s="540"/>
      <c r="U226" s="545"/>
      <c r="V226" s="456">
        <f>H226+L226+Q226</f>
        <v>14300000</v>
      </c>
      <c r="W226" s="456">
        <f t="shared" si="112"/>
        <v>231746666</v>
      </c>
      <c r="X226" s="456">
        <f t="shared" si="112"/>
        <v>231746663</v>
      </c>
      <c r="Y226" s="456">
        <f t="shared" si="112"/>
        <v>192949255</v>
      </c>
      <c r="Z226" s="584"/>
    </row>
    <row r="227" spans="1:26" ht="13.5">
      <c r="A227" s="484"/>
      <c r="B227" s="484"/>
      <c r="C227" s="402"/>
      <c r="D227" s="533"/>
      <c r="E227" s="170" t="s">
        <v>436</v>
      </c>
      <c r="F227" s="499"/>
      <c r="G227" s="495"/>
      <c r="H227" s="399"/>
      <c r="I227" s="399"/>
      <c r="J227" s="399"/>
      <c r="K227" s="399"/>
      <c r="L227" s="542"/>
      <c r="M227" s="542"/>
      <c r="N227" s="542"/>
      <c r="O227" s="542"/>
      <c r="P227" s="547"/>
      <c r="Q227" s="542"/>
      <c r="R227" s="542"/>
      <c r="S227" s="542"/>
      <c r="T227" s="542"/>
      <c r="U227" s="547"/>
      <c r="V227" s="457"/>
      <c r="W227" s="457"/>
      <c r="X227" s="457"/>
      <c r="Y227" s="457"/>
      <c r="Z227" s="584"/>
    </row>
    <row r="228" spans="1:26" ht="13.5">
      <c r="A228" s="484"/>
      <c r="B228" s="484"/>
      <c r="C228" s="168" t="s">
        <v>75</v>
      </c>
      <c r="D228" s="169"/>
      <c r="E228" s="169"/>
      <c r="F228" s="355"/>
      <c r="G228" s="6" t="s">
        <v>76</v>
      </c>
      <c r="H228" s="16">
        <f>H229+H231+H236+H239+H241</f>
        <v>166650000</v>
      </c>
      <c r="I228" s="16">
        <f>I229+I231+I236+I239+I241</f>
        <v>847146656</v>
      </c>
      <c r="J228" s="16">
        <f>J229+J231+J236+J239+J241</f>
        <v>847146656</v>
      </c>
      <c r="K228" s="16">
        <f>K229+K231+K236+K239+K241</f>
        <v>633352563.66</v>
      </c>
      <c r="L228" s="15">
        <f>L229+L231+L236+L239+L241</f>
        <v>0</v>
      </c>
      <c r="M228" s="15"/>
      <c r="N228" s="15"/>
      <c r="O228" s="15"/>
      <c r="P228" s="15"/>
      <c r="Q228" s="15">
        <f>Q229+Q231+Q236+Q239+Q241</f>
        <v>0</v>
      </c>
      <c r="R228" s="15"/>
      <c r="S228" s="15"/>
      <c r="T228" s="15"/>
      <c r="U228" s="28"/>
      <c r="V228" s="139">
        <f>H228+L228+Q228</f>
        <v>166650000</v>
      </c>
      <c r="W228" s="139">
        <f aca="true" t="shared" si="113" ref="W228:Y232">I228+M228+R228</f>
        <v>847146656</v>
      </c>
      <c r="X228" s="139">
        <f t="shared" si="113"/>
        <v>847146656</v>
      </c>
      <c r="Y228" s="139">
        <f t="shared" si="113"/>
        <v>633352563.66</v>
      </c>
      <c r="Z228" s="584"/>
    </row>
    <row r="229" spans="1:26" ht="13.5">
      <c r="A229" s="484"/>
      <c r="B229" s="484"/>
      <c r="C229" s="400"/>
      <c r="D229" s="171" t="s">
        <v>437</v>
      </c>
      <c r="E229" s="170"/>
      <c r="F229" s="31"/>
      <c r="G229" s="6" t="s">
        <v>438</v>
      </c>
      <c r="H229" s="16">
        <f>H230</f>
        <v>27500000</v>
      </c>
      <c r="I229" s="16">
        <f>I230</f>
        <v>184646664</v>
      </c>
      <c r="J229" s="16">
        <f>J230</f>
        <v>184646664</v>
      </c>
      <c r="K229" s="16">
        <f>K230</f>
        <v>134305904</v>
      </c>
      <c r="L229" s="15">
        <f>L230</f>
        <v>0</v>
      </c>
      <c r="M229" s="15"/>
      <c r="N229" s="15"/>
      <c r="O229" s="15"/>
      <c r="P229" s="15"/>
      <c r="Q229" s="15">
        <f>Q230</f>
        <v>0</v>
      </c>
      <c r="R229" s="15"/>
      <c r="S229" s="15"/>
      <c r="T229" s="15"/>
      <c r="U229" s="28"/>
      <c r="V229" s="139">
        <f>H229+L229+Q229</f>
        <v>27500000</v>
      </c>
      <c r="W229" s="139">
        <f t="shared" si="113"/>
        <v>184646664</v>
      </c>
      <c r="X229" s="139">
        <f t="shared" si="113"/>
        <v>184646664</v>
      </c>
      <c r="Y229" s="139">
        <f t="shared" si="113"/>
        <v>134305904</v>
      </c>
      <c r="Z229" s="584"/>
    </row>
    <row r="230" spans="1:26" ht="27">
      <c r="A230" s="484"/>
      <c r="B230" s="484"/>
      <c r="C230" s="401"/>
      <c r="D230" s="171"/>
      <c r="E230" s="170" t="s">
        <v>439</v>
      </c>
      <c r="F230" s="27" t="s">
        <v>911</v>
      </c>
      <c r="G230" s="69" t="s">
        <v>440</v>
      </c>
      <c r="H230" s="71">
        <v>27500000</v>
      </c>
      <c r="I230" s="71">
        <v>184646664</v>
      </c>
      <c r="J230" s="71">
        <v>184646664</v>
      </c>
      <c r="K230" s="71">
        <v>134305904</v>
      </c>
      <c r="L230" s="15">
        <v>0</v>
      </c>
      <c r="M230" s="15"/>
      <c r="N230" s="15"/>
      <c r="O230" s="15"/>
      <c r="P230" s="131"/>
      <c r="Q230" s="15">
        <v>0</v>
      </c>
      <c r="R230" s="15"/>
      <c r="S230" s="15"/>
      <c r="T230" s="15"/>
      <c r="U230" s="73"/>
      <c r="V230" s="140">
        <f>H230+L230+Q230</f>
        <v>27500000</v>
      </c>
      <c r="W230" s="140">
        <f t="shared" si="113"/>
        <v>184646664</v>
      </c>
      <c r="X230" s="140">
        <f t="shared" si="113"/>
        <v>184646664</v>
      </c>
      <c r="Y230" s="140">
        <f t="shared" si="113"/>
        <v>134305904</v>
      </c>
      <c r="Z230" s="584"/>
    </row>
    <row r="231" spans="1:26" ht="13.5">
      <c r="A231" s="484"/>
      <c r="B231" s="484"/>
      <c r="C231" s="401"/>
      <c r="D231" s="171" t="s">
        <v>441</v>
      </c>
      <c r="E231" s="170"/>
      <c r="F231" s="31"/>
      <c r="G231" s="6" t="s">
        <v>442</v>
      </c>
      <c r="H231" s="16">
        <f>H232</f>
        <v>56650000</v>
      </c>
      <c r="I231" s="16">
        <f>I232</f>
        <v>168013329</v>
      </c>
      <c r="J231" s="16">
        <f>J232</f>
        <v>168013329</v>
      </c>
      <c r="K231" s="16">
        <f>K232</f>
        <v>130129996.66</v>
      </c>
      <c r="L231" s="15">
        <f>L232</f>
        <v>0</v>
      </c>
      <c r="M231" s="15"/>
      <c r="N231" s="15"/>
      <c r="O231" s="15"/>
      <c r="P231" s="15"/>
      <c r="Q231" s="15">
        <f>Q232</f>
        <v>0</v>
      </c>
      <c r="R231" s="15"/>
      <c r="S231" s="15"/>
      <c r="T231" s="15"/>
      <c r="U231" s="28"/>
      <c r="V231" s="139">
        <f>H231+L231+Q231</f>
        <v>56650000</v>
      </c>
      <c r="W231" s="139">
        <f t="shared" si="113"/>
        <v>168013329</v>
      </c>
      <c r="X231" s="139">
        <f t="shared" si="113"/>
        <v>168013329</v>
      </c>
      <c r="Y231" s="139">
        <f t="shared" si="113"/>
        <v>130129996.66</v>
      </c>
      <c r="Z231" s="584"/>
    </row>
    <row r="232" spans="1:26" ht="13.5">
      <c r="A232" s="484"/>
      <c r="B232" s="484"/>
      <c r="C232" s="401"/>
      <c r="D232" s="531"/>
      <c r="E232" s="170" t="s">
        <v>443</v>
      </c>
      <c r="F232" s="497" t="s">
        <v>912</v>
      </c>
      <c r="G232" s="494" t="s">
        <v>444</v>
      </c>
      <c r="H232" s="397">
        <v>56650000</v>
      </c>
      <c r="I232" s="397">
        <v>168013329</v>
      </c>
      <c r="J232" s="397">
        <v>168013329</v>
      </c>
      <c r="K232" s="397">
        <v>130129996.66</v>
      </c>
      <c r="L232" s="540">
        <v>0</v>
      </c>
      <c r="M232" s="540"/>
      <c r="N232" s="540"/>
      <c r="O232" s="540"/>
      <c r="P232" s="397"/>
      <c r="Q232" s="540">
        <v>0</v>
      </c>
      <c r="R232" s="540"/>
      <c r="S232" s="540"/>
      <c r="T232" s="540"/>
      <c r="U232" s="397"/>
      <c r="V232" s="422">
        <f>H232+L232+Q232</f>
        <v>56650000</v>
      </c>
      <c r="W232" s="422">
        <f t="shared" si="113"/>
        <v>168013329</v>
      </c>
      <c r="X232" s="422">
        <f t="shared" si="113"/>
        <v>168013329</v>
      </c>
      <c r="Y232" s="422">
        <f t="shared" si="113"/>
        <v>130129996.66</v>
      </c>
      <c r="Z232" s="584"/>
    </row>
    <row r="233" spans="1:26" ht="13.5">
      <c r="A233" s="484"/>
      <c r="B233" s="484"/>
      <c r="C233" s="401"/>
      <c r="D233" s="532"/>
      <c r="E233" s="170" t="s">
        <v>445</v>
      </c>
      <c r="F233" s="498"/>
      <c r="G233" s="500"/>
      <c r="H233" s="398"/>
      <c r="I233" s="398"/>
      <c r="J233" s="398"/>
      <c r="K233" s="398"/>
      <c r="L233" s="541"/>
      <c r="M233" s="541"/>
      <c r="N233" s="541"/>
      <c r="O233" s="541"/>
      <c r="P233" s="398"/>
      <c r="Q233" s="541"/>
      <c r="R233" s="541"/>
      <c r="S233" s="541"/>
      <c r="T233" s="541"/>
      <c r="U233" s="398"/>
      <c r="V233" s="423"/>
      <c r="W233" s="423"/>
      <c r="X233" s="423"/>
      <c r="Y233" s="423"/>
      <c r="Z233" s="584"/>
    </row>
    <row r="234" spans="1:26" ht="13.5">
      <c r="A234" s="484"/>
      <c r="B234" s="484"/>
      <c r="C234" s="401"/>
      <c r="D234" s="532"/>
      <c r="E234" s="170" t="s">
        <v>446</v>
      </c>
      <c r="F234" s="498"/>
      <c r="G234" s="500"/>
      <c r="H234" s="398"/>
      <c r="I234" s="398"/>
      <c r="J234" s="398"/>
      <c r="K234" s="398"/>
      <c r="L234" s="541"/>
      <c r="M234" s="541"/>
      <c r="N234" s="541"/>
      <c r="O234" s="541"/>
      <c r="P234" s="398"/>
      <c r="Q234" s="541"/>
      <c r="R234" s="541"/>
      <c r="S234" s="541"/>
      <c r="T234" s="541"/>
      <c r="U234" s="398"/>
      <c r="V234" s="423"/>
      <c r="W234" s="423"/>
      <c r="X234" s="423"/>
      <c r="Y234" s="423"/>
      <c r="Z234" s="584"/>
    </row>
    <row r="235" spans="1:26" ht="13.5">
      <c r="A235" s="484"/>
      <c r="B235" s="484"/>
      <c r="C235" s="401"/>
      <c r="D235" s="533"/>
      <c r="E235" s="170" t="s">
        <v>447</v>
      </c>
      <c r="F235" s="499"/>
      <c r="G235" s="495"/>
      <c r="H235" s="399"/>
      <c r="I235" s="399"/>
      <c r="J235" s="399"/>
      <c r="K235" s="399"/>
      <c r="L235" s="542"/>
      <c r="M235" s="542"/>
      <c r="N235" s="542"/>
      <c r="O235" s="542"/>
      <c r="P235" s="399"/>
      <c r="Q235" s="542"/>
      <c r="R235" s="542"/>
      <c r="S235" s="542"/>
      <c r="T235" s="542"/>
      <c r="U235" s="399"/>
      <c r="V235" s="424"/>
      <c r="W235" s="424"/>
      <c r="X235" s="424"/>
      <c r="Y235" s="424"/>
      <c r="Z235" s="584"/>
    </row>
    <row r="236" spans="1:26" ht="13.5">
      <c r="A236" s="484"/>
      <c r="B236" s="484"/>
      <c r="C236" s="401"/>
      <c r="D236" s="171" t="s">
        <v>448</v>
      </c>
      <c r="E236" s="170"/>
      <c r="F236" s="31"/>
      <c r="G236" s="6" t="s">
        <v>449</v>
      </c>
      <c r="H236" s="16">
        <f>H237</f>
        <v>39050000</v>
      </c>
      <c r="I236" s="16">
        <f>I237</f>
        <v>8000000</v>
      </c>
      <c r="J236" s="16">
        <f>J237</f>
        <v>8000000</v>
      </c>
      <c r="K236" s="16">
        <f>K237</f>
        <v>8000000</v>
      </c>
      <c r="L236" s="15">
        <f>L237</f>
        <v>0</v>
      </c>
      <c r="M236" s="15"/>
      <c r="N236" s="15"/>
      <c r="O236" s="15"/>
      <c r="P236" s="15"/>
      <c r="Q236" s="15">
        <f>Q237</f>
        <v>0</v>
      </c>
      <c r="R236" s="15"/>
      <c r="S236" s="15"/>
      <c r="T236" s="15"/>
      <c r="U236" s="28"/>
      <c r="V236" s="139">
        <f>H236+L236+Q236</f>
        <v>39050000</v>
      </c>
      <c r="W236" s="139">
        <f aca="true" t="shared" si="114" ref="W236:Y237">I236+M236+R236</f>
        <v>8000000</v>
      </c>
      <c r="X236" s="139">
        <f t="shared" si="114"/>
        <v>8000000</v>
      </c>
      <c r="Y236" s="139">
        <f t="shared" si="114"/>
        <v>8000000</v>
      </c>
      <c r="Z236" s="584"/>
    </row>
    <row r="237" spans="1:26" ht="15" customHeight="1">
      <c r="A237" s="484"/>
      <c r="B237" s="484"/>
      <c r="C237" s="401"/>
      <c r="D237" s="532"/>
      <c r="E237" s="170" t="s">
        <v>451</v>
      </c>
      <c r="F237" s="498" t="s">
        <v>913</v>
      </c>
      <c r="G237" s="494" t="s">
        <v>450</v>
      </c>
      <c r="H237" s="397">
        <v>39050000</v>
      </c>
      <c r="I237" s="397">
        <v>8000000</v>
      </c>
      <c r="J237" s="397">
        <v>8000000</v>
      </c>
      <c r="K237" s="397">
        <v>8000000</v>
      </c>
      <c r="L237" s="540">
        <v>0</v>
      </c>
      <c r="M237" s="540"/>
      <c r="N237" s="540"/>
      <c r="O237" s="540"/>
      <c r="P237" s="540"/>
      <c r="Q237" s="540">
        <v>0</v>
      </c>
      <c r="R237" s="540"/>
      <c r="S237" s="540"/>
      <c r="T237" s="540"/>
      <c r="U237" s="397"/>
      <c r="V237" s="422">
        <f>H237+L237+Q237</f>
        <v>39050000</v>
      </c>
      <c r="W237" s="422">
        <f t="shared" si="114"/>
        <v>8000000</v>
      </c>
      <c r="X237" s="422">
        <f t="shared" si="114"/>
        <v>8000000</v>
      </c>
      <c r="Y237" s="422">
        <f t="shared" si="114"/>
        <v>8000000</v>
      </c>
      <c r="Z237" s="584"/>
    </row>
    <row r="238" spans="1:26" ht="15" customHeight="1">
      <c r="A238" s="484"/>
      <c r="B238" s="484"/>
      <c r="C238" s="401"/>
      <c r="D238" s="533"/>
      <c r="E238" s="170" t="s">
        <v>452</v>
      </c>
      <c r="F238" s="499"/>
      <c r="G238" s="495"/>
      <c r="H238" s="399"/>
      <c r="I238" s="399"/>
      <c r="J238" s="399"/>
      <c r="K238" s="399"/>
      <c r="L238" s="542"/>
      <c r="M238" s="542"/>
      <c r="N238" s="542"/>
      <c r="O238" s="542"/>
      <c r="P238" s="542"/>
      <c r="Q238" s="542"/>
      <c r="R238" s="542"/>
      <c r="S238" s="542"/>
      <c r="T238" s="542"/>
      <c r="U238" s="399"/>
      <c r="V238" s="424"/>
      <c r="W238" s="424"/>
      <c r="X238" s="424"/>
      <c r="Y238" s="424"/>
      <c r="Z238" s="584"/>
    </row>
    <row r="239" spans="1:26" ht="15" customHeight="1">
      <c r="A239" s="484"/>
      <c r="B239" s="484"/>
      <c r="C239" s="401"/>
      <c r="D239" s="171" t="s">
        <v>453</v>
      </c>
      <c r="E239" s="170"/>
      <c r="F239" s="31"/>
      <c r="G239" s="6" t="s">
        <v>454</v>
      </c>
      <c r="H239" s="16">
        <f aca="true" t="shared" si="115" ref="H239:O239">H240</f>
        <v>15950000</v>
      </c>
      <c r="I239" s="16">
        <f t="shared" si="115"/>
        <v>410049997</v>
      </c>
      <c r="J239" s="16">
        <f t="shared" si="115"/>
        <v>410049997</v>
      </c>
      <c r="K239" s="16">
        <f t="shared" si="115"/>
        <v>302079997</v>
      </c>
      <c r="L239" s="15">
        <f t="shared" si="115"/>
        <v>0</v>
      </c>
      <c r="M239" s="15">
        <f t="shared" si="115"/>
        <v>0</v>
      </c>
      <c r="N239" s="15">
        <f t="shared" si="115"/>
        <v>0</v>
      </c>
      <c r="O239" s="15">
        <f t="shared" si="115"/>
        <v>0</v>
      </c>
      <c r="P239" s="15"/>
      <c r="Q239" s="15">
        <f>Q240</f>
        <v>0</v>
      </c>
      <c r="R239" s="15"/>
      <c r="S239" s="15"/>
      <c r="T239" s="15"/>
      <c r="U239" s="28"/>
      <c r="V239" s="139">
        <f>H239+L239+Q239</f>
        <v>15950000</v>
      </c>
      <c r="W239" s="139">
        <f aca="true" t="shared" si="116" ref="W239:Y242">I239+M239+R239</f>
        <v>410049997</v>
      </c>
      <c r="X239" s="139">
        <f t="shared" si="116"/>
        <v>410049997</v>
      </c>
      <c r="Y239" s="139">
        <f t="shared" si="116"/>
        <v>302079997</v>
      </c>
      <c r="Z239" s="584"/>
    </row>
    <row r="240" spans="1:26" ht="41.25">
      <c r="A240" s="484"/>
      <c r="B240" s="484"/>
      <c r="C240" s="401"/>
      <c r="D240" s="171"/>
      <c r="E240" s="170" t="s">
        <v>455</v>
      </c>
      <c r="F240" s="27" t="s">
        <v>914</v>
      </c>
      <c r="G240" s="69" t="s">
        <v>456</v>
      </c>
      <c r="H240" s="71">
        <v>15950000</v>
      </c>
      <c r="I240" s="71">
        <v>410049997</v>
      </c>
      <c r="J240" s="71">
        <v>410049997</v>
      </c>
      <c r="K240" s="71">
        <v>302079997</v>
      </c>
      <c r="L240" s="15">
        <v>0</v>
      </c>
      <c r="M240" s="15"/>
      <c r="N240" s="15"/>
      <c r="O240" s="15"/>
      <c r="P240" s="131"/>
      <c r="Q240" s="15">
        <v>0</v>
      </c>
      <c r="R240" s="15"/>
      <c r="S240" s="15"/>
      <c r="T240" s="15"/>
      <c r="U240" s="73"/>
      <c r="V240" s="140">
        <f>H240+L240+Q240</f>
        <v>15950000</v>
      </c>
      <c r="W240" s="140">
        <f t="shared" si="116"/>
        <v>410049997</v>
      </c>
      <c r="X240" s="140">
        <f t="shared" si="116"/>
        <v>410049997</v>
      </c>
      <c r="Y240" s="140">
        <f t="shared" si="116"/>
        <v>302079997</v>
      </c>
      <c r="Z240" s="584"/>
    </row>
    <row r="241" spans="1:26" ht="13.5">
      <c r="A241" s="484"/>
      <c r="B241" s="484"/>
      <c r="C241" s="401"/>
      <c r="D241" s="171" t="s">
        <v>457</v>
      </c>
      <c r="E241" s="170"/>
      <c r="F241" s="27"/>
      <c r="G241" s="6" t="s">
        <v>458</v>
      </c>
      <c r="H241" s="16">
        <f>H242</f>
        <v>27500000</v>
      </c>
      <c r="I241" s="16">
        <f>I242</f>
        <v>76436666</v>
      </c>
      <c r="J241" s="16">
        <f>J242</f>
        <v>76436666</v>
      </c>
      <c r="K241" s="16">
        <f>K242</f>
        <v>58836666</v>
      </c>
      <c r="L241" s="15">
        <f>L242</f>
        <v>0</v>
      </c>
      <c r="M241" s="15"/>
      <c r="N241" s="15"/>
      <c r="O241" s="15"/>
      <c r="P241" s="15"/>
      <c r="Q241" s="15">
        <f>Q242</f>
        <v>0</v>
      </c>
      <c r="R241" s="15"/>
      <c r="S241" s="15"/>
      <c r="T241" s="15"/>
      <c r="U241" s="28"/>
      <c r="V241" s="139">
        <f>H241+L241+Q241</f>
        <v>27500000</v>
      </c>
      <c r="W241" s="139">
        <f t="shared" si="116"/>
        <v>76436666</v>
      </c>
      <c r="X241" s="139">
        <f t="shared" si="116"/>
        <v>76436666</v>
      </c>
      <c r="Y241" s="139">
        <f t="shared" si="116"/>
        <v>58836666</v>
      </c>
      <c r="Z241" s="584"/>
    </row>
    <row r="242" spans="1:26" ht="13.5">
      <c r="A242" s="484"/>
      <c r="B242" s="484"/>
      <c r="C242" s="401"/>
      <c r="D242" s="531"/>
      <c r="E242" s="170" t="s">
        <v>459</v>
      </c>
      <c r="F242" s="497" t="s">
        <v>915</v>
      </c>
      <c r="G242" s="494" t="s">
        <v>460</v>
      </c>
      <c r="H242" s="397">
        <v>27500000</v>
      </c>
      <c r="I242" s="397">
        <v>76436666</v>
      </c>
      <c r="J242" s="397">
        <v>76436666</v>
      </c>
      <c r="K242" s="397">
        <v>58836666</v>
      </c>
      <c r="L242" s="540">
        <v>0</v>
      </c>
      <c r="M242" s="540"/>
      <c r="N242" s="540"/>
      <c r="O242" s="540"/>
      <c r="P242" s="397"/>
      <c r="Q242" s="540">
        <v>0</v>
      </c>
      <c r="R242" s="540"/>
      <c r="S242" s="540"/>
      <c r="T242" s="540"/>
      <c r="U242" s="397"/>
      <c r="V242" s="422">
        <f>H242+L242+Q242</f>
        <v>27500000</v>
      </c>
      <c r="W242" s="422">
        <f t="shared" si="116"/>
        <v>76436666</v>
      </c>
      <c r="X242" s="422">
        <f t="shared" si="116"/>
        <v>76436666</v>
      </c>
      <c r="Y242" s="422">
        <f t="shared" si="116"/>
        <v>58836666</v>
      </c>
      <c r="Z242" s="584"/>
    </row>
    <row r="243" spans="1:26" ht="13.5">
      <c r="A243" s="484"/>
      <c r="B243" s="484"/>
      <c r="C243" s="402"/>
      <c r="D243" s="533"/>
      <c r="E243" s="170" t="s">
        <v>461</v>
      </c>
      <c r="F243" s="499"/>
      <c r="G243" s="495"/>
      <c r="H243" s="399"/>
      <c r="I243" s="399"/>
      <c r="J243" s="399"/>
      <c r="K243" s="399"/>
      <c r="L243" s="542"/>
      <c r="M243" s="542"/>
      <c r="N243" s="542"/>
      <c r="O243" s="542"/>
      <c r="P243" s="399"/>
      <c r="Q243" s="542"/>
      <c r="R243" s="542"/>
      <c r="S243" s="542"/>
      <c r="T243" s="542"/>
      <c r="U243" s="399"/>
      <c r="V243" s="424"/>
      <c r="W243" s="424"/>
      <c r="X243" s="424"/>
      <c r="Y243" s="424"/>
      <c r="Z243" s="584"/>
    </row>
    <row r="244" spans="1:26" ht="13.5">
      <c r="A244" s="484"/>
      <c r="B244" s="484"/>
      <c r="C244" s="168" t="s">
        <v>77</v>
      </c>
      <c r="D244" s="169"/>
      <c r="E244" s="169"/>
      <c r="F244" s="355"/>
      <c r="G244" s="6" t="s">
        <v>78</v>
      </c>
      <c r="H244" s="16">
        <f aca="true" t="shared" si="117" ref="H244:O244">H245+H248</f>
        <v>1403147000</v>
      </c>
      <c r="I244" s="16">
        <f t="shared" si="117"/>
        <v>2026033612</v>
      </c>
      <c r="J244" s="16">
        <f t="shared" si="117"/>
        <v>2022379937</v>
      </c>
      <c r="K244" s="16">
        <f t="shared" si="117"/>
        <v>1758796120</v>
      </c>
      <c r="L244" s="16">
        <f t="shared" si="117"/>
        <v>2836000000</v>
      </c>
      <c r="M244" s="16">
        <f t="shared" si="117"/>
        <v>3152824338.84</v>
      </c>
      <c r="N244" s="16">
        <f t="shared" si="117"/>
        <v>2246008708.27</v>
      </c>
      <c r="O244" s="16">
        <f t="shared" si="117"/>
        <v>1572206095.77</v>
      </c>
      <c r="P244" s="16"/>
      <c r="Q244" s="15">
        <f>Q245+Q248</f>
        <v>0</v>
      </c>
      <c r="R244" s="15"/>
      <c r="S244" s="15"/>
      <c r="T244" s="15"/>
      <c r="U244" s="28"/>
      <c r="V244" s="139">
        <f>H244+L244+Q244</f>
        <v>4239147000</v>
      </c>
      <c r="W244" s="139">
        <f aca="true" t="shared" si="118" ref="W244:Y246">I244+M244+R244</f>
        <v>5178857950.84</v>
      </c>
      <c r="X244" s="139">
        <f t="shared" si="118"/>
        <v>4268388645.27</v>
      </c>
      <c r="Y244" s="139">
        <f t="shared" si="118"/>
        <v>3331002215.77</v>
      </c>
      <c r="Z244" s="584"/>
    </row>
    <row r="245" spans="1:26" ht="13.5">
      <c r="A245" s="484"/>
      <c r="B245" s="484"/>
      <c r="C245" s="400"/>
      <c r="D245" s="171" t="s">
        <v>462</v>
      </c>
      <c r="E245" s="170"/>
      <c r="F245" s="31"/>
      <c r="G245" s="6" t="s">
        <v>463</v>
      </c>
      <c r="H245" s="16">
        <f aca="true" t="shared" si="119" ref="H245:O245">H246</f>
        <v>994700000</v>
      </c>
      <c r="I245" s="16">
        <f t="shared" si="119"/>
        <v>1456436657</v>
      </c>
      <c r="J245" s="16">
        <f t="shared" si="119"/>
        <v>1454636657</v>
      </c>
      <c r="K245" s="16">
        <f t="shared" si="119"/>
        <v>1217871173</v>
      </c>
      <c r="L245" s="15">
        <f t="shared" si="119"/>
        <v>0</v>
      </c>
      <c r="M245" s="15">
        <f t="shared" si="119"/>
        <v>0</v>
      </c>
      <c r="N245" s="15">
        <f t="shared" si="119"/>
        <v>0</v>
      </c>
      <c r="O245" s="15">
        <f t="shared" si="119"/>
        <v>0</v>
      </c>
      <c r="P245" s="16"/>
      <c r="Q245" s="15">
        <f>Q246</f>
        <v>0</v>
      </c>
      <c r="R245" s="15"/>
      <c r="S245" s="15"/>
      <c r="T245" s="15"/>
      <c r="U245" s="28"/>
      <c r="V245" s="139">
        <f>H245+L245+Q245</f>
        <v>994700000</v>
      </c>
      <c r="W245" s="139">
        <f t="shared" si="118"/>
        <v>1456436657</v>
      </c>
      <c r="X245" s="139">
        <f t="shared" si="118"/>
        <v>1454636657</v>
      </c>
      <c r="Y245" s="139">
        <f t="shared" si="118"/>
        <v>1217871173</v>
      </c>
      <c r="Z245" s="584"/>
    </row>
    <row r="246" spans="1:26" ht="21" customHeight="1">
      <c r="A246" s="484"/>
      <c r="B246" s="484"/>
      <c r="C246" s="401"/>
      <c r="D246" s="531"/>
      <c r="E246" s="170" t="s">
        <v>464</v>
      </c>
      <c r="F246" s="513" t="s">
        <v>916</v>
      </c>
      <c r="G246" s="494" t="s">
        <v>465</v>
      </c>
      <c r="H246" s="397">
        <v>994700000</v>
      </c>
      <c r="I246" s="397">
        <v>1456436657</v>
      </c>
      <c r="J246" s="397">
        <v>1454636657</v>
      </c>
      <c r="K246" s="397">
        <v>1217871173</v>
      </c>
      <c r="L246" s="540">
        <v>0</v>
      </c>
      <c r="M246" s="540"/>
      <c r="N246" s="540"/>
      <c r="O246" s="540"/>
      <c r="P246" s="397"/>
      <c r="Q246" s="540">
        <v>0</v>
      </c>
      <c r="R246" s="540"/>
      <c r="S246" s="540"/>
      <c r="T246" s="540"/>
      <c r="U246" s="397"/>
      <c r="V246" s="422">
        <f>H246+L246+Q246</f>
        <v>994700000</v>
      </c>
      <c r="W246" s="422">
        <f t="shared" si="118"/>
        <v>1456436657</v>
      </c>
      <c r="X246" s="422">
        <f t="shared" si="118"/>
        <v>1454636657</v>
      </c>
      <c r="Y246" s="422">
        <f t="shared" si="118"/>
        <v>1217871173</v>
      </c>
      <c r="Z246" s="584"/>
    </row>
    <row r="247" spans="1:26" ht="21" customHeight="1">
      <c r="A247" s="484"/>
      <c r="B247" s="484"/>
      <c r="C247" s="401"/>
      <c r="D247" s="533"/>
      <c r="E247" s="170" t="s">
        <v>466</v>
      </c>
      <c r="F247" s="514"/>
      <c r="G247" s="495"/>
      <c r="H247" s="399"/>
      <c r="I247" s="399"/>
      <c r="J247" s="399"/>
      <c r="K247" s="399"/>
      <c r="L247" s="542"/>
      <c r="M247" s="542"/>
      <c r="N247" s="542"/>
      <c r="O247" s="542"/>
      <c r="P247" s="399"/>
      <c r="Q247" s="542"/>
      <c r="R247" s="542"/>
      <c r="S247" s="542"/>
      <c r="T247" s="542"/>
      <c r="U247" s="399"/>
      <c r="V247" s="424"/>
      <c r="W247" s="424"/>
      <c r="X247" s="424"/>
      <c r="Y247" s="424"/>
      <c r="Z247" s="584"/>
    </row>
    <row r="248" spans="1:26" ht="13.5">
      <c r="A248" s="484"/>
      <c r="B248" s="484"/>
      <c r="C248" s="401"/>
      <c r="D248" s="171" t="s">
        <v>467</v>
      </c>
      <c r="E248" s="170"/>
      <c r="F248" s="31"/>
      <c r="G248" s="6" t="s">
        <v>468</v>
      </c>
      <c r="H248" s="16">
        <f aca="true" t="shared" si="120" ref="H248:O248">H249</f>
        <v>408447000</v>
      </c>
      <c r="I248" s="16">
        <f t="shared" si="120"/>
        <v>569596955</v>
      </c>
      <c r="J248" s="16">
        <f t="shared" si="120"/>
        <v>567743280</v>
      </c>
      <c r="K248" s="16">
        <f t="shared" si="120"/>
        <v>540924947</v>
      </c>
      <c r="L248" s="16">
        <f t="shared" si="120"/>
        <v>2836000000</v>
      </c>
      <c r="M248" s="16">
        <f t="shared" si="120"/>
        <v>3152824338.84</v>
      </c>
      <c r="N248" s="16">
        <f t="shared" si="120"/>
        <v>2246008708.27</v>
      </c>
      <c r="O248" s="16">
        <f t="shared" si="120"/>
        <v>1572206095.77</v>
      </c>
      <c r="P248" s="16"/>
      <c r="Q248" s="15">
        <f>Q249</f>
        <v>0</v>
      </c>
      <c r="R248" s="15"/>
      <c r="S248" s="15"/>
      <c r="T248" s="15"/>
      <c r="U248" s="15"/>
      <c r="V248" s="139">
        <f>H248+L248+Q248</f>
        <v>3244447000</v>
      </c>
      <c r="W248" s="139">
        <f aca="true" t="shared" si="121" ref="W248:Y249">I248+M248+R248</f>
        <v>3722421293.84</v>
      </c>
      <c r="X248" s="139">
        <f t="shared" si="121"/>
        <v>2813751988.27</v>
      </c>
      <c r="Y248" s="139">
        <f t="shared" si="121"/>
        <v>2113131042.77</v>
      </c>
      <c r="Z248" s="584"/>
    </row>
    <row r="249" spans="1:26" ht="13.5">
      <c r="A249" s="484"/>
      <c r="B249" s="484"/>
      <c r="C249" s="401"/>
      <c r="D249" s="531"/>
      <c r="E249" s="170" t="s">
        <v>469</v>
      </c>
      <c r="F249" s="513" t="s">
        <v>917</v>
      </c>
      <c r="G249" s="494" t="s">
        <v>470</v>
      </c>
      <c r="H249" s="397">
        <v>408447000</v>
      </c>
      <c r="I249" s="397">
        <v>569596955</v>
      </c>
      <c r="J249" s="397">
        <v>567743280</v>
      </c>
      <c r="K249" s="397">
        <v>540924947</v>
      </c>
      <c r="L249" s="397">
        <v>2836000000</v>
      </c>
      <c r="M249" s="397">
        <v>3152824338.84</v>
      </c>
      <c r="N249" s="397">
        <v>2246008708.27</v>
      </c>
      <c r="O249" s="397">
        <v>1572206095.77</v>
      </c>
      <c r="P249" s="397" t="s">
        <v>79</v>
      </c>
      <c r="Q249" s="540">
        <v>0</v>
      </c>
      <c r="R249" s="540"/>
      <c r="S249" s="540"/>
      <c r="T249" s="540"/>
      <c r="U249" s="397"/>
      <c r="V249" s="422">
        <f>H249+L249+Q249</f>
        <v>3244447000</v>
      </c>
      <c r="W249" s="422">
        <f t="shared" si="121"/>
        <v>3722421293.84</v>
      </c>
      <c r="X249" s="422">
        <f t="shared" si="121"/>
        <v>2813751988.27</v>
      </c>
      <c r="Y249" s="422">
        <f t="shared" si="121"/>
        <v>2113131042.77</v>
      </c>
      <c r="Z249" s="584"/>
    </row>
    <row r="250" spans="1:26" ht="13.5">
      <c r="A250" s="484"/>
      <c r="B250" s="530"/>
      <c r="C250" s="402"/>
      <c r="D250" s="533"/>
      <c r="E250" s="170" t="s">
        <v>471</v>
      </c>
      <c r="F250" s="514"/>
      <c r="G250" s="495"/>
      <c r="H250" s="399"/>
      <c r="I250" s="399"/>
      <c r="J250" s="399"/>
      <c r="K250" s="399"/>
      <c r="L250" s="399"/>
      <c r="M250" s="399"/>
      <c r="N250" s="399"/>
      <c r="O250" s="399"/>
      <c r="P250" s="399"/>
      <c r="Q250" s="542"/>
      <c r="R250" s="542"/>
      <c r="S250" s="542"/>
      <c r="T250" s="542"/>
      <c r="U250" s="399"/>
      <c r="V250" s="424"/>
      <c r="W250" s="424"/>
      <c r="X250" s="424"/>
      <c r="Y250" s="424"/>
      <c r="Z250" s="584"/>
    </row>
    <row r="251" spans="1:26" ht="13.5">
      <c r="A251" s="484"/>
      <c r="B251" s="168" t="s">
        <v>80</v>
      </c>
      <c r="C251" s="36"/>
      <c r="D251" s="169"/>
      <c r="E251" s="48"/>
      <c r="F251" s="365"/>
      <c r="G251" s="6" t="s">
        <v>81</v>
      </c>
      <c r="H251" s="16">
        <f aca="true" t="shared" si="122" ref="H251:O251">H252</f>
        <v>142900000</v>
      </c>
      <c r="I251" s="16">
        <f t="shared" si="122"/>
        <v>255304331</v>
      </c>
      <c r="J251" s="16">
        <f t="shared" si="122"/>
        <v>247919995</v>
      </c>
      <c r="K251" s="16">
        <f t="shared" si="122"/>
        <v>148183328.68</v>
      </c>
      <c r="L251" s="15">
        <f t="shared" si="122"/>
        <v>0</v>
      </c>
      <c r="M251" s="15">
        <f t="shared" si="122"/>
        <v>0</v>
      </c>
      <c r="N251" s="15">
        <f t="shared" si="122"/>
        <v>0</v>
      </c>
      <c r="O251" s="15">
        <f t="shared" si="122"/>
        <v>0</v>
      </c>
      <c r="P251" s="16"/>
      <c r="Q251" s="15">
        <f>Q252</f>
        <v>0</v>
      </c>
      <c r="R251" s="15"/>
      <c r="S251" s="15"/>
      <c r="T251" s="15"/>
      <c r="U251" s="28"/>
      <c r="V251" s="139">
        <f aca="true" t="shared" si="123" ref="V251:V256">H251+L251+Q251</f>
        <v>142900000</v>
      </c>
      <c r="W251" s="139">
        <f aca="true" t="shared" si="124" ref="W251:W262">I251+M251+R251</f>
        <v>255304331</v>
      </c>
      <c r="X251" s="139">
        <f aca="true" t="shared" si="125" ref="X251:X262">J251+N251+S251</f>
        <v>247919995</v>
      </c>
      <c r="Y251" s="139">
        <f aca="true" t="shared" si="126" ref="Y251:Y262">K251+O251+T251</f>
        <v>148183328.68</v>
      </c>
      <c r="Z251" s="584"/>
    </row>
    <row r="252" spans="1:26" ht="13.5">
      <c r="A252" s="484"/>
      <c r="B252" s="483"/>
      <c r="C252" s="168" t="s">
        <v>82</v>
      </c>
      <c r="D252" s="2"/>
      <c r="E252" s="169"/>
      <c r="F252" s="355"/>
      <c r="G252" s="6" t="s">
        <v>83</v>
      </c>
      <c r="H252" s="16">
        <f aca="true" t="shared" si="127" ref="H252:O252">H253+H255</f>
        <v>142900000</v>
      </c>
      <c r="I252" s="16">
        <f t="shared" si="127"/>
        <v>255304331</v>
      </c>
      <c r="J252" s="16">
        <f t="shared" si="127"/>
        <v>247919995</v>
      </c>
      <c r="K252" s="16">
        <f t="shared" si="127"/>
        <v>148183328.68</v>
      </c>
      <c r="L252" s="15">
        <f t="shared" si="127"/>
        <v>0</v>
      </c>
      <c r="M252" s="15">
        <f t="shared" si="127"/>
        <v>0</v>
      </c>
      <c r="N252" s="15">
        <f t="shared" si="127"/>
        <v>0</v>
      </c>
      <c r="O252" s="15">
        <f t="shared" si="127"/>
        <v>0</v>
      </c>
      <c r="P252" s="16"/>
      <c r="Q252" s="15">
        <f>Q253+Q255</f>
        <v>0</v>
      </c>
      <c r="R252" s="15"/>
      <c r="S252" s="15"/>
      <c r="T252" s="15"/>
      <c r="U252" s="28"/>
      <c r="V252" s="139">
        <f t="shared" si="123"/>
        <v>142900000</v>
      </c>
      <c r="W252" s="139">
        <f t="shared" si="124"/>
        <v>255304331</v>
      </c>
      <c r="X252" s="139">
        <f t="shared" si="125"/>
        <v>247919995</v>
      </c>
      <c r="Y252" s="139">
        <f t="shared" si="126"/>
        <v>148183328.68</v>
      </c>
      <c r="Z252" s="584"/>
    </row>
    <row r="253" spans="1:26" ht="13.5">
      <c r="A253" s="484"/>
      <c r="B253" s="484"/>
      <c r="C253" s="400"/>
      <c r="D253" s="171" t="s">
        <v>472</v>
      </c>
      <c r="E253" s="168"/>
      <c r="F253" s="355"/>
      <c r="G253" s="166" t="s">
        <v>473</v>
      </c>
      <c r="H253" s="16">
        <f aca="true" t="shared" si="128" ref="H253:O253">H254</f>
        <v>120900000</v>
      </c>
      <c r="I253" s="16">
        <f t="shared" si="128"/>
        <v>212346667</v>
      </c>
      <c r="J253" s="16">
        <f t="shared" si="128"/>
        <v>204962331</v>
      </c>
      <c r="K253" s="16">
        <f t="shared" si="128"/>
        <v>109925664.68</v>
      </c>
      <c r="L253" s="15">
        <f t="shared" si="128"/>
        <v>0</v>
      </c>
      <c r="M253" s="15">
        <f t="shared" si="128"/>
        <v>0</v>
      </c>
      <c r="N253" s="15">
        <f t="shared" si="128"/>
        <v>0</v>
      </c>
      <c r="O253" s="15">
        <f t="shared" si="128"/>
        <v>0</v>
      </c>
      <c r="P253" s="16"/>
      <c r="Q253" s="15">
        <f>Q254</f>
        <v>0</v>
      </c>
      <c r="R253" s="15"/>
      <c r="S253" s="15"/>
      <c r="T253" s="15"/>
      <c r="U253" s="28"/>
      <c r="V253" s="139">
        <f t="shared" si="123"/>
        <v>120900000</v>
      </c>
      <c r="W253" s="139">
        <f t="shared" si="124"/>
        <v>212346667</v>
      </c>
      <c r="X253" s="139">
        <f t="shared" si="125"/>
        <v>204962331</v>
      </c>
      <c r="Y253" s="139">
        <f t="shared" si="126"/>
        <v>109925664.68</v>
      </c>
      <c r="Z253" s="584"/>
    </row>
    <row r="254" spans="1:26" ht="41.25">
      <c r="A254" s="484"/>
      <c r="B254" s="484"/>
      <c r="C254" s="401"/>
      <c r="D254" s="171"/>
      <c r="E254" s="168" t="s">
        <v>474</v>
      </c>
      <c r="F254" s="27" t="s">
        <v>918</v>
      </c>
      <c r="G254" s="69" t="s">
        <v>475</v>
      </c>
      <c r="H254" s="71">
        <v>120900000</v>
      </c>
      <c r="I254" s="71">
        <v>212346667</v>
      </c>
      <c r="J254" s="71">
        <v>204962331</v>
      </c>
      <c r="K254" s="71">
        <v>109925664.68</v>
      </c>
      <c r="L254" s="15">
        <v>0</v>
      </c>
      <c r="M254" s="15"/>
      <c r="N254" s="15"/>
      <c r="O254" s="15"/>
      <c r="P254" s="131"/>
      <c r="Q254" s="15">
        <v>0</v>
      </c>
      <c r="R254" s="15"/>
      <c r="S254" s="15"/>
      <c r="T254" s="15"/>
      <c r="U254" s="73"/>
      <c r="V254" s="140">
        <f t="shared" si="123"/>
        <v>120900000</v>
      </c>
      <c r="W254" s="140">
        <f t="shared" si="124"/>
        <v>212346667</v>
      </c>
      <c r="X254" s="140">
        <f t="shared" si="125"/>
        <v>204962331</v>
      </c>
      <c r="Y254" s="140">
        <f t="shared" si="126"/>
        <v>109925664.68</v>
      </c>
      <c r="Z254" s="584"/>
    </row>
    <row r="255" spans="1:26" ht="13.5">
      <c r="A255" s="484"/>
      <c r="B255" s="484"/>
      <c r="C255" s="401"/>
      <c r="D255" s="171" t="s">
        <v>476</v>
      </c>
      <c r="E255" s="168"/>
      <c r="F255" s="355"/>
      <c r="G255" s="166" t="s">
        <v>477</v>
      </c>
      <c r="H255" s="16">
        <f>H256</f>
        <v>22000000</v>
      </c>
      <c r="I255" s="16">
        <f>I256</f>
        <v>42957664</v>
      </c>
      <c r="J255" s="16">
        <f>J256</f>
        <v>42957664</v>
      </c>
      <c r="K255" s="16">
        <f>K256</f>
        <v>38257664</v>
      </c>
      <c r="L255" s="15">
        <f>L256</f>
        <v>0</v>
      </c>
      <c r="M255" s="15"/>
      <c r="N255" s="15"/>
      <c r="O255" s="15"/>
      <c r="P255" s="16"/>
      <c r="Q255" s="15">
        <f>Q256</f>
        <v>0</v>
      </c>
      <c r="R255" s="15"/>
      <c r="S255" s="15"/>
      <c r="T255" s="15"/>
      <c r="U255" s="28"/>
      <c r="V255" s="139">
        <f t="shared" si="123"/>
        <v>22000000</v>
      </c>
      <c r="W255" s="139">
        <f t="shared" si="124"/>
        <v>42957664</v>
      </c>
      <c r="X255" s="139">
        <f t="shared" si="125"/>
        <v>42957664</v>
      </c>
      <c r="Y255" s="139">
        <f t="shared" si="126"/>
        <v>38257664</v>
      </c>
      <c r="Z255" s="584"/>
    </row>
    <row r="256" spans="1:26" ht="55.5" thickBot="1">
      <c r="A256" s="484"/>
      <c r="B256" s="484"/>
      <c r="C256" s="401"/>
      <c r="D256" s="256"/>
      <c r="E256" s="244" t="s">
        <v>478</v>
      </c>
      <c r="F256" s="363" t="s">
        <v>919</v>
      </c>
      <c r="G256" s="246" t="s">
        <v>479</v>
      </c>
      <c r="H256" s="247">
        <v>22000000</v>
      </c>
      <c r="I256" s="247">
        <v>42957664</v>
      </c>
      <c r="J256" s="247">
        <v>42957664</v>
      </c>
      <c r="K256" s="247">
        <v>38257664</v>
      </c>
      <c r="L256" s="239">
        <v>0</v>
      </c>
      <c r="M256" s="239"/>
      <c r="N256" s="239"/>
      <c r="O256" s="239"/>
      <c r="P256" s="235"/>
      <c r="Q256" s="239">
        <v>0</v>
      </c>
      <c r="R256" s="239"/>
      <c r="S256" s="239"/>
      <c r="T256" s="239"/>
      <c r="U256" s="262"/>
      <c r="V256" s="146">
        <f t="shared" si="123"/>
        <v>22000000</v>
      </c>
      <c r="W256" s="146">
        <f t="shared" si="124"/>
        <v>42957664</v>
      </c>
      <c r="X256" s="146">
        <f t="shared" si="125"/>
        <v>42957664</v>
      </c>
      <c r="Y256" s="146">
        <f t="shared" si="126"/>
        <v>38257664</v>
      </c>
      <c r="Z256" s="585"/>
    </row>
    <row r="257" spans="1:26" ht="13.5" customHeight="1" thickBot="1">
      <c r="A257" s="396" t="s">
        <v>95</v>
      </c>
      <c r="B257" s="396"/>
      <c r="C257" s="396"/>
      <c r="D257" s="396"/>
      <c r="E257" s="396"/>
      <c r="F257" s="396"/>
      <c r="G257" s="396"/>
      <c r="H257" s="309">
        <f>H258+H271+H276</f>
        <v>938050000</v>
      </c>
      <c r="I257" s="309">
        <f>I258+I271+I276</f>
        <v>1864723783.02</v>
      </c>
      <c r="J257" s="309">
        <f>J258+J271+J276</f>
        <v>1763602328</v>
      </c>
      <c r="K257" s="309">
        <f>K258+K271+K276</f>
        <v>1349095384</v>
      </c>
      <c r="L257" s="309">
        <f>L258+L271+L276</f>
        <v>0</v>
      </c>
      <c r="M257" s="309"/>
      <c r="N257" s="309"/>
      <c r="O257" s="309"/>
      <c r="P257" s="309"/>
      <c r="Q257" s="309">
        <f>Q258+Q271+Q276</f>
        <v>0</v>
      </c>
      <c r="R257" s="309"/>
      <c r="S257" s="309"/>
      <c r="T257" s="309"/>
      <c r="U257" s="269"/>
      <c r="V257" s="312">
        <f aca="true" t="shared" si="129" ref="V257:V262">H257+L257+Q257</f>
        <v>938050000</v>
      </c>
      <c r="W257" s="312">
        <f t="shared" si="124"/>
        <v>1864723783.02</v>
      </c>
      <c r="X257" s="312">
        <f t="shared" si="125"/>
        <v>1763602328</v>
      </c>
      <c r="Y257" s="312">
        <f t="shared" si="126"/>
        <v>1349095384</v>
      </c>
      <c r="Z257" s="583">
        <v>10</v>
      </c>
    </row>
    <row r="258" spans="1:26" ht="13.5">
      <c r="A258" s="242">
        <v>3</v>
      </c>
      <c r="B258" s="242"/>
      <c r="C258" s="245"/>
      <c r="D258" s="189"/>
      <c r="E258" s="245"/>
      <c r="F258" s="351"/>
      <c r="G258" s="174" t="s">
        <v>84</v>
      </c>
      <c r="H258" s="240">
        <f>H259</f>
        <v>229000000</v>
      </c>
      <c r="I258" s="240">
        <f aca="true" t="shared" si="130" ref="I258:K259">I259</f>
        <v>553066785</v>
      </c>
      <c r="J258" s="240">
        <f t="shared" si="130"/>
        <v>514293350</v>
      </c>
      <c r="K258" s="240">
        <f t="shared" si="130"/>
        <v>409530016</v>
      </c>
      <c r="L258" s="240">
        <f>L259</f>
        <v>0</v>
      </c>
      <c r="M258" s="240"/>
      <c r="N258" s="240"/>
      <c r="O258" s="240"/>
      <c r="P258" s="240"/>
      <c r="Q258" s="240">
        <f>Q259</f>
        <v>0</v>
      </c>
      <c r="R258" s="240"/>
      <c r="S258" s="240"/>
      <c r="T258" s="240"/>
      <c r="U258" s="263"/>
      <c r="V258" s="138">
        <f t="shared" si="129"/>
        <v>229000000</v>
      </c>
      <c r="W258" s="138">
        <f t="shared" si="124"/>
        <v>553066785</v>
      </c>
      <c r="X258" s="138">
        <f t="shared" si="125"/>
        <v>514293350</v>
      </c>
      <c r="Y258" s="138">
        <f t="shared" si="126"/>
        <v>409530016</v>
      </c>
      <c r="Z258" s="584"/>
    </row>
    <row r="259" spans="1:26" ht="27">
      <c r="A259" s="483"/>
      <c r="B259" s="168" t="s">
        <v>85</v>
      </c>
      <c r="C259" s="2"/>
      <c r="D259" s="168"/>
      <c r="E259" s="48"/>
      <c r="F259" s="365"/>
      <c r="G259" s="166" t="s">
        <v>86</v>
      </c>
      <c r="H259" s="15">
        <f>H260</f>
        <v>229000000</v>
      </c>
      <c r="I259" s="15">
        <f t="shared" si="130"/>
        <v>553066785</v>
      </c>
      <c r="J259" s="15">
        <f t="shared" si="130"/>
        <v>514293350</v>
      </c>
      <c r="K259" s="15">
        <f t="shared" si="130"/>
        <v>409530016</v>
      </c>
      <c r="L259" s="15">
        <f>L260+L267+L269</f>
        <v>0</v>
      </c>
      <c r="M259" s="15"/>
      <c r="N259" s="15"/>
      <c r="O259" s="15"/>
      <c r="P259" s="15"/>
      <c r="Q259" s="15">
        <f>Q260+Q267+Q269</f>
        <v>0</v>
      </c>
      <c r="R259" s="15"/>
      <c r="S259" s="15"/>
      <c r="T259" s="15"/>
      <c r="U259" s="73"/>
      <c r="V259" s="139">
        <f t="shared" si="129"/>
        <v>229000000</v>
      </c>
      <c r="W259" s="139">
        <f t="shared" si="124"/>
        <v>553066785</v>
      </c>
      <c r="X259" s="139">
        <f t="shared" si="125"/>
        <v>514293350</v>
      </c>
      <c r="Y259" s="139">
        <f t="shared" si="126"/>
        <v>409530016</v>
      </c>
      <c r="Z259" s="584"/>
    </row>
    <row r="260" spans="1:26" ht="13.5">
      <c r="A260" s="484"/>
      <c r="B260" s="483"/>
      <c r="C260" s="168" t="s">
        <v>87</v>
      </c>
      <c r="D260" s="2"/>
      <c r="E260" s="169"/>
      <c r="F260" s="355"/>
      <c r="G260" s="166" t="s">
        <v>88</v>
      </c>
      <c r="H260" s="15">
        <f>H261+H267+H269</f>
        <v>229000000</v>
      </c>
      <c r="I260" s="15">
        <f>I261+I267+I269</f>
        <v>553066785</v>
      </c>
      <c r="J260" s="15">
        <f>J261+J267+J269</f>
        <v>514293350</v>
      </c>
      <c r="K260" s="15">
        <f>K261+K267+K269</f>
        <v>409530016</v>
      </c>
      <c r="L260" s="15">
        <f>L261+L267+L269</f>
        <v>0</v>
      </c>
      <c r="M260" s="15"/>
      <c r="N260" s="15"/>
      <c r="O260" s="15"/>
      <c r="P260" s="15"/>
      <c r="Q260" s="15">
        <f>Q261+Q267+Q269</f>
        <v>0</v>
      </c>
      <c r="R260" s="15"/>
      <c r="S260" s="15"/>
      <c r="T260" s="15"/>
      <c r="U260" s="28"/>
      <c r="V260" s="139">
        <f t="shared" si="129"/>
        <v>229000000</v>
      </c>
      <c r="W260" s="139">
        <f t="shared" si="124"/>
        <v>553066785</v>
      </c>
      <c r="X260" s="139">
        <f t="shared" si="125"/>
        <v>514293350</v>
      </c>
      <c r="Y260" s="139">
        <f t="shared" si="126"/>
        <v>409530016</v>
      </c>
      <c r="Z260" s="584"/>
    </row>
    <row r="261" spans="1:26" ht="13.5">
      <c r="A261" s="484"/>
      <c r="B261" s="484"/>
      <c r="C261" s="521"/>
      <c r="D261" s="168" t="s">
        <v>480</v>
      </c>
      <c r="E261" s="170"/>
      <c r="F261" s="355"/>
      <c r="G261" s="166" t="s">
        <v>481</v>
      </c>
      <c r="H261" s="15">
        <f>H262+H266</f>
        <v>164100000</v>
      </c>
      <c r="I261" s="15">
        <f>I262+I266</f>
        <v>476720119</v>
      </c>
      <c r="J261" s="15">
        <f>J262+J266</f>
        <v>437946684</v>
      </c>
      <c r="K261" s="15">
        <f>K262+K266</f>
        <v>344873350</v>
      </c>
      <c r="L261" s="15">
        <f>L262+L266</f>
        <v>0</v>
      </c>
      <c r="M261" s="15"/>
      <c r="N261" s="15"/>
      <c r="O261" s="15"/>
      <c r="P261" s="15"/>
      <c r="Q261" s="15">
        <f>Q262+Q266</f>
        <v>0</v>
      </c>
      <c r="R261" s="15"/>
      <c r="S261" s="15"/>
      <c r="T261" s="15"/>
      <c r="U261" s="15"/>
      <c r="V261" s="139">
        <f t="shared" si="129"/>
        <v>164100000</v>
      </c>
      <c r="W261" s="139">
        <f t="shared" si="124"/>
        <v>476720119</v>
      </c>
      <c r="X261" s="139">
        <f t="shared" si="125"/>
        <v>437946684</v>
      </c>
      <c r="Y261" s="139">
        <f t="shared" si="126"/>
        <v>344873350</v>
      </c>
      <c r="Z261" s="584"/>
    </row>
    <row r="262" spans="1:26" ht="13.5">
      <c r="A262" s="484"/>
      <c r="B262" s="484"/>
      <c r="C262" s="522"/>
      <c r="D262" s="400"/>
      <c r="E262" s="170" t="s">
        <v>482</v>
      </c>
      <c r="F262" s="497" t="s">
        <v>920</v>
      </c>
      <c r="G262" s="494" t="s">
        <v>483</v>
      </c>
      <c r="H262" s="409">
        <v>67100000</v>
      </c>
      <c r="I262" s="409">
        <v>286430123</v>
      </c>
      <c r="J262" s="409">
        <v>273146688</v>
      </c>
      <c r="K262" s="409">
        <v>205773354</v>
      </c>
      <c r="L262" s="409">
        <v>0</v>
      </c>
      <c r="M262" s="409"/>
      <c r="N262" s="409"/>
      <c r="O262" s="409"/>
      <c r="P262" s="409"/>
      <c r="Q262" s="409">
        <v>0</v>
      </c>
      <c r="R262" s="409"/>
      <c r="S262" s="409"/>
      <c r="T262" s="409"/>
      <c r="U262" s="409"/>
      <c r="V262" s="412">
        <f t="shared" si="129"/>
        <v>67100000</v>
      </c>
      <c r="W262" s="412">
        <f t="shared" si="124"/>
        <v>286430123</v>
      </c>
      <c r="X262" s="412">
        <f t="shared" si="125"/>
        <v>273146688</v>
      </c>
      <c r="Y262" s="412">
        <f t="shared" si="126"/>
        <v>205773354</v>
      </c>
      <c r="Z262" s="584"/>
    </row>
    <row r="263" spans="1:26" ht="13.5">
      <c r="A263" s="484"/>
      <c r="B263" s="484"/>
      <c r="C263" s="522"/>
      <c r="D263" s="401"/>
      <c r="E263" s="170" t="s">
        <v>484</v>
      </c>
      <c r="F263" s="498"/>
      <c r="G263" s="500"/>
      <c r="H263" s="410"/>
      <c r="I263" s="410"/>
      <c r="J263" s="410"/>
      <c r="K263" s="410"/>
      <c r="L263" s="410"/>
      <c r="M263" s="410"/>
      <c r="N263" s="410"/>
      <c r="O263" s="410"/>
      <c r="P263" s="410"/>
      <c r="Q263" s="410"/>
      <c r="R263" s="410"/>
      <c r="S263" s="410"/>
      <c r="T263" s="410"/>
      <c r="U263" s="410"/>
      <c r="V263" s="413"/>
      <c r="W263" s="413"/>
      <c r="X263" s="413"/>
      <c r="Y263" s="413"/>
      <c r="Z263" s="584"/>
    </row>
    <row r="264" spans="1:26" ht="13.5">
      <c r="A264" s="484"/>
      <c r="B264" s="484"/>
      <c r="C264" s="522"/>
      <c r="D264" s="401"/>
      <c r="E264" s="170" t="s">
        <v>485</v>
      </c>
      <c r="F264" s="498"/>
      <c r="G264" s="500"/>
      <c r="H264" s="410"/>
      <c r="I264" s="410"/>
      <c r="J264" s="410"/>
      <c r="K264" s="410"/>
      <c r="L264" s="410"/>
      <c r="M264" s="410"/>
      <c r="N264" s="410"/>
      <c r="O264" s="410"/>
      <c r="P264" s="410"/>
      <c r="Q264" s="410"/>
      <c r="R264" s="410"/>
      <c r="S264" s="410"/>
      <c r="T264" s="410"/>
      <c r="U264" s="410"/>
      <c r="V264" s="413"/>
      <c r="W264" s="413"/>
      <c r="X264" s="413"/>
      <c r="Y264" s="413"/>
      <c r="Z264" s="584"/>
    </row>
    <row r="265" spans="1:26" ht="13.5">
      <c r="A265" s="484"/>
      <c r="B265" s="484"/>
      <c r="C265" s="522"/>
      <c r="D265" s="401"/>
      <c r="E265" s="170" t="s">
        <v>486</v>
      </c>
      <c r="F265" s="499"/>
      <c r="G265" s="495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  <c r="T265" s="411"/>
      <c r="U265" s="411"/>
      <c r="V265" s="414"/>
      <c r="W265" s="414"/>
      <c r="X265" s="414"/>
      <c r="Y265" s="414"/>
      <c r="Z265" s="584"/>
    </row>
    <row r="266" spans="1:26" ht="27">
      <c r="A266" s="484"/>
      <c r="B266" s="484"/>
      <c r="C266" s="522"/>
      <c r="D266" s="402"/>
      <c r="E266" s="170" t="s">
        <v>487</v>
      </c>
      <c r="F266" s="27" t="s">
        <v>921</v>
      </c>
      <c r="G266" s="69" t="s">
        <v>488</v>
      </c>
      <c r="H266" s="68">
        <v>97000000</v>
      </c>
      <c r="I266" s="68">
        <v>190289996</v>
      </c>
      <c r="J266" s="68">
        <v>164799996</v>
      </c>
      <c r="K266" s="68">
        <v>139099996</v>
      </c>
      <c r="L266" s="68">
        <v>0</v>
      </c>
      <c r="M266" s="68"/>
      <c r="N266" s="68"/>
      <c r="O266" s="68"/>
      <c r="P266" s="75"/>
      <c r="Q266" s="68">
        <v>0</v>
      </c>
      <c r="R266" s="68"/>
      <c r="S266" s="68"/>
      <c r="T266" s="68"/>
      <c r="U266" s="73"/>
      <c r="V266" s="140">
        <f>H266+L266+Q266</f>
        <v>97000000</v>
      </c>
      <c r="W266" s="140">
        <f aca="true" t="shared" si="131" ref="W266:Y280">I266+M266+R266</f>
        <v>190289996</v>
      </c>
      <c r="X266" s="140">
        <f t="shared" si="131"/>
        <v>164799996</v>
      </c>
      <c r="Y266" s="140">
        <f t="shared" si="131"/>
        <v>139099996</v>
      </c>
      <c r="Z266" s="584"/>
    </row>
    <row r="267" spans="1:26" ht="27">
      <c r="A267" s="484"/>
      <c r="B267" s="484"/>
      <c r="C267" s="522"/>
      <c r="D267" s="168" t="s">
        <v>489</v>
      </c>
      <c r="E267" s="170"/>
      <c r="F267" s="355"/>
      <c r="G267" s="166" t="s">
        <v>490</v>
      </c>
      <c r="H267" s="15">
        <f>H268</f>
        <v>29700000</v>
      </c>
      <c r="I267" s="15">
        <f>I268</f>
        <v>47706666</v>
      </c>
      <c r="J267" s="15">
        <f>J268</f>
        <v>47706666</v>
      </c>
      <c r="K267" s="15">
        <f>K268</f>
        <v>39216666</v>
      </c>
      <c r="L267" s="15">
        <f>L268</f>
        <v>0</v>
      </c>
      <c r="M267" s="15"/>
      <c r="N267" s="15"/>
      <c r="O267" s="15"/>
      <c r="P267" s="15"/>
      <c r="Q267" s="15">
        <f>Q268</f>
        <v>0</v>
      </c>
      <c r="R267" s="15"/>
      <c r="S267" s="15"/>
      <c r="T267" s="15"/>
      <c r="U267" s="28"/>
      <c r="V267" s="110">
        <f>H267+L267+Q267</f>
        <v>29700000</v>
      </c>
      <c r="W267" s="110">
        <f t="shared" si="131"/>
        <v>47706666</v>
      </c>
      <c r="X267" s="110">
        <f t="shared" si="131"/>
        <v>47706666</v>
      </c>
      <c r="Y267" s="110">
        <f t="shared" si="131"/>
        <v>39216666</v>
      </c>
      <c r="Z267" s="584"/>
    </row>
    <row r="268" spans="1:26" ht="27" customHeight="1">
      <c r="A268" s="484"/>
      <c r="B268" s="484"/>
      <c r="C268" s="522"/>
      <c r="D268" s="168"/>
      <c r="E268" s="170" t="s">
        <v>491</v>
      </c>
      <c r="F268" s="363" t="s">
        <v>922</v>
      </c>
      <c r="G268" s="116" t="s">
        <v>511</v>
      </c>
      <c r="H268" s="66">
        <v>29700000</v>
      </c>
      <c r="I268" s="66">
        <v>47706666</v>
      </c>
      <c r="J268" s="66">
        <v>47706666</v>
      </c>
      <c r="K268" s="66">
        <v>39216666</v>
      </c>
      <c r="L268" s="15">
        <v>0</v>
      </c>
      <c r="M268" s="125"/>
      <c r="N268" s="125"/>
      <c r="O268" s="125"/>
      <c r="P268" s="66"/>
      <c r="Q268" s="15">
        <v>0</v>
      </c>
      <c r="R268" s="125"/>
      <c r="S268" s="125"/>
      <c r="T268" s="125"/>
      <c r="U268" s="66"/>
      <c r="V268" s="143">
        <f>H268+L268+Q268</f>
        <v>29700000</v>
      </c>
      <c r="W268" s="143">
        <f t="shared" si="131"/>
        <v>47706666</v>
      </c>
      <c r="X268" s="143">
        <f t="shared" si="131"/>
        <v>47706666</v>
      </c>
      <c r="Y268" s="143">
        <f t="shared" si="131"/>
        <v>39216666</v>
      </c>
      <c r="Z268" s="584"/>
    </row>
    <row r="269" spans="1:26" ht="27">
      <c r="A269" s="484"/>
      <c r="B269" s="484"/>
      <c r="C269" s="522"/>
      <c r="D269" s="168" t="s">
        <v>492</v>
      </c>
      <c r="E269" s="170"/>
      <c r="F269" s="355"/>
      <c r="G269" s="166" t="s">
        <v>493</v>
      </c>
      <c r="H269" s="15">
        <f>H270</f>
        <v>35200000</v>
      </c>
      <c r="I269" s="15">
        <f>I270</f>
        <v>28640000</v>
      </c>
      <c r="J269" s="15">
        <f>J270</f>
        <v>28640000</v>
      </c>
      <c r="K269" s="15">
        <f>K270</f>
        <v>25440000</v>
      </c>
      <c r="L269" s="68">
        <f>L270</f>
        <v>0</v>
      </c>
      <c r="M269" s="68"/>
      <c r="N269" s="68"/>
      <c r="O269" s="68"/>
      <c r="P269" s="68"/>
      <c r="Q269" s="68">
        <f>Q270</f>
        <v>0</v>
      </c>
      <c r="R269" s="68"/>
      <c r="S269" s="68"/>
      <c r="T269" s="68"/>
      <c r="U269" s="73"/>
      <c r="V269" s="145">
        <f aca="true" t="shared" si="132" ref="V269:V280">H269+L269+Q269</f>
        <v>35200000</v>
      </c>
      <c r="W269" s="145">
        <f t="shared" si="131"/>
        <v>28640000</v>
      </c>
      <c r="X269" s="145">
        <f t="shared" si="131"/>
        <v>28640000</v>
      </c>
      <c r="Y269" s="145">
        <f t="shared" si="131"/>
        <v>25440000</v>
      </c>
      <c r="Z269" s="584"/>
    </row>
    <row r="270" spans="1:26" ht="27">
      <c r="A270" s="530"/>
      <c r="B270" s="530"/>
      <c r="C270" s="523"/>
      <c r="D270" s="168"/>
      <c r="E270" s="170" t="s">
        <v>494</v>
      </c>
      <c r="F270" s="27" t="s">
        <v>920</v>
      </c>
      <c r="G270" s="69" t="s">
        <v>483</v>
      </c>
      <c r="H270" s="68">
        <v>35200000</v>
      </c>
      <c r="I270" s="68">
        <v>28640000</v>
      </c>
      <c r="J270" s="68">
        <v>28640000</v>
      </c>
      <c r="K270" s="68">
        <v>25440000</v>
      </c>
      <c r="L270" s="68">
        <v>0</v>
      </c>
      <c r="M270" s="68"/>
      <c r="N270" s="68"/>
      <c r="O270" s="68"/>
      <c r="P270" s="75"/>
      <c r="Q270" s="68">
        <v>0</v>
      </c>
      <c r="R270" s="68"/>
      <c r="S270" s="68"/>
      <c r="T270" s="68"/>
      <c r="U270" s="73"/>
      <c r="V270" s="145">
        <f>H270+L270+Q270</f>
        <v>35200000</v>
      </c>
      <c r="W270" s="145">
        <f t="shared" si="131"/>
        <v>28640000</v>
      </c>
      <c r="X270" s="145">
        <f t="shared" si="131"/>
        <v>28640000</v>
      </c>
      <c r="Y270" s="145">
        <f t="shared" si="131"/>
        <v>25440000</v>
      </c>
      <c r="Z270" s="584"/>
    </row>
    <row r="271" spans="1:26" ht="13.5">
      <c r="A271" s="28">
        <v>4</v>
      </c>
      <c r="B271" s="28"/>
      <c r="C271" s="168"/>
      <c r="D271" s="169"/>
      <c r="E271" s="168"/>
      <c r="F271" s="355"/>
      <c r="G271" s="166" t="s">
        <v>44</v>
      </c>
      <c r="H271" s="15">
        <f>H272</f>
        <v>35200000</v>
      </c>
      <c r="I271" s="15">
        <f aca="true" t="shared" si="133" ref="I271:K274">I272</f>
        <v>18559999</v>
      </c>
      <c r="J271" s="15">
        <f t="shared" si="133"/>
        <v>18559999</v>
      </c>
      <c r="K271" s="15">
        <f t="shared" si="133"/>
        <v>5013333</v>
      </c>
      <c r="L271" s="15">
        <f>L272</f>
        <v>0</v>
      </c>
      <c r="M271" s="15"/>
      <c r="N271" s="15"/>
      <c r="O271" s="15"/>
      <c r="P271" s="15"/>
      <c r="Q271" s="15">
        <f>Q272</f>
        <v>0</v>
      </c>
      <c r="R271" s="15"/>
      <c r="S271" s="15"/>
      <c r="T271" s="15"/>
      <c r="U271" s="28"/>
      <c r="V271" s="110">
        <f t="shared" si="132"/>
        <v>35200000</v>
      </c>
      <c r="W271" s="110">
        <f t="shared" si="131"/>
        <v>18559999</v>
      </c>
      <c r="X271" s="110">
        <f t="shared" si="131"/>
        <v>18559999</v>
      </c>
      <c r="Y271" s="110">
        <f t="shared" si="131"/>
        <v>5013333</v>
      </c>
      <c r="Z271" s="584"/>
    </row>
    <row r="272" spans="1:26" ht="13.5">
      <c r="A272" s="483"/>
      <c r="B272" s="168" t="s">
        <v>45</v>
      </c>
      <c r="C272" s="2"/>
      <c r="D272" s="168"/>
      <c r="E272" s="48"/>
      <c r="F272" s="365"/>
      <c r="G272" s="166" t="s">
        <v>46</v>
      </c>
      <c r="H272" s="15">
        <f>H273</f>
        <v>35200000</v>
      </c>
      <c r="I272" s="15">
        <f t="shared" si="133"/>
        <v>18559999</v>
      </c>
      <c r="J272" s="15">
        <f t="shared" si="133"/>
        <v>18559999</v>
      </c>
      <c r="K272" s="15">
        <f t="shared" si="133"/>
        <v>5013333</v>
      </c>
      <c r="L272" s="15">
        <f>L273</f>
        <v>0</v>
      </c>
      <c r="M272" s="15"/>
      <c r="N272" s="15"/>
      <c r="O272" s="15"/>
      <c r="P272" s="15"/>
      <c r="Q272" s="15">
        <f>Q273</f>
        <v>0</v>
      </c>
      <c r="R272" s="15"/>
      <c r="S272" s="15"/>
      <c r="T272" s="15"/>
      <c r="U272" s="28"/>
      <c r="V272" s="110">
        <f t="shared" si="132"/>
        <v>35200000</v>
      </c>
      <c r="W272" s="110">
        <f t="shared" si="131"/>
        <v>18559999</v>
      </c>
      <c r="X272" s="110">
        <f t="shared" si="131"/>
        <v>18559999</v>
      </c>
      <c r="Y272" s="110">
        <f t="shared" si="131"/>
        <v>5013333</v>
      </c>
      <c r="Z272" s="584"/>
    </row>
    <row r="273" spans="1:26" ht="13.5">
      <c r="A273" s="484"/>
      <c r="B273" s="483"/>
      <c r="C273" s="168" t="s">
        <v>89</v>
      </c>
      <c r="D273" s="2"/>
      <c r="E273" s="169"/>
      <c r="F273" s="355"/>
      <c r="G273" s="166" t="s">
        <v>90</v>
      </c>
      <c r="H273" s="15">
        <f>H274</f>
        <v>35200000</v>
      </c>
      <c r="I273" s="15">
        <f t="shared" si="133"/>
        <v>18559999</v>
      </c>
      <c r="J273" s="15">
        <f t="shared" si="133"/>
        <v>18559999</v>
      </c>
      <c r="K273" s="15">
        <f t="shared" si="133"/>
        <v>5013333</v>
      </c>
      <c r="L273" s="15">
        <f>L274</f>
        <v>0</v>
      </c>
      <c r="M273" s="15"/>
      <c r="N273" s="15"/>
      <c r="O273" s="15"/>
      <c r="P273" s="15"/>
      <c r="Q273" s="15">
        <f>Q274</f>
        <v>0</v>
      </c>
      <c r="R273" s="15"/>
      <c r="S273" s="15"/>
      <c r="T273" s="15"/>
      <c r="U273" s="28"/>
      <c r="V273" s="110">
        <f t="shared" si="132"/>
        <v>35200000</v>
      </c>
      <c r="W273" s="110">
        <f t="shared" si="131"/>
        <v>18559999</v>
      </c>
      <c r="X273" s="110">
        <f t="shared" si="131"/>
        <v>18559999</v>
      </c>
      <c r="Y273" s="110">
        <f t="shared" si="131"/>
        <v>5013333</v>
      </c>
      <c r="Z273" s="584"/>
    </row>
    <row r="274" spans="1:26" ht="27">
      <c r="A274" s="484"/>
      <c r="B274" s="484"/>
      <c r="C274" s="521"/>
      <c r="D274" s="168" t="s">
        <v>495</v>
      </c>
      <c r="E274" s="170"/>
      <c r="F274" s="355"/>
      <c r="G274" s="166" t="s">
        <v>496</v>
      </c>
      <c r="H274" s="15">
        <f>H275</f>
        <v>35200000</v>
      </c>
      <c r="I274" s="15">
        <f t="shared" si="133"/>
        <v>18559999</v>
      </c>
      <c r="J274" s="15">
        <f t="shared" si="133"/>
        <v>18559999</v>
      </c>
      <c r="K274" s="15">
        <f t="shared" si="133"/>
        <v>5013333</v>
      </c>
      <c r="L274" s="15">
        <f>L275</f>
        <v>0</v>
      </c>
      <c r="M274" s="15"/>
      <c r="N274" s="15"/>
      <c r="O274" s="15"/>
      <c r="P274" s="15"/>
      <c r="Q274" s="15">
        <f>Q275</f>
        <v>0</v>
      </c>
      <c r="R274" s="15"/>
      <c r="S274" s="15"/>
      <c r="T274" s="15"/>
      <c r="U274" s="28"/>
      <c r="V274" s="110">
        <f t="shared" si="132"/>
        <v>35200000</v>
      </c>
      <c r="W274" s="110">
        <f t="shared" si="131"/>
        <v>18559999</v>
      </c>
      <c r="X274" s="110">
        <f t="shared" si="131"/>
        <v>18559999</v>
      </c>
      <c r="Y274" s="110">
        <f t="shared" si="131"/>
        <v>5013333</v>
      </c>
      <c r="Z274" s="584"/>
    </row>
    <row r="275" spans="1:26" ht="27">
      <c r="A275" s="530"/>
      <c r="B275" s="530"/>
      <c r="C275" s="523"/>
      <c r="D275" s="168"/>
      <c r="E275" s="170" t="s">
        <v>497</v>
      </c>
      <c r="F275" s="27" t="s">
        <v>920</v>
      </c>
      <c r="G275" s="69" t="s">
        <v>483</v>
      </c>
      <c r="H275" s="68">
        <v>35200000</v>
      </c>
      <c r="I275" s="68">
        <v>18559999</v>
      </c>
      <c r="J275" s="68">
        <v>18559999</v>
      </c>
      <c r="K275" s="68">
        <v>5013333</v>
      </c>
      <c r="L275" s="68">
        <v>0</v>
      </c>
      <c r="M275" s="68"/>
      <c r="N275" s="68"/>
      <c r="O275" s="68"/>
      <c r="P275" s="75"/>
      <c r="Q275" s="68">
        <v>0</v>
      </c>
      <c r="R275" s="68"/>
      <c r="S275" s="68"/>
      <c r="T275" s="68"/>
      <c r="U275" s="73"/>
      <c r="V275" s="110">
        <f>H275+L275+Q275</f>
        <v>35200000</v>
      </c>
      <c r="W275" s="110">
        <f t="shared" si="131"/>
        <v>18559999</v>
      </c>
      <c r="X275" s="110">
        <f t="shared" si="131"/>
        <v>18559999</v>
      </c>
      <c r="Y275" s="110">
        <f t="shared" si="131"/>
        <v>5013333</v>
      </c>
      <c r="Z275" s="584"/>
    </row>
    <row r="276" spans="1:26" ht="13.5">
      <c r="A276" s="28">
        <v>5</v>
      </c>
      <c r="B276" s="28"/>
      <c r="C276" s="168"/>
      <c r="D276" s="169"/>
      <c r="E276" s="168"/>
      <c r="F276" s="355"/>
      <c r="G276" s="166" t="s">
        <v>14</v>
      </c>
      <c r="H276" s="15">
        <f>H277</f>
        <v>673850000</v>
      </c>
      <c r="I276" s="15">
        <f>I277</f>
        <v>1293096999.02</v>
      </c>
      <c r="J276" s="15">
        <f>J277</f>
        <v>1230748979</v>
      </c>
      <c r="K276" s="15">
        <f>K277</f>
        <v>934552035</v>
      </c>
      <c r="L276" s="15">
        <f>L277</f>
        <v>0</v>
      </c>
      <c r="M276" s="15"/>
      <c r="N276" s="15"/>
      <c r="O276" s="15"/>
      <c r="P276" s="15"/>
      <c r="Q276" s="15">
        <f>Q277</f>
        <v>0</v>
      </c>
      <c r="R276" s="15"/>
      <c r="S276" s="15"/>
      <c r="T276" s="15"/>
      <c r="U276" s="73"/>
      <c r="V276" s="139">
        <f t="shared" si="132"/>
        <v>673850000</v>
      </c>
      <c r="W276" s="139">
        <f t="shared" si="131"/>
        <v>1293096999.02</v>
      </c>
      <c r="X276" s="139">
        <f t="shared" si="131"/>
        <v>1230748979</v>
      </c>
      <c r="Y276" s="139">
        <f t="shared" si="131"/>
        <v>934552035</v>
      </c>
      <c r="Z276" s="584"/>
    </row>
    <row r="277" spans="1:26" ht="27">
      <c r="A277" s="483"/>
      <c r="B277" s="168" t="s">
        <v>15</v>
      </c>
      <c r="C277" s="2"/>
      <c r="D277" s="168"/>
      <c r="E277" s="48"/>
      <c r="F277" s="365"/>
      <c r="G277" s="166" t="s">
        <v>16</v>
      </c>
      <c r="H277" s="15">
        <f>H278+H282</f>
        <v>673850000</v>
      </c>
      <c r="I277" s="15">
        <f>I278+I282</f>
        <v>1293096999.02</v>
      </c>
      <c r="J277" s="15">
        <f>J278+J282</f>
        <v>1230748979</v>
      </c>
      <c r="K277" s="15">
        <f>K278+K282</f>
        <v>934552035</v>
      </c>
      <c r="L277" s="15">
        <f>L278</f>
        <v>0</v>
      </c>
      <c r="M277" s="15"/>
      <c r="N277" s="15"/>
      <c r="O277" s="15"/>
      <c r="P277" s="15"/>
      <c r="Q277" s="15">
        <f>Q278</f>
        <v>0</v>
      </c>
      <c r="R277" s="15"/>
      <c r="S277" s="15"/>
      <c r="T277" s="15"/>
      <c r="U277" s="73"/>
      <c r="V277" s="139">
        <f t="shared" si="132"/>
        <v>673850000</v>
      </c>
      <c r="W277" s="139">
        <f t="shared" si="131"/>
        <v>1293096999.02</v>
      </c>
      <c r="X277" s="139">
        <f t="shared" si="131"/>
        <v>1230748979</v>
      </c>
      <c r="Y277" s="139">
        <f t="shared" si="131"/>
        <v>934552035</v>
      </c>
      <c r="Z277" s="584"/>
    </row>
    <row r="278" spans="1:26" ht="16.5" customHeight="1">
      <c r="A278" s="484"/>
      <c r="B278" s="483"/>
      <c r="C278" s="168" t="s">
        <v>91</v>
      </c>
      <c r="D278" s="2"/>
      <c r="E278" s="169"/>
      <c r="F278" s="355"/>
      <c r="G278" s="166" t="s">
        <v>92</v>
      </c>
      <c r="H278" s="15">
        <f>H279</f>
        <v>37400000</v>
      </c>
      <c r="I278" s="15">
        <f aca="true" t="shared" si="134" ref="I278:K279">I279</f>
        <v>106873333.02</v>
      </c>
      <c r="J278" s="15">
        <f t="shared" si="134"/>
        <v>106873332</v>
      </c>
      <c r="K278" s="15">
        <f t="shared" si="134"/>
        <v>88073332</v>
      </c>
      <c r="L278" s="15">
        <f>L279</f>
        <v>0</v>
      </c>
      <c r="M278" s="15"/>
      <c r="N278" s="15"/>
      <c r="O278" s="15"/>
      <c r="P278" s="15"/>
      <c r="Q278" s="15">
        <f>Q279</f>
        <v>0</v>
      </c>
      <c r="R278" s="15"/>
      <c r="S278" s="15"/>
      <c r="T278" s="15"/>
      <c r="U278" s="28"/>
      <c r="V278" s="139">
        <f t="shared" si="132"/>
        <v>37400000</v>
      </c>
      <c r="W278" s="139">
        <f t="shared" si="131"/>
        <v>106873333.02</v>
      </c>
      <c r="X278" s="139">
        <f t="shared" si="131"/>
        <v>106873332</v>
      </c>
      <c r="Y278" s="139">
        <f t="shared" si="131"/>
        <v>88073332</v>
      </c>
      <c r="Z278" s="584"/>
    </row>
    <row r="279" spans="1:26" ht="16.5" customHeight="1">
      <c r="A279" s="484"/>
      <c r="B279" s="484"/>
      <c r="C279" s="400"/>
      <c r="D279" s="162" t="s">
        <v>498</v>
      </c>
      <c r="E279" s="170"/>
      <c r="F279" s="355"/>
      <c r="G279" s="166" t="s">
        <v>499</v>
      </c>
      <c r="H279" s="15">
        <f>H280</f>
        <v>37400000</v>
      </c>
      <c r="I279" s="15">
        <f t="shared" si="134"/>
        <v>106873333.02</v>
      </c>
      <c r="J279" s="15">
        <f t="shared" si="134"/>
        <v>106873332</v>
      </c>
      <c r="K279" s="15">
        <f t="shared" si="134"/>
        <v>88073332</v>
      </c>
      <c r="L279" s="15">
        <f>L280</f>
        <v>0</v>
      </c>
      <c r="M279" s="15"/>
      <c r="N279" s="15"/>
      <c r="O279" s="15"/>
      <c r="P279" s="15"/>
      <c r="Q279" s="15">
        <f>Q280</f>
        <v>0</v>
      </c>
      <c r="R279" s="15"/>
      <c r="S279" s="15"/>
      <c r="T279" s="15"/>
      <c r="U279" s="15"/>
      <c r="V279" s="139">
        <f t="shared" si="132"/>
        <v>37400000</v>
      </c>
      <c r="W279" s="139">
        <f t="shared" si="131"/>
        <v>106873333.02</v>
      </c>
      <c r="X279" s="139">
        <f t="shared" si="131"/>
        <v>106873332</v>
      </c>
      <c r="Y279" s="139">
        <f t="shared" si="131"/>
        <v>88073332</v>
      </c>
      <c r="Z279" s="584"/>
    </row>
    <row r="280" spans="1:26" ht="21" customHeight="1">
      <c r="A280" s="484"/>
      <c r="B280" s="484"/>
      <c r="C280" s="401"/>
      <c r="D280" s="400"/>
      <c r="E280" s="170" t="s">
        <v>500</v>
      </c>
      <c r="F280" s="497" t="s">
        <v>923</v>
      </c>
      <c r="G280" s="494" t="s">
        <v>501</v>
      </c>
      <c r="H280" s="409">
        <v>37400000</v>
      </c>
      <c r="I280" s="409">
        <v>106873333.02</v>
      </c>
      <c r="J280" s="409">
        <v>106873332</v>
      </c>
      <c r="K280" s="409">
        <v>88073332</v>
      </c>
      <c r="L280" s="409">
        <v>0</v>
      </c>
      <c r="M280" s="409"/>
      <c r="N280" s="409"/>
      <c r="O280" s="409"/>
      <c r="P280" s="409"/>
      <c r="Q280" s="409">
        <v>0</v>
      </c>
      <c r="R280" s="409"/>
      <c r="S280" s="409"/>
      <c r="T280" s="409"/>
      <c r="U280" s="409"/>
      <c r="V280" s="412">
        <f t="shared" si="132"/>
        <v>37400000</v>
      </c>
      <c r="W280" s="412">
        <f t="shared" si="131"/>
        <v>106873333.02</v>
      </c>
      <c r="X280" s="412">
        <f t="shared" si="131"/>
        <v>106873332</v>
      </c>
      <c r="Y280" s="412">
        <f t="shared" si="131"/>
        <v>88073332</v>
      </c>
      <c r="Z280" s="584"/>
    </row>
    <row r="281" spans="1:26" ht="16.5" customHeight="1">
      <c r="A281" s="484"/>
      <c r="B281" s="484"/>
      <c r="C281" s="402"/>
      <c r="D281" s="402"/>
      <c r="E281" s="170" t="s">
        <v>502</v>
      </c>
      <c r="F281" s="499"/>
      <c r="G281" s="495"/>
      <c r="H281" s="411"/>
      <c r="I281" s="411"/>
      <c r="J281" s="411"/>
      <c r="K281" s="411"/>
      <c r="L281" s="411"/>
      <c r="M281" s="411"/>
      <c r="N281" s="411"/>
      <c r="O281" s="411"/>
      <c r="P281" s="411"/>
      <c r="Q281" s="411"/>
      <c r="R281" s="411"/>
      <c r="S281" s="411"/>
      <c r="T281" s="411"/>
      <c r="U281" s="411"/>
      <c r="V281" s="414"/>
      <c r="W281" s="414"/>
      <c r="X281" s="414"/>
      <c r="Y281" s="414"/>
      <c r="Z281" s="584"/>
    </row>
    <row r="282" spans="1:26" ht="16.5" customHeight="1">
      <c r="A282" s="484"/>
      <c r="B282" s="484"/>
      <c r="C282" s="168" t="s">
        <v>93</v>
      </c>
      <c r="D282" s="169"/>
      <c r="E282" s="169"/>
      <c r="F282" s="355"/>
      <c r="G282" s="166" t="s">
        <v>94</v>
      </c>
      <c r="H282" s="15">
        <f>H283+H286+H289+H292</f>
        <v>636450000</v>
      </c>
      <c r="I282" s="15">
        <f>I283+I286+I289+I292</f>
        <v>1186223666</v>
      </c>
      <c r="J282" s="15">
        <f>J283+J286+J289+J292</f>
        <v>1123875647</v>
      </c>
      <c r="K282" s="15">
        <f>K283+K286+K289+K292</f>
        <v>846478703</v>
      </c>
      <c r="L282" s="15">
        <f>L283</f>
        <v>0</v>
      </c>
      <c r="M282" s="15"/>
      <c r="N282" s="15"/>
      <c r="O282" s="15"/>
      <c r="P282" s="15"/>
      <c r="Q282" s="15">
        <f>Q283+Q286</f>
        <v>0</v>
      </c>
      <c r="R282" s="15"/>
      <c r="S282" s="15"/>
      <c r="T282" s="15"/>
      <c r="U282" s="15"/>
      <c r="V282" s="139">
        <f>H282+L282+Q282</f>
        <v>636450000</v>
      </c>
      <c r="W282" s="139">
        <f aca="true" t="shared" si="135" ref="W282:Y284">I282+M282+R282</f>
        <v>1186223666</v>
      </c>
      <c r="X282" s="139">
        <f t="shared" si="135"/>
        <v>1123875647</v>
      </c>
      <c r="Y282" s="139">
        <f t="shared" si="135"/>
        <v>846478703</v>
      </c>
      <c r="Z282" s="584"/>
    </row>
    <row r="283" spans="1:26" ht="16.5" customHeight="1">
      <c r="A283" s="484"/>
      <c r="B283" s="484"/>
      <c r="C283" s="400"/>
      <c r="D283" s="168" t="s">
        <v>503</v>
      </c>
      <c r="E283" s="170"/>
      <c r="F283" s="31"/>
      <c r="G283" s="6" t="s">
        <v>504</v>
      </c>
      <c r="H283" s="15">
        <f>H284</f>
        <v>27500000</v>
      </c>
      <c r="I283" s="15">
        <f>I284</f>
        <v>36236666</v>
      </c>
      <c r="J283" s="15">
        <f>J284</f>
        <v>33336666</v>
      </c>
      <c r="K283" s="15">
        <f>K284</f>
        <v>28736666</v>
      </c>
      <c r="L283" s="15">
        <f>L284</f>
        <v>0</v>
      </c>
      <c r="M283" s="15"/>
      <c r="N283" s="15"/>
      <c r="O283" s="15"/>
      <c r="P283" s="15"/>
      <c r="Q283" s="15">
        <f>Q284</f>
        <v>0</v>
      </c>
      <c r="R283" s="15"/>
      <c r="S283" s="15"/>
      <c r="T283" s="15"/>
      <c r="U283" s="15"/>
      <c r="V283" s="139">
        <f>H283+L283+Q283</f>
        <v>27500000</v>
      </c>
      <c r="W283" s="139">
        <f t="shared" si="135"/>
        <v>36236666</v>
      </c>
      <c r="X283" s="139">
        <f t="shared" si="135"/>
        <v>33336666</v>
      </c>
      <c r="Y283" s="139">
        <f t="shared" si="135"/>
        <v>28736666</v>
      </c>
      <c r="Z283" s="584"/>
    </row>
    <row r="284" spans="1:26" ht="19.5" customHeight="1">
      <c r="A284" s="484"/>
      <c r="B284" s="484"/>
      <c r="C284" s="401"/>
      <c r="D284" s="400"/>
      <c r="E284" s="170" t="s">
        <v>505</v>
      </c>
      <c r="F284" s="497" t="s">
        <v>924</v>
      </c>
      <c r="G284" s="494" t="s">
        <v>506</v>
      </c>
      <c r="H284" s="409">
        <v>27500000</v>
      </c>
      <c r="I284" s="409">
        <v>36236666</v>
      </c>
      <c r="J284" s="409">
        <v>33336666</v>
      </c>
      <c r="K284" s="409">
        <v>28736666</v>
      </c>
      <c r="L284" s="409">
        <v>0</v>
      </c>
      <c r="M284" s="409"/>
      <c r="N284" s="409"/>
      <c r="O284" s="409"/>
      <c r="P284" s="409"/>
      <c r="Q284" s="409"/>
      <c r="R284" s="409"/>
      <c r="S284" s="409"/>
      <c r="T284" s="409"/>
      <c r="U284" s="409"/>
      <c r="V284" s="412">
        <f>H284+L284+Q284</f>
        <v>27500000</v>
      </c>
      <c r="W284" s="412">
        <f t="shared" si="135"/>
        <v>36236666</v>
      </c>
      <c r="X284" s="412">
        <f t="shared" si="135"/>
        <v>33336666</v>
      </c>
      <c r="Y284" s="412">
        <f t="shared" si="135"/>
        <v>28736666</v>
      </c>
      <c r="Z284" s="584"/>
    </row>
    <row r="285" spans="1:26" ht="14.25" customHeight="1">
      <c r="A285" s="484"/>
      <c r="B285" s="484"/>
      <c r="C285" s="401"/>
      <c r="D285" s="402"/>
      <c r="E285" s="170" t="s">
        <v>507</v>
      </c>
      <c r="F285" s="499"/>
      <c r="G285" s="495"/>
      <c r="H285" s="411"/>
      <c r="I285" s="411"/>
      <c r="J285" s="411"/>
      <c r="K285" s="411"/>
      <c r="L285" s="411"/>
      <c r="M285" s="411"/>
      <c r="N285" s="411"/>
      <c r="O285" s="411"/>
      <c r="P285" s="411"/>
      <c r="Q285" s="411"/>
      <c r="R285" s="411"/>
      <c r="S285" s="411"/>
      <c r="T285" s="411"/>
      <c r="U285" s="411"/>
      <c r="V285" s="414"/>
      <c r="W285" s="414"/>
      <c r="X285" s="414"/>
      <c r="Y285" s="414"/>
      <c r="Z285" s="584"/>
    </row>
    <row r="286" spans="1:26" ht="16.5" customHeight="1">
      <c r="A286" s="484"/>
      <c r="B286" s="484"/>
      <c r="C286" s="401"/>
      <c r="D286" s="168" t="s">
        <v>508</v>
      </c>
      <c r="E286" s="168"/>
      <c r="F286" s="351"/>
      <c r="G286" s="174" t="s">
        <v>509</v>
      </c>
      <c r="H286" s="15">
        <f>H287+H288</f>
        <v>391250000</v>
      </c>
      <c r="I286" s="15">
        <f>I287+I288</f>
        <v>735590335</v>
      </c>
      <c r="J286" s="15">
        <f>J287+J288</f>
        <v>718430316</v>
      </c>
      <c r="K286" s="15">
        <f>K287+K288</f>
        <v>561339372</v>
      </c>
      <c r="L286" s="15">
        <f>L287+L288</f>
        <v>0</v>
      </c>
      <c r="M286" s="15"/>
      <c r="N286" s="15"/>
      <c r="O286" s="15"/>
      <c r="P286" s="15"/>
      <c r="Q286" s="15">
        <f>Q287+Q288</f>
        <v>0</v>
      </c>
      <c r="R286" s="15"/>
      <c r="S286" s="15"/>
      <c r="T286" s="15"/>
      <c r="U286" s="15"/>
      <c r="V286" s="139">
        <f>H286+L286+Q286</f>
        <v>391250000</v>
      </c>
      <c r="W286" s="139">
        <f aca="true" t="shared" si="136" ref="W286:Y290">I286+M286+R286</f>
        <v>735590335</v>
      </c>
      <c r="X286" s="139">
        <f t="shared" si="136"/>
        <v>718430316</v>
      </c>
      <c r="Y286" s="139">
        <f t="shared" si="136"/>
        <v>561339372</v>
      </c>
      <c r="Z286" s="584"/>
    </row>
    <row r="287" spans="1:26" ht="27">
      <c r="A287" s="484"/>
      <c r="B287" s="484"/>
      <c r="C287" s="401"/>
      <c r="D287" s="400"/>
      <c r="E287" s="176" t="s">
        <v>510</v>
      </c>
      <c r="F287" s="363" t="s">
        <v>922</v>
      </c>
      <c r="G287" s="69" t="s">
        <v>511</v>
      </c>
      <c r="H287" s="68">
        <v>89300000</v>
      </c>
      <c r="I287" s="68">
        <v>147150336</v>
      </c>
      <c r="J287" s="68">
        <v>147150336</v>
      </c>
      <c r="K287" s="68">
        <v>103606059</v>
      </c>
      <c r="L287" s="68">
        <v>0</v>
      </c>
      <c r="M287" s="68"/>
      <c r="N287" s="68"/>
      <c r="O287" s="68"/>
      <c r="P287" s="68"/>
      <c r="Q287" s="68">
        <v>0</v>
      </c>
      <c r="R287" s="68"/>
      <c r="S287" s="68"/>
      <c r="T287" s="68"/>
      <c r="U287" s="68"/>
      <c r="V287" s="139">
        <f>H287+L287+Q287</f>
        <v>89300000</v>
      </c>
      <c r="W287" s="139">
        <f t="shared" si="136"/>
        <v>147150336</v>
      </c>
      <c r="X287" s="139">
        <f t="shared" si="136"/>
        <v>147150336</v>
      </c>
      <c r="Y287" s="139">
        <f t="shared" si="136"/>
        <v>103606059</v>
      </c>
      <c r="Z287" s="584"/>
    </row>
    <row r="288" spans="1:26" ht="59.25" customHeight="1">
      <c r="A288" s="484"/>
      <c r="B288" s="484"/>
      <c r="C288" s="401"/>
      <c r="D288" s="402"/>
      <c r="E288" s="170" t="s">
        <v>512</v>
      </c>
      <c r="F288" s="27" t="s">
        <v>925</v>
      </c>
      <c r="G288" s="69" t="s">
        <v>513</v>
      </c>
      <c r="H288" s="68">
        <v>301950000</v>
      </c>
      <c r="I288" s="68">
        <v>588439999</v>
      </c>
      <c r="J288" s="68">
        <v>571279980</v>
      </c>
      <c r="K288" s="68">
        <v>457733313</v>
      </c>
      <c r="L288" s="68">
        <v>0</v>
      </c>
      <c r="M288" s="68"/>
      <c r="N288" s="68"/>
      <c r="O288" s="68"/>
      <c r="P288" s="68"/>
      <c r="Q288" s="68">
        <v>0</v>
      </c>
      <c r="R288" s="68"/>
      <c r="S288" s="68"/>
      <c r="T288" s="68"/>
      <c r="U288" s="68"/>
      <c r="V288" s="139">
        <f>H288+L288+Q288</f>
        <v>301950000</v>
      </c>
      <c r="W288" s="139">
        <f t="shared" si="136"/>
        <v>588439999</v>
      </c>
      <c r="X288" s="139">
        <f t="shared" si="136"/>
        <v>571279980</v>
      </c>
      <c r="Y288" s="139">
        <f t="shared" si="136"/>
        <v>457733313</v>
      </c>
      <c r="Z288" s="584"/>
    </row>
    <row r="289" spans="1:26" ht="27">
      <c r="A289" s="484"/>
      <c r="B289" s="484"/>
      <c r="C289" s="401"/>
      <c r="D289" s="168" t="s">
        <v>514</v>
      </c>
      <c r="E289" s="168"/>
      <c r="F289" s="351"/>
      <c r="G289" s="174" t="s">
        <v>515</v>
      </c>
      <c r="H289" s="15">
        <f>H290</f>
        <v>29700000</v>
      </c>
      <c r="I289" s="15">
        <f>I290</f>
        <v>52830000</v>
      </c>
      <c r="J289" s="15">
        <f>J290</f>
        <v>52830000</v>
      </c>
      <c r="K289" s="15">
        <f>K290</f>
        <v>42030000</v>
      </c>
      <c r="L289" s="15">
        <f>L290</f>
        <v>0</v>
      </c>
      <c r="M289" s="15"/>
      <c r="N289" s="15"/>
      <c r="O289" s="15"/>
      <c r="P289" s="15"/>
      <c r="Q289" s="15">
        <f>Q290</f>
        <v>0</v>
      </c>
      <c r="R289" s="15"/>
      <c r="S289" s="15"/>
      <c r="T289" s="15"/>
      <c r="U289" s="15"/>
      <c r="V289" s="139">
        <f>H289+L289+Q289</f>
        <v>29700000</v>
      </c>
      <c r="W289" s="139">
        <f t="shared" si="136"/>
        <v>52830000</v>
      </c>
      <c r="X289" s="139">
        <f t="shared" si="136"/>
        <v>52830000</v>
      </c>
      <c r="Y289" s="139">
        <f t="shared" si="136"/>
        <v>42030000</v>
      </c>
      <c r="Z289" s="584"/>
    </row>
    <row r="290" spans="1:26" ht="12.75" customHeight="1">
      <c r="A290" s="484"/>
      <c r="B290" s="484"/>
      <c r="C290" s="401"/>
      <c r="D290" s="400"/>
      <c r="E290" s="170" t="s">
        <v>516</v>
      </c>
      <c r="F290" s="497" t="s">
        <v>926</v>
      </c>
      <c r="G290" s="494" t="s">
        <v>517</v>
      </c>
      <c r="H290" s="409">
        <v>29700000</v>
      </c>
      <c r="I290" s="409">
        <v>52830000</v>
      </c>
      <c r="J290" s="409">
        <v>52830000</v>
      </c>
      <c r="K290" s="409">
        <v>42030000</v>
      </c>
      <c r="L290" s="409">
        <v>0</v>
      </c>
      <c r="M290" s="409"/>
      <c r="N290" s="409"/>
      <c r="O290" s="409"/>
      <c r="P290" s="409"/>
      <c r="Q290" s="409">
        <v>0</v>
      </c>
      <c r="R290" s="409"/>
      <c r="S290" s="409"/>
      <c r="T290" s="409"/>
      <c r="U290" s="409"/>
      <c r="V290" s="412">
        <f>H290+L290+Q290</f>
        <v>29700000</v>
      </c>
      <c r="W290" s="412">
        <f t="shared" si="136"/>
        <v>52830000</v>
      </c>
      <c r="X290" s="412">
        <f t="shared" si="136"/>
        <v>52830000</v>
      </c>
      <c r="Y290" s="412">
        <f t="shared" si="136"/>
        <v>42030000</v>
      </c>
      <c r="Z290" s="584"/>
    </row>
    <row r="291" spans="1:26" ht="12.75" customHeight="1">
      <c r="A291" s="484"/>
      <c r="B291" s="484"/>
      <c r="C291" s="401"/>
      <c r="D291" s="402"/>
      <c r="E291" s="170" t="s">
        <v>518</v>
      </c>
      <c r="F291" s="499"/>
      <c r="G291" s="495"/>
      <c r="H291" s="411"/>
      <c r="I291" s="411"/>
      <c r="J291" s="411"/>
      <c r="K291" s="411"/>
      <c r="L291" s="411"/>
      <c r="M291" s="411"/>
      <c r="N291" s="411"/>
      <c r="O291" s="411"/>
      <c r="P291" s="411"/>
      <c r="Q291" s="411"/>
      <c r="R291" s="411"/>
      <c r="S291" s="411"/>
      <c r="T291" s="411"/>
      <c r="U291" s="411"/>
      <c r="V291" s="414"/>
      <c r="W291" s="414"/>
      <c r="X291" s="414"/>
      <c r="Y291" s="414"/>
      <c r="Z291" s="584"/>
    </row>
    <row r="292" spans="1:26" ht="13.5">
      <c r="A292" s="484"/>
      <c r="B292" s="484"/>
      <c r="C292" s="401"/>
      <c r="D292" s="168" t="s">
        <v>519</v>
      </c>
      <c r="E292" s="168"/>
      <c r="F292" s="351"/>
      <c r="G292" s="174" t="s">
        <v>520</v>
      </c>
      <c r="H292" s="15">
        <f>H293+H294+H296</f>
        <v>188000000</v>
      </c>
      <c r="I292" s="15">
        <f>I293+I294+I296</f>
        <v>361566665</v>
      </c>
      <c r="J292" s="15">
        <f>J293+J294+J296</f>
        <v>319278665</v>
      </c>
      <c r="K292" s="15">
        <f>K293+K294+K296</f>
        <v>214372665</v>
      </c>
      <c r="L292" s="15">
        <f>L293+L294+L296</f>
        <v>0</v>
      </c>
      <c r="M292" s="133"/>
      <c r="N292" s="133"/>
      <c r="O292" s="133"/>
      <c r="P292" s="133"/>
      <c r="Q292" s="133">
        <f>Q293+Q294+Q296</f>
        <v>0</v>
      </c>
      <c r="R292" s="133"/>
      <c r="S292" s="133"/>
      <c r="T292" s="133"/>
      <c r="U292" s="133"/>
      <c r="V292" s="139">
        <f>H292+L292+Q292</f>
        <v>188000000</v>
      </c>
      <c r="W292" s="139">
        <f aca="true" t="shared" si="137" ref="W292:Y294">I292+M292+R292</f>
        <v>361566665</v>
      </c>
      <c r="X292" s="139">
        <f t="shared" si="137"/>
        <v>319278665</v>
      </c>
      <c r="Y292" s="139">
        <f t="shared" si="137"/>
        <v>214372665</v>
      </c>
      <c r="Z292" s="584"/>
    </row>
    <row r="293" spans="1:26" ht="41.25">
      <c r="A293" s="484"/>
      <c r="B293" s="484"/>
      <c r="C293" s="401"/>
      <c r="D293" s="400"/>
      <c r="E293" s="170" t="s">
        <v>521</v>
      </c>
      <c r="F293" s="27" t="s">
        <v>927</v>
      </c>
      <c r="G293" s="69" t="s">
        <v>522</v>
      </c>
      <c r="H293" s="68">
        <v>43450000</v>
      </c>
      <c r="I293" s="68">
        <v>112853333</v>
      </c>
      <c r="J293" s="68">
        <v>91723333</v>
      </c>
      <c r="K293" s="68">
        <v>73583333</v>
      </c>
      <c r="L293" s="68">
        <v>0</v>
      </c>
      <c r="M293" s="68"/>
      <c r="N293" s="68"/>
      <c r="O293" s="68"/>
      <c r="P293" s="75"/>
      <c r="Q293" s="68">
        <v>0</v>
      </c>
      <c r="R293" s="68"/>
      <c r="S293" s="68"/>
      <c r="T293" s="68"/>
      <c r="U293" s="73"/>
      <c r="V293" s="140">
        <f>H293+L293+Q293</f>
        <v>43450000</v>
      </c>
      <c r="W293" s="140">
        <f t="shared" si="137"/>
        <v>112853333</v>
      </c>
      <c r="X293" s="140">
        <f t="shared" si="137"/>
        <v>91723333</v>
      </c>
      <c r="Y293" s="140">
        <f t="shared" si="137"/>
        <v>73583333</v>
      </c>
      <c r="Z293" s="584"/>
    </row>
    <row r="294" spans="1:26" s="63" customFormat="1" ht="25.5" customHeight="1">
      <c r="A294" s="484"/>
      <c r="B294" s="484"/>
      <c r="C294" s="401"/>
      <c r="D294" s="401"/>
      <c r="E294" s="170" t="s">
        <v>523</v>
      </c>
      <c r="F294" s="497" t="s">
        <v>928</v>
      </c>
      <c r="G294" s="494" t="s">
        <v>524</v>
      </c>
      <c r="H294" s="409">
        <v>44550000</v>
      </c>
      <c r="I294" s="409">
        <v>148713332</v>
      </c>
      <c r="J294" s="409">
        <v>138213332</v>
      </c>
      <c r="K294" s="409">
        <v>107963332</v>
      </c>
      <c r="L294" s="409">
        <v>0</v>
      </c>
      <c r="M294" s="409"/>
      <c r="N294" s="409"/>
      <c r="O294" s="409"/>
      <c r="P294" s="409"/>
      <c r="Q294" s="409">
        <v>0</v>
      </c>
      <c r="R294" s="409"/>
      <c r="S294" s="409"/>
      <c r="T294" s="409"/>
      <c r="U294" s="409"/>
      <c r="V294" s="412">
        <f>H294+L294+Q294</f>
        <v>44550000</v>
      </c>
      <c r="W294" s="412">
        <f t="shared" si="137"/>
        <v>148713332</v>
      </c>
      <c r="X294" s="412">
        <f t="shared" si="137"/>
        <v>138213332</v>
      </c>
      <c r="Y294" s="412">
        <f t="shared" si="137"/>
        <v>107963332</v>
      </c>
      <c r="Z294" s="584"/>
    </row>
    <row r="295" spans="1:26" s="63" customFormat="1" ht="18.75" customHeight="1">
      <c r="A295" s="484"/>
      <c r="B295" s="484"/>
      <c r="C295" s="401"/>
      <c r="D295" s="401"/>
      <c r="E295" s="170" t="s">
        <v>525</v>
      </c>
      <c r="F295" s="499"/>
      <c r="G295" s="495"/>
      <c r="H295" s="411"/>
      <c r="I295" s="411"/>
      <c r="J295" s="411"/>
      <c r="K295" s="411"/>
      <c r="L295" s="411"/>
      <c r="M295" s="411"/>
      <c r="N295" s="411"/>
      <c r="O295" s="411"/>
      <c r="P295" s="411"/>
      <c r="Q295" s="411"/>
      <c r="R295" s="411"/>
      <c r="S295" s="411"/>
      <c r="T295" s="411"/>
      <c r="U295" s="411"/>
      <c r="V295" s="414"/>
      <c r="W295" s="414"/>
      <c r="X295" s="414"/>
      <c r="Y295" s="414"/>
      <c r="Z295" s="584"/>
    </row>
    <row r="296" spans="1:26" ht="27.75" thickBot="1">
      <c r="A296" s="484"/>
      <c r="B296" s="484"/>
      <c r="C296" s="401"/>
      <c r="D296" s="401"/>
      <c r="E296" s="243" t="s">
        <v>526</v>
      </c>
      <c r="F296" s="363" t="s">
        <v>929</v>
      </c>
      <c r="G296" s="246" t="s">
        <v>527</v>
      </c>
      <c r="H296" s="236">
        <v>100000000</v>
      </c>
      <c r="I296" s="236">
        <v>100000000</v>
      </c>
      <c r="J296" s="236">
        <v>89342000</v>
      </c>
      <c r="K296" s="236">
        <v>32826000</v>
      </c>
      <c r="L296" s="236">
        <v>0</v>
      </c>
      <c r="M296" s="236"/>
      <c r="N296" s="236"/>
      <c r="O296" s="236"/>
      <c r="P296" s="236"/>
      <c r="Q296" s="236">
        <v>0</v>
      </c>
      <c r="R296" s="236"/>
      <c r="S296" s="236"/>
      <c r="T296" s="236"/>
      <c r="U296" s="236"/>
      <c r="V296" s="146">
        <f>H296+L296+Q296</f>
        <v>100000000</v>
      </c>
      <c r="W296" s="146">
        <f aca="true" t="shared" si="138" ref="W296:Y301">I296+M296+R296</f>
        <v>100000000</v>
      </c>
      <c r="X296" s="146">
        <f t="shared" si="138"/>
        <v>89342000</v>
      </c>
      <c r="Y296" s="146">
        <f t="shared" si="138"/>
        <v>32826000</v>
      </c>
      <c r="Z296" s="585"/>
    </row>
    <row r="297" spans="1:26" ht="13.5" customHeight="1" thickBot="1">
      <c r="A297" s="396" t="s">
        <v>105</v>
      </c>
      <c r="B297" s="396"/>
      <c r="C297" s="396"/>
      <c r="D297" s="396"/>
      <c r="E297" s="396"/>
      <c r="F297" s="396"/>
      <c r="G297" s="396"/>
      <c r="H297" s="266">
        <f>H298</f>
        <v>2476245000</v>
      </c>
      <c r="I297" s="266">
        <f aca="true" t="shared" si="139" ref="I297:K298">I298</f>
        <v>4039419761.79</v>
      </c>
      <c r="J297" s="266">
        <f t="shared" si="139"/>
        <v>3754716342.5299997</v>
      </c>
      <c r="K297" s="266">
        <f t="shared" si="139"/>
        <v>2609572967.94</v>
      </c>
      <c r="L297" s="266">
        <f>L298</f>
        <v>2598403872.64</v>
      </c>
      <c r="M297" s="266">
        <f aca="true" t="shared" si="140" ref="M297:O298">M298</f>
        <v>54353022656.97</v>
      </c>
      <c r="N297" s="266">
        <f t="shared" si="140"/>
        <v>52719827970.990005</v>
      </c>
      <c r="O297" s="266">
        <f t="shared" si="140"/>
        <v>29321175209.35</v>
      </c>
      <c r="P297" s="266"/>
      <c r="Q297" s="266">
        <f>Q298</f>
        <v>1957162500</v>
      </c>
      <c r="R297" s="266">
        <f aca="true" t="shared" si="141" ref="R297:T298">R298</f>
        <v>1895949147</v>
      </c>
      <c r="S297" s="266">
        <f t="shared" si="141"/>
        <v>1895949147</v>
      </c>
      <c r="T297" s="266">
        <f t="shared" si="141"/>
        <v>0</v>
      </c>
      <c r="U297" s="269"/>
      <c r="V297" s="312">
        <f aca="true" t="shared" si="142" ref="V297:V302">H297+L297+Q297</f>
        <v>7031811372.639999</v>
      </c>
      <c r="W297" s="312">
        <f t="shared" si="138"/>
        <v>60288391565.76</v>
      </c>
      <c r="X297" s="312">
        <f t="shared" si="138"/>
        <v>58370493460.520004</v>
      </c>
      <c r="Y297" s="312">
        <f t="shared" si="138"/>
        <v>31930748177.289997</v>
      </c>
      <c r="Z297" s="583">
        <v>11</v>
      </c>
    </row>
    <row r="298" spans="1:26" ht="13.5">
      <c r="A298" s="242">
        <v>3</v>
      </c>
      <c r="B298" s="242"/>
      <c r="C298" s="245"/>
      <c r="D298" s="189"/>
      <c r="E298" s="245"/>
      <c r="F298" s="351"/>
      <c r="G298" s="174" t="s">
        <v>96</v>
      </c>
      <c r="H298" s="240">
        <f>H299</f>
        <v>2476245000</v>
      </c>
      <c r="I298" s="240">
        <f t="shared" si="139"/>
        <v>4039419761.79</v>
      </c>
      <c r="J298" s="240">
        <f t="shared" si="139"/>
        <v>3754716342.5299997</v>
      </c>
      <c r="K298" s="240">
        <f t="shared" si="139"/>
        <v>2609572967.94</v>
      </c>
      <c r="L298" s="240">
        <f>L299</f>
        <v>2598403872.64</v>
      </c>
      <c r="M298" s="240">
        <f t="shared" si="140"/>
        <v>54353022656.97</v>
      </c>
      <c r="N298" s="240">
        <f t="shared" si="140"/>
        <v>52719827970.990005</v>
      </c>
      <c r="O298" s="240">
        <f t="shared" si="140"/>
        <v>29321175209.35</v>
      </c>
      <c r="P298" s="240"/>
      <c r="Q298" s="240">
        <f>Q299</f>
        <v>1957162500</v>
      </c>
      <c r="R298" s="240">
        <f t="shared" si="141"/>
        <v>1895949147</v>
      </c>
      <c r="S298" s="240">
        <f t="shared" si="141"/>
        <v>1895949147</v>
      </c>
      <c r="T298" s="240">
        <f t="shared" si="141"/>
        <v>0</v>
      </c>
      <c r="U298" s="242"/>
      <c r="V298" s="138">
        <f t="shared" si="142"/>
        <v>7031811372.639999</v>
      </c>
      <c r="W298" s="138">
        <f t="shared" si="138"/>
        <v>60288391565.76</v>
      </c>
      <c r="X298" s="138">
        <f t="shared" si="138"/>
        <v>58370493460.520004</v>
      </c>
      <c r="Y298" s="138">
        <f t="shared" si="138"/>
        <v>31930748177.289997</v>
      </c>
      <c r="Z298" s="584"/>
    </row>
    <row r="299" spans="1:26" ht="15" customHeight="1">
      <c r="A299" s="483"/>
      <c r="B299" s="168" t="s">
        <v>97</v>
      </c>
      <c r="C299" s="2"/>
      <c r="D299" s="168"/>
      <c r="E299" s="48"/>
      <c r="F299" s="365"/>
      <c r="G299" s="166" t="s">
        <v>98</v>
      </c>
      <c r="H299" s="15">
        <f aca="true" t="shared" si="143" ref="H299:T299">H300+H309+H327</f>
        <v>2476245000</v>
      </c>
      <c r="I299" s="15">
        <f t="shared" si="143"/>
        <v>4039419761.79</v>
      </c>
      <c r="J299" s="15">
        <f t="shared" si="143"/>
        <v>3754716342.5299997</v>
      </c>
      <c r="K299" s="15">
        <f t="shared" si="143"/>
        <v>2609572967.94</v>
      </c>
      <c r="L299" s="15">
        <f t="shared" si="143"/>
        <v>2598403872.64</v>
      </c>
      <c r="M299" s="15">
        <f t="shared" si="143"/>
        <v>54353022656.97</v>
      </c>
      <c r="N299" s="15">
        <f t="shared" si="143"/>
        <v>52719827970.990005</v>
      </c>
      <c r="O299" s="15">
        <f t="shared" si="143"/>
        <v>29321175209.35</v>
      </c>
      <c r="P299" s="15">
        <f t="shared" si="143"/>
        <v>0</v>
      </c>
      <c r="Q299" s="15">
        <f t="shared" si="143"/>
        <v>1957162500</v>
      </c>
      <c r="R299" s="15">
        <f t="shared" si="143"/>
        <v>1895949147</v>
      </c>
      <c r="S299" s="15">
        <f t="shared" si="143"/>
        <v>1895949147</v>
      </c>
      <c r="T299" s="15">
        <f t="shared" si="143"/>
        <v>0</v>
      </c>
      <c r="U299" s="28"/>
      <c r="V299" s="139">
        <f t="shared" si="142"/>
        <v>7031811372.639999</v>
      </c>
      <c r="W299" s="139">
        <f t="shared" si="138"/>
        <v>60288391565.76</v>
      </c>
      <c r="X299" s="139">
        <f t="shared" si="138"/>
        <v>58370493460.520004</v>
      </c>
      <c r="Y299" s="139">
        <f t="shared" si="138"/>
        <v>31930748177.289997</v>
      </c>
      <c r="Z299" s="584"/>
    </row>
    <row r="300" spans="1:26" ht="27">
      <c r="A300" s="484"/>
      <c r="B300" s="483"/>
      <c r="C300" s="168" t="s">
        <v>99</v>
      </c>
      <c r="D300" s="2"/>
      <c r="E300" s="169"/>
      <c r="F300" s="355"/>
      <c r="G300" s="166" t="s">
        <v>100</v>
      </c>
      <c r="H300" s="15">
        <f>H301</f>
        <v>664600000</v>
      </c>
      <c r="I300" s="15">
        <f aca="true" t="shared" si="144" ref="I300:K301">I301</f>
        <v>1644934018</v>
      </c>
      <c r="J300" s="15">
        <f t="shared" si="144"/>
        <v>1620887369.81</v>
      </c>
      <c r="K300" s="15">
        <f t="shared" si="144"/>
        <v>1139296854.81</v>
      </c>
      <c r="L300" s="15">
        <f>L301</f>
        <v>283403872.64</v>
      </c>
      <c r="M300" s="15">
        <f aca="true" t="shared" si="145" ref="M300:O301">M301</f>
        <v>21178485668.27</v>
      </c>
      <c r="N300" s="15">
        <f t="shared" si="145"/>
        <v>21089616679.58</v>
      </c>
      <c r="O300" s="15">
        <f t="shared" si="145"/>
        <v>12212235639.22</v>
      </c>
      <c r="P300" s="15"/>
      <c r="Q300" s="15">
        <f>Q301</f>
        <v>0</v>
      </c>
      <c r="R300" s="15">
        <f aca="true" t="shared" si="146" ref="R300:T301">R301</f>
        <v>0</v>
      </c>
      <c r="S300" s="15">
        <f t="shared" si="146"/>
        <v>0</v>
      </c>
      <c r="T300" s="15">
        <f t="shared" si="146"/>
        <v>0</v>
      </c>
      <c r="U300" s="28"/>
      <c r="V300" s="139">
        <f t="shared" si="142"/>
        <v>948003872.64</v>
      </c>
      <c r="W300" s="139">
        <f t="shared" si="138"/>
        <v>22823419686.27</v>
      </c>
      <c r="X300" s="139">
        <f t="shared" si="138"/>
        <v>22710504049.390003</v>
      </c>
      <c r="Y300" s="139">
        <f t="shared" si="138"/>
        <v>13351532494.029999</v>
      </c>
      <c r="Z300" s="584"/>
    </row>
    <row r="301" spans="1:26" ht="27">
      <c r="A301" s="484"/>
      <c r="B301" s="484"/>
      <c r="C301" s="521"/>
      <c r="D301" s="168" t="s">
        <v>528</v>
      </c>
      <c r="E301" s="168"/>
      <c r="F301" s="355"/>
      <c r="G301" s="166" t="s">
        <v>529</v>
      </c>
      <c r="H301" s="15">
        <f>H302</f>
        <v>664600000</v>
      </c>
      <c r="I301" s="15">
        <f t="shared" si="144"/>
        <v>1644934018</v>
      </c>
      <c r="J301" s="15">
        <f t="shared" si="144"/>
        <v>1620887369.81</v>
      </c>
      <c r="K301" s="15">
        <f t="shared" si="144"/>
        <v>1139296854.81</v>
      </c>
      <c r="L301" s="15">
        <f>L302</f>
        <v>283403872.64</v>
      </c>
      <c r="M301" s="15">
        <f t="shared" si="145"/>
        <v>21178485668.27</v>
      </c>
      <c r="N301" s="15">
        <f t="shared" si="145"/>
        <v>21089616679.58</v>
      </c>
      <c r="O301" s="15">
        <f t="shared" si="145"/>
        <v>12212235639.22</v>
      </c>
      <c r="P301" s="15"/>
      <c r="Q301" s="15">
        <f>Q302</f>
        <v>0</v>
      </c>
      <c r="R301" s="15">
        <f t="shared" si="146"/>
        <v>0</v>
      </c>
      <c r="S301" s="15">
        <f t="shared" si="146"/>
        <v>0</v>
      </c>
      <c r="T301" s="15">
        <f t="shared" si="146"/>
        <v>0</v>
      </c>
      <c r="U301" s="28"/>
      <c r="V301" s="139">
        <f t="shared" si="142"/>
        <v>948003872.64</v>
      </c>
      <c r="W301" s="139">
        <f t="shared" si="138"/>
        <v>22823419686.27</v>
      </c>
      <c r="X301" s="139">
        <f t="shared" si="138"/>
        <v>22710504049.390003</v>
      </c>
      <c r="Y301" s="139">
        <f t="shared" si="138"/>
        <v>13351532494.029999</v>
      </c>
      <c r="Z301" s="584"/>
    </row>
    <row r="302" spans="1:26" ht="13.5">
      <c r="A302" s="484"/>
      <c r="B302" s="484"/>
      <c r="C302" s="522"/>
      <c r="D302" s="400"/>
      <c r="E302" s="170" t="s">
        <v>530</v>
      </c>
      <c r="F302" s="497" t="s">
        <v>930</v>
      </c>
      <c r="G302" s="494" t="s">
        <v>531</v>
      </c>
      <c r="H302" s="409">
        <v>664600000</v>
      </c>
      <c r="I302" s="409">
        <v>1644934018</v>
      </c>
      <c r="J302" s="409">
        <v>1620887369.81</v>
      </c>
      <c r="K302" s="409">
        <v>1139296854.81</v>
      </c>
      <c r="L302" s="409">
        <v>283403872.64</v>
      </c>
      <c r="M302" s="409">
        <v>21178485668.27</v>
      </c>
      <c r="N302" s="409">
        <v>21089616679.58</v>
      </c>
      <c r="O302" s="409">
        <v>12212235639.22</v>
      </c>
      <c r="P302" s="409" t="s">
        <v>1066</v>
      </c>
      <c r="Q302" s="409">
        <v>0</v>
      </c>
      <c r="R302" s="409"/>
      <c r="S302" s="409"/>
      <c r="T302" s="409"/>
      <c r="U302" s="409"/>
      <c r="V302" s="412">
        <f t="shared" si="142"/>
        <v>948003872.64</v>
      </c>
      <c r="W302" s="412"/>
      <c r="X302" s="412"/>
      <c r="Y302" s="412"/>
      <c r="Z302" s="584"/>
    </row>
    <row r="303" spans="1:26" ht="13.5">
      <c r="A303" s="484"/>
      <c r="B303" s="484"/>
      <c r="C303" s="522"/>
      <c r="D303" s="401"/>
      <c r="E303" s="170" t="s">
        <v>532</v>
      </c>
      <c r="F303" s="498"/>
      <c r="G303" s="500"/>
      <c r="H303" s="410"/>
      <c r="I303" s="410"/>
      <c r="J303" s="410"/>
      <c r="K303" s="410"/>
      <c r="L303" s="410"/>
      <c r="M303" s="410"/>
      <c r="N303" s="410"/>
      <c r="O303" s="410"/>
      <c r="P303" s="410"/>
      <c r="Q303" s="410"/>
      <c r="R303" s="410"/>
      <c r="S303" s="410"/>
      <c r="T303" s="410"/>
      <c r="U303" s="410"/>
      <c r="V303" s="413"/>
      <c r="W303" s="413"/>
      <c r="X303" s="413"/>
      <c r="Y303" s="413"/>
      <c r="Z303" s="584"/>
    </row>
    <row r="304" spans="1:26" ht="13.5">
      <c r="A304" s="484"/>
      <c r="B304" s="484"/>
      <c r="C304" s="522"/>
      <c r="D304" s="401"/>
      <c r="E304" s="170" t="s">
        <v>533</v>
      </c>
      <c r="F304" s="498"/>
      <c r="G304" s="500"/>
      <c r="H304" s="410"/>
      <c r="I304" s="410"/>
      <c r="J304" s="410"/>
      <c r="K304" s="410"/>
      <c r="L304" s="410"/>
      <c r="M304" s="410"/>
      <c r="N304" s="410"/>
      <c r="O304" s="410"/>
      <c r="P304" s="410"/>
      <c r="Q304" s="410"/>
      <c r="R304" s="410"/>
      <c r="S304" s="410"/>
      <c r="T304" s="410"/>
      <c r="U304" s="410"/>
      <c r="V304" s="413"/>
      <c r="W304" s="413"/>
      <c r="X304" s="413"/>
      <c r="Y304" s="413"/>
      <c r="Z304" s="584"/>
    </row>
    <row r="305" spans="1:26" ht="13.5">
      <c r="A305" s="484"/>
      <c r="B305" s="484"/>
      <c r="C305" s="522"/>
      <c r="D305" s="401"/>
      <c r="E305" s="170" t="s">
        <v>534</v>
      </c>
      <c r="F305" s="498"/>
      <c r="G305" s="500"/>
      <c r="H305" s="410"/>
      <c r="I305" s="410"/>
      <c r="J305" s="410"/>
      <c r="K305" s="410"/>
      <c r="L305" s="410"/>
      <c r="M305" s="410"/>
      <c r="N305" s="410"/>
      <c r="O305" s="410"/>
      <c r="P305" s="410"/>
      <c r="Q305" s="410"/>
      <c r="R305" s="410"/>
      <c r="S305" s="410"/>
      <c r="T305" s="410"/>
      <c r="U305" s="410"/>
      <c r="V305" s="413"/>
      <c r="W305" s="413"/>
      <c r="X305" s="413"/>
      <c r="Y305" s="413"/>
      <c r="Z305" s="584"/>
    </row>
    <row r="306" spans="1:26" ht="13.5">
      <c r="A306" s="484"/>
      <c r="B306" s="484"/>
      <c r="C306" s="522"/>
      <c r="D306" s="401"/>
      <c r="E306" s="170" t="s">
        <v>1042</v>
      </c>
      <c r="F306" s="498"/>
      <c r="G306" s="500"/>
      <c r="H306" s="410"/>
      <c r="I306" s="410"/>
      <c r="J306" s="410"/>
      <c r="K306" s="410"/>
      <c r="L306" s="410"/>
      <c r="M306" s="410"/>
      <c r="N306" s="410"/>
      <c r="O306" s="410"/>
      <c r="P306" s="410"/>
      <c r="Q306" s="410"/>
      <c r="R306" s="410"/>
      <c r="S306" s="410"/>
      <c r="T306" s="410"/>
      <c r="U306" s="410"/>
      <c r="V306" s="413"/>
      <c r="W306" s="413"/>
      <c r="X306" s="413"/>
      <c r="Y306" s="413"/>
      <c r="Z306" s="584"/>
    </row>
    <row r="307" spans="1:26" ht="13.5">
      <c r="A307" s="484"/>
      <c r="B307" s="484"/>
      <c r="C307" s="522"/>
      <c r="D307" s="401"/>
      <c r="E307" s="170" t="s">
        <v>535</v>
      </c>
      <c r="F307" s="498"/>
      <c r="G307" s="500"/>
      <c r="H307" s="410"/>
      <c r="I307" s="410"/>
      <c r="J307" s="410"/>
      <c r="K307" s="410"/>
      <c r="L307" s="410"/>
      <c r="M307" s="410"/>
      <c r="N307" s="410"/>
      <c r="O307" s="410"/>
      <c r="P307" s="410"/>
      <c r="Q307" s="410"/>
      <c r="R307" s="410"/>
      <c r="S307" s="410"/>
      <c r="T307" s="410"/>
      <c r="U307" s="410"/>
      <c r="V307" s="413"/>
      <c r="W307" s="413"/>
      <c r="X307" s="413"/>
      <c r="Y307" s="413"/>
      <c r="Z307" s="584"/>
    </row>
    <row r="308" spans="1:26" ht="13.5">
      <c r="A308" s="484"/>
      <c r="B308" s="484"/>
      <c r="C308" s="523"/>
      <c r="D308" s="402"/>
      <c r="E308" s="170" t="s">
        <v>536</v>
      </c>
      <c r="F308" s="499"/>
      <c r="G308" s="495"/>
      <c r="H308" s="411"/>
      <c r="I308" s="411"/>
      <c r="J308" s="411"/>
      <c r="K308" s="411"/>
      <c r="L308" s="411"/>
      <c r="M308" s="411"/>
      <c r="N308" s="411"/>
      <c r="O308" s="411"/>
      <c r="P308" s="411"/>
      <c r="Q308" s="411"/>
      <c r="R308" s="411"/>
      <c r="S308" s="411"/>
      <c r="T308" s="411"/>
      <c r="U308" s="411"/>
      <c r="V308" s="414"/>
      <c r="W308" s="414"/>
      <c r="X308" s="414"/>
      <c r="Y308" s="414"/>
      <c r="Z308" s="584"/>
    </row>
    <row r="309" spans="1:26" ht="13.5">
      <c r="A309" s="484"/>
      <c r="B309" s="484"/>
      <c r="C309" s="168" t="s">
        <v>101</v>
      </c>
      <c r="D309" s="169"/>
      <c r="E309" s="169"/>
      <c r="F309" s="355"/>
      <c r="G309" s="166" t="s">
        <v>102</v>
      </c>
      <c r="H309" s="15">
        <f aca="true" t="shared" si="147" ref="H309:O309">H310+H312+H316+H323+H325</f>
        <v>679945000</v>
      </c>
      <c r="I309" s="15">
        <f t="shared" si="147"/>
        <v>879945000</v>
      </c>
      <c r="J309" s="15">
        <f t="shared" si="147"/>
        <v>879945000</v>
      </c>
      <c r="K309" s="15">
        <f t="shared" si="147"/>
        <v>879945000</v>
      </c>
      <c r="L309" s="15">
        <f t="shared" si="147"/>
        <v>0</v>
      </c>
      <c r="M309" s="15">
        <f t="shared" si="147"/>
        <v>14755633958</v>
      </c>
      <c r="N309" s="15">
        <f t="shared" si="147"/>
        <v>14451587619</v>
      </c>
      <c r="O309" s="15">
        <f t="shared" si="147"/>
        <v>11177240031.310001</v>
      </c>
      <c r="P309" s="15"/>
      <c r="Q309" s="15">
        <f>Q310+Q312+Q316+Q323+Q325</f>
        <v>1957162500</v>
      </c>
      <c r="R309" s="15">
        <f>R310+R312+R316+R323+R325</f>
        <v>1895949147</v>
      </c>
      <c r="S309" s="15">
        <f>S310+S312+S316+S323+S325</f>
        <v>1895949147</v>
      </c>
      <c r="T309" s="15">
        <f>T310+T312+T316+T323+T325</f>
        <v>0</v>
      </c>
      <c r="U309" s="51"/>
      <c r="V309" s="139">
        <f>H309+L309+Q309</f>
        <v>2637107500</v>
      </c>
      <c r="W309" s="139">
        <f aca="true" t="shared" si="148" ref="W309:Y313">I309+M309+R309</f>
        <v>17531528105</v>
      </c>
      <c r="X309" s="139">
        <f t="shared" si="148"/>
        <v>17227481766</v>
      </c>
      <c r="Y309" s="139">
        <f t="shared" si="148"/>
        <v>12057185031.310001</v>
      </c>
      <c r="Z309" s="584"/>
    </row>
    <row r="310" spans="1:26" ht="13.5">
      <c r="A310" s="484"/>
      <c r="B310" s="484"/>
      <c r="C310" s="400"/>
      <c r="D310" s="168" t="s">
        <v>537</v>
      </c>
      <c r="E310" s="168"/>
      <c r="F310" s="355"/>
      <c r="G310" s="166" t="s">
        <v>538</v>
      </c>
      <c r="H310" s="15">
        <f aca="true" t="shared" si="149" ref="H310:O310">H311</f>
        <v>0</v>
      </c>
      <c r="I310" s="15">
        <f t="shared" si="149"/>
        <v>0</v>
      </c>
      <c r="J310" s="15">
        <f t="shared" si="149"/>
        <v>0</v>
      </c>
      <c r="K310" s="15">
        <f t="shared" si="149"/>
        <v>0</v>
      </c>
      <c r="L310" s="15">
        <f t="shared" si="149"/>
        <v>0</v>
      </c>
      <c r="M310" s="15">
        <f t="shared" si="149"/>
        <v>0</v>
      </c>
      <c r="N310" s="15">
        <f t="shared" si="149"/>
        <v>0</v>
      </c>
      <c r="O310" s="15">
        <f t="shared" si="149"/>
        <v>0</v>
      </c>
      <c r="P310" s="15"/>
      <c r="Q310" s="15">
        <f>Q311</f>
        <v>957162500</v>
      </c>
      <c r="R310" s="15">
        <f>R311</f>
        <v>957162500</v>
      </c>
      <c r="S310" s="15">
        <f>S311</f>
        <v>957162500</v>
      </c>
      <c r="T310" s="15">
        <f>T311</f>
        <v>0</v>
      </c>
      <c r="U310" s="51"/>
      <c r="V310" s="139">
        <f>H310+L310+Q310</f>
        <v>957162500</v>
      </c>
      <c r="W310" s="139">
        <f t="shared" si="148"/>
        <v>957162500</v>
      </c>
      <c r="X310" s="139">
        <f t="shared" si="148"/>
        <v>957162500</v>
      </c>
      <c r="Y310" s="139">
        <f t="shared" si="148"/>
        <v>0</v>
      </c>
      <c r="Z310" s="584"/>
    </row>
    <row r="311" spans="1:26" ht="41.25">
      <c r="A311" s="484"/>
      <c r="B311" s="484"/>
      <c r="C311" s="401"/>
      <c r="D311" s="168"/>
      <c r="E311" s="170" t="s">
        <v>539</v>
      </c>
      <c r="F311" s="27" t="s">
        <v>931</v>
      </c>
      <c r="G311" s="69" t="s">
        <v>540</v>
      </c>
      <c r="H311" s="72">
        <v>0</v>
      </c>
      <c r="I311" s="72"/>
      <c r="J311" s="72"/>
      <c r="K311" s="72"/>
      <c r="L311" s="72">
        <v>0</v>
      </c>
      <c r="M311" s="72"/>
      <c r="N311" s="72"/>
      <c r="O311" s="72"/>
      <c r="P311" s="9"/>
      <c r="Q311" s="18">
        <v>957162500</v>
      </c>
      <c r="R311" s="18">
        <v>957162500</v>
      </c>
      <c r="S311" s="18">
        <v>957162500</v>
      </c>
      <c r="T311" s="18">
        <v>0</v>
      </c>
      <c r="U311" s="74" t="s">
        <v>103</v>
      </c>
      <c r="V311" s="140">
        <f>H311+L311+Q311</f>
        <v>957162500</v>
      </c>
      <c r="W311" s="140">
        <f t="shared" si="148"/>
        <v>957162500</v>
      </c>
      <c r="X311" s="140">
        <f t="shared" si="148"/>
        <v>957162500</v>
      </c>
      <c r="Y311" s="140">
        <f t="shared" si="148"/>
        <v>0</v>
      </c>
      <c r="Z311" s="584"/>
    </row>
    <row r="312" spans="1:26" ht="13.5">
      <c r="A312" s="484"/>
      <c r="B312" s="484"/>
      <c r="C312" s="401"/>
      <c r="D312" s="168" t="s">
        <v>541</v>
      </c>
      <c r="E312" s="170"/>
      <c r="F312" s="31"/>
      <c r="G312" s="6" t="s">
        <v>542</v>
      </c>
      <c r="H312" s="50">
        <f>H313</f>
        <v>0</v>
      </c>
      <c r="I312" s="50"/>
      <c r="J312" s="50"/>
      <c r="K312" s="50"/>
      <c r="L312" s="50">
        <f>L313</f>
        <v>0</v>
      </c>
      <c r="M312" s="50">
        <f>M313</f>
        <v>7961288696</v>
      </c>
      <c r="N312" s="50">
        <f>N313</f>
        <v>7881649710</v>
      </c>
      <c r="O312" s="50">
        <f>O313</f>
        <v>6840070851.35</v>
      </c>
      <c r="P312" s="50"/>
      <c r="Q312" s="15">
        <f>Q313</f>
        <v>300000000</v>
      </c>
      <c r="R312" s="15">
        <f>R313</f>
        <v>300000000</v>
      </c>
      <c r="S312" s="15">
        <f>S313</f>
        <v>300000000</v>
      </c>
      <c r="T312" s="15">
        <f>T313</f>
        <v>0</v>
      </c>
      <c r="U312" s="51"/>
      <c r="V312" s="139">
        <f>H312+L312+Q312</f>
        <v>300000000</v>
      </c>
      <c r="W312" s="139">
        <f t="shared" si="148"/>
        <v>8261288696</v>
      </c>
      <c r="X312" s="139">
        <f t="shared" si="148"/>
        <v>8181649710</v>
      </c>
      <c r="Y312" s="139">
        <f t="shared" si="148"/>
        <v>6840070851.35</v>
      </c>
      <c r="Z312" s="584"/>
    </row>
    <row r="313" spans="1:26" ht="13.5">
      <c r="A313" s="484"/>
      <c r="B313" s="484"/>
      <c r="C313" s="401"/>
      <c r="D313" s="400"/>
      <c r="E313" s="170" t="s">
        <v>543</v>
      </c>
      <c r="F313" s="497" t="s">
        <v>932</v>
      </c>
      <c r="G313" s="494" t="s">
        <v>544</v>
      </c>
      <c r="H313" s="415">
        <v>0</v>
      </c>
      <c r="I313" s="415"/>
      <c r="J313" s="415"/>
      <c r="K313" s="415"/>
      <c r="L313" s="409">
        <v>0</v>
      </c>
      <c r="M313" s="409">
        <v>7961288696</v>
      </c>
      <c r="N313" s="409">
        <v>7881649710</v>
      </c>
      <c r="O313" s="409">
        <v>6840070851.35</v>
      </c>
      <c r="P313" s="415" t="s">
        <v>1068</v>
      </c>
      <c r="Q313" s="409">
        <v>300000000</v>
      </c>
      <c r="R313" s="409">
        <v>300000000</v>
      </c>
      <c r="S313" s="409">
        <v>300000000</v>
      </c>
      <c r="T313" s="409">
        <v>0</v>
      </c>
      <c r="U313" s="415" t="s">
        <v>103</v>
      </c>
      <c r="V313" s="406">
        <f>H313+L313+Q313</f>
        <v>300000000</v>
      </c>
      <c r="W313" s="406">
        <f t="shared" si="148"/>
        <v>8261288696</v>
      </c>
      <c r="X313" s="406">
        <f t="shared" si="148"/>
        <v>8181649710</v>
      </c>
      <c r="Y313" s="406">
        <f>K313+O313+T313</f>
        <v>6840070851.35</v>
      </c>
      <c r="Z313" s="584"/>
    </row>
    <row r="314" spans="1:26" ht="13.5">
      <c r="A314" s="484"/>
      <c r="B314" s="484"/>
      <c r="C314" s="401"/>
      <c r="D314" s="401"/>
      <c r="E314" s="170" t="s">
        <v>545</v>
      </c>
      <c r="F314" s="498"/>
      <c r="G314" s="500"/>
      <c r="H314" s="543"/>
      <c r="I314" s="543"/>
      <c r="J314" s="543"/>
      <c r="K314" s="543"/>
      <c r="L314" s="410"/>
      <c r="M314" s="410"/>
      <c r="N314" s="410"/>
      <c r="O314" s="410"/>
      <c r="P314" s="543"/>
      <c r="Q314" s="410"/>
      <c r="R314" s="410"/>
      <c r="S314" s="410"/>
      <c r="T314" s="410"/>
      <c r="U314" s="543"/>
      <c r="V314" s="407"/>
      <c r="W314" s="407"/>
      <c r="X314" s="407"/>
      <c r="Y314" s="407"/>
      <c r="Z314" s="584"/>
    </row>
    <row r="315" spans="1:26" ht="13.5">
      <c r="A315" s="484"/>
      <c r="B315" s="484"/>
      <c r="C315" s="401"/>
      <c r="D315" s="402"/>
      <c r="E315" s="170" t="s">
        <v>546</v>
      </c>
      <c r="F315" s="499"/>
      <c r="G315" s="495"/>
      <c r="H315" s="416"/>
      <c r="I315" s="416"/>
      <c r="J315" s="416"/>
      <c r="K315" s="416"/>
      <c r="L315" s="411"/>
      <c r="M315" s="411"/>
      <c r="N315" s="411"/>
      <c r="O315" s="411"/>
      <c r="P315" s="416"/>
      <c r="Q315" s="411"/>
      <c r="R315" s="411"/>
      <c r="S315" s="411"/>
      <c r="T315" s="411"/>
      <c r="U315" s="416"/>
      <c r="V315" s="408"/>
      <c r="W315" s="408"/>
      <c r="X315" s="408"/>
      <c r="Y315" s="408"/>
      <c r="Z315" s="584"/>
    </row>
    <row r="316" spans="1:26" ht="27">
      <c r="A316" s="484"/>
      <c r="B316" s="484"/>
      <c r="C316" s="401"/>
      <c r="D316" s="168" t="s">
        <v>547</v>
      </c>
      <c r="E316" s="170"/>
      <c r="F316" s="27"/>
      <c r="G316" s="6" t="s">
        <v>548</v>
      </c>
      <c r="H316" s="50">
        <f aca="true" t="shared" si="150" ref="H316:O316">H317</f>
        <v>0</v>
      </c>
      <c r="I316" s="50">
        <f t="shared" si="150"/>
        <v>0</v>
      </c>
      <c r="J316" s="50">
        <f t="shared" si="150"/>
        <v>0</v>
      </c>
      <c r="K316" s="50">
        <f t="shared" si="150"/>
        <v>0</v>
      </c>
      <c r="L316" s="50">
        <f t="shared" si="150"/>
        <v>0</v>
      </c>
      <c r="M316" s="50">
        <f t="shared" si="150"/>
        <v>97574325</v>
      </c>
      <c r="N316" s="50">
        <f t="shared" si="150"/>
        <v>0</v>
      </c>
      <c r="O316" s="50">
        <f t="shared" si="150"/>
        <v>0</v>
      </c>
      <c r="P316" s="50"/>
      <c r="Q316" s="15">
        <f>Q317</f>
        <v>300000000</v>
      </c>
      <c r="R316" s="15">
        <f>R317</f>
        <v>300000000</v>
      </c>
      <c r="S316" s="15">
        <f>S317</f>
        <v>300000000</v>
      </c>
      <c r="T316" s="15">
        <f>T317</f>
        <v>0</v>
      </c>
      <c r="U316" s="51"/>
      <c r="V316" s="139">
        <f>H316+L316+Q316</f>
        <v>300000000</v>
      </c>
      <c r="W316" s="139">
        <f aca="true" t="shared" si="151" ref="W316:Y317">I316+M316+R316</f>
        <v>397574325</v>
      </c>
      <c r="X316" s="139">
        <f t="shared" si="151"/>
        <v>300000000</v>
      </c>
      <c r="Y316" s="139">
        <f t="shared" si="151"/>
        <v>0</v>
      </c>
      <c r="Z316" s="584"/>
    </row>
    <row r="317" spans="1:26" ht="13.5">
      <c r="A317" s="484"/>
      <c r="B317" s="484"/>
      <c r="C317" s="401"/>
      <c r="D317" s="400"/>
      <c r="E317" s="170" t="s">
        <v>549</v>
      </c>
      <c r="F317" s="497" t="s">
        <v>933</v>
      </c>
      <c r="G317" s="494" t="s">
        <v>1043</v>
      </c>
      <c r="H317" s="415">
        <v>0</v>
      </c>
      <c r="I317" s="415"/>
      <c r="J317" s="415"/>
      <c r="K317" s="415"/>
      <c r="L317" s="415">
        <v>0</v>
      </c>
      <c r="M317" s="415">
        <v>97574325</v>
      </c>
      <c r="N317" s="415">
        <v>0</v>
      </c>
      <c r="O317" s="415">
        <v>0</v>
      </c>
      <c r="P317" s="415" t="s">
        <v>1067</v>
      </c>
      <c r="Q317" s="409">
        <v>300000000</v>
      </c>
      <c r="R317" s="409">
        <v>300000000</v>
      </c>
      <c r="S317" s="409">
        <v>300000000</v>
      </c>
      <c r="T317" s="409">
        <v>0</v>
      </c>
      <c r="U317" s="415" t="s">
        <v>103</v>
      </c>
      <c r="V317" s="412">
        <f>H317+L317+Q317</f>
        <v>300000000</v>
      </c>
      <c r="W317" s="412">
        <f t="shared" si="151"/>
        <v>397574325</v>
      </c>
      <c r="X317" s="412">
        <f t="shared" si="151"/>
        <v>300000000</v>
      </c>
      <c r="Y317" s="412">
        <f t="shared" si="151"/>
        <v>0</v>
      </c>
      <c r="Z317" s="584"/>
    </row>
    <row r="318" spans="1:26" ht="13.5">
      <c r="A318" s="484"/>
      <c r="B318" s="484"/>
      <c r="C318" s="401"/>
      <c r="D318" s="401"/>
      <c r="E318" s="170" t="s">
        <v>550</v>
      </c>
      <c r="F318" s="498"/>
      <c r="G318" s="500"/>
      <c r="H318" s="543"/>
      <c r="I318" s="543"/>
      <c r="J318" s="543"/>
      <c r="K318" s="543"/>
      <c r="L318" s="543"/>
      <c r="M318" s="543"/>
      <c r="N318" s="543"/>
      <c r="O318" s="543"/>
      <c r="P318" s="543"/>
      <c r="Q318" s="410"/>
      <c r="R318" s="410"/>
      <c r="S318" s="410"/>
      <c r="T318" s="410"/>
      <c r="U318" s="543"/>
      <c r="V318" s="413"/>
      <c r="W318" s="413"/>
      <c r="X318" s="413"/>
      <c r="Y318" s="413"/>
      <c r="Z318" s="584"/>
    </row>
    <row r="319" spans="1:26" ht="13.5">
      <c r="A319" s="484"/>
      <c r="B319" s="484"/>
      <c r="C319" s="401"/>
      <c r="D319" s="401"/>
      <c r="E319" s="170" t="s">
        <v>551</v>
      </c>
      <c r="F319" s="498"/>
      <c r="G319" s="500"/>
      <c r="H319" s="543"/>
      <c r="I319" s="543"/>
      <c r="J319" s="543"/>
      <c r="K319" s="543"/>
      <c r="L319" s="543"/>
      <c r="M319" s="543"/>
      <c r="N319" s="543"/>
      <c r="O319" s="543"/>
      <c r="P319" s="543"/>
      <c r="Q319" s="410"/>
      <c r="R319" s="410"/>
      <c r="S319" s="410"/>
      <c r="T319" s="410"/>
      <c r="U319" s="543"/>
      <c r="V319" s="413"/>
      <c r="W319" s="413"/>
      <c r="X319" s="413"/>
      <c r="Y319" s="413"/>
      <c r="Z319" s="584"/>
    </row>
    <row r="320" spans="1:26" ht="13.5">
      <c r="A320" s="484"/>
      <c r="B320" s="484"/>
      <c r="C320" s="401"/>
      <c r="D320" s="401"/>
      <c r="E320" s="170" t="s">
        <v>552</v>
      </c>
      <c r="F320" s="498"/>
      <c r="G320" s="500"/>
      <c r="H320" s="543"/>
      <c r="I320" s="543"/>
      <c r="J320" s="543"/>
      <c r="K320" s="543"/>
      <c r="L320" s="543"/>
      <c r="M320" s="543"/>
      <c r="N320" s="543"/>
      <c r="O320" s="543"/>
      <c r="P320" s="543"/>
      <c r="Q320" s="410"/>
      <c r="R320" s="410"/>
      <c r="S320" s="410"/>
      <c r="T320" s="410"/>
      <c r="U320" s="543"/>
      <c r="V320" s="413"/>
      <c r="W320" s="413"/>
      <c r="X320" s="413"/>
      <c r="Y320" s="413"/>
      <c r="Z320" s="584"/>
    </row>
    <row r="321" spans="1:26" ht="13.5">
      <c r="A321" s="484"/>
      <c r="B321" s="484"/>
      <c r="C321" s="401"/>
      <c r="D321" s="401"/>
      <c r="E321" s="170" t="s">
        <v>553</v>
      </c>
      <c r="F321" s="498"/>
      <c r="G321" s="500"/>
      <c r="H321" s="543"/>
      <c r="I321" s="543"/>
      <c r="J321" s="543"/>
      <c r="K321" s="543"/>
      <c r="L321" s="543"/>
      <c r="M321" s="543"/>
      <c r="N321" s="543"/>
      <c r="O321" s="543"/>
      <c r="P321" s="543"/>
      <c r="Q321" s="410"/>
      <c r="R321" s="410"/>
      <c r="S321" s="410"/>
      <c r="T321" s="410"/>
      <c r="U321" s="543"/>
      <c r="V321" s="413"/>
      <c r="W321" s="413"/>
      <c r="X321" s="413"/>
      <c r="Y321" s="413"/>
      <c r="Z321" s="584"/>
    </row>
    <row r="322" spans="1:26" ht="13.5">
      <c r="A322" s="484"/>
      <c r="B322" s="484"/>
      <c r="C322" s="401"/>
      <c r="D322" s="402"/>
      <c r="E322" s="170" t="s">
        <v>554</v>
      </c>
      <c r="F322" s="499"/>
      <c r="G322" s="495"/>
      <c r="H322" s="416"/>
      <c r="I322" s="416"/>
      <c r="J322" s="416"/>
      <c r="K322" s="416"/>
      <c r="L322" s="416"/>
      <c r="M322" s="416"/>
      <c r="N322" s="416"/>
      <c r="O322" s="416"/>
      <c r="P322" s="416"/>
      <c r="Q322" s="411"/>
      <c r="R322" s="411"/>
      <c r="S322" s="411"/>
      <c r="T322" s="411"/>
      <c r="U322" s="416"/>
      <c r="V322" s="414"/>
      <c r="W322" s="414"/>
      <c r="X322" s="414"/>
      <c r="Y322" s="414"/>
      <c r="Z322" s="584"/>
    </row>
    <row r="323" spans="1:26" ht="13.5">
      <c r="A323" s="484"/>
      <c r="B323" s="484"/>
      <c r="C323" s="401"/>
      <c r="D323" s="168" t="s">
        <v>555</v>
      </c>
      <c r="E323" s="170"/>
      <c r="F323" s="27"/>
      <c r="G323" s="6" t="s">
        <v>556</v>
      </c>
      <c r="H323" s="50">
        <f aca="true" t="shared" si="152" ref="H323:O323">H324</f>
        <v>0</v>
      </c>
      <c r="I323" s="50">
        <f t="shared" si="152"/>
        <v>0</v>
      </c>
      <c r="J323" s="50">
        <f t="shared" si="152"/>
        <v>0</v>
      </c>
      <c r="K323" s="50">
        <f t="shared" si="152"/>
        <v>0</v>
      </c>
      <c r="L323" s="50">
        <f t="shared" si="152"/>
        <v>0</v>
      </c>
      <c r="M323" s="50">
        <f t="shared" si="152"/>
        <v>6696770937</v>
      </c>
      <c r="N323" s="50">
        <f t="shared" si="152"/>
        <v>6569937909</v>
      </c>
      <c r="O323" s="50">
        <f t="shared" si="152"/>
        <v>4337169179.96</v>
      </c>
      <c r="P323" s="50"/>
      <c r="Q323" s="15">
        <f>Q324</f>
        <v>200000000</v>
      </c>
      <c r="R323" s="15">
        <f>R324</f>
        <v>138786647</v>
      </c>
      <c r="S323" s="15">
        <f>S324</f>
        <v>138786647</v>
      </c>
      <c r="T323" s="15">
        <f>T324</f>
        <v>0</v>
      </c>
      <c r="U323" s="51"/>
      <c r="V323" s="139">
        <f aca="true" t="shared" si="153" ref="V323:V329">H323+L323+Q323</f>
        <v>200000000</v>
      </c>
      <c r="W323" s="139">
        <f aca="true" t="shared" si="154" ref="W323:Y326">I323+M323+R323</f>
        <v>6835557584</v>
      </c>
      <c r="X323" s="139">
        <f t="shared" si="154"/>
        <v>6708724556</v>
      </c>
      <c r="Y323" s="139">
        <f t="shared" si="154"/>
        <v>4337169179.96</v>
      </c>
      <c r="Z323" s="584"/>
    </row>
    <row r="324" spans="1:26" ht="27">
      <c r="A324" s="484"/>
      <c r="B324" s="484"/>
      <c r="C324" s="401"/>
      <c r="D324" s="168"/>
      <c r="E324" s="170" t="s">
        <v>557</v>
      </c>
      <c r="F324" s="27" t="s">
        <v>934</v>
      </c>
      <c r="G324" s="69" t="s">
        <v>558</v>
      </c>
      <c r="H324" s="72">
        <v>0</v>
      </c>
      <c r="I324" s="72"/>
      <c r="J324" s="72"/>
      <c r="K324" s="72"/>
      <c r="L324" s="72">
        <v>0</v>
      </c>
      <c r="M324" s="72">
        <v>6696770937</v>
      </c>
      <c r="N324" s="72">
        <v>6569937909</v>
      </c>
      <c r="O324" s="72">
        <v>4337169179.96</v>
      </c>
      <c r="P324" s="136" t="s">
        <v>1067</v>
      </c>
      <c r="Q324" s="18">
        <v>200000000</v>
      </c>
      <c r="R324" s="18">
        <v>138786647</v>
      </c>
      <c r="S324" s="18">
        <v>138786647</v>
      </c>
      <c r="T324" s="18">
        <v>0</v>
      </c>
      <c r="U324" s="74" t="s">
        <v>103</v>
      </c>
      <c r="V324" s="140">
        <f t="shared" si="153"/>
        <v>200000000</v>
      </c>
      <c r="W324" s="140">
        <f t="shared" si="154"/>
        <v>6835557584</v>
      </c>
      <c r="X324" s="140">
        <f t="shared" si="154"/>
        <v>6708724556</v>
      </c>
      <c r="Y324" s="140">
        <f t="shared" si="154"/>
        <v>4337169179.96</v>
      </c>
      <c r="Z324" s="584"/>
    </row>
    <row r="325" spans="1:26" ht="13.5">
      <c r="A325" s="484"/>
      <c r="B325" s="484"/>
      <c r="C325" s="401"/>
      <c r="D325" s="168" t="s">
        <v>559</v>
      </c>
      <c r="E325" s="170"/>
      <c r="F325" s="27"/>
      <c r="G325" s="6" t="s">
        <v>560</v>
      </c>
      <c r="H325" s="15">
        <f aca="true" t="shared" si="155" ref="H325:O325">H326</f>
        <v>679945000</v>
      </c>
      <c r="I325" s="15">
        <f t="shared" si="155"/>
        <v>879945000</v>
      </c>
      <c r="J325" s="15">
        <f t="shared" si="155"/>
        <v>879945000</v>
      </c>
      <c r="K325" s="15">
        <f t="shared" si="155"/>
        <v>879945000</v>
      </c>
      <c r="L325" s="15">
        <f t="shared" si="155"/>
        <v>0</v>
      </c>
      <c r="M325" s="15">
        <f t="shared" si="155"/>
        <v>0</v>
      </c>
      <c r="N325" s="15">
        <f t="shared" si="155"/>
        <v>0</v>
      </c>
      <c r="O325" s="15">
        <f t="shared" si="155"/>
        <v>0</v>
      </c>
      <c r="P325" s="15"/>
      <c r="Q325" s="15">
        <f>Q326</f>
        <v>200000000</v>
      </c>
      <c r="R325" s="15">
        <f>R326</f>
        <v>200000000</v>
      </c>
      <c r="S325" s="15">
        <f>S326</f>
        <v>200000000</v>
      </c>
      <c r="T325" s="15">
        <f>T326</f>
        <v>0</v>
      </c>
      <c r="U325" s="74"/>
      <c r="V325" s="140">
        <f t="shared" si="153"/>
        <v>879945000</v>
      </c>
      <c r="W325" s="140">
        <f t="shared" si="154"/>
        <v>1079945000</v>
      </c>
      <c r="X325" s="140">
        <f t="shared" si="154"/>
        <v>1079945000</v>
      </c>
      <c r="Y325" s="140">
        <f t="shared" si="154"/>
        <v>879945000</v>
      </c>
      <c r="Z325" s="584"/>
    </row>
    <row r="326" spans="1:26" ht="39">
      <c r="A326" s="484"/>
      <c r="B326" s="484"/>
      <c r="C326" s="402"/>
      <c r="D326" s="177"/>
      <c r="E326" s="168" t="s">
        <v>561</v>
      </c>
      <c r="F326" s="27" t="s">
        <v>935</v>
      </c>
      <c r="G326" s="49" t="s">
        <v>562</v>
      </c>
      <c r="H326" s="68">
        <v>679945000</v>
      </c>
      <c r="I326" s="68">
        <v>879945000</v>
      </c>
      <c r="J326" s="68">
        <v>879945000</v>
      </c>
      <c r="K326" s="68">
        <v>879945000</v>
      </c>
      <c r="L326" s="72">
        <v>0</v>
      </c>
      <c r="M326" s="72"/>
      <c r="N326" s="72"/>
      <c r="O326" s="72"/>
      <c r="P326" s="9"/>
      <c r="Q326" s="68">
        <v>200000000</v>
      </c>
      <c r="R326" s="68">
        <v>200000000</v>
      </c>
      <c r="S326" s="68">
        <v>200000000</v>
      </c>
      <c r="T326" s="68">
        <v>0</v>
      </c>
      <c r="U326" s="74" t="s">
        <v>103</v>
      </c>
      <c r="V326" s="140">
        <f t="shared" si="153"/>
        <v>879945000</v>
      </c>
      <c r="W326" s="140">
        <f t="shared" si="154"/>
        <v>1079945000</v>
      </c>
      <c r="X326" s="140">
        <f t="shared" si="154"/>
        <v>1079945000</v>
      </c>
      <c r="Y326" s="140">
        <f t="shared" si="154"/>
        <v>879945000</v>
      </c>
      <c r="Z326" s="584"/>
    </row>
    <row r="327" spans="1:26" ht="16.5" customHeight="1">
      <c r="A327" s="484"/>
      <c r="B327" s="484"/>
      <c r="C327" s="168" t="s">
        <v>104</v>
      </c>
      <c r="D327" s="168"/>
      <c r="E327" s="170"/>
      <c r="F327" s="27"/>
      <c r="G327" s="166" t="s">
        <v>98</v>
      </c>
      <c r="H327" s="15">
        <f aca="true" t="shared" si="156" ref="H327:O327">H328+H331+H335+H337+H339</f>
        <v>1131700000</v>
      </c>
      <c r="I327" s="15">
        <f t="shared" si="156"/>
        <v>1514540743.79</v>
      </c>
      <c r="J327" s="15">
        <f t="shared" si="156"/>
        <v>1253883972.72</v>
      </c>
      <c r="K327" s="15">
        <f t="shared" si="156"/>
        <v>590331113.13</v>
      </c>
      <c r="L327" s="15">
        <f t="shared" si="156"/>
        <v>2315000000</v>
      </c>
      <c r="M327" s="15">
        <f t="shared" si="156"/>
        <v>18418903030.7</v>
      </c>
      <c r="N327" s="15">
        <f t="shared" si="156"/>
        <v>17178623672.41</v>
      </c>
      <c r="O327" s="15">
        <f t="shared" si="156"/>
        <v>5931699538.82</v>
      </c>
      <c r="P327" s="15"/>
      <c r="Q327" s="15">
        <f>Q328+Q331+Q335+Q337+Q339</f>
        <v>0</v>
      </c>
      <c r="R327" s="15"/>
      <c r="S327" s="15"/>
      <c r="T327" s="15"/>
      <c r="U327" s="25"/>
      <c r="V327" s="139">
        <f>H327+L327+Q326</f>
        <v>3646700000</v>
      </c>
      <c r="W327" s="139">
        <f>I327+M327+R326</f>
        <v>20133443774.49</v>
      </c>
      <c r="X327" s="139">
        <f>J327+N327+S326</f>
        <v>18632507645.13</v>
      </c>
      <c r="Y327" s="139">
        <f>K327+O327+T326</f>
        <v>6522030651.95</v>
      </c>
      <c r="Z327" s="584"/>
    </row>
    <row r="328" spans="1:26" ht="27">
      <c r="A328" s="484"/>
      <c r="B328" s="484"/>
      <c r="C328" s="400"/>
      <c r="D328" s="168" t="s">
        <v>563</v>
      </c>
      <c r="E328" s="168"/>
      <c r="F328" s="355"/>
      <c r="G328" s="166" t="s">
        <v>564</v>
      </c>
      <c r="H328" s="15">
        <f aca="true" t="shared" si="157" ref="H328:O328">H329</f>
        <v>27500000</v>
      </c>
      <c r="I328" s="15">
        <f t="shared" si="157"/>
        <v>539150393.79</v>
      </c>
      <c r="J328" s="15">
        <f t="shared" si="157"/>
        <v>533495393.79</v>
      </c>
      <c r="K328" s="15">
        <f t="shared" si="157"/>
        <v>78857046.87</v>
      </c>
      <c r="L328" s="15">
        <f t="shared" si="157"/>
        <v>94000000</v>
      </c>
      <c r="M328" s="15">
        <f t="shared" si="157"/>
        <v>9406611401.53</v>
      </c>
      <c r="N328" s="15">
        <f t="shared" si="157"/>
        <v>8467443672.41</v>
      </c>
      <c r="O328" s="15">
        <f t="shared" si="157"/>
        <v>2492258605.57</v>
      </c>
      <c r="P328" s="15"/>
      <c r="Q328" s="15">
        <f>Q329</f>
        <v>0</v>
      </c>
      <c r="R328" s="15"/>
      <c r="S328" s="15"/>
      <c r="T328" s="15"/>
      <c r="U328" s="28"/>
      <c r="V328" s="139">
        <f t="shared" si="153"/>
        <v>121500000</v>
      </c>
      <c r="W328" s="139">
        <f aca="true" t="shared" si="158" ref="W328:Y329">I328+M328+R328</f>
        <v>9945761795.32</v>
      </c>
      <c r="X328" s="139">
        <f t="shared" si="158"/>
        <v>9000939066.2</v>
      </c>
      <c r="Y328" s="139">
        <f t="shared" si="158"/>
        <v>2571115652.44</v>
      </c>
      <c r="Z328" s="584"/>
    </row>
    <row r="329" spans="1:26" ht="20.25" customHeight="1">
      <c r="A329" s="484"/>
      <c r="B329" s="484"/>
      <c r="C329" s="401"/>
      <c r="D329" s="400"/>
      <c r="E329" s="170" t="s">
        <v>565</v>
      </c>
      <c r="F329" s="497" t="s">
        <v>936</v>
      </c>
      <c r="G329" s="494" t="s">
        <v>849</v>
      </c>
      <c r="H329" s="409">
        <v>27500000</v>
      </c>
      <c r="I329" s="409">
        <v>539150393.79</v>
      </c>
      <c r="J329" s="409">
        <v>533495393.79</v>
      </c>
      <c r="K329" s="409">
        <v>78857046.87</v>
      </c>
      <c r="L329" s="409">
        <v>94000000</v>
      </c>
      <c r="M329" s="409">
        <v>9406611401.53</v>
      </c>
      <c r="N329" s="409">
        <v>8467443672.41</v>
      </c>
      <c r="O329" s="409">
        <v>2492258605.57</v>
      </c>
      <c r="P329" s="409" t="s">
        <v>1069</v>
      </c>
      <c r="Q329" s="409">
        <v>0</v>
      </c>
      <c r="R329" s="409"/>
      <c r="S329" s="409"/>
      <c r="T329" s="409"/>
      <c r="U329" s="409"/>
      <c r="V329" s="412">
        <f t="shared" si="153"/>
        <v>121500000</v>
      </c>
      <c r="W329" s="412">
        <f t="shared" si="158"/>
        <v>9945761795.32</v>
      </c>
      <c r="X329" s="412">
        <f t="shared" si="158"/>
        <v>9000939066.2</v>
      </c>
      <c r="Y329" s="412">
        <f t="shared" si="158"/>
        <v>2571115652.44</v>
      </c>
      <c r="Z329" s="584"/>
    </row>
    <row r="330" spans="1:26" ht="19.5" customHeight="1">
      <c r="A330" s="484"/>
      <c r="B330" s="484"/>
      <c r="C330" s="401"/>
      <c r="D330" s="402"/>
      <c r="E330" s="170" t="s">
        <v>566</v>
      </c>
      <c r="F330" s="499"/>
      <c r="G330" s="495"/>
      <c r="H330" s="411"/>
      <c r="I330" s="411"/>
      <c r="J330" s="411"/>
      <c r="K330" s="411"/>
      <c r="L330" s="411"/>
      <c r="M330" s="411"/>
      <c r="N330" s="411"/>
      <c r="O330" s="411"/>
      <c r="P330" s="411"/>
      <c r="Q330" s="411"/>
      <c r="R330" s="411"/>
      <c r="S330" s="411"/>
      <c r="T330" s="411"/>
      <c r="U330" s="411"/>
      <c r="V330" s="414"/>
      <c r="W330" s="414"/>
      <c r="X330" s="414"/>
      <c r="Y330" s="414"/>
      <c r="Z330" s="584"/>
    </row>
    <row r="331" spans="1:26" ht="41.25">
      <c r="A331" s="484"/>
      <c r="B331" s="484"/>
      <c r="C331" s="401"/>
      <c r="D331" s="168" t="s">
        <v>567</v>
      </c>
      <c r="E331" s="168"/>
      <c r="F331" s="351"/>
      <c r="G331" s="174" t="s">
        <v>568</v>
      </c>
      <c r="H331" s="15">
        <f aca="true" t="shared" si="159" ref="H331:O331">H332</f>
        <v>1008500000</v>
      </c>
      <c r="I331" s="15">
        <f t="shared" si="159"/>
        <v>808383350</v>
      </c>
      <c r="J331" s="15">
        <f t="shared" si="159"/>
        <v>560141912.93</v>
      </c>
      <c r="K331" s="15">
        <f t="shared" si="159"/>
        <v>367890732.93</v>
      </c>
      <c r="L331" s="15">
        <f t="shared" si="159"/>
        <v>150000000</v>
      </c>
      <c r="M331" s="15">
        <f t="shared" si="159"/>
        <v>3000000000</v>
      </c>
      <c r="N331" s="15">
        <f t="shared" si="159"/>
        <v>3000000000</v>
      </c>
      <c r="O331" s="15">
        <f t="shared" si="159"/>
        <v>2884725747.6</v>
      </c>
      <c r="P331" s="15"/>
      <c r="Q331" s="15">
        <f>Q332</f>
        <v>0</v>
      </c>
      <c r="R331" s="15"/>
      <c r="S331" s="15"/>
      <c r="T331" s="15"/>
      <c r="U331" s="28"/>
      <c r="V331" s="139">
        <f>H331+L331+Q331</f>
        <v>1158500000</v>
      </c>
      <c r="W331" s="139">
        <f aca="true" t="shared" si="160" ref="W331:Y332">I331+M331+R331</f>
        <v>3808383350</v>
      </c>
      <c r="X331" s="139">
        <f t="shared" si="160"/>
        <v>3560141912.93</v>
      </c>
      <c r="Y331" s="139">
        <f t="shared" si="160"/>
        <v>3252616480.5299997</v>
      </c>
      <c r="Z331" s="584"/>
    </row>
    <row r="332" spans="1:26" ht="13.5">
      <c r="A332" s="484"/>
      <c r="B332" s="484"/>
      <c r="C332" s="401"/>
      <c r="D332" s="400"/>
      <c r="E332" s="177" t="s">
        <v>569</v>
      </c>
      <c r="F332" s="497" t="s">
        <v>937</v>
      </c>
      <c r="G332" s="494" t="s">
        <v>570</v>
      </c>
      <c r="H332" s="409">
        <v>1008500000</v>
      </c>
      <c r="I332" s="409">
        <v>808383350</v>
      </c>
      <c r="J332" s="409">
        <v>560141912.93</v>
      </c>
      <c r="K332" s="409">
        <v>367890732.93</v>
      </c>
      <c r="L332" s="409">
        <v>150000000</v>
      </c>
      <c r="M332" s="409">
        <v>3000000000</v>
      </c>
      <c r="N332" s="409">
        <v>3000000000</v>
      </c>
      <c r="O332" s="409">
        <v>2884725747.6</v>
      </c>
      <c r="P332" s="409" t="s">
        <v>1070</v>
      </c>
      <c r="Q332" s="409">
        <v>0</v>
      </c>
      <c r="R332" s="409"/>
      <c r="S332" s="409"/>
      <c r="T332" s="409"/>
      <c r="U332" s="409"/>
      <c r="V332" s="412">
        <f>H332+L332+Q332</f>
        <v>1158500000</v>
      </c>
      <c r="W332" s="412">
        <f t="shared" si="160"/>
        <v>3808383350</v>
      </c>
      <c r="X332" s="412">
        <f t="shared" si="160"/>
        <v>3560141912.93</v>
      </c>
      <c r="Y332" s="412">
        <f t="shared" si="160"/>
        <v>3252616480.5299997</v>
      </c>
      <c r="Z332" s="584"/>
    </row>
    <row r="333" spans="1:26" ht="21" customHeight="1">
      <c r="A333" s="484"/>
      <c r="B333" s="484"/>
      <c r="C333" s="401"/>
      <c r="D333" s="401"/>
      <c r="E333" s="177" t="s">
        <v>571</v>
      </c>
      <c r="F333" s="498"/>
      <c r="G333" s="500"/>
      <c r="H333" s="410"/>
      <c r="I333" s="410"/>
      <c r="J333" s="410"/>
      <c r="K333" s="410"/>
      <c r="L333" s="410"/>
      <c r="M333" s="410"/>
      <c r="N333" s="410"/>
      <c r="O333" s="410"/>
      <c r="P333" s="410"/>
      <c r="Q333" s="410"/>
      <c r="R333" s="410"/>
      <c r="S333" s="410"/>
      <c r="T333" s="410"/>
      <c r="U333" s="410"/>
      <c r="V333" s="413"/>
      <c r="W333" s="413"/>
      <c r="X333" s="413"/>
      <c r="Y333" s="413"/>
      <c r="Z333" s="584"/>
    </row>
    <row r="334" spans="1:26" ht="21" customHeight="1">
      <c r="A334" s="484"/>
      <c r="B334" s="484"/>
      <c r="C334" s="401"/>
      <c r="D334" s="402"/>
      <c r="E334" s="177" t="s">
        <v>572</v>
      </c>
      <c r="F334" s="499"/>
      <c r="G334" s="495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  <c r="T334" s="411"/>
      <c r="U334" s="411"/>
      <c r="V334" s="414"/>
      <c r="W334" s="414"/>
      <c r="X334" s="414"/>
      <c r="Y334" s="414"/>
      <c r="Z334" s="584"/>
    </row>
    <row r="335" spans="1:26" ht="48.75" customHeight="1">
      <c r="A335" s="484"/>
      <c r="B335" s="484"/>
      <c r="C335" s="401"/>
      <c r="D335" s="168" t="s">
        <v>573</v>
      </c>
      <c r="E335" s="168"/>
      <c r="F335" s="351"/>
      <c r="G335" s="174" t="s">
        <v>574</v>
      </c>
      <c r="H335" s="15">
        <f aca="true" t="shared" si="161" ref="H335:O335">H336</f>
        <v>68200000</v>
      </c>
      <c r="I335" s="15">
        <f t="shared" si="161"/>
        <v>133207000</v>
      </c>
      <c r="J335" s="15">
        <f t="shared" si="161"/>
        <v>133206666</v>
      </c>
      <c r="K335" s="15">
        <f t="shared" si="161"/>
        <v>117279999.33</v>
      </c>
      <c r="L335" s="15">
        <f t="shared" si="161"/>
        <v>100000000</v>
      </c>
      <c r="M335" s="15">
        <f t="shared" si="161"/>
        <v>747618</v>
      </c>
      <c r="N335" s="15">
        <f t="shared" si="161"/>
        <v>0</v>
      </c>
      <c r="O335" s="15">
        <f t="shared" si="161"/>
        <v>0</v>
      </c>
      <c r="P335" s="15"/>
      <c r="Q335" s="15">
        <f>Q336</f>
        <v>0</v>
      </c>
      <c r="R335" s="15"/>
      <c r="S335" s="15"/>
      <c r="T335" s="15"/>
      <c r="U335" s="28"/>
      <c r="V335" s="139">
        <f aca="true" t="shared" si="162" ref="V335:V340">H335+L335+Q335</f>
        <v>168200000</v>
      </c>
      <c r="W335" s="139">
        <f aca="true" t="shared" si="163" ref="W335:W346">I335+M335+R335</f>
        <v>133954618</v>
      </c>
      <c r="X335" s="139">
        <f aca="true" t="shared" si="164" ref="X335:X346">J335+N335+S335</f>
        <v>133206666</v>
      </c>
      <c r="Y335" s="139">
        <f aca="true" t="shared" si="165" ref="Y335:Y346">K335+O335+T335</f>
        <v>117279999.33</v>
      </c>
      <c r="Z335" s="584"/>
    </row>
    <row r="336" spans="1:26" ht="56.25" customHeight="1">
      <c r="A336" s="484"/>
      <c r="B336" s="484"/>
      <c r="C336" s="401"/>
      <c r="D336" s="168"/>
      <c r="E336" s="177" t="s">
        <v>575</v>
      </c>
      <c r="F336" s="363" t="s">
        <v>938</v>
      </c>
      <c r="G336" s="69" t="s">
        <v>576</v>
      </c>
      <c r="H336" s="68">
        <v>68200000</v>
      </c>
      <c r="I336" s="68">
        <v>133207000</v>
      </c>
      <c r="J336" s="68">
        <v>133206666</v>
      </c>
      <c r="K336" s="68">
        <v>117279999.33</v>
      </c>
      <c r="L336" s="14">
        <v>100000000</v>
      </c>
      <c r="M336" s="14">
        <v>747618</v>
      </c>
      <c r="N336" s="14">
        <v>0</v>
      </c>
      <c r="O336" s="14">
        <v>0</v>
      </c>
      <c r="P336" s="113" t="s">
        <v>143</v>
      </c>
      <c r="Q336" s="72">
        <v>0</v>
      </c>
      <c r="R336" s="72"/>
      <c r="S336" s="72"/>
      <c r="T336" s="72"/>
      <c r="U336" s="73"/>
      <c r="V336" s="140">
        <f t="shared" si="162"/>
        <v>168200000</v>
      </c>
      <c r="W336" s="140">
        <f t="shared" si="163"/>
        <v>133954618</v>
      </c>
      <c r="X336" s="140">
        <f t="shared" si="164"/>
        <v>133206666</v>
      </c>
      <c r="Y336" s="140">
        <f t="shared" si="165"/>
        <v>117279999.33</v>
      </c>
      <c r="Z336" s="584"/>
    </row>
    <row r="337" spans="1:26" ht="15.75" customHeight="1">
      <c r="A337" s="484"/>
      <c r="B337" s="484"/>
      <c r="C337" s="401"/>
      <c r="D337" s="168" t="s">
        <v>577</v>
      </c>
      <c r="E337" s="170"/>
      <c r="F337" s="31"/>
      <c r="G337" s="6" t="s">
        <v>578</v>
      </c>
      <c r="H337" s="15">
        <f aca="true" t="shared" si="166" ref="H337:O337">H338</f>
        <v>0</v>
      </c>
      <c r="I337" s="15">
        <f t="shared" si="166"/>
        <v>0</v>
      </c>
      <c r="J337" s="15">
        <f t="shared" si="166"/>
        <v>0</v>
      </c>
      <c r="K337" s="15">
        <f t="shared" si="166"/>
        <v>0</v>
      </c>
      <c r="L337" s="15">
        <f t="shared" si="166"/>
        <v>1911000000</v>
      </c>
      <c r="M337" s="15">
        <f t="shared" si="166"/>
        <v>211000000</v>
      </c>
      <c r="N337" s="15">
        <f t="shared" si="166"/>
        <v>0</v>
      </c>
      <c r="O337" s="15">
        <f t="shared" si="166"/>
        <v>0</v>
      </c>
      <c r="P337" s="15"/>
      <c r="Q337" s="15">
        <f>Q338</f>
        <v>0</v>
      </c>
      <c r="R337" s="15"/>
      <c r="S337" s="15"/>
      <c r="T337" s="15"/>
      <c r="U337" s="28"/>
      <c r="V337" s="139">
        <f t="shared" si="162"/>
        <v>1911000000</v>
      </c>
      <c r="W337" s="139">
        <f t="shared" si="163"/>
        <v>211000000</v>
      </c>
      <c r="X337" s="139">
        <f t="shared" si="164"/>
        <v>0</v>
      </c>
      <c r="Y337" s="139">
        <f t="shared" si="165"/>
        <v>0</v>
      </c>
      <c r="Z337" s="584"/>
    </row>
    <row r="338" spans="1:26" ht="45" customHeight="1">
      <c r="A338" s="484"/>
      <c r="B338" s="484"/>
      <c r="C338" s="401"/>
      <c r="D338" s="168"/>
      <c r="E338" s="170" t="s">
        <v>579</v>
      </c>
      <c r="F338" s="27" t="s">
        <v>939</v>
      </c>
      <c r="G338" s="69" t="s">
        <v>1063</v>
      </c>
      <c r="H338" s="68">
        <v>0</v>
      </c>
      <c r="I338" s="68"/>
      <c r="J338" s="68"/>
      <c r="K338" s="68"/>
      <c r="L338" s="14">
        <v>1911000000</v>
      </c>
      <c r="M338" s="14">
        <v>211000000</v>
      </c>
      <c r="N338" s="14">
        <v>0</v>
      </c>
      <c r="O338" s="14">
        <v>0</v>
      </c>
      <c r="P338" s="113" t="s">
        <v>143</v>
      </c>
      <c r="Q338" s="72">
        <v>0</v>
      </c>
      <c r="R338" s="72"/>
      <c r="S338" s="72"/>
      <c r="T338" s="72"/>
      <c r="U338" s="73"/>
      <c r="V338" s="146">
        <f t="shared" si="162"/>
        <v>1911000000</v>
      </c>
      <c r="W338" s="146">
        <f t="shared" si="163"/>
        <v>211000000</v>
      </c>
      <c r="X338" s="146">
        <f t="shared" si="164"/>
        <v>0</v>
      </c>
      <c r="Y338" s="146">
        <f t="shared" si="165"/>
        <v>0</v>
      </c>
      <c r="Z338" s="584"/>
    </row>
    <row r="339" spans="1:26" ht="40.5" customHeight="1">
      <c r="A339" s="484"/>
      <c r="B339" s="484"/>
      <c r="C339" s="401"/>
      <c r="D339" s="168" t="s">
        <v>580</v>
      </c>
      <c r="E339" s="170"/>
      <c r="F339" s="31"/>
      <c r="G339" s="6" t="s">
        <v>581</v>
      </c>
      <c r="H339" s="15">
        <f aca="true" t="shared" si="167" ref="H339:O339">H340</f>
        <v>27500000</v>
      </c>
      <c r="I339" s="15">
        <f t="shared" si="167"/>
        <v>33800000</v>
      </c>
      <c r="J339" s="15">
        <f t="shared" si="167"/>
        <v>27040000</v>
      </c>
      <c r="K339" s="15">
        <f t="shared" si="167"/>
        <v>26303334</v>
      </c>
      <c r="L339" s="15">
        <f t="shared" si="167"/>
        <v>60000000</v>
      </c>
      <c r="M339" s="15">
        <f t="shared" si="167"/>
        <v>5800544011.17</v>
      </c>
      <c r="N339" s="15">
        <f t="shared" si="167"/>
        <v>5711180000</v>
      </c>
      <c r="O339" s="15">
        <f t="shared" si="167"/>
        <v>554715185.65</v>
      </c>
      <c r="P339" s="15"/>
      <c r="Q339" s="15">
        <v>0</v>
      </c>
      <c r="R339" s="110"/>
      <c r="S339" s="110"/>
      <c r="T339" s="110"/>
      <c r="U339" s="67"/>
      <c r="V339" s="139">
        <f t="shared" si="162"/>
        <v>87500000</v>
      </c>
      <c r="W339" s="139">
        <f t="shared" si="163"/>
        <v>5834344011.17</v>
      </c>
      <c r="X339" s="139">
        <f t="shared" si="164"/>
        <v>5738220000</v>
      </c>
      <c r="Y339" s="139">
        <f t="shared" si="165"/>
        <v>581018519.65</v>
      </c>
      <c r="Z339" s="584"/>
    </row>
    <row r="340" spans="1:26" ht="42" thickBot="1">
      <c r="A340" s="484"/>
      <c r="B340" s="484"/>
      <c r="C340" s="401"/>
      <c r="D340" s="244"/>
      <c r="E340" s="243" t="s">
        <v>582</v>
      </c>
      <c r="F340" s="363" t="s">
        <v>940</v>
      </c>
      <c r="G340" s="253" t="s">
        <v>583</v>
      </c>
      <c r="H340" s="236">
        <v>27500000</v>
      </c>
      <c r="I340" s="236">
        <v>33800000</v>
      </c>
      <c r="J340" s="236">
        <v>27040000</v>
      </c>
      <c r="K340" s="236">
        <v>26303334</v>
      </c>
      <c r="L340" s="66">
        <v>60000000</v>
      </c>
      <c r="M340" s="66">
        <v>5800544011.17</v>
      </c>
      <c r="N340" s="66">
        <v>5711180000</v>
      </c>
      <c r="O340" s="66">
        <v>554715185.65</v>
      </c>
      <c r="P340" s="233" t="s">
        <v>1071</v>
      </c>
      <c r="Q340" s="249">
        <v>0</v>
      </c>
      <c r="R340" s="248"/>
      <c r="S340" s="248"/>
      <c r="T340" s="248"/>
      <c r="U340" s="302"/>
      <c r="V340" s="146">
        <f t="shared" si="162"/>
        <v>87500000</v>
      </c>
      <c r="W340" s="146">
        <f t="shared" si="163"/>
        <v>5834344011.17</v>
      </c>
      <c r="X340" s="146">
        <f t="shared" si="164"/>
        <v>5738220000</v>
      </c>
      <c r="Y340" s="146">
        <f t="shared" si="165"/>
        <v>581018519.65</v>
      </c>
      <c r="Z340" s="585"/>
    </row>
    <row r="341" spans="1:26" ht="13.5" customHeight="1" thickBot="1">
      <c r="A341" s="396" t="s">
        <v>161</v>
      </c>
      <c r="B341" s="396"/>
      <c r="C341" s="396"/>
      <c r="D341" s="396"/>
      <c r="E341" s="396"/>
      <c r="F341" s="396"/>
      <c r="G341" s="396"/>
      <c r="H341" s="266">
        <f aca="true" t="shared" si="168" ref="H341:O341">H342+H372</f>
        <v>1919700678.7</v>
      </c>
      <c r="I341" s="266">
        <f t="shared" si="168"/>
        <v>3599390786.46</v>
      </c>
      <c r="J341" s="266">
        <f t="shared" si="168"/>
        <v>2940459707</v>
      </c>
      <c r="K341" s="266">
        <f t="shared" si="168"/>
        <v>2256293755</v>
      </c>
      <c r="L341" s="266">
        <f t="shared" si="168"/>
        <v>0</v>
      </c>
      <c r="M341" s="266">
        <f t="shared" si="168"/>
        <v>4328522194</v>
      </c>
      <c r="N341" s="266">
        <f t="shared" si="168"/>
        <v>4328522194</v>
      </c>
      <c r="O341" s="266">
        <f t="shared" si="168"/>
        <v>1731408877</v>
      </c>
      <c r="P341" s="266"/>
      <c r="Q341" s="266">
        <f>Q342+Q372</f>
        <v>0</v>
      </c>
      <c r="R341" s="266">
        <f>R342+R372</f>
        <v>0</v>
      </c>
      <c r="S341" s="266">
        <f>S342+S372</f>
        <v>0</v>
      </c>
      <c r="T341" s="266">
        <f>T342+T372</f>
        <v>0</v>
      </c>
      <c r="U341" s="269"/>
      <c r="V341" s="311">
        <f aca="true" t="shared" si="169" ref="V341:V346">H341+L341+Q341</f>
        <v>1919700678.7</v>
      </c>
      <c r="W341" s="311">
        <f t="shared" si="163"/>
        <v>7927912980.46</v>
      </c>
      <c r="X341" s="311">
        <f t="shared" si="164"/>
        <v>7268981901</v>
      </c>
      <c r="Y341" s="311">
        <f t="shared" si="165"/>
        <v>3987702632</v>
      </c>
      <c r="Z341" s="583">
        <v>15</v>
      </c>
    </row>
    <row r="342" spans="1:26" ht="13.5">
      <c r="A342" s="242">
        <v>2</v>
      </c>
      <c r="B342" s="242"/>
      <c r="C342" s="245"/>
      <c r="D342" s="189"/>
      <c r="E342" s="245"/>
      <c r="F342" s="351"/>
      <c r="G342" s="174" t="s">
        <v>106</v>
      </c>
      <c r="H342" s="240">
        <f aca="true" t="shared" si="170" ref="H342:O342">H343</f>
        <v>1080750000</v>
      </c>
      <c r="I342" s="240">
        <f t="shared" si="170"/>
        <v>2110923320</v>
      </c>
      <c r="J342" s="240">
        <f t="shared" si="170"/>
        <v>1695772517</v>
      </c>
      <c r="K342" s="240">
        <f t="shared" si="170"/>
        <v>1336126013</v>
      </c>
      <c r="L342" s="240">
        <f t="shared" si="170"/>
        <v>0</v>
      </c>
      <c r="M342" s="240">
        <f t="shared" si="170"/>
        <v>4328522194</v>
      </c>
      <c r="N342" s="240">
        <f t="shared" si="170"/>
        <v>4328522194</v>
      </c>
      <c r="O342" s="240">
        <f t="shared" si="170"/>
        <v>1731408877</v>
      </c>
      <c r="P342" s="240"/>
      <c r="Q342" s="240">
        <f>Q343</f>
        <v>0</v>
      </c>
      <c r="R342" s="240">
        <f>R343</f>
        <v>0</v>
      </c>
      <c r="S342" s="240">
        <f>S343</f>
        <v>0</v>
      </c>
      <c r="T342" s="240">
        <f>T343</f>
        <v>0</v>
      </c>
      <c r="U342" s="242"/>
      <c r="V342" s="138">
        <f t="shared" si="169"/>
        <v>1080750000</v>
      </c>
      <c r="W342" s="138">
        <f t="shared" si="163"/>
        <v>6439445514</v>
      </c>
      <c r="X342" s="138">
        <f t="shared" si="164"/>
        <v>6024294711</v>
      </c>
      <c r="Y342" s="138">
        <f t="shared" si="165"/>
        <v>3067534890</v>
      </c>
      <c r="Z342" s="584"/>
    </row>
    <row r="343" spans="1:26" ht="13.5">
      <c r="A343" s="483"/>
      <c r="B343" s="168" t="s">
        <v>107</v>
      </c>
      <c r="C343" s="2"/>
      <c r="D343" s="168"/>
      <c r="E343" s="48"/>
      <c r="F343" s="365"/>
      <c r="G343" s="166" t="s">
        <v>108</v>
      </c>
      <c r="H343" s="15">
        <f aca="true" t="shared" si="171" ref="H343:O343">H344+H364</f>
        <v>1080750000</v>
      </c>
      <c r="I343" s="15">
        <f t="shared" si="171"/>
        <v>2110923320</v>
      </c>
      <c r="J343" s="15">
        <f t="shared" si="171"/>
        <v>1695772517</v>
      </c>
      <c r="K343" s="15">
        <f t="shared" si="171"/>
        <v>1336126013</v>
      </c>
      <c r="L343" s="15">
        <f t="shared" si="171"/>
        <v>0</v>
      </c>
      <c r="M343" s="15">
        <f t="shared" si="171"/>
        <v>4328522194</v>
      </c>
      <c r="N343" s="15">
        <f t="shared" si="171"/>
        <v>4328522194</v>
      </c>
      <c r="O343" s="15">
        <f t="shared" si="171"/>
        <v>1731408877</v>
      </c>
      <c r="P343" s="15"/>
      <c r="Q343" s="15">
        <f>Q344+Q364</f>
        <v>0</v>
      </c>
      <c r="R343" s="15">
        <f>R344+R364</f>
        <v>0</v>
      </c>
      <c r="S343" s="15">
        <f>S344+S364</f>
        <v>0</v>
      </c>
      <c r="T343" s="15">
        <f>T344+T364</f>
        <v>0</v>
      </c>
      <c r="U343" s="28"/>
      <c r="V343" s="139">
        <f t="shared" si="169"/>
        <v>1080750000</v>
      </c>
      <c r="W343" s="139">
        <f t="shared" si="163"/>
        <v>6439445514</v>
      </c>
      <c r="X343" s="139">
        <f t="shared" si="164"/>
        <v>6024294711</v>
      </c>
      <c r="Y343" s="139">
        <f t="shared" si="165"/>
        <v>3067534890</v>
      </c>
      <c r="Z343" s="584"/>
    </row>
    <row r="344" spans="1:26" ht="13.5">
      <c r="A344" s="484"/>
      <c r="B344" s="483"/>
      <c r="C344" s="168" t="s">
        <v>109</v>
      </c>
      <c r="D344" s="2"/>
      <c r="E344" s="169"/>
      <c r="F344" s="355"/>
      <c r="G344" s="166" t="s">
        <v>110</v>
      </c>
      <c r="H344" s="15">
        <f aca="true" t="shared" si="172" ref="H344:O344">H345+H352+H356+H360</f>
        <v>958450000</v>
      </c>
      <c r="I344" s="15">
        <f t="shared" si="172"/>
        <v>1926523320</v>
      </c>
      <c r="J344" s="15">
        <f t="shared" si="172"/>
        <v>1586372817</v>
      </c>
      <c r="K344" s="15">
        <f t="shared" si="172"/>
        <v>1236263953</v>
      </c>
      <c r="L344" s="15">
        <f t="shared" si="172"/>
        <v>0</v>
      </c>
      <c r="M344" s="15">
        <f t="shared" si="172"/>
        <v>4328522194</v>
      </c>
      <c r="N344" s="15">
        <f t="shared" si="172"/>
        <v>4328522194</v>
      </c>
      <c r="O344" s="15">
        <f t="shared" si="172"/>
        <v>1731408877</v>
      </c>
      <c r="P344" s="15"/>
      <c r="Q344" s="15">
        <f>Q345+Q352+Q356+Q360</f>
        <v>0</v>
      </c>
      <c r="R344" s="15">
        <f>R345+R352+R356+R360</f>
        <v>0</v>
      </c>
      <c r="S344" s="15">
        <f>S345+S352+S356+S360</f>
        <v>0</v>
      </c>
      <c r="T344" s="15">
        <f>T345+T352+T356+T360</f>
        <v>0</v>
      </c>
      <c r="U344" s="28"/>
      <c r="V344" s="139">
        <f t="shared" si="169"/>
        <v>958450000</v>
      </c>
      <c r="W344" s="139">
        <f t="shared" si="163"/>
        <v>6255045514</v>
      </c>
      <c r="X344" s="139">
        <f t="shared" si="164"/>
        <v>5914895011</v>
      </c>
      <c r="Y344" s="139">
        <f t="shared" si="165"/>
        <v>2967672830</v>
      </c>
      <c r="Z344" s="584"/>
    </row>
    <row r="345" spans="1:26" ht="27">
      <c r="A345" s="484"/>
      <c r="B345" s="484"/>
      <c r="C345" s="521"/>
      <c r="D345" s="123" t="s">
        <v>584</v>
      </c>
      <c r="E345" s="123"/>
      <c r="F345" s="350"/>
      <c r="G345" s="174" t="s">
        <v>585</v>
      </c>
      <c r="H345" s="15">
        <f aca="true" t="shared" si="173" ref="H345:O345">H346</f>
        <v>55800000</v>
      </c>
      <c r="I345" s="15">
        <f t="shared" si="173"/>
        <v>213500000</v>
      </c>
      <c r="J345" s="15">
        <f t="shared" si="173"/>
        <v>208400000</v>
      </c>
      <c r="K345" s="15">
        <f t="shared" si="173"/>
        <v>155865192</v>
      </c>
      <c r="L345" s="15">
        <f t="shared" si="173"/>
        <v>0</v>
      </c>
      <c r="M345" s="15">
        <f t="shared" si="173"/>
        <v>0</v>
      </c>
      <c r="N345" s="15">
        <f t="shared" si="173"/>
        <v>0</v>
      </c>
      <c r="O345" s="15">
        <f t="shared" si="173"/>
        <v>0</v>
      </c>
      <c r="P345" s="15"/>
      <c r="Q345" s="15">
        <f>Q348</f>
        <v>0</v>
      </c>
      <c r="R345" s="15">
        <f>R348</f>
        <v>0</v>
      </c>
      <c r="S345" s="15">
        <f>S348</f>
        <v>0</v>
      </c>
      <c r="T345" s="15">
        <f>T348</f>
        <v>0</v>
      </c>
      <c r="U345" s="28"/>
      <c r="V345" s="139">
        <f t="shared" si="169"/>
        <v>55800000</v>
      </c>
      <c r="W345" s="139">
        <f t="shared" si="163"/>
        <v>213500000</v>
      </c>
      <c r="X345" s="139">
        <f t="shared" si="164"/>
        <v>208400000</v>
      </c>
      <c r="Y345" s="139">
        <f t="shared" si="165"/>
        <v>155865192</v>
      </c>
      <c r="Z345" s="584"/>
    </row>
    <row r="346" spans="1:26" ht="14.25" customHeight="1">
      <c r="A346" s="484"/>
      <c r="B346" s="484"/>
      <c r="C346" s="522"/>
      <c r="D346" s="401"/>
      <c r="E346" s="170" t="s">
        <v>587</v>
      </c>
      <c r="F346" s="497" t="s">
        <v>941</v>
      </c>
      <c r="G346" s="494" t="s">
        <v>586</v>
      </c>
      <c r="H346" s="446">
        <v>55800000</v>
      </c>
      <c r="I346" s="446">
        <v>213500000</v>
      </c>
      <c r="J346" s="446">
        <v>208400000</v>
      </c>
      <c r="K346" s="446">
        <v>155865192</v>
      </c>
      <c r="L346" s="446">
        <v>0</v>
      </c>
      <c r="M346" s="446"/>
      <c r="N346" s="446"/>
      <c r="O346" s="446"/>
      <c r="P346" s="446"/>
      <c r="Q346" s="446">
        <v>0</v>
      </c>
      <c r="R346" s="446"/>
      <c r="S346" s="446"/>
      <c r="T346" s="446"/>
      <c r="U346" s="446"/>
      <c r="V346" s="449">
        <f t="shared" si="169"/>
        <v>55800000</v>
      </c>
      <c r="W346" s="449">
        <f t="shared" si="163"/>
        <v>213500000</v>
      </c>
      <c r="X346" s="449">
        <f t="shared" si="164"/>
        <v>208400000</v>
      </c>
      <c r="Y346" s="449">
        <f t="shared" si="165"/>
        <v>155865192</v>
      </c>
      <c r="Z346" s="584"/>
    </row>
    <row r="347" spans="1:26" ht="13.5">
      <c r="A347" s="484"/>
      <c r="B347" s="484"/>
      <c r="C347" s="522"/>
      <c r="D347" s="401"/>
      <c r="E347" s="168" t="s">
        <v>588</v>
      </c>
      <c r="F347" s="498"/>
      <c r="G347" s="500"/>
      <c r="H347" s="447"/>
      <c r="I347" s="447"/>
      <c r="J347" s="447"/>
      <c r="K347" s="447"/>
      <c r="L347" s="447"/>
      <c r="M347" s="447"/>
      <c r="N347" s="447"/>
      <c r="O347" s="447"/>
      <c r="P347" s="447"/>
      <c r="Q347" s="447"/>
      <c r="R347" s="447"/>
      <c r="S347" s="447"/>
      <c r="T347" s="447"/>
      <c r="U347" s="447"/>
      <c r="V347" s="450"/>
      <c r="W347" s="450"/>
      <c r="X347" s="450"/>
      <c r="Y347" s="450"/>
      <c r="Z347" s="584"/>
    </row>
    <row r="348" spans="1:26" ht="13.5">
      <c r="A348" s="484"/>
      <c r="B348" s="484"/>
      <c r="C348" s="522"/>
      <c r="D348" s="401"/>
      <c r="E348" s="170" t="s">
        <v>589</v>
      </c>
      <c r="F348" s="498"/>
      <c r="G348" s="500"/>
      <c r="H348" s="447"/>
      <c r="I348" s="447"/>
      <c r="J348" s="447"/>
      <c r="K348" s="447"/>
      <c r="L348" s="447"/>
      <c r="M348" s="447"/>
      <c r="N348" s="447"/>
      <c r="O348" s="447"/>
      <c r="P348" s="447"/>
      <c r="Q348" s="447">
        <v>0</v>
      </c>
      <c r="R348" s="447"/>
      <c r="S348" s="447"/>
      <c r="T348" s="447"/>
      <c r="U348" s="447"/>
      <c r="V348" s="450">
        <f>H346+L346+Q348</f>
        <v>55800000</v>
      </c>
      <c r="W348" s="450">
        <f>I346+M346+R348</f>
        <v>213500000</v>
      </c>
      <c r="X348" s="450">
        <f>J346+N346+S348</f>
        <v>208400000</v>
      </c>
      <c r="Y348" s="450">
        <f>K346+O346+T348</f>
        <v>155865192</v>
      </c>
      <c r="Z348" s="584"/>
    </row>
    <row r="349" spans="1:26" ht="13.5">
      <c r="A349" s="484"/>
      <c r="B349" s="484"/>
      <c r="C349" s="522"/>
      <c r="D349" s="401"/>
      <c r="E349" s="170" t="s">
        <v>590</v>
      </c>
      <c r="F349" s="498"/>
      <c r="G349" s="500"/>
      <c r="H349" s="447"/>
      <c r="I349" s="447"/>
      <c r="J349" s="447"/>
      <c r="K349" s="447"/>
      <c r="L349" s="447"/>
      <c r="M349" s="447"/>
      <c r="N349" s="447"/>
      <c r="O349" s="447"/>
      <c r="P349" s="447"/>
      <c r="Q349" s="447"/>
      <c r="R349" s="447"/>
      <c r="S349" s="447"/>
      <c r="T349" s="447"/>
      <c r="U349" s="447"/>
      <c r="V349" s="450"/>
      <c r="W349" s="450"/>
      <c r="X349" s="450"/>
      <c r="Y349" s="450"/>
      <c r="Z349" s="584"/>
    </row>
    <row r="350" spans="1:26" ht="13.5">
      <c r="A350" s="484"/>
      <c r="B350" s="484"/>
      <c r="C350" s="522"/>
      <c r="D350" s="401"/>
      <c r="E350" s="170" t="s">
        <v>591</v>
      </c>
      <c r="F350" s="498"/>
      <c r="G350" s="500"/>
      <c r="H350" s="447"/>
      <c r="I350" s="447"/>
      <c r="J350" s="447"/>
      <c r="K350" s="447"/>
      <c r="L350" s="447"/>
      <c r="M350" s="447"/>
      <c r="N350" s="447"/>
      <c r="O350" s="447"/>
      <c r="P350" s="447"/>
      <c r="Q350" s="447"/>
      <c r="R350" s="447"/>
      <c r="S350" s="447"/>
      <c r="T350" s="447"/>
      <c r="U350" s="447"/>
      <c r="V350" s="450"/>
      <c r="W350" s="450"/>
      <c r="X350" s="450"/>
      <c r="Y350" s="450"/>
      <c r="Z350" s="584"/>
    </row>
    <row r="351" spans="1:26" ht="13.5">
      <c r="A351" s="484"/>
      <c r="B351" s="484"/>
      <c r="C351" s="522"/>
      <c r="D351" s="402"/>
      <c r="E351" s="170" t="s">
        <v>591</v>
      </c>
      <c r="F351" s="499"/>
      <c r="G351" s="495"/>
      <c r="H351" s="448"/>
      <c r="I351" s="448"/>
      <c r="J351" s="448"/>
      <c r="K351" s="448"/>
      <c r="L351" s="448"/>
      <c r="M351" s="448"/>
      <c r="N351" s="448"/>
      <c r="O351" s="448"/>
      <c r="P351" s="448"/>
      <c r="Q351" s="448"/>
      <c r="R351" s="448"/>
      <c r="S351" s="448"/>
      <c r="T351" s="448"/>
      <c r="U351" s="448"/>
      <c r="V351" s="451"/>
      <c r="W351" s="451"/>
      <c r="X351" s="451"/>
      <c r="Y351" s="451"/>
      <c r="Z351" s="584"/>
    </row>
    <row r="352" spans="1:26" ht="13.5">
      <c r="A352" s="484"/>
      <c r="B352" s="484"/>
      <c r="C352" s="522"/>
      <c r="D352" s="123" t="s">
        <v>592</v>
      </c>
      <c r="E352" s="123"/>
      <c r="F352" s="31"/>
      <c r="G352" s="6" t="s">
        <v>593</v>
      </c>
      <c r="H352" s="15">
        <f aca="true" t="shared" si="174" ref="H352:O352">H353</f>
        <v>743800000</v>
      </c>
      <c r="I352" s="15">
        <f t="shared" si="174"/>
        <v>1530300000</v>
      </c>
      <c r="J352" s="15">
        <f t="shared" si="174"/>
        <v>1210459527</v>
      </c>
      <c r="K352" s="15">
        <f t="shared" si="174"/>
        <v>943395861</v>
      </c>
      <c r="L352" s="15">
        <f t="shared" si="174"/>
        <v>0</v>
      </c>
      <c r="M352" s="15">
        <f t="shared" si="174"/>
        <v>4328522194</v>
      </c>
      <c r="N352" s="15">
        <f t="shared" si="174"/>
        <v>4328522194</v>
      </c>
      <c r="O352" s="15">
        <f t="shared" si="174"/>
        <v>1731408877</v>
      </c>
      <c r="P352" s="15"/>
      <c r="Q352" s="15">
        <f>Q353</f>
        <v>0</v>
      </c>
      <c r="R352" s="15"/>
      <c r="S352" s="15"/>
      <c r="T352" s="15"/>
      <c r="U352" s="28"/>
      <c r="V352" s="139">
        <f>H352+L352+Q352</f>
        <v>743800000</v>
      </c>
      <c r="W352" s="139">
        <f aca="true" t="shared" si="175" ref="W352:Y353">I352+M352+R352</f>
        <v>5858822194</v>
      </c>
      <c r="X352" s="139">
        <f t="shared" si="175"/>
        <v>5538981721</v>
      </c>
      <c r="Y352" s="139">
        <f t="shared" si="175"/>
        <v>2674804738</v>
      </c>
      <c r="Z352" s="584"/>
    </row>
    <row r="353" spans="1:26" ht="13.5">
      <c r="A353" s="484"/>
      <c r="B353" s="484"/>
      <c r="C353" s="522"/>
      <c r="D353" s="400"/>
      <c r="E353" s="170" t="s">
        <v>594</v>
      </c>
      <c r="F353" s="497" t="s">
        <v>942</v>
      </c>
      <c r="G353" s="494" t="s">
        <v>595</v>
      </c>
      <c r="H353" s="409">
        <v>743800000</v>
      </c>
      <c r="I353" s="409">
        <v>1530300000</v>
      </c>
      <c r="J353" s="409">
        <v>1210459527</v>
      </c>
      <c r="K353" s="409">
        <v>943395861</v>
      </c>
      <c r="L353" s="409">
        <v>0</v>
      </c>
      <c r="M353" s="409">
        <v>4328522194</v>
      </c>
      <c r="N353" s="409">
        <v>4328522194</v>
      </c>
      <c r="O353" s="409">
        <v>1731408877</v>
      </c>
      <c r="P353" s="409" t="s">
        <v>1065</v>
      </c>
      <c r="Q353" s="409">
        <v>0</v>
      </c>
      <c r="R353" s="409"/>
      <c r="S353" s="409"/>
      <c r="T353" s="409"/>
      <c r="U353" s="409"/>
      <c r="V353" s="412">
        <f>H353+L353+Q353</f>
        <v>743800000</v>
      </c>
      <c r="W353" s="412">
        <f t="shared" si="175"/>
        <v>5858822194</v>
      </c>
      <c r="X353" s="412">
        <f t="shared" si="175"/>
        <v>5538981721</v>
      </c>
      <c r="Y353" s="412">
        <f t="shared" si="175"/>
        <v>2674804738</v>
      </c>
      <c r="Z353" s="584"/>
    </row>
    <row r="354" spans="1:26" ht="13.5">
      <c r="A354" s="484"/>
      <c r="B354" s="484"/>
      <c r="C354" s="522"/>
      <c r="D354" s="401"/>
      <c r="E354" s="170" t="s">
        <v>596</v>
      </c>
      <c r="F354" s="498"/>
      <c r="G354" s="500"/>
      <c r="H354" s="410"/>
      <c r="I354" s="410"/>
      <c r="J354" s="410"/>
      <c r="K354" s="410"/>
      <c r="L354" s="410"/>
      <c r="M354" s="410"/>
      <c r="N354" s="410"/>
      <c r="O354" s="410"/>
      <c r="P354" s="410"/>
      <c r="Q354" s="410"/>
      <c r="R354" s="410"/>
      <c r="S354" s="410"/>
      <c r="T354" s="410"/>
      <c r="U354" s="410"/>
      <c r="V354" s="413"/>
      <c r="W354" s="413"/>
      <c r="X354" s="413"/>
      <c r="Y354" s="413"/>
      <c r="Z354" s="584"/>
    </row>
    <row r="355" spans="1:26" ht="13.5">
      <c r="A355" s="484"/>
      <c r="B355" s="484"/>
      <c r="C355" s="522"/>
      <c r="D355" s="401"/>
      <c r="E355" s="170" t="s">
        <v>597</v>
      </c>
      <c r="F355" s="498"/>
      <c r="G355" s="500"/>
      <c r="H355" s="411"/>
      <c r="I355" s="411"/>
      <c r="J355" s="411"/>
      <c r="K355" s="411"/>
      <c r="L355" s="411"/>
      <c r="M355" s="411"/>
      <c r="N355" s="411"/>
      <c r="O355" s="411"/>
      <c r="P355" s="411"/>
      <c r="Q355" s="411"/>
      <c r="R355" s="411"/>
      <c r="S355" s="411"/>
      <c r="T355" s="411"/>
      <c r="U355" s="411"/>
      <c r="V355" s="414"/>
      <c r="W355" s="414"/>
      <c r="X355" s="414"/>
      <c r="Y355" s="414"/>
      <c r="Z355" s="584"/>
    </row>
    <row r="356" spans="1:26" ht="13.5">
      <c r="A356" s="484"/>
      <c r="B356" s="484"/>
      <c r="C356" s="522"/>
      <c r="D356" s="123" t="s">
        <v>598</v>
      </c>
      <c r="E356" s="178"/>
      <c r="F356" s="31"/>
      <c r="G356" s="6" t="s">
        <v>599</v>
      </c>
      <c r="H356" s="15">
        <f aca="true" t="shared" si="176" ref="H356:O356">H357</f>
        <v>75800000</v>
      </c>
      <c r="I356" s="15">
        <f t="shared" si="176"/>
        <v>77673320</v>
      </c>
      <c r="J356" s="15">
        <f t="shared" si="176"/>
        <v>75073320</v>
      </c>
      <c r="K356" s="15">
        <f t="shared" si="176"/>
        <v>60590120</v>
      </c>
      <c r="L356" s="15">
        <f t="shared" si="176"/>
        <v>0</v>
      </c>
      <c r="M356" s="15">
        <f t="shared" si="176"/>
        <v>0</v>
      </c>
      <c r="N356" s="15">
        <f t="shared" si="176"/>
        <v>0</v>
      </c>
      <c r="O356" s="15">
        <f t="shared" si="176"/>
        <v>0</v>
      </c>
      <c r="P356" s="15"/>
      <c r="Q356" s="15">
        <f>Q357</f>
        <v>0</v>
      </c>
      <c r="R356" s="15"/>
      <c r="S356" s="15"/>
      <c r="T356" s="15"/>
      <c r="U356" s="28"/>
      <c r="V356" s="139">
        <f>H356+L356+Q356</f>
        <v>75800000</v>
      </c>
      <c r="W356" s="139">
        <f aca="true" t="shared" si="177" ref="W356:Y357">I356+M356+R356</f>
        <v>77673320</v>
      </c>
      <c r="X356" s="139">
        <f t="shared" si="177"/>
        <v>75073320</v>
      </c>
      <c r="Y356" s="139">
        <f t="shared" si="177"/>
        <v>60590120</v>
      </c>
      <c r="Z356" s="584"/>
    </row>
    <row r="357" spans="1:26" ht="13.5">
      <c r="A357" s="484"/>
      <c r="B357" s="484"/>
      <c r="C357" s="522"/>
      <c r="D357" s="400"/>
      <c r="E357" s="170" t="s">
        <v>600</v>
      </c>
      <c r="F357" s="497" t="s">
        <v>943</v>
      </c>
      <c r="G357" s="494" t="s">
        <v>601</v>
      </c>
      <c r="H357" s="409">
        <v>75800000</v>
      </c>
      <c r="I357" s="409">
        <v>77673320</v>
      </c>
      <c r="J357" s="409">
        <v>75073320</v>
      </c>
      <c r="K357" s="409">
        <v>60590120</v>
      </c>
      <c r="L357" s="409">
        <v>0</v>
      </c>
      <c r="M357" s="409"/>
      <c r="N357" s="409"/>
      <c r="O357" s="409"/>
      <c r="P357" s="409"/>
      <c r="Q357" s="409">
        <v>0</v>
      </c>
      <c r="R357" s="409"/>
      <c r="S357" s="409"/>
      <c r="T357" s="409"/>
      <c r="U357" s="409"/>
      <c r="V357" s="412">
        <f>H357+L357+Q357</f>
        <v>75800000</v>
      </c>
      <c r="W357" s="412">
        <f t="shared" si="177"/>
        <v>77673320</v>
      </c>
      <c r="X357" s="412">
        <f t="shared" si="177"/>
        <v>75073320</v>
      </c>
      <c r="Y357" s="412">
        <f t="shared" si="177"/>
        <v>60590120</v>
      </c>
      <c r="Z357" s="584"/>
    </row>
    <row r="358" spans="1:26" ht="13.5">
      <c r="A358" s="484"/>
      <c r="B358" s="484"/>
      <c r="C358" s="522"/>
      <c r="D358" s="401"/>
      <c r="E358" s="170" t="s">
        <v>602</v>
      </c>
      <c r="F358" s="498"/>
      <c r="G358" s="500"/>
      <c r="H358" s="410"/>
      <c r="I358" s="410"/>
      <c r="J358" s="410"/>
      <c r="K358" s="410"/>
      <c r="L358" s="410"/>
      <c r="M358" s="410"/>
      <c r="N358" s="410"/>
      <c r="O358" s="410"/>
      <c r="P358" s="410"/>
      <c r="Q358" s="410"/>
      <c r="R358" s="410"/>
      <c r="S358" s="410"/>
      <c r="T358" s="410"/>
      <c r="U358" s="410"/>
      <c r="V358" s="413"/>
      <c r="W358" s="413"/>
      <c r="X358" s="413"/>
      <c r="Y358" s="413"/>
      <c r="Z358" s="584"/>
    </row>
    <row r="359" spans="1:26" ht="13.5">
      <c r="A359" s="484"/>
      <c r="B359" s="484"/>
      <c r="C359" s="522"/>
      <c r="D359" s="402"/>
      <c r="E359" s="170" t="s">
        <v>603</v>
      </c>
      <c r="F359" s="499"/>
      <c r="G359" s="495"/>
      <c r="H359" s="411"/>
      <c r="I359" s="411"/>
      <c r="J359" s="411"/>
      <c r="K359" s="411"/>
      <c r="L359" s="411"/>
      <c r="M359" s="411"/>
      <c r="N359" s="411"/>
      <c r="O359" s="411"/>
      <c r="P359" s="411"/>
      <c r="Q359" s="411"/>
      <c r="R359" s="411"/>
      <c r="S359" s="411"/>
      <c r="T359" s="411"/>
      <c r="U359" s="411"/>
      <c r="V359" s="414"/>
      <c r="W359" s="414"/>
      <c r="X359" s="414"/>
      <c r="Y359" s="414"/>
      <c r="Z359" s="584"/>
    </row>
    <row r="360" spans="1:26" ht="13.5">
      <c r="A360" s="484"/>
      <c r="B360" s="484"/>
      <c r="C360" s="522"/>
      <c r="D360" s="123" t="s">
        <v>604</v>
      </c>
      <c r="E360" s="123"/>
      <c r="F360" s="347"/>
      <c r="G360" s="179" t="s">
        <v>605</v>
      </c>
      <c r="H360" s="15">
        <f aca="true" t="shared" si="178" ref="H360:O360">H361</f>
        <v>83050000</v>
      </c>
      <c r="I360" s="15">
        <f t="shared" si="178"/>
        <v>105050000</v>
      </c>
      <c r="J360" s="15">
        <f t="shared" si="178"/>
        <v>92439970</v>
      </c>
      <c r="K360" s="15">
        <f t="shared" si="178"/>
        <v>76412780</v>
      </c>
      <c r="L360" s="15">
        <f t="shared" si="178"/>
        <v>0</v>
      </c>
      <c r="M360" s="15">
        <f t="shared" si="178"/>
        <v>0</v>
      </c>
      <c r="N360" s="15">
        <f t="shared" si="178"/>
        <v>0</v>
      </c>
      <c r="O360" s="15">
        <f t="shared" si="178"/>
        <v>0</v>
      </c>
      <c r="P360" s="15"/>
      <c r="Q360" s="15">
        <f>Q361</f>
        <v>0</v>
      </c>
      <c r="R360" s="15"/>
      <c r="S360" s="15"/>
      <c r="T360" s="15"/>
      <c r="U360" s="15"/>
      <c r="V360" s="139">
        <f>H360+L360+Q360</f>
        <v>83050000</v>
      </c>
      <c r="W360" s="139">
        <f aca="true" t="shared" si="179" ref="W360:Y361">I360+M360+R360</f>
        <v>105050000</v>
      </c>
      <c r="X360" s="139">
        <f t="shared" si="179"/>
        <v>92439970</v>
      </c>
      <c r="Y360" s="139">
        <f t="shared" si="179"/>
        <v>76412780</v>
      </c>
      <c r="Z360" s="584"/>
    </row>
    <row r="361" spans="1:26" ht="13.5">
      <c r="A361" s="484"/>
      <c r="B361" s="484"/>
      <c r="C361" s="522"/>
      <c r="D361" s="400"/>
      <c r="E361" s="170" t="s">
        <v>606</v>
      </c>
      <c r="F361" s="497" t="s">
        <v>944</v>
      </c>
      <c r="G361" s="494" t="s">
        <v>607</v>
      </c>
      <c r="H361" s="409">
        <v>83050000</v>
      </c>
      <c r="I361" s="409">
        <v>105050000</v>
      </c>
      <c r="J361" s="409">
        <v>92439970</v>
      </c>
      <c r="K361" s="409">
        <v>76412780</v>
      </c>
      <c r="L361" s="409">
        <v>0</v>
      </c>
      <c r="M361" s="409"/>
      <c r="N361" s="409"/>
      <c r="O361" s="409"/>
      <c r="P361" s="409"/>
      <c r="Q361" s="409">
        <v>0</v>
      </c>
      <c r="R361" s="409"/>
      <c r="S361" s="409"/>
      <c r="T361" s="409"/>
      <c r="U361" s="409"/>
      <c r="V361" s="412">
        <f>H361+L361+Q361</f>
        <v>83050000</v>
      </c>
      <c r="W361" s="412">
        <f t="shared" si="179"/>
        <v>105050000</v>
      </c>
      <c r="X361" s="412">
        <f t="shared" si="179"/>
        <v>92439970</v>
      </c>
      <c r="Y361" s="412">
        <f t="shared" si="179"/>
        <v>76412780</v>
      </c>
      <c r="Z361" s="584"/>
    </row>
    <row r="362" spans="1:26" ht="13.5">
      <c r="A362" s="484"/>
      <c r="B362" s="484"/>
      <c r="C362" s="522"/>
      <c r="D362" s="401"/>
      <c r="E362" s="170" t="s">
        <v>608</v>
      </c>
      <c r="F362" s="498"/>
      <c r="G362" s="500"/>
      <c r="H362" s="410"/>
      <c r="I362" s="410"/>
      <c r="J362" s="410"/>
      <c r="K362" s="410"/>
      <c r="L362" s="410"/>
      <c r="M362" s="410"/>
      <c r="N362" s="410"/>
      <c r="O362" s="410"/>
      <c r="P362" s="410"/>
      <c r="Q362" s="410"/>
      <c r="R362" s="410"/>
      <c r="S362" s="410"/>
      <c r="T362" s="410"/>
      <c r="U362" s="410"/>
      <c r="V362" s="413"/>
      <c r="W362" s="413"/>
      <c r="X362" s="413"/>
      <c r="Y362" s="413"/>
      <c r="Z362" s="584"/>
    </row>
    <row r="363" spans="1:26" ht="13.5">
      <c r="A363" s="484"/>
      <c r="B363" s="484"/>
      <c r="C363" s="523"/>
      <c r="D363" s="402"/>
      <c r="E363" s="170" t="s">
        <v>609</v>
      </c>
      <c r="F363" s="499"/>
      <c r="G363" s="495"/>
      <c r="H363" s="411"/>
      <c r="I363" s="411"/>
      <c r="J363" s="411"/>
      <c r="K363" s="411"/>
      <c r="L363" s="411"/>
      <c r="M363" s="411"/>
      <c r="N363" s="411"/>
      <c r="O363" s="411"/>
      <c r="P363" s="411"/>
      <c r="Q363" s="411"/>
      <c r="R363" s="411"/>
      <c r="S363" s="411"/>
      <c r="T363" s="411"/>
      <c r="U363" s="411"/>
      <c r="V363" s="414"/>
      <c r="W363" s="414"/>
      <c r="X363" s="414"/>
      <c r="Y363" s="414"/>
      <c r="Z363" s="584"/>
    </row>
    <row r="364" spans="1:26" ht="13.5">
      <c r="A364" s="484"/>
      <c r="B364" s="484"/>
      <c r="C364" s="168" t="s">
        <v>111</v>
      </c>
      <c r="D364" s="169"/>
      <c r="E364" s="169"/>
      <c r="F364" s="355"/>
      <c r="G364" s="6" t="s">
        <v>112</v>
      </c>
      <c r="H364" s="15">
        <f aca="true" t="shared" si="180" ref="H364:O364">H365+H369</f>
        <v>122300000</v>
      </c>
      <c r="I364" s="15">
        <f t="shared" si="180"/>
        <v>184400000</v>
      </c>
      <c r="J364" s="15">
        <f t="shared" si="180"/>
        <v>109399700</v>
      </c>
      <c r="K364" s="15">
        <f t="shared" si="180"/>
        <v>99862060</v>
      </c>
      <c r="L364" s="15">
        <f t="shared" si="180"/>
        <v>0</v>
      </c>
      <c r="M364" s="15">
        <f t="shared" si="180"/>
        <v>0</v>
      </c>
      <c r="N364" s="15">
        <f t="shared" si="180"/>
        <v>0</v>
      </c>
      <c r="O364" s="15">
        <f t="shared" si="180"/>
        <v>0</v>
      </c>
      <c r="P364" s="15"/>
      <c r="Q364" s="15">
        <f>Q365+Q369</f>
        <v>0</v>
      </c>
      <c r="R364" s="15"/>
      <c r="S364" s="15"/>
      <c r="T364" s="15"/>
      <c r="U364" s="15"/>
      <c r="V364" s="139">
        <f>H364+L364+Q364</f>
        <v>122300000</v>
      </c>
      <c r="W364" s="139">
        <f aca="true" t="shared" si="181" ref="W364:Y366">I364+M364+R364</f>
        <v>184400000</v>
      </c>
      <c r="X364" s="139">
        <f t="shared" si="181"/>
        <v>109399700</v>
      </c>
      <c r="Y364" s="139">
        <f t="shared" si="181"/>
        <v>99862060</v>
      </c>
      <c r="Z364" s="584"/>
    </row>
    <row r="365" spans="1:26" ht="13.5">
      <c r="A365" s="484"/>
      <c r="B365" s="484"/>
      <c r="C365" s="521"/>
      <c r="D365" s="123" t="s">
        <v>610</v>
      </c>
      <c r="E365" s="178"/>
      <c r="F365" s="31"/>
      <c r="G365" s="6" t="s">
        <v>611</v>
      </c>
      <c r="H365" s="15">
        <f aca="true" t="shared" si="182" ref="H365:O365">H366</f>
        <v>112400000</v>
      </c>
      <c r="I365" s="15">
        <f t="shared" si="182"/>
        <v>174500000</v>
      </c>
      <c r="J365" s="15">
        <f t="shared" si="182"/>
        <v>99499700</v>
      </c>
      <c r="K365" s="15">
        <f t="shared" si="182"/>
        <v>89962060</v>
      </c>
      <c r="L365" s="15">
        <f t="shared" si="182"/>
        <v>0</v>
      </c>
      <c r="M365" s="15">
        <f t="shared" si="182"/>
        <v>0</v>
      </c>
      <c r="N365" s="15">
        <f t="shared" si="182"/>
        <v>0</v>
      </c>
      <c r="O365" s="15">
        <f t="shared" si="182"/>
        <v>0</v>
      </c>
      <c r="P365" s="15"/>
      <c r="Q365" s="15">
        <f>Q366</f>
        <v>0</v>
      </c>
      <c r="R365" s="15"/>
      <c r="S365" s="15"/>
      <c r="T365" s="15"/>
      <c r="U365" s="15"/>
      <c r="V365" s="139">
        <f>H365+L365+Q365</f>
        <v>112400000</v>
      </c>
      <c r="W365" s="139">
        <f t="shared" si="181"/>
        <v>174500000</v>
      </c>
      <c r="X365" s="139">
        <f t="shared" si="181"/>
        <v>99499700</v>
      </c>
      <c r="Y365" s="139">
        <f t="shared" si="181"/>
        <v>89962060</v>
      </c>
      <c r="Z365" s="584"/>
    </row>
    <row r="366" spans="1:26" ht="14.25" customHeight="1">
      <c r="A366" s="484"/>
      <c r="B366" s="484"/>
      <c r="C366" s="522"/>
      <c r="D366" s="400"/>
      <c r="E366" s="170" t="s">
        <v>612</v>
      </c>
      <c r="F366" s="497" t="s">
        <v>945</v>
      </c>
      <c r="G366" s="494" t="s">
        <v>613</v>
      </c>
      <c r="H366" s="409">
        <v>112400000</v>
      </c>
      <c r="I366" s="409">
        <v>174500000</v>
      </c>
      <c r="J366" s="409">
        <v>99499700</v>
      </c>
      <c r="K366" s="409">
        <v>89962060</v>
      </c>
      <c r="L366" s="409">
        <v>0</v>
      </c>
      <c r="M366" s="118"/>
      <c r="N366" s="118"/>
      <c r="O366" s="118"/>
      <c r="P366" s="409"/>
      <c r="Q366" s="409">
        <v>0</v>
      </c>
      <c r="R366" s="409"/>
      <c r="S366" s="409"/>
      <c r="T366" s="409"/>
      <c r="U366" s="409"/>
      <c r="V366" s="412">
        <f>H366+L366+Q366</f>
        <v>112400000</v>
      </c>
      <c r="W366" s="412">
        <f t="shared" si="181"/>
        <v>174500000</v>
      </c>
      <c r="X366" s="412">
        <f t="shared" si="181"/>
        <v>99499700</v>
      </c>
      <c r="Y366" s="412">
        <f t="shared" si="181"/>
        <v>89962060</v>
      </c>
      <c r="Z366" s="584"/>
    </row>
    <row r="367" spans="1:26" ht="14.25" customHeight="1">
      <c r="A367" s="484"/>
      <c r="B367" s="484"/>
      <c r="C367" s="522"/>
      <c r="D367" s="401"/>
      <c r="E367" s="170" t="s">
        <v>614</v>
      </c>
      <c r="F367" s="498"/>
      <c r="G367" s="500"/>
      <c r="H367" s="410"/>
      <c r="I367" s="410"/>
      <c r="J367" s="410"/>
      <c r="K367" s="410"/>
      <c r="L367" s="410"/>
      <c r="M367" s="120"/>
      <c r="N367" s="120"/>
      <c r="O367" s="120"/>
      <c r="P367" s="410"/>
      <c r="Q367" s="410"/>
      <c r="R367" s="410"/>
      <c r="S367" s="410"/>
      <c r="T367" s="410"/>
      <c r="U367" s="410"/>
      <c r="V367" s="413"/>
      <c r="W367" s="413"/>
      <c r="X367" s="413"/>
      <c r="Y367" s="413"/>
      <c r="Z367" s="584"/>
    </row>
    <row r="368" spans="1:26" ht="14.25" customHeight="1">
      <c r="A368" s="484"/>
      <c r="B368" s="484"/>
      <c r="C368" s="522"/>
      <c r="D368" s="402"/>
      <c r="E368" s="170" t="s">
        <v>615</v>
      </c>
      <c r="F368" s="499"/>
      <c r="G368" s="495"/>
      <c r="H368" s="411"/>
      <c r="I368" s="411"/>
      <c r="J368" s="411"/>
      <c r="K368" s="411"/>
      <c r="L368" s="411"/>
      <c r="M368" s="119"/>
      <c r="N368" s="119"/>
      <c r="O368" s="119"/>
      <c r="P368" s="411"/>
      <c r="Q368" s="411"/>
      <c r="R368" s="411"/>
      <c r="S368" s="411"/>
      <c r="T368" s="411"/>
      <c r="U368" s="411"/>
      <c r="V368" s="414"/>
      <c r="W368" s="414"/>
      <c r="X368" s="414"/>
      <c r="Y368" s="414"/>
      <c r="Z368" s="584"/>
    </row>
    <row r="369" spans="1:26" ht="27" customHeight="1">
      <c r="A369" s="484"/>
      <c r="B369" s="484"/>
      <c r="C369" s="522"/>
      <c r="D369" s="123" t="s">
        <v>616</v>
      </c>
      <c r="E369" s="123"/>
      <c r="F369" s="347"/>
      <c r="G369" s="6" t="s">
        <v>617</v>
      </c>
      <c r="H369" s="15">
        <f>H370</f>
        <v>9900000</v>
      </c>
      <c r="I369" s="15">
        <f>I370</f>
        <v>9900000</v>
      </c>
      <c r="J369" s="15">
        <f>J370</f>
        <v>9900000</v>
      </c>
      <c r="K369" s="15">
        <f>K370</f>
        <v>9900000</v>
      </c>
      <c r="L369" s="15">
        <f>L370</f>
        <v>0</v>
      </c>
      <c r="M369" s="15"/>
      <c r="N369" s="15"/>
      <c r="O369" s="15"/>
      <c r="P369" s="15"/>
      <c r="Q369" s="15">
        <f>Q370</f>
        <v>0</v>
      </c>
      <c r="R369" s="15"/>
      <c r="S369" s="15"/>
      <c r="T369" s="15"/>
      <c r="U369" s="15"/>
      <c r="V369" s="139">
        <f>H369+L369+Q369</f>
        <v>9900000</v>
      </c>
      <c r="W369" s="139">
        <f aca="true" t="shared" si="183" ref="W369:Y370">I369+M369+R369</f>
        <v>9900000</v>
      </c>
      <c r="X369" s="139">
        <f t="shared" si="183"/>
        <v>9900000</v>
      </c>
      <c r="Y369" s="139">
        <f t="shared" si="183"/>
        <v>9900000</v>
      </c>
      <c r="Z369" s="584"/>
    </row>
    <row r="370" spans="1:26" ht="20.25" customHeight="1">
      <c r="A370" s="484"/>
      <c r="B370" s="484"/>
      <c r="C370" s="522"/>
      <c r="D370" s="400"/>
      <c r="E370" s="168" t="s">
        <v>618</v>
      </c>
      <c r="F370" s="497" t="s">
        <v>946</v>
      </c>
      <c r="G370" s="505" t="s">
        <v>619</v>
      </c>
      <c r="H370" s="409">
        <v>9900000</v>
      </c>
      <c r="I370" s="409">
        <v>9900000</v>
      </c>
      <c r="J370" s="409">
        <v>9900000</v>
      </c>
      <c r="K370" s="409">
        <v>9900000</v>
      </c>
      <c r="L370" s="403">
        <v>0</v>
      </c>
      <c r="M370" s="129"/>
      <c r="N370" s="129"/>
      <c r="O370" s="129"/>
      <c r="P370" s="409"/>
      <c r="Q370" s="403">
        <v>0</v>
      </c>
      <c r="R370" s="403"/>
      <c r="S370" s="403"/>
      <c r="T370" s="403"/>
      <c r="U370" s="403"/>
      <c r="V370" s="412">
        <f>H370+L370+Q370</f>
        <v>9900000</v>
      </c>
      <c r="W370" s="412">
        <f t="shared" si="183"/>
        <v>9900000</v>
      </c>
      <c r="X370" s="412">
        <f t="shared" si="183"/>
        <v>9900000</v>
      </c>
      <c r="Y370" s="412">
        <f t="shared" si="183"/>
        <v>9900000</v>
      </c>
      <c r="Z370" s="584"/>
    </row>
    <row r="371" spans="1:26" ht="20.25" customHeight="1">
      <c r="A371" s="530"/>
      <c r="B371" s="530"/>
      <c r="C371" s="523"/>
      <c r="D371" s="402"/>
      <c r="E371" s="168" t="s">
        <v>620</v>
      </c>
      <c r="F371" s="499"/>
      <c r="G371" s="506"/>
      <c r="H371" s="411"/>
      <c r="I371" s="411"/>
      <c r="J371" s="411"/>
      <c r="K371" s="411"/>
      <c r="L371" s="405"/>
      <c r="M371" s="130"/>
      <c r="N371" s="130"/>
      <c r="O371" s="130"/>
      <c r="P371" s="411"/>
      <c r="Q371" s="405"/>
      <c r="R371" s="405"/>
      <c r="S371" s="405"/>
      <c r="T371" s="405"/>
      <c r="U371" s="405"/>
      <c r="V371" s="414"/>
      <c r="W371" s="414"/>
      <c r="X371" s="414"/>
      <c r="Y371" s="414"/>
      <c r="Z371" s="584"/>
    </row>
    <row r="372" spans="1:26" ht="13.5">
      <c r="A372" s="28">
        <v>4</v>
      </c>
      <c r="B372" s="28"/>
      <c r="C372" s="168"/>
      <c r="D372" s="169"/>
      <c r="E372" s="168"/>
      <c r="F372" s="355"/>
      <c r="G372" s="166" t="s">
        <v>44</v>
      </c>
      <c r="H372" s="15">
        <f aca="true" t="shared" si="184" ref="H372:O372">H373+H395</f>
        <v>838950678.7</v>
      </c>
      <c r="I372" s="15">
        <f t="shared" si="184"/>
        <v>1488467466.46</v>
      </c>
      <c r="J372" s="15">
        <f t="shared" si="184"/>
        <v>1244687190</v>
      </c>
      <c r="K372" s="15">
        <f t="shared" si="184"/>
        <v>920167742</v>
      </c>
      <c r="L372" s="15">
        <f t="shared" si="184"/>
        <v>0</v>
      </c>
      <c r="M372" s="15">
        <f t="shared" si="184"/>
        <v>0</v>
      </c>
      <c r="N372" s="15">
        <f t="shared" si="184"/>
        <v>0</v>
      </c>
      <c r="O372" s="15">
        <f t="shared" si="184"/>
        <v>0</v>
      </c>
      <c r="P372" s="15"/>
      <c r="Q372" s="15">
        <f>Q373+Q395</f>
        <v>0</v>
      </c>
      <c r="R372" s="133"/>
      <c r="S372" s="133"/>
      <c r="T372" s="133"/>
      <c r="U372" s="133"/>
      <c r="V372" s="139">
        <f>H372+L372+Q372</f>
        <v>838950678.7</v>
      </c>
      <c r="W372" s="139">
        <f aca="true" t="shared" si="185" ref="W372:Y383">I372+M372+R372</f>
        <v>1488467466.46</v>
      </c>
      <c r="X372" s="139">
        <f t="shared" si="185"/>
        <v>1244687190</v>
      </c>
      <c r="Y372" s="139">
        <f t="shared" si="185"/>
        <v>920167742</v>
      </c>
      <c r="Z372" s="584"/>
    </row>
    <row r="373" spans="1:26" ht="13.5">
      <c r="A373" s="483"/>
      <c r="B373" s="168" t="s">
        <v>45</v>
      </c>
      <c r="C373" s="2"/>
      <c r="D373" s="168"/>
      <c r="E373" s="48"/>
      <c r="F373" s="365"/>
      <c r="G373" s="166" t="s">
        <v>46</v>
      </c>
      <c r="H373" s="15">
        <f aca="true" t="shared" si="186" ref="H373:O373">H374+H379+H387</f>
        <v>766400678.7</v>
      </c>
      <c r="I373" s="15">
        <f t="shared" si="186"/>
        <v>1415917466.46</v>
      </c>
      <c r="J373" s="15">
        <f t="shared" si="186"/>
        <v>1174093900</v>
      </c>
      <c r="K373" s="15">
        <f t="shared" si="186"/>
        <v>874174452</v>
      </c>
      <c r="L373" s="15">
        <f t="shared" si="186"/>
        <v>0</v>
      </c>
      <c r="M373" s="15">
        <f t="shared" si="186"/>
        <v>0</v>
      </c>
      <c r="N373" s="15">
        <f t="shared" si="186"/>
        <v>0</v>
      </c>
      <c r="O373" s="15">
        <f t="shared" si="186"/>
        <v>0</v>
      </c>
      <c r="P373" s="15"/>
      <c r="Q373" s="15">
        <f>Q374+Q379+Q387</f>
        <v>0</v>
      </c>
      <c r="R373" s="15"/>
      <c r="S373" s="15"/>
      <c r="T373" s="15"/>
      <c r="U373" s="28"/>
      <c r="V373" s="139">
        <f aca="true" t="shared" si="187" ref="V373:V382">H373+L373+Q373</f>
        <v>766400678.7</v>
      </c>
      <c r="W373" s="139">
        <f t="shared" si="185"/>
        <v>1415917466.46</v>
      </c>
      <c r="X373" s="139">
        <f t="shared" si="185"/>
        <v>1174093900</v>
      </c>
      <c r="Y373" s="139">
        <f t="shared" si="185"/>
        <v>874174452</v>
      </c>
      <c r="Z373" s="584"/>
    </row>
    <row r="374" spans="1:26" ht="12.75" customHeight="1">
      <c r="A374" s="484"/>
      <c r="B374" s="483"/>
      <c r="C374" s="168" t="s">
        <v>113</v>
      </c>
      <c r="D374" s="2"/>
      <c r="E374" s="169"/>
      <c r="F374" s="355"/>
      <c r="G374" s="6" t="s">
        <v>114</v>
      </c>
      <c r="H374" s="15">
        <f aca="true" t="shared" si="188" ref="H374:O374">H375+H377</f>
        <v>573350678.7</v>
      </c>
      <c r="I374" s="15">
        <f t="shared" si="188"/>
        <v>1201914166.46</v>
      </c>
      <c r="J374" s="15">
        <f t="shared" si="188"/>
        <v>982977300</v>
      </c>
      <c r="K374" s="15">
        <f t="shared" si="188"/>
        <v>707268364</v>
      </c>
      <c r="L374" s="15">
        <f t="shared" si="188"/>
        <v>0</v>
      </c>
      <c r="M374" s="15">
        <f t="shared" si="188"/>
        <v>0</v>
      </c>
      <c r="N374" s="15">
        <f t="shared" si="188"/>
        <v>0</v>
      </c>
      <c r="O374" s="15">
        <f t="shared" si="188"/>
        <v>0</v>
      </c>
      <c r="P374" s="16"/>
      <c r="Q374" s="15">
        <f>Q375+Q377</f>
        <v>0</v>
      </c>
      <c r="R374" s="15"/>
      <c r="S374" s="15"/>
      <c r="T374" s="15"/>
      <c r="U374" s="28"/>
      <c r="V374" s="139">
        <f t="shared" si="187"/>
        <v>573350678.7</v>
      </c>
      <c r="W374" s="139">
        <f t="shared" si="185"/>
        <v>1201914166.46</v>
      </c>
      <c r="X374" s="139">
        <f t="shared" si="185"/>
        <v>982977300</v>
      </c>
      <c r="Y374" s="139">
        <f t="shared" si="185"/>
        <v>707268364</v>
      </c>
      <c r="Z374" s="584"/>
    </row>
    <row r="375" spans="1:26" ht="13.5">
      <c r="A375" s="484"/>
      <c r="B375" s="484"/>
      <c r="C375" s="400"/>
      <c r="D375" s="123" t="s">
        <v>621</v>
      </c>
      <c r="E375" s="123"/>
      <c r="F375" s="350"/>
      <c r="G375" s="180" t="s">
        <v>622</v>
      </c>
      <c r="H375" s="15">
        <f aca="true" t="shared" si="189" ref="H375:O375">H376</f>
        <v>22550000</v>
      </c>
      <c r="I375" s="15">
        <f t="shared" si="189"/>
        <v>22550000</v>
      </c>
      <c r="J375" s="15">
        <f t="shared" si="189"/>
        <v>17150000</v>
      </c>
      <c r="K375" s="15">
        <f t="shared" si="189"/>
        <v>8046800</v>
      </c>
      <c r="L375" s="15">
        <f t="shared" si="189"/>
        <v>0</v>
      </c>
      <c r="M375" s="15">
        <f t="shared" si="189"/>
        <v>0</v>
      </c>
      <c r="N375" s="15">
        <f t="shared" si="189"/>
        <v>0</v>
      </c>
      <c r="O375" s="15">
        <f t="shared" si="189"/>
        <v>0</v>
      </c>
      <c r="P375" s="15"/>
      <c r="Q375" s="15">
        <f>Q376</f>
        <v>0</v>
      </c>
      <c r="R375" s="15"/>
      <c r="S375" s="15"/>
      <c r="T375" s="15"/>
      <c r="U375" s="28"/>
      <c r="V375" s="139">
        <f t="shared" si="187"/>
        <v>22550000</v>
      </c>
      <c r="W375" s="139">
        <f t="shared" si="185"/>
        <v>22550000</v>
      </c>
      <c r="X375" s="139">
        <f t="shared" si="185"/>
        <v>17150000</v>
      </c>
      <c r="Y375" s="139">
        <f t="shared" si="185"/>
        <v>8046800</v>
      </c>
      <c r="Z375" s="584"/>
    </row>
    <row r="376" spans="1:26" ht="27">
      <c r="A376" s="484"/>
      <c r="B376" s="484"/>
      <c r="C376" s="401"/>
      <c r="D376" s="168"/>
      <c r="E376" s="170" t="s">
        <v>623</v>
      </c>
      <c r="F376" s="27" t="s">
        <v>947</v>
      </c>
      <c r="G376" s="69" t="s">
        <v>624</v>
      </c>
      <c r="H376" s="68">
        <v>22550000</v>
      </c>
      <c r="I376" s="68">
        <v>22550000</v>
      </c>
      <c r="J376" s="68">
        <v>17150000</v>
      </c>
      <c r="K376" s="68">
        <v>8046800</v>
      </c>
      <c r="L376" s="68">
        <v>0</v>
      </c>
      <c r="M376" s="68"/>
      <c r="N376" s="68"/>
      <c r="O376" s="68"/>
      <c r="P376" s="12"/>
      <c r="Q376" s="68">
        <v>0</v>
      </c>
      <c r="R376" s="68"/>
      <c r="S376" s="68"/>
      <c r="T376" s="68"/>
      <c r="U376" s="73"/>
      <c r="V376" s="140">
        <f t="shared" si="187"/>
        <v>22550000</v>
      </c>
      <c r="W376" s="140">
        <f t="shared" si="185"/>
        <v>22550000</v>
      </c>
      <c r="X376" s="140">
        <f t="shared" si="185"/>
        <v>17150000</v>
      </c>
      <c r="Y376" s="140">
        <f t="shared" si="185"/>
        <v>8046800</v>
      </c>
      <c r="Z376" s="584"/>
    </row>
    <row r="377" spans="1:26" ht="26.25" customHeight="1">
      <c r="A377" s="484"/>
      <c r="B377" s="484"/>
      <c r="C377" s="401"/>
      <c r="D377" s="168" t="s">
        <v>625</v>
      </c>
      <c r="E377" s="170"/>
      <c r="F377" s="31"/>
      <c r="G377" s="6" t="s">
        <v>626</v>
      </c>
      <c r="H377" s="15">
        <f aca="true" t="shared" si="190" ref="H377:O377">H378</f>
        <v>550800678.7</v>
      </c>
      <c r="I377" s="15">
        <f t="shared" si="190"/>
        <v>1179364166.46</v>
      </c>
      <c r="J377" s="15">
        <f t="shared" si="190"/>
        <v>965827300</v>
      </c>
      <c r="K377" s="15">
        <f t="shared" si="190"/>
        <v>699221564</v>
      </c>
      <c r="L377" s="16">
        <f t="shared" si="190"/>
        <v>0</v>
      </c>
      <c r="M377" s="16">
        <f t="shared" si="190"/>
        <v>0</v>
      </c>
      <c r="N377" s="16">
        <f t="shared" si="190"/>
        <v>0</v>
      </c>
      <c r="O377" s="16">
        <f t="shared" si="190"/>
        <v>0</v>
      </c>
      <c r="P377" s="46"/>
      <c r="Q377" s="15">
        <v>0</v>
      </c>
      <c r="R377" s="15"/>
      <c r="S377" s="15"/>
      <c r="T377" s="15"/>
      <c r="U377" s="28"/>
      <c r="V377" s="139">
        <f t="shared" si="187"/>
        <v>550800678.7</v>
      </c>
      <c r="W377" s="139">
        <f t="shared" si="185"/>
        <v>1179364166.46</v>
      </c>
      <c r="X377" s="139">
        <f t="shared" si="185"/>
        <v>965827300</v>
      </c>
      <c r="Y377" s="139">
        <f t="shared" si="185"/>
        <v>699221564</v>
      </c>
      <c r="Z377" s="584"/>
    </row>
    <row r="378" spans="1:26" ht="33" customHeight="1">
      <c r="A378" s="484"/>
      <c r="B378" s="484"/>
      <c r="C378" s="402"/>
      <c r="D378" s="168"/>
      <c r="E378" s="170" t="s">
        <v>627</v>
      </c>
      <c r="F378" s="27" t="s">
        <v>948</v>
      </c>
      <c r="G378" s="69" t="s">
        <v>628</v>
      </c>
      <c r="H378" s="68">
        <f>27500000+523300678.7</f>
        <v>550800678.7</v>
      </c>
      <c r="I378" s="68">
        <v>1179364166.46</v>
      </c>
      <c r="J378" s="68">
        <v>965827300</v>
      </c>
      <c r="K378" s="68">
        <v>699221564</v>
      </c>
      <c r="L378" s="71"/>
      <c r="M378" s="71"/>
      <c r="N378" s="71"/>
      <c r="O378" s="71"/>
      <c r="P378" s="12"/>
      <c r="Q378" s="15">
        <v>0</v>
      </c>
      <c r="R378" s="15"/>
      <c r="S378" s="15"/>
      <c r="T378" s="15"/>
      <c r="U378" s="73"/>
      <c r="V378" s="139">
        <f t="shared" si="187"/>
        <v>550800678.7</v>
      </c>
      <c r="W378" s="139">
        <f t="shared" si="185"/>
        <v>1179364166.46</v>
      </c>
      <c r="X378" s="139">
        <f t="shared" si="185"/>
        <v>965827300</v>
      </c>
      <c r="Y378" s="139">
        <f t="shared" si="185"/>
        <v>699221564</v>
      </c>
      <c r="Z378" s="584"/>
    </row>
    <row r="379" spans="1:26" ht="13.5">
      <c r="A379" s="484"/>
      <c r="B379" s="484"/>
      <c r="C379" s="168" t="s">
        <v>115</v>
      </c>
      <c r="D379" s="169"/>
      <c r="E379" s="169"/>
      <c r="F379" s="355"/>
      <c r="G379" s="6" t="s">
        <v>116</v>
      </c>
      <c r="H379" s="15">
        <f>H380+H382+H385</f>
        <v>80850000</v>
      </c>
      <c r="I379" s="15">
        <f>I380+I382+I385</f>
        <v>86310000</v>
      </c>
      <c r="J379" s="15">
        <f>J380+J382+J385</f>
        <v>75843310</v>
      </c>
      <c r="K379" s="15">
        <f>K380+K382+K385</f>
        <v>68322510</v>
      </c>
      <c r="L379" s="15">
        <f>L380+L382+L385</f>
        <v>0</v>
      </c>
      <c r="M379" s="15"/>
      <c r="N379" s="15"/>
      <c r="O379" s="15"/>
      <c r="P379" s="15"/>
      <c r="Q379" s="15">
        <f>Q380+Q382+Q385</f>
        <v>0</v>
      </c>
      <c r="R379" s="15"/>
      <c r="S379" s="15"/>
      <c r="T379" s="15"/>
      <c r="U379" s="28"/>
      <c r="V379" s="139">
        <f t="shared" si="187"/>
        <v>80850000</v>
      </c>
      <c r="W379" s="139">
        <f t="shared" si="185"/>
        <v>86310000</v>
      </c>
      <c r="X379" s="139">
        <f t="shared" si="185"/>
        <v>75843310</v>
      </c>
      <c r="Y379" s="139">
        <f t="shared" si="185"/>
        <v>68322510</v>
      </c>
      <c r="Z379" s="584"/>
    </row>
    <row r="380" spans="1:26" ht="50.25" customHeight="1">
      <c r="A380" s="484"/>
      <c r="B380" s="484"/>
      <c r="C380" s="400"/>
      <c r="D380" s="123" t="s">
        <v>629</v>
      </c>
      <c r="E380" s="123"/>
      <c r="F380" s="350"/>
      <c r="G380" s="6" t="s">
        <v>630</v>
      </c>
      <c r="H380" s="15">
        <f>H381</f>
        <v>33550000</v>
      </c>
      <c r="I380" s="15">
        <f>I381</f>
        <v>33550000</v>
      </c>
      <c r="J380" s="15">
        <f>J381</f>
        <v>30283320</v>
      </c>
      <c r="K380" s="15">
        <f>K381</f>
        <v>27533320</v>
      </c>
      <c r="L380" s="15">
        <f>L381</f>
        <v>0</v>
      </c>
      <c r="M380" s="15"/>
      <c r="N380" s="15"/>
      <c r="O380" s="15"/>
      <c r="P380" s="15"/>
      <c r="Q380" s="15">
        <f>Q381</f>
        <v>0</v>
      </c>
      <c r="R380" s="15"/>
      <c r="S380" s="15"/>
      <c r="T380" s="15"/>
      <c r="U380" s="28"/>
      <c r="V380" s="139">
        <f t="shared" si="187"/>
        <v>33550000</v>
      </c>
      <c r="W380" s="139">
        <f t="shared" si="185"/>
        <v>33550000</v>
      </c>
      <c r="X380" s="139">
        <f t="shared" si="185"/>
        <v>30283320</v>
      </c>
      <c r="Y380" s="139">
        <f t="shared" si="185"/>
        <v>27533320</v>
      </c>
      <c r="Z380" s="584"/>
    </row>
    <row r="381" spans="1:26" ht="31.5" customHeight="1">
      <c r="A381" s="484"/>
      <c r="B381" s="484"/>
      <c r="C381" s="401"/>
      <c r="D381" s="168"/>
      <c r="E381" s="170" t="s">
        <v>631</v>
      </c>
      <c r="F381" s="31" t="s">
        <v>949</v>
      </c>
      <c r="G381" s="69" t="s">
        <v>632</v>
      </c>
      <c r="H381" s="68">
        <v>33550000</v>
      </c>
      <c r="I381" s="68">
        <v>33550000</v>
      </c>
      <c r="J381" s="68">
        <v>30283320</v>
      </c>
      <c r="K381" s="68">
        <v>27533320</v>
      </c>
      <c r="L381" s="68">
        <v>0</v>
      </c>
      <c r="M381" s="68"/>
      <c r="N381" s="68"/>
      <c r="O381" s="68"/>
      <c r="P381" s="9"/>
      <c r="Q381" s="68">
        <v>0</v>
      </c>
      <c r="R381" s="68"/>
      <c r="S381" s="68"/>
      <c r="T381" s="68"/>
      <c r="U381" s="73"/>
      <c r="V381" s="140">
        <f t="shared" si="187"/>
        <v>33550000</v>
      </c>
      <c r="W381" s="140">
        <f t="shared" si="185"/>
        <v>33550000</v>
      </c>
      <c r="X381" s="140">
        <f t="shared" si="185"/>
        <v>30283320</v>
      </c>
      <c r="Y381" s="140">
        <f t="shared" si="185"/>
        <v>27533320</v>
      </c>
      <c r="Z381" s="584"/>
    </row>
    <row r="382" spans="1:26" ht="27">
      <c r="A382" s="484"/>
      <c r="B382" s="484"/>
      <c r="C382" s="401"/>
      <c r="D382" s="123" t="s">
        <v>633</v>
      </c>
      <c r="E382" s="178"/>
      <c r="F382" s="31"/>
      <c r="G382" s="6" t="s">
        <v>634</v>
      </c>
      <c r="H382" s="15">
        <f>H383</f>
        <v>9900000</v>
      </c>
      <c r="I382" s="15">
        <f>I383</f>
        <v>9900000</v>
      </c>
      <c r="J382" s="15">
        <f>J383</f>
        <v>9900000</v>
      </c>
      <c r="K382" s="15">
        <f>K383</f>
        <v>7600000</v>
      </c>
      <c r="L382" s="15">
        <f>L383</f>
        <v>0</v>
      </c>
      <c r="M382" s="15"/>
      <c r="N382" s="15"/>
      <c r="O382" s="15"/>
      <c r="P382" s="15"/>
      <c r="Q382" s="15">
        <f>Q383</f>
        <v>0</v>
      </c>
      <c r="R382" s="15"/>
      <c r="S382" s="15"/>
      <c r="T382" s="15"/>
      <c r="U382" s="28"/>
      <c r="V382" s="139">
        <f t="shared" si="187"/>
        <v>9900000</v>
      </c>
      <c r="W382" s="139">
        <f t="shared" si="185"/>
        <v>9900000</v>
      </c>
      <c r="X382" s="139">
        <f t="shared" si="185"/>
        <v>9900000</v>
      </c>
      <c r="Y382" s="139">
        <f t="shared" si="185"/>
        <v>7600000</v>
      </c>
      <c r="Z382" s="584"/>
    </row>
    <row r="383" spans="1:26" ht="15" customHeight="1">
      <c r="A383" s="484"/>
      <c r="B383" s="484"/>
      <c r="C383" s="401"/>
      <c r="D383" s="400"/>
      <c r="E383" s="170" t="s">
        <v>635</v>
      </c>
      <c r="F383" s="497" t="s">
        <v>950</v>
      </c>
      <c r="G383" s="494" t="s">
        <v>636</v>
      </c>
      <c r="H383" s="409">
        <v>9900000</v>
      </c>
      <c r="I383" s="409">
        <v>9900000</v>
      </c>
      <c r="J383" s="409">
        <v>9900000</v>
      </c>
      <c r="K383" s="409">
        <v>7600000</v>
      </c>
      <c r="L383" s="409">
        <v>0</v>
      </c>
      <c r="M383" s="118"/>
      <c r="N383" s="118"/>
      <c r="O383" s="118"/>
      <c r="P383" s="409"/>
      <c r="Q383" s="409">
        <v>0</v>
      </c>
      <c r="R383" s="118"/>
      <c r="S383" s="118"/>
      <c r="T383" s="118"/>
      <c r="U383" s="409"/>
      <c r="V383" s="412">
        <f>H383+L383+Q383</f>
        <v>9900000</v>
      </c>
      <c r="W383" s="412">
        <f t="shared" si="185"/>
        <v>9900000</v>
      </c>
      <c r="X383" s="412">
        <f t="shared" si="185"/>
        <v>9900000</v>
      </c>
      <c r="Y383" s="412">
        <f t="shared" si="185"/>
        <v>7600000</v>
      </c>
      <c r="Z383" s="584"/>
    </row>
    <row r="384" spans="1:26" ht="18.75" customHeight="1">
      <c r="A384" s="484"/>
      <c r="B384" s="484"/>
      <c r="C384" s="401"/>
      <c r="D384" s="402"/>
      <c r="E384" s="170" t="s">
        <v>637</v>
      </c>
      <c r="F384" s="499"/>
      <c r="G384" s="495"/>
      <c r="H384" s="411"/>
      <c r="I384" s="411"/>
      <c r="J384" s="411"/>
      <c r="K384" s="411"/>
      <c r="L384" s="411"/>
      <c r="M384" s="119"/>
      <c r="N384" s="119"/>
      <c r="O384" s="119"/>
      <c r="P384" s="411"/>
      <c r="Q384" s="411"/>
      <c r="R384" s="119"/>
      <c r="S384" s="119"/>
      <c r="T384" s="119"/>
      <c r="U384" s="411"/>
      <c r="V384" s="414"/>
      <c r="W384" s="414"/>
      <c r="X384" s="414"/>
      <c r="Y384" s="414"/>
      <c r="Z384" s="584"/>
    </row>
    <row r="385" spans="1:26" ht="54.75">
      <c r="A385" s="484"/>
      <c r="B385" s="484"/>
      <c r="C385" s="401"/>
      <c r="D385" s="168" t="s">
        <v>638</v>
      </c>
      <c r="E385" s="168"/>
      <c r="F385" s="351"/>
      <c r="G385" s="174" t="s">
        <v>639</v>
      </c>
      <c r="H385" s="15">
        <f>H386</f>
        <v>37400000</v>
      </c>
      <c r="I385" s="15">
        <f>I386</f>
        <v>42860000</v>
      </c>
      <c r="J385" s="15">
        <f>J386</f>
        <v>35659990</v>
      </c>
      <c r="K385" s="15">
        <f>K386</f>
        <v>33189190</v>
      </c>
      <c r="L385" s="15">
        <f>L386</f>
        <v>0</v>
      </c>
      <c r="M385" s="15"/>
      <c r="N385" s="15"/>
      <c r="O385" s="15"/>
      <c r="P385" s="15"/>
      <c r="Q385" s="15">
        <f>Q386</f>
        <v>0</v>
      </c>
      <c r="R385" s="15"/>
      <c r="S385" s="15"/>
      <c r="T385" s="15"/>
      <c r="U385" s="28"/>
      <c r="V385" s="139">
        <f aca="true" t="shared" si="191" ref="V385:V391">H385+L385+Q385</f>
        <v>37400000</v>
      </c>
      <c r="W385" s="139">
        <f aca="true" t="shared" si="192" ref="W385:W391">I385+M385+R385</f>
        <v>42860000</v>
      </c>
      <c r="X385" s="139">
        <f aca="true" t="shared" si="193" ref="X385:X391">J385+N385+S385</f>
        <v>35659990</v>
      </c>
      <c r="Y385" s="139">
        <f aca="true" t="shared" si="194" ref="Y385:Y391">K385+O385+T385</f>
        <v>33189190</v>
      </c>
      <c r="Z385" s="584"/>
    </row>
    <row r="386" spans="1:26" ht="41.25">
      <c r="A386" s="484"/>
      <c r="B386" s="484"/>
      <c r="C386" s="402"/>
      <c r="D386" s="168"/>
      <c r="E386" s="170" t="s">
        <v>640</v>
      </c>
      <c r="F386" s="27" t="s">
        <v>951</v>
      </c>
      <c r="G386" s="69" t="s">
        <v>641</v>
      </c>
      <c r="H386" s="68">
        <v>37400000</v>
      </c>
      <c r="I386" s="68">
        <v>42860000</v>
      </c>
      <c r="J386" s="68">
        <v>35659990</v>
      </c>
      <c r="K386" s="68">
        <v>33189190</v>
      </c>
      <c r="L386" s="15">
        <v>0</v>
      </c>
      <c r="M386" s="15"/>
      <c r="N386" s="15"/>
      <c r="O386" s="15"/>
      <c r="P386" s="9"/>
      <c r="Q386" s="8">
        <v>0</v>
      </c>
      <c r="R386" s="8"/>
      <c r="S386" s="8"/>
      <c r="T386" s="8"/>
      <c r="U386" s="73"/>
      <c r="V386" s="139">
        <f t="shared" si="191"/>
        <v>37400000</v>
      </c>
      <c r="W386" s="139">
        <f t="shared" si="192"/>
        <v>42860000</v>
      </c>
      <c r="X386" s="139">
        <f t="shared" si="193"/>
        <v>35659990</v>
      </c>
      <c r="Y386" s="139">
        <f t="shared" si="194"/>
        <v>33189190</v>
      </c>
      <c r="Z386" s="584"/>
    </row>
    <row r="387" spans="1:26" ht="13.5">
      <c r="A387" s="484"/>
      <c r="B387" s="484"/>
      <c r="C387" s="181" t="s">
        <v>89</v>
      </c>
      <c r="D387" s="169"/>
      <c r="E387" s="182"/>
      <c r="F387" s="181"/>
      <c r="G387" s="6" t="s">
        <v>90</v>
      </c>
      <c r="H387" s="15">
        <f>H388+H390+H393</f>
        <v>112200000</v>
      </c>
      <c r="I387" s="15">
        <f>I388+I390+I393</f>
        <v>127693300</v>
      </c>
      <c r="J387" s="15">
        <f>J388+J390+J393</f>
        <v>115273290</v>
      </c>
      <c r="K387" s="15">
        <f>K388+K390+K393</f>
        <v>98583578</v>
      </c>
      <c r="L387" s="15">
        <f>L388+L390+L393</f>
        <v>0</v>
      </c>
      <c r="M387" s="15"/>
      <c r="N387" s="15"/>
      <c r="O387" s="15"/>
      <c r="P387" s="15"/>
      <c r="Q387" s="15">
        <f>Q388+Q390+Q393</f>
        <v>0</v>
      </c>
      <c r="R387" s="15"/>
      <c r="S387" s="15"/>
      <c r="T387" s="15"/>
      <c r="U387" s="28"/>
      <c r="V387" s="139">
        <f t="shared" si="191"/>
        <v>112200000</v>
      </c>
      <c r="W387" s="139">
        <f t="shared" si="192"/>
        <v>127693300</v>
      </c>
      <c r="X387" s="139">
        <f t="shared" si="193"/>
        <v>115273290</v>
      </c>
      <c r="Y387" s="139">
        <f t="shared" si="194"/>
        <v>98583578</v>
      </c>
      <c r="Z387" s="584"/>
    </row>
    <row r="388" spans="1:26" ht="27">
      <c r="A388" s="484"/>
      <c r="B388" s="484"/>
      <c r="C388" s="507"/>
      <c r="D388" s="181" t="s">
        <v>642</v>
      </c>
      <c r="E388" s="181"/>
      <c r="F388" s="181"/>
      <c r="G388" s="183" t="s">
        <v>643</v>
      </c>
      <c r="H388" s="15">
        <f>H389</f>
        <v>37400000</v>
      </c>
      <c r="I388" s="15">
        <f>I389</f>
        <v>52893300</v>
      </c>
      <c r="J388" s="15">
        <f>J389</f>
        <v>51493310</v>
      </c>
      <c r="K388" s="15">
        <f>K389</f>
        <v>46904910</v>
      </c>
      <c r="L388" s="15">
        <f>L389</f>
        <v>0</v>
      </c>
      <c r="M388" s="15"/>
      <c r="N388" s="15"/>
      <c r="O388" s="15"/>
      <c r="P388" s="15"/>
      <c r="Q388" s="15">
        <f>Q389</f>
        <v>0</v>
      </c>
      <c r="R388" s="15"/>
      <c r="S388" s="15"/>
      <c r="T388" s="15"/>
      <c r="U388" s="28"/>
      <c r="V388" s="139">
        <f t="shared" si="191"/>
        <v>37400000</v>
      </c>
      <c r="W388" s="139">
        <f t="shared" si="192"/>
        <v>52893300</v>
      </c>
      <c r="X388" s="139">
        <f t="shared" si="193"/>
        <v>51493310</v>
      </c>
      <c r="Y388" s="139">
        <f t="shared" si="194"/>
        <v>46904910</v>
      </c>
      <c r="Z388" s="584"/>
    </row>
    <row r="389" spans="1:26" ht="22.5" customHeight="1">
      <c r="A389" s="484"/>
      <c r="B389" s="484"/>
      <c r="C389" s="509"/>
      <c r="D389" s="181"/>
      <c r="E389" s="184" t="s">
        <v>644</v>
      </c>
      <c r="F389" s="31" t="s">
        <v>952</v>
      </c>
      <c r="G389" s="69" t="s">
        <v>645</v>
      </c>
      <c r="H389" s="68">
        <v>37400000</v>
      </c>
      <c r="I389" s="68">
        <v>52893300</v>
      </c>
      <c r="J389" s="68">
        <v>51493310</v>
      </c>
      <c r="K389" s="68">
        <v>46904910</v>
      </c>
      <c r="L389" s="68">
        <v>0</v>
      </c>
      <c r="M389" s="68"/>
      <c r="N389" s="68"/>
      <c r="O389" s="68"/>
      <c r="P389" s="9"/>
      <c r="Q389" s="68">
        <v>0</v>
      </c>
      <c r="R389" s="68"/>
      <c r="S389" s="68"/>
      <c r="T389" s="68"/>
      <c r="U389" s="73"/>
      <c r="V389" s="140">
        <f t="shared" si="191"/>
        <v>37400000</v>
      </c>
      <c r="W389" s="140">
        <f t="shared" si="192"/>
        <v>52893300</v>
      </c>
      <c r="X389" s="140">
        <f t="shared" si="193"/>
        <v>51493310</v>
      </c>
      <c r="Y389" s="140">
        <f t="shared" si="194"/>
        <v>46904910</v>
      </c>
      <c r="Z389" s="584"/>
    </row>
    <row r="390" spans="1:26" ht="13.5">
      <c r="A390" s="484"/>
      <c r="B390" s="484"/>
      <c r="C390" s="509"/>
      <c r="D390" s="181" t="s">
        <v>646</v>
      </c>
      <c r="E390" s="184"/>
      <c r="F390" s="31"/>
      <c r="G390" s="6" t="s">
        <v>647</v>
      </c>
      <c r="H390" s="15">
        <f>H391</f>
        <v>51150000</v>
      </c>
      <c r="I390" s="15">
        <f>I391</f>
        <v>51150000</v>
      </c>
      <c r="J390" s="15">
        <f>J391</f>
        <v>46879990</v>
      </c>
      <c r="K390" s="15">
        <f>K391</f>
        <v>34778678</v>
      </c>
      <c r="L390" s="15">
        <f>L391</f>
        <v>0</v>
      </c>
      <c r="M390" s="15"/>
      <c r="N390" s="15"/>
      <c r="O390" s="15"/>
      <c r="P390" s="15"/>
      <c r="Q390" s="15">
        <f>Q391</f>
        <v>0</v>
      </c>
      <c r="R390" s="15"/>
      <c r="S390" s="15"/>
      <c r="T390" s="15"/>
      <c r="U390" s="28"/>
      <c r="V390" s="139">
        <f t="shared" si="191"/>
        <v>51150000</v>
      </c>
      <c r="W390" s="139">
        <f t="shared" si="192"/>
        <v>51150000</v>
      </c>
      <c r="X390" s="139">
        <f t="shared" si="193"/>
        <v>46879990</v>
      </c>
      <c r="Y390" s="139">
        <f t="shared" si="194"/>
        <v>34778678</v>
      </c>
      <c r="Z390" s="584"/>
    </row>
    <row r="391" spans="1:26" ht="18.75" customHeight="1">
      <c r="A391" s="484"/>
      <c r="B391" s="484"/>
      <c r="C391" s="509"/>
      <c r="D391" s="507"/>
      <c r="E391" s="184" t="s">
        <v>648</v>
      </c>
      <c r="F391" s="513" t="s">
        <v>953</v>
      </c>
      <c r="G391" s="494" t="s">
        <v>649</v>
      </c>
      <c r="H391" s="409">
        <v>51150000</v>
      </c>
      <c r="I391" s="409">
        <v>51150000</v>
      </c>
      <c r="J391" s="409">
        <v>46879990</v>
      </c>
      <c r="K391" s="409">
        <v>34778678</v>
      </c>
      <c r="L391" s="409">
        <v>0</v>
      </c>
      <c r="M391" s="118"/>
      <c r="N391" s="118"/>
      <c r="O391" s="118"/>
      <c r="P391" s="409"/>
      <c r="Q391" s="409">
        <v>0</v>
      </c>
      <c r="R391" s="118"/>
      <c r="S391" s="118"/>
      <c r="T391" s="118"/>
      <c r="U391" s="409"/>
      <c r="V391" s="412">
        <f t="shared" si="191"/>
        <v>51150000</v>
      </c>
      <c r="W391" s="412">
        <f t="shared" si="192"/>
        <v>51150000</v>
      </c>
      <c r="X391" s="412">
        <f t="shared" si="193"/>
        <v>46879990</v>
      </c>
      <c r="Y391" s="412">
        <f t="shared" si="194"/>
        <v>34778678</v>
      </c>
      <c r="Z391" s="584"/>
    </row>
    <row r="392" spans="1:26" ht="18.75" customHeight="1">
      <c r="A392" s="484"/>
      <c r="B392" s="484"/>
      <c r="C392" s="509"/>
      <c r="D392" s="508"/>
      <c r="E392" s="184" t="s">
        <v>650</v>
      </c>
      <c r="F392" s="514"/>
      <c r="G392" s="495"/>
      <c r="H392" s="411"/>
      <c r="I392" s="411"/>
      <c r="J392" s="411"/>
      <c r="K392" s="411"/>
      <c r="L392" s="411"/>
      <c r="M392" s="119"/>
      <c r="N392" s="119"/>
      <c r="O392" s="119"/>
      <c r="P392" s="411"/>
      <c r="Q392" s="411"/>
      <c r="R392" s="119"/>
      <c r="S392" s="119"/>
      <c r="T392" s="119"/>
      <c r="U392" s="411"/>
      <c r="V392" s="414"/>
      <c r="W392" s="414"/>
      <c r="X392" s="414"/>
      <c r="Y392" s="414"/>
      <c r="Z392" s="584"/>
    </row>
    <row r="393" spans="1:26" ht="27">
      <c r="A393" s="484"/>
      <c r="B393" s="484"/>
      <c r="C393" s="509"/>
      <c r="D393" s="181" t="s">
        <v>651</v>
      </c>
      <c r="E393" s="181"/>
      <c r="F393" s="353"/>
      <c r="G393" s="174" t="s">
        <v>652</v>
      </c>
      <c r="H393" s="15">
        <f>H394</f>
        <v>23650000</v>
      </c>
      <c r="I393" s="15">
        <f>I394</f>
        <v>23650000</v>
      </c>
      <c r="J393" s="15">
        <f>J394</f>
        <v>16899990</v>
      </c>
      <c r="K393" s="15">
        <f>K394</f>
        <v>16899990</v>
      </c>
      <c r="L393" s="15">
        <f>L394</f>
        <v>0</v>
      </c>
      <c r="M393" s="15"/>
      <c r="N393" s="15"/>
      <c r="O393" s="15"/>
      <c r="P393" s="15"/>
      <c r="Q393" s="15">
        <f>Q394</f>
        <v>0</v>
      </c>
      <c r="R393" s="15"/>
      <c r="S393" s="15"/>
      <c r="T393" s="15"/>
      <c r="U393" s="28"/>
      <c r="V393" s="139">
        <f aca="true" t="shared" si="195" ref="V393:V398">H393+L393+Q393</f>
        <v>23650000</v>
      </c>
      <c r="W393" s="139">
        <f aca="true" t="shared" si="196" ref="W393:W398">I393+M393+R393</f>
        <v>23650000</v>
      </c>
      <c r="X393" s="139">
        <f aca="true" t="shared" si="197" ref="X393:X398">J393+N393+S393</f>
        <v>16899990</v>
      </c>
      <c r="Y393" s="139">
        <f aca="true" t="shared" si="198" ref="Y393:Y398">K393+O393+T393</f>
        <v>16899990</v>
      </c>
      <c r="Z393" s="584"/>
    </row>
    <row r="394" spans="1:26" ht="41.25">
      <c r="A394" s="484"/>
      <c r="B394" s="484"/>
      <c r="C394" s="509"/>
      <c r="D394" s="181"/>
      <c r="E394" s="184" t="s">
        <v>653</v>
      </c>
      <c r="F394" s="27" t="s">
        <v>954</v>
      </c>
      <c r="G394" s="69" t="s">
        <v>654</v>
      </c>
      <c r="H394" s="68">
        <v>23650000</v>
      </c>
      <c r="I394" s="68">
        <v>23650000</v>
      </c>
      <c r="J394" s="68">
        <v>16899990</v>
      </c>
      <c r="K394" s="68">
        <v>16899990</v>
      </c>
      <c r="L394" s="15">
        <v>0</v>
      </c>
      <c r="M394" s="15"/>
      <c r="N394" s="15"/>
      <c r="O394" s="15"/>
      <c r="P394" s="9"/>
      <c r="Q394" s="15">
        <v>0</v>
      </c>
      <c r="R394" s="15"/>
      <c r="S394" s="15"/>
      <c r="T394" s="15"/>
      <c r="U394" s="73"/>
      <c r="V394" s="140">
        <f t="shared" si="195"/>
        <v>23650000</v>
      </c>
      <c r="W394" s="140">
        <f t="shared" si="196"/>
        <v>23650000</v>
      </c>
      <c r="X394" s="140">
        <f t="shared" si="197"/>
        <v>16899990</v>
      </c>
      <c r="Y394" s="140">
        <f t="shared" si="198"/>
        <v>16899990</v>
      </c>
      <c r="Z394" s="584"/>
    </row>
    <row r="395" spans="1:26" ht="13.5">
      <c r="A395" s="484"/>
      <c r="B395" s="156" t="s">
        <v>117</v>
      </c>
      <c r="C395" s="36"/>
      <c r="D395" s="182"/>
      <c r="E395" s="48"/>
      <c r="F395" s="365"/>
      <c r="G395" s="185" t="s">
        <v>118</v>
      </c>
      <c r="H395" s="15">
        <f>H396</f>
        <v>72550000</v>
      </c>
      <c r="I395" s="15">
        <f aca="true" t="shared" si="199" ref="I395:K397">I396</f>
        <v>72550000</v>
      </c>
      <c r="J395" s="15">
        <f t="shared" si="199"/>
        <v>70593290</v>
      </c>
      <c r="K395" s="15">
        <f t="shared" si="199"/>
        <v>45993290</v>
      </c>
      <c r="L395" s="15">
        <f>L396</f>
        <v>0</v>
      </c>
      <c r="M395" s="15"/>
      <c r="N395" s="15"/>
      <c r="O395" s="15"/>
      <c r="P395" s="15"/>
      <c r="Q395" s="15">
        <f>Q396</f>
        <v>0</v>
      </c>
      <c r="R395" s="15"/>
      <c r="S395" s="15"/>
      <c r="T395" s="15"/>
      <c r="U395" s="28"/>
      <c r="V395" s="139">
        <f t="shared" si="195"/>
        <v>72550000</v>
      </c>
      <c r="W395" s="139">
        <f t="shared" si="196"/>
        <v>72550000</v>
      </c>
      <c r="X395" s="139">
        <f t="shared" si="197"/>
        <v>70593290</v>
      </c>
      <c r="Y395" s="139">
        <f t="shared" si="198"/>
        <v>45993290</v>
      </c>
      <c r="Z395" s="584"/>
    </row>
    <row r="396" spans="1:26" ht="41.25">
      <c r="A396" s="484"/>
      <c r="B396" s="483"/>
      <c r="C396" s="156" t="s">
        <v>119</v>
      </c>
      <c r="D396" s="2"/>
      <c r="E396" s="157"/>
      <c r="F396" s="156"/>
      <c r="G396" s="185" t="s">
        <v>120</v>
      </c>
      <c r="H396" s="15">
        <f>H397</f>
        <v>72550000</v>
      </c>
      <c r="I396" s="15">
        <f t="shared" si="199"/>
        <v>72550000</v>
      </c>
      <c r="J396" s="15">
        <f t="shared" si="199"/>
        <v>70593290</v>
      </c>
      <c r="K396" s="15">
        <f t="shared" si="199"/>
        <v>45993290</v>
      </c>
      <c r="L396" s="15">
        <f>L397</f>
        <v>0</v>
      </c>
      <c r="M396" s="15"/>
      <c r="N396" s="15"/>
      <c r="O396" s="15"/>
      <c r="P396" s="15"/>
      <c r="Q396" s="15">
        <f>Q397</f>
        <v>0</v>
      </c>
      <c r="R396" s="15"/>
      <c r="S396" s="15"/>
      <c r="T396" s="15"/>
      <c r="U396" s="28"/>
      <c r="V396" s="139">
        <f t="shared" si="195"/>
        <v>72550000</v>
      </c>
      <c r="W396" s="139">
        <f t="shared" si="196"/>
        <v>72550000</v>
      </c>
      <c r="X396" s="139">
        <f t="shared" si="197"/>
        <v>70593290</v>
      </c>
      <c r="Y396" s="139">
        <f t="shared" si="198"/>
        <v>45993290</v>
      </c>
      <c r="Z396" s="584"/>
    </row>
    <row r="397" spans="1:26" ht="27" customHeight="1">
      <c r="A397" s="484"/>
      <c r="B397" s="484"/>
      <c r="C397" s="515"/>
      <c r="D397" s="156" t="s">
        <v>655</v>
      </c>
      <c r="E397" s="156"/>
      <c r="F397" s="156"/>
      <c r="G397" s="185" t="s">
        <v>656</v>
      </c>
      <c r="H397" s="15">
        <f>H398</f>
        <v>72550000</v>
      </c>
      <c r="I397" s="15">
        <f t="shared" si="199"/>
        <v>72550000</v>
      </c>
      <c r="J397" s="15">
        <f t="shared" si="199"/>
        <v>70593290</v>
      </c>
      <c r="K397" s="15">
        <f t="shared" si="199"/>
        <v>45993290</v>
      </c>
      <c r="L397" s="15">
        <f>L398</f>
        <v>0</v>
      </c>
      <c r="M397" s="15"/>
      <c r="N397" s="15"/>
      <c r="O397" s="15"/>
      <c r="P397" s="15"/>
      <c r="Q397" s="15">
        <f>Q398</f>
        <v>0</v>
      </c>
      <c r="R397" s="15"/>
      <c r="S397" s="15"/>
      <c r="T397" s="15"/>
      <c r="U397" s="28"/>
      <c r="V397" s="139">
        <f t="shared" si="195"/>
        <v>72550000</v>
      </c>
      <c r="W397" s="139">
        <f t="shared" si="196"/>
        <v>72550000</v>
      </c>
      <c r="X397" s="139">
        <f t="shared" si="197"/>
        <v>70593290</v>
      </c>
      <c r="Y397" s="139">
        <f t="shared" si="198"/>
        <v>45993290</v>
      </c>
      <c r="Z397" s="584"/>
    </row>
    <row r="398" spans="1:26" ht="13.5">
      <c r="A398" s="484"/>
      <c r="B398" s="484"/>
      <c r="C398" s="516"/>
      <c r="D398" s="515"/>
      <c r="E398" s="34" t="s">
        <v>657</v>
      </c>
      <c r="F398" s="497" t="s">
        <v>955</v>
      </c>
      <c r="G398" s="494" t="s">
        <v>658</v>
      </c>
      <c r="H398" s="409">
        <v>72550000</v>
      </c>
      <c r="I398" s="409">
        <v>72550000</v>
      </c>
      <c r="J398" s="409">
        <v>70593290</v>
      </c>
      <c r="K398" s="409">
        <v>45993290</v>
      </c>
      <c r="L398" s="409">
        <v>0</v>
      </c>
      <c r="M398" s="118"/>
      <c r="N398" s="118"/>
      <c r="O398" s="118"/>
      <c r="P398" s="409"/>
      <c r="Q398" s="409">
        <v>0</v>
      </c>
      <c r="R398" s="118"/>
      <c r="S398" s="118"/>
      <c r="T398" s="118"/>
      <c r="U398" s="409"/>
      <c r="V398" s="412">
        <f t="shared" si="195"/>
        <v>72550000</v>
      </c>
      <c r="W398" s="412">
        <f t="shared" si="196"/>
        <v>72550000</v>
      </c>
      <c r="X398" s="412">
        <f t="shared" si="197"/>
        <v>70593290</v>
      </c>
      <c r="Y398" s="412">
        <f t="shared" si="198"/>
        <v>45993290</v>
      </c>
      <c r="Z398" s="584"/>
    </row>
    <row r="399" spans="1:26" ht="13.5">
      <c r="A399" s="484"/>
      <c r="B399" s="484"/>
      <c r="C399" s="516"/>
      <c r="D399" s="516"/>
      <c r="E399" s="34" t="s">
        <v>659</v>
      </c>
      <c r="F399" s="498"/>
      <c r="G399" s="500"/>
      <c r="H399" s="410"/>
      <c r="I399" s="410"/>
      <c r="J399" s="410"/>
      <c r="K399" s="410"/>
      <c r="L399" s="410"/>
      <c r="M399" s="120"/>
      <c r="N399" s="120"/>
      <c r="O399" s="120"/>
      <c r="P399" s="410"/>
      <c r="Q399" s="410"/>
      <c r="R399" s="120"/>
      <c r="S399" s="120"/>
      <c r="T399" s="120"/>
      <c r="U399" s="410"/>
      <c r="V399" s="413"/>
      <c r="W399" s="413"/>
      <c r="X399" s="413"/>
      <c r="Y399" s="413"/>
      <c r="Z399" s="584"/>
    </row>
    <row r="400" spans="1:26" ht="13.5">
      <c r="A400" s="484"/>
      <c r="B400" s="484"/>
      <c r="C400" s="516"/>
      <c r="D400" s="516"/>
      <c r="E400" s="34" t="s">
        <v>660</v>
      </c>
      <c r="F400" s="498"/>
      <c r="G400" s="500"/>
      <c r="H400" s="410"/>
      <c r="I400" s="410"/>
      <c r="J400" s="410"/>
      <c r="K400" s="410"/>
      <c r="L400" s="410"/>
      <c r="M400" s="120"/>
      <c r="N400" s="120"/>
      <c r="O400" s="120"/>
      <c r="P400" s="410"/>
      <c r="Q400" s="410"/>
      <c r="R400" s="120"/>
      <c r="S400" s="120"/>
      <c r="T400" s="120"/>
      <c r="U400" s="410"/>
      <c r="V400" s="413"/>
      <c r="W400" s="413"/>
      <c r="X400" s="413"/>
      <c r="Y400" s="413"/>
      <c r="Z400" s="584"/>
    </row>
    <row r="401" spans="1:26" ht="14.25" thickBot="1">
      <c r="A401" s="484"/>
      <c r="B401" s="484"/>
      <c r="C401" s="516"/>
      <c r="D401" s="516"/>
      <c r="E401" s="301" t="s">
        <v>661</v>
      </c>
      <c r="F401" s="498"/>
      <c r="G401" s="500"/>
      <c r="H401" s="410"/>
      <c r="I401" s="410"/>
      <c r="J401" s="410"/>
      <c r="K401" s="410"/>
      <c r="L401" s="410"/>
      <c r="M401" s="238"/>
      <c r="N401" s="238"/>
      <c r="O401" s="238"/>
      <c r="P401" s="410"/>
      <c r="Q401" s="410"/>
      <c r="R401" s="238"/>
      <c r="S401" s="238"/>
      <c r="T401" s="238"/>
      <c r="U401" s="410"/>
      <c r="V401" s="413"/>
      <c r="W401" s="413"/>
      <c r="X401" s="413"/>
      <c r="Y401" s="413"/>
      <c r="Z401" s="585"/>
    </row>
    <row r="402" spans="1:26" ht="13.5" customHeight="1" thickBot="1">
      <c r="A402" s="396" t="s">
        <v>160</v>
      </c>
      <c r="B402" s="396"/>
      <c r="C402" s="396"/>
      <c r="D402" s="396"/>
      <c r="E402" s="396"/>
      <c r="F402" s="396"/>
      <c r="G402" s="396"/>
      <c r="H402" s="309">
        <f aca="true" t="shared" si="200" ref="H402:O402">H403</f>
        <v>1065150000</v>
      </c>
      <c r="I402" s="309">
        <f t="shared" si="200"/>
        <v>2109182994</v>
      </c>
      <c r="J402" s="309">
        <f t="shared" si="200"/>
        <v>2010564647</v>
      </c>
      <c r="K402" s="309">
        <f t="shared" si="200"/>
        <v>1600967648</v>
      </c>
      <c r="L402" s="309">
        <f t="shared" si="200"/>
        <v>370600000</v>
      </c>
      <c r="M402" s="309">
        <f t="shared" si="200"/>
        <v>492872673.71</v>
      </c>
      <c r="N402" s="309">
        <f t="shared" si="200"/>
        <v>440412012</v>
      </c>
      <c r="O402" s="309">
        <f t="shared" si="200"/>
        <v>378162012</v>
      </c>
      <c r="P402" s="310"/>
      <c r="Q402" s="266">
        <v>0</v>
      </c>
      <c r="R402" s="266"/>
      <c r="S402" s="266"/>
      <c r="T402" s="266"/>
      <c r="U402" s="269"/>
      <c r="V402" s="298">
        <f aca="true" t="shared" si="201" ref="V402:V407">H402+L402+Q402</f>
        <v>1435750000</v>
      </c>
      <c r="W402" s="298">
        <f aca="true" t="shared" si="202" ref="W402:W407">I402+M402+R402</f>
        <v>2602055667.71</v>
      </c>
      <c r="X402" s="298">
        <f aca="true" t="shared" si="203" ref="X402:X407">J402+N402+S402</f>
        <v>2450976659</v>
      </c>
      <c r="Y402" s="298">
        <f aca="true" t="shared" si="204" ref="Y402:Y407">K402+O402+T402</f>
        <v>1979129660</v>
      </c>
      <c r="Z402" s="583">
        <v>14</v>
      </c>
    </row>
    <row r="403" spans="1:26" ht="13.5">
      <c r="A403" s="242">
        <v>2</v>
      </c>
      <c r="B403" s="242"/>
      <c r="C403" s="245"/>
      <c r="D403" s="189"/>
      <c r="E403" s="245"/>
      <c r="F403" s="351"/>
      <c r="G403" s="174" t="s">
        <v>106</v>
      </c>
      <c r="H403" s="303">
        <f aca="true" t="shared" si="205" ref="H403:O403">H404+H416+H440</f>
        <v>1065150000</v>
      </c>
      <c r="I403" s="303">
        <f t="shared" si="205"/>
        <v>2109182994</v>
      </c>
      <c r="J403" s="303">
        <f t="shared" si="205"/>
        <v>2010564647</v>
      </c>
      <c r="K403" s="303">
        <f t="shared" si="205"/>
        <v>1600967648</v>
      </c>
      <c r="L403" s="303">
        <f t="shared" si="205"/>
        <v>370600000</v>
      </c>
      <c r="M403" s="303">
        <f t="shared" si="205"/>
        <v>492872673.71</v>
      </c>
      <c r="N403" s="303">
        <f t="shared" si="205"/>
        <v>440412012</v>
      </c>
      <c r="O403" s="303">
        <f t="shared" si="205"/>
        <v>378162012</v>
      </c>
      <c r="P403" s="303"/>
      <c r="Q403" s="303">
        <f>Q404+Q416+Q440</f>
        <v>0</v>
      </c>
      <c r="R403" s="303"/>
      <c r="S403" s="303"/>
      <c r="T403" s="303"/>
      <c r="U403" s="242"/>
      <c r="V403" s="138">
        <f t="shared" si="201"/>
        <v>1435750000</v>
      </c>
      <c r="W403" s="138">
        <f t="shared" si="202"/>
        <v>2602055667.71</v>
      </c>
      <c r="X403" s="138">
        <f t="shared" si="203"/>
        <v>2450976659</v>
      </c>
      <c r="Y403" s="138">
        <f t="shared" si="204"/>
        <v>1979129660</v>
      </c>
      <c r="Z403" s="584"/>
    </row>
    <row r="404" spans="1:26" ht="13.5">
      <c r="A404" s="483"/>
      <c r="B404" s="168" t="s">
        <v>121</v>
      </c>
      <c r="C404" s="2"/>
      <c r="D404" s="168"/>
      <c r="E404" s="48"/>
      <c r="F404" s="365"/>
      <c r="G404" s="166" t="s">
        <v>122</v>
      </c>
      <c r="H404" s="15">
        <f aca="true" t="shared" si="206" ref="H404:O404">H405</f>
        <v>67400000</v>
      </c>
      <c r="I404" s="15">
        <f t="shared" si="206"/>
        <v>115616665</v>
      </c>
      <c r="J404" s="15">
        <f t="shared" si="206"/>
        <v>115416664</v>
      </c>
      <c r="K404" s="15">
        <f t="shared" si="206"/>
        <v>98773331</v>
      </c>
      <c r="L404" s="15">
        <f t="shared" si="206"/>
        <v>0</v>
      </c>
      <c r="M404" s="15">
        <f t="shared" si="206"/>
        <v>0</v>
      </c>
      <c r="N404" s="15">
        <f t="shared" si="206"/>
        <v>0</v>
      </c>
      <c r="O404" s="15">
        <f t="shared" si="206"/>
        <v>0</v>
      </c>
      <c r="P404" s="15"/>
      <c r="Q404" s="15">
        <f>Q405</f>
        <v>0</v>
      </c>
      <c r="R404" s="15"/>
      <c r="S404" s="15"/>
      <c r="T404" s="15"/>
      <c r="U404" s="28"/>
      <c r="V404" s="139">
        <f t="shared" si="201"/>
        <v>67400000</v>
      </c>
      <c r="W404" s="139">
        <f t="shared" si="202"/>
        <v>115616665</v>
      </c>
      <c r="X404" s="139">
        <f t="shared" si="203"/>
        <v>115416664</v>
      </c>
      <c r="Y404" s="139">
        <f t="shared" si="204"/>
        <v>98773331</v>
      </c>
      <c r="Z404" s="584"/>
    </row>
    <row r="405" spans="1:26" ht="13.5">
      <c r="A405" s="484"/>
      <c r="B405" s="400"/>
      <c r="C405" s="168" t="s">
        <v>123</v>
      </c>
      <c r="D405" s="2"/>
      <c r="E405" s="169"/>
      <c r="F405" s="355"/>
      <c r="G405" s="166" t="s">
        <v>124</v>
      </c>
      <c r="H405" s="15">
        <f aca="true" t="shared" si="207" ref="H405:O405">H406+H412+H414</f>
        <v>67400000</v>
      </c>
      <c r="I405" s="15">
        <f t="shared" si="207"/>
        <v>115616665</v>
      </c>
      <c r="J405" s="15">
        <f t="shared" si="207"/>
        <v>115416664</v>
      </c>
      <c r="K405" s="15">
        <f t="shared" si="207"/>
        <v>98773331</v>
      </c>
      <c r="L405" s="15">
        <f t="shared" si="207"/>
        <v>0</v>
      </c>
      <c r="M405" s="15">
        <f t="shared" si="207"/>
        <v>0</v>
      </c>
      <c r="N405" s="15">
        <f t="shared" si="207"/>
        <v>0</v>
      </c>
      <c r="O405" s="15">
        <f t="shared" si="207"/>
        <v>0</v>
      </c>
      <c r="P405" s="15"/>
      <c r="Q405" s="15">
        <f>Q406+Q412+Q414</f>
        <v>0</v>
      </c>
      <c r="R405" s="15"/>
      <c r="S405" s="15"/>
      <c r="T405" s="15"/>
      <c r="U405" s="28"/>
      <c r="V405" s="139">
        <f t="shared" si="201"/>
        <v>67400000</v>
      </c>
      <c r="W405" s="139">
        <f t="shared" si="202"/>
        <v>115616665</v>
      </c>
      <c r="X405" s="139">
        <f t="shared" si="203"/>
        <v>115416664</v>
      </c>
      <c r="Y405" s="139">
        <f t="shared" si="204"/>
        <v>98773331</v>
      </c>
      <c r="Z405" s="584"/>
    </row>
    <row r="406" spans="1:26" ht="27">
      <c r="A406" s="484"/>
      <c r="B406" s="401"/>
      <c r="C406" s="400"/>
      <c r="D406" s="168" t="s">
        <v>662</v>
      </c>
      <c r="E406" s="168"/>
      <c r="F406" s="355"/>
      <c r="G406" s="166" t="s">
        <v>663</v>
      </c>
      <c r="H406" s="15">
        <f aca="true" t="shared" si="208" ref="H406:O406">H407</f>
        <v>23650000</v>
      </c>
      <c r="I406" s="15">
        <f t="shared" si="208"/>
        <v>40516666</v>
      </c>
      <c r="J406" s="15">
        <f t="shared" si="208"/>
        <v>40516666</v>
      </c>
      <c r="K406" s="15">
        <f t="shared" si="208"/>
        <v>30946666</v>
      </c>
      <c r="L406" s="15">
        <f t="shared" si="208"/>
        <v>0</v>
      </c>
      <c r="M406" s="15">
        <f t="shared" si="208"/>
        <v>0</v>
      </c>
      <c r="N406" s="15">
        <f t="shared" si="208"/>
        <v>0</v>
      </c>
      <c r="O406" s="15">
        <f t="shared" si="208"/>
        <v>0</v>
      </c>
      <c r="P406" s="15"/>
      <c r="Q406" s="15">
        <f>Q407</f>
        <v>0</v>
      </c>
      <c r="R406" s="15"/>
      <c r="S406" s="15"/>
      <c r="T406" s="15"/>
      <c r="U406" s="28"/>
      <c r="V406" s="139">
        <f t="shared" si="201"/>
        <v>23650000</v>
      </c>
      <c r="W406" s="139">
        <f t="shared" si="202"/>
        <v>40516666</v>
      </c>
      <c r="X406" s="139">
        <f t="shared" si="203"/>
        <v>40516666</v>
      </c>
      <c r="Y406" s="139">
        <f t="shared" si="204"/>
        <v>30946666</v>
      </c>
      <c r="Z406" s="584"/>
    </row>
    <row r="407" spans="1:26" ht="12.75" customHeight="1">
      <c r="A407" s="484"/>
      <c r="B407" s="401"/>
      <c r="C407" s="401"/>
      <c r="D407" s="400"/>
      <c r="E407" s="168" t="s">
        <v>664</v>
      </c>
      <c r="F407" s="497" t="s">
        <v>956</v>
      </c>
      <c r="G407" s="494" t="s">
        <v>665</v>
      </c>
      <c r="H407" s="409">
        <v>23650000</v>
      </c>
      <c r="I407" s="409">
        <v>40516666</v>
      </c>
      <c r="J407" s="409">
        <v>40516666</v>
      </c>
      <c r="K407" s="409">
        <v>30946666</v>
      </c>
      <c r="L407" s="409">
        <v>0</v>
      </c>
      <c r="M407" s="409"/>
      <c r="N407" s="409"/>
      <c r="O407" s="409"/>
      <c r="P407" s="409"/>
      <c r="Q407" s="409">
        <v>0</v>
      </c>
      <c r="R407" s="409"/>
      <c r="S407" s="409"/>
      <c r="T407" s="409"/>
      <c r="U407" s="409"/>
      <c r="V407" s="412">
        <f t="shared" si="201"/>
        <v>23650000</v>
      </c>
      <c r="W407" s="412">
        <f t="shared" si="202"/>
        <v>40516666</v>
      </c>
      <c r="X407" s="412">
        <f t="shared" si="203"/>
        <v>40516666</v>
      </c>
      <c r="Y407" s="412">
        <f t="shared" si="204"/>
        <v>30946666</v>
      </c>
      <c r="Z407" s="584"/>
    </row>
    <row r="408" spans="1:26" ht="12.75" customHeight="1">
      <c r="A408" s="484"/>
      <c r="B408" s="401"/>
      <c r="C408" s="401"/>
      <c r="D408" s="401"/>
      <c r="E408" s="168" t="s">
        <v>666</v>
      </c>
      <c r="F408" s="498"/>
      <c r="G408" s="500"/>
      <c r="H408" s="410"/>
      <c r="I408" s="410"/>
      <c r="J408" s="410"/>
      <c r="K408" s="410"/>
      <c r="L408" s="410"/>
      <c r="M408" s="410"/>
      <c r="N408" s="410"/>
      <c r="O408" s="410"/>
      <c r="P408" s="410"/>
      <c r="Q408" s="410"/>
      <c r="R408" s="410"/>
      <c r="S408" s="410"/>
      <c r="T408" s="410"/>
      <c r="U408" s="410"/>
      <c r="V408" s="413"/>
      <c r="W408" s="413"/>
      <c r="X408" s="413"/>
      <c r="Y408" s="413"/>
      <c r="Z408" s="584"/>
    </row>
    <row r="409" spans="1:26" ht="12.75" customHeight="1">
      <c r="A409" s="484"/>
      <c r="B409" s="401"/>
      <c r="C409" s="401"/>
      <c r="D409" s="401"/>
      <c r="E409" s="168" t="s">
        <v>667</v>
      </c>
      <c r="F409" s="498"/>
      <c r="G409" s="500"/>
      <c r="H409" s="410"/>
      <c r="I409" s="410"/>
      <c r="J409" s="410"/>
      <c r="K409" s="410"/>
      <c r="L409" s="410"/>
      <c r="M409" s="410"/>
      <c r="N409" s="410"/>
      <c r="O409" s="410"/>
      <c r="P409" s="410"/>
      <c r="Q409" s="410"/>
      <c r="R409" s="410"/>
      <c r="S409" s="410"/>
      <c r="T409" s="410"/>
      <c r="U409" s="410"/>
      <c r="V409" s="413"/>
      <c r="W409" s="413"/>
      <c r="X409" s="413"/>
      <c r="Y409" s="413"/>
      <c r="Z409" s="584"/>
    </row>
    <row r="410" spans="1:26" ht="12.75" customHeight="1">
      <c r="A410" s="484"/>
      <c r="B410" s="401"/>
      <c r="C410" s="401"/>
      <c r="D410" s="401"/>
      <c r="E410" s="168" t="s">
        <v>668</v>
      </c>
      <c r="F410" s="498"/>
      <c r="G410" s="500"/>
      <c r="H410" s="410"/>
      <c r="I410" s="410"/>
      <c r="J410" s="410"/>
      <c r="K410" s="410"/>
      <c r="L410" s="410"/>
      <c r="M410" s="410"/>
      <c r="N410" s="410"/>
      <c r="O410" s="410"/>
      <c r="P410" s="410"/>
      <c r="Q410" s="410"/>
      <c r="R410" s="410"/>
      <c r="S410" s="410"/>
      <c r="T410" s="410"/>
      <c r="U410" s="410"/>
      <c r="V410" s="413"/>
      <c r="W410" s="413"/>
      <c r="X410" s="413"/>
      <c r="Y410" s="413"/>
      <c r="Z410" s="584"/>
    </row>
    <row r="411" spans="1:26" ht="12.75" customHeight="1">
      <c r="A411" s="484"/>
      <c r="B411" s="401"/>
      <c r="C411" s="401"/>
      <c r="D411" s="402"/>
      <c r="E411" s="168" t="s">
        <v>669</v>
      </c>
      <c r="F411" s="499"/>
      <c r="G411" s="495"/>
      <c r="H411" s="411"/>
      <c r="I411" s="411"/>
      <c r="J411" s="411"/>
      <c r="K411" s="411"/>
      <c r="L411" s="411"/>
      <c r="M411" s="411"/>
      <c r="N411" s="411"/>
      <c r="O411" s="411"/>
      <c r="P411" s="411"/>
      <c r="Q411" s="411"/>
      <c r="R411" s="411"/>
      <c r="S411" s="411"/>
      <c r="T411" s="411"/>
      <c r="U411" s="411"/>
      <c r="V411" s="414"/>
      <c r="W411" s="414"/>
      <c r="X411" s="414"/>
      <c r="Y411" s="414"/>
      <c r="Z411" s="584"/>
    </row>
    <row r="412" spans="1:26" ht="18.75" customHeight="1">
      <c r="A412" s="484"/>
      <c r="B412" s="401"/>
      <c r="C412" s="401"/>
      <c r="D412" s="168" t="s">
        <v>670</v>
      </c>
      <c r="E412" s="168"/>
      <c r="F412" s="355"/>
      <c r="G412" s="166" t="s">
        <v>671</v>
      </c>
      <c r="H412" s="15">
        <f>H413</f>
        <v>30000000</v>
      </c>
      <c r="I412" s="15">
        <f>I413</f>
        <v>51700000</v>
      </c>
      <c r="J412" s="15">
        <f>J413</f>
        <v>51499999</v>
      </c>
      <c r="K412" s="15">
        <f>K413</f>
        <v>49799999</v>
      </c>
      <c r="L412" s="15">
        <f>L413</f>
        <v>0</v>
      </c>
      <c r="M412" s="15"/>
      <c r="N412" s="15"/>
      <c r="O412" s="15"/>
      <c r="P412" s="15"/>
      <c r="Q412" s="15">
        <f>Q413</f>
        <v>0</v>
      </c>
      <c r="R412" s="133"/>
      <c r="S412" s="133"/>
      <c r="T412" s="133"/>
      <c r="U412" s="28"/>
      <c r="V412" s="139">
        <f aca="true" t="shared" si="209" ref="V412:V419">H412+L412+Q412</f>
        <v>30000000</v>
      </c>
      <c r="W412" s="139">
        <f aca="true" t="shared" si="210" ref="W412:W419">I412+M412+R412</f>
        <v>51700000</v>
      </c>
      <c r="X412" s="139">
        <f aca="true" t="shared" si="211" ref="X412:X419">J412+N412+S412</f>
        <v>51499999</v>
      </c>
      <c r="Y412" s="139">
        <f aca="true" t="shared" si="212" ref="Y412:Y419">K412+O412+T412</f>
        <v>49799999</v>
      </c>
      <c r="Z412" s="584"/>
    </row>
    <row r="413" spans="1:26" ht="57" customHeight="1">
      <c r="A413" s="484"/>
      <c r="B413" s="401"/>
      <c r="C413" s="401"/>
      <c r="D413" s="168"/>
      <c r="E413" s="168" t="s">
        <v>672</v>
      </c>
      <c r="F413" s="27" t="s">
        <v>957</v>
      </c>
      <c r="G413" s="69" t="s">
        <v>673</v>
      </c>
      <c r="H413" s="68">
        <v>30000000</v>
      </c>
      <c r="I413" s="68">
        <v>51700000</v>
      </c>
      <c r="J413" s="68">
        <v>51499999</v>
      </c>
      <c r="K413" s="68">
        <v>49799999</v>
      </c>
      <c r="L413" s="15">
        <v>0</v>
      </c>
      <c r="M413" s="15"/>
      <c r="N413" s="15"/>
      <c r="O413" s="15"/>
      <c r="P413" s="75"/>
      <c r="Q413" s="68">
        <f>Q414</f>
        <v>0</v>
      </c>
      <c r="R413" s="68"/>
      <c r="S413" s="68"/>
      <c r="T413" s="68"/>
      <c r="U413" s="73"/>
      <c r="V413" s="140">
        <f t="shared" si="209"/>
        <v>30000000</v>
      </c>
      <c r="W413" s="140">
        <f t="shared" si="210"/>
        <v>51700000</v>
      </c>
      <c r="X413" s="140">
        <f t="shared" si="211"/>
        <v>51499999</v>
      </c>
      <c r="Y413" s="140">
        <f t="shared" si="212"/>
        <v>49799999</v>
      </c>
      <c r="Z413" s="584"/>
    </row>
    <row r="414" spans="1:26" ht="13.5">
      <c r="A414" s="484"/>
      <c r="B414" s="401"/>
      <c r="C414" s="401"/>
      <c r="D414" s="168" t="s">
        <v>674</v>
      </c>
      <c r="E414" s="168"/>
      <c r="F414" s="355"/>
      <c r="G414" s="166" t="s">
        <v>675</v>
      </c>
      <c r="H414" s="15">
        <f>H415</f>
        <v>13750000</v>
      </c>
      <c r="I414" s="15">
        <f>I415</f>
        <v>23399999</v>
      </c>
      <c r="J414" s="15">
        <f>J415</f>
        <v>23399999</v>
      </c>
      <c r="K414" s="15">
        <f>K415</f>
        <v>18026666</v>
      </c>
      <c r="L414" s="15">
        <f>L415</f>
        <v>0</v>
      </c>
      <c r="M414" s="15"/>
      <c r="N414" s="15"/>
      <c r="O414" s="15"/>
      <c r="P414" s="15"/>
      <c r="Q414" s="15">
        <f>Q415</f>
        <v>0</v>
      </c>
      <c r="R414" s="15"/>
      <c r="S414" s="15"/>
      <c r="T414" s="15"/>
      <c r="U414" s="28"/>
      <c r="V414" s="139">
        <f t="shared" si="209"/>
        <v>13750000</v>
      </c>
      <c r="W414" s="139">
        <f t="shared" si="210"/>
        <v>23399999</v>
      </c>
      <c r="X414" s="139">
        <f t="shared" si="211"/>
        <v>23399999</v>
      </c>
      <c r="Y414" s="139">
        <f t="shared" si="212"/>
        <v>18026666</v>
      </c>
      <c r="Z414" s="584"/>
    </row>
    <row r="415" spans="1:26" ht="41.25">
      <c r="A415" s="484"/>
      <c r="B415" s="402"/>
      <c r="C415" s="402"/>
      <c r="D415" s="168"/>
      <c r="E415" s="168" t="s">
        <v>676</v>
      </c>
      <c r="F415" s="27" t="s">
        <v>958</v>
      </c>
      <c r="G415" s="69" t="s">
        <v>677</v>
      </c>
      <c r="H415" s="68">
        <v>13750000</v>
      </c>
      <c r="I415" s="68">
        <v>23399999</v>
      </c>
      <c r="J415" s="68">
        <v>23399999</v>
      </c>
      <c r="K415" s="68">
        <v>18026666</v>
      </c>
      <c r="L415" s="68">
        <v>0</v>
      </c>
      <c r="M415" s="68"/>
      <c r="N415" s="68"/>
      <c r="O415" s="68"/>
      <c r="P415" s="75"/>
      <c r="Q415" s="10">
        <v>0</v>
      </c>
      <c r="R415" s="10"/>
      <c r="S415" s="10"/>
      <c r="T415" s="10"/>
      <c r="U415" s="73"/>
      <c r="V415" s="139">
        <f t="shared" si="209"/>
        <v>13750000</v>
      </c>
      <c r="W415" s="139">
        <f t="shared" si="210"/>
        <v>23399999</v>
      </c>
      <c r="X415" s="139">
        <f t="shared" si="211"/>
        <v>23399999</v>
      </c>
      <c r="Y415" s="139">
        <f t="shared" si="212"/>
        <v>18026666</v>
      </c>
      <c r="Z415" s="584"/>
    </row>
    <row r="416" spans="1:26" ht="13.5">
      <c r="A416" s="484"/>
      <c r="B416" s="168" t="s">
        <v>125</v>
      </c>
      <c r="C416" s="36"/>
      <c r="D416" s="169"/>
      <c r="E416" s="48"/>
      <c r="F416" s="365"/>
      <c r="G416" s="166" t="s">
        <v>126</v>
      </c>
      <c r="H416" s="15">
        <f>H417+H432</f>
        <v>451250000</v>
      </c>
      <c r="I416" s="15">
        <f>I417+I432</f>
        <v>821853324</v>
      </c>
      <c r="J416" s="15">
        <f>J417+J432</f>
        <v>818281989</v>
      </c>
      <c r="K416" s="15">
        <f>K417+K432</f>
        <v>517348655</v>
      </c>
      <c r="L416" s="15">
        <f>L417+L432</f>
        <v>0</v>
      </c>
      <c r="M416" s="15"/>
      <c r="N416" s="15"/>
      <c r="O416" s="15"/>
      <c r="P416" s="15"/>
      <c r="Q416" s="15">
        <f>Q417+Q432</f>
        <v>0</v>
      </c>
      <c r="R416" s="15"/>
      <c r="S416" s="15"/>
      <c r="T416" s="15"/>
      <c r="U416" s="28"/>
      <c r="V416" s="139">
        <f t="shared" si="209"/>
        <v>451250000</v>
      </c>
      <c r="W416" s="139">
        <f t="shared" si="210"/>
        <v>821853324</v>
      </c>
      <c r="X416" s="139">
        <f t="shared" si="211"/>
        <v>818281989</v>
      </c>
      <c r="Y416" s="139">
        <f t="shared" si="212"/>
        <v>517348655</v>
      </c>
      <c r="Z416" s="584"/>
    </row>
    <row r="417" spans="1:26" ht="13.5">
      <c r="A417" s="484"/>
      <c r="B417" s="400"/>
      <c r="C417" s="168" t="s">
        <v>127</v>
      </c>
      <c r="D417" s="2"/>
      <c r="E417" s="169"/>
      <c r="F417" s="355"/>
      <c r="G417" s="166" t="s">
        <v>128</v>
      </c>
      <c r="H417" s="15">
        <f>H418+H427</f>
        <v>410000000</v>
      </c>
      <c r="I417" s="15">
        <f>I418+I427</f>
        <v>572856659</v>
      </c>
      <c r="J417" s="15">
        <f>J418+J427</f>
        <v>569685324</v>
      </c>
      <c r="K417" s="15">
        <f>K418+K427</f>
        <v>414248657</v>
      </c>
      <c r="L417" s="15">
        <f>L418+L427</f>
        <v>0</v>
      </c>
      <c r="M417" s="15"/>
      <c r="N417" s="15"/>
      <c r="O417" s="15"/>
      <c r="P417" s="15"/>
      <c r="Q417" s="15">
        <f>Q418+Q427</f>
        <v>0</v>
      </c>
      <c r="R417" s="15"/>
      <c r="S417" s="15"/>
      <c r="T417" s="15"/>
      <c r="U417" s="28"/>
      <c r="V417" s="139">
        <f t="shared" si="209"/>
        <v>410000000</v>
      </c>
      <c r="W417" s="139">
        <f t="shared" si="210"/>
        <v>572856659</v>
      </c>
      <c r="X417" s="139">
        <f t="shared" si="211"/>
        <v>569685324</v>
      </c>
      <c r="Y417" s="139">
        <f t="shared" si="212"/>
        <v>414248657</v>
      </c>
      <c r="Z417" s="584"/>
    </row>
    <row r="418" spans="1:26" ht="13.5">
      <c r="A418" s="484"/>
      <c r="B418" s="401"/>
      <c r="C418" s="400"/>
      <c r="D418" s="168" t="s">
        <v>678</v>
      </c>
      <c r="E418" s="168"/>
      <c r="F418" s="355"/>
      <c r="G418" s="166" t="s">
        <v>679</v>
      </c>
      <c r="H418" s="15">
        <f>H419</f>
        <v>368750000</v>
      </c>
      <c r="I418" s="15">
        <f>I419</f>
        <v>536936660</v>
      </c>
      <c r="J418" s="15">
        <f>J419</f>
        <v>536365325</v>
      </c>
      <c r="K418" s="15">
        <f>K419</f>
        <v>383528658</v>
      </c>
      <c r="L418" s="15">
        <f>L419</f>
        <v>0</v>
      </c>
      <c r="M418" s="15"/>
      <c r="N418" s="15"/>
      <c r="O418" s="15"/>
      <c r="P418" s="15"/>
      <c r="Q418" s="15">
        <f>Q419</f>
        <v>0</v>
      </c>
      <c r="R418" s="15"/>
      <c r="S418" s="15"/>
      <c r="T418" s="15"/>
      <c r="U418" s="28"/>
      <c r="V418" s="139">
        <f t="shared" si="209"/>
        <v>368750000</v>
      </c>
      <c r="W418" s="139">
        <f t="shared" si="210"/>
        <v>536936660</v>
      </c>
      <c r="X418" s="139">
        <f t="shared" si="211"/>
        <v>536365325</v>
      </c>
      <c r="Y418" s="139">
        <f t="shared" si="212"/>
        <v>383528658</v>
      </c>
      <c r="Z418" s="584"/>
    </row>
    <row r="419" spans="1:26" ht="13.5">
      <c r="A419" s="484"/>
      <c r="B419" s="401"/>
      <c r="C419" s="401"/>
      <c r="D419" s="400"/>
      <c r="E419" s="168" t="s">
        <v>680</v>
      </c>
      <c r="F419" s="497" t="s">
        <v>959</v>
      </c>
      <c r="G419" s="494" t="s">
        <v>681</v>
      </c>
      <c r="H419" s="409">
        <v>368750000</v>
      </c>
      <c r="I419" s="409">
        <v>536936660</v>
      </c>
      <c r="J419" s="409">
        <v>536365325</v>
      </c>
      <c r="K419" s="409">
        <v>383528658</v>
      </c>
      <c r="L419" s="409">
        <v>0</v>
      </c>
      <c r="M419" s="409"/>
      <c r="N419" s="409"/>
      <c r="O419" s="409"/>
      <c r="P419" s="409"/>
      <c r="Q419" s="409">
        <v>0</v>
      </c>
      <c r="R419" s="409"/>
      <c r="S419" s="409"/>
      <c r="T419" s="409"/>
      <c r="U419" s="409"/>
      <c r="V419" s="412">
        <f t="shared" si="209"/>
        <v>368750000</v>
      </c>
      <c r="W419" s="412">
        <f t="shared" si="210"/>
        <v>536936660</v>
      </c>
      <c r="X419" s="412">
        <f t="shared" si="211"/>
        <v>536365325</v>
      </c>
      <c r="Y419" s="412">
        <f t="shared" si="212"/>
        <v>383528658</v>
      </c>
      <c r="Z419" s="584"/>
    </row>
    <row r="420" spans="1:26" ht="13.5">
      <c r="A420" s="484"/>
      <c r="B420" s="401"/>
      <c r="C420" s="401"/>
      <c r="D420" s="401"/>
      <c r="E420" s="168" t="s">
        <v>682</v>
      </c>
      <c r="F420" s="498"/>
      <c r="G420" s="500"/>
      <c r="H420" s="410"/>
      <c r="I420" s="410"/>
      <c r="J420" s="410"/>
      <c r="K420" s="410"/>
      <c r="L420" s="410"/>
      <c r="M420" s="410"/>
      <c r="N420" s="410"/>
      <c r="O420" s="410"/>
      <c r="P420" s="410"/>
      <c r="Q420" s="410"/>
      <c r="R420" s="410"/>
      <c r="S420" s="410"/>
      <c r="T420" s="410"/>
      <c r="U420" s="410"/>
      <c r="V420" s="413"/>
      <c r="W420" s="413"/>
      <c r="X420" s="413"/>
      <c r="Y420" s="413"/>
      <c r="Z420" s="584"/>
    </row>
    <row r="421" spans="1:26" ht="13.5">
      <c r="A421" s="484"/>
      <c r="B421" s="401"/>
      <c r="C421" s="401"/>
      <c r="D421" s="401"/>
      <c r="E421" s="168" t="s">
        <v>683</v>
      </c>
      <c r="F421" s="498"/>
      <c r="G421" s="500"/>
      <c r="H421" s="410"/>
      <c r="I421" s="410"/>
      <c r="J421" s="410"/>
      <c r="K421" s="410"/>
      <c r="L421" s="410"/>
      <c r="M421" s="410"/>
      <c r="N421" s="410"/>
      <c r="O421" s="410"/>
      <c r="P421" s="410"/>
      <c r="Q421" s="410"/>
      <c r="R421" s="410"/>
      <c r="S421" s="410"/>
      <c r="T421" s="410"/>
      <c r="U421" s="410"/>
      <c r="V421" s="413"/>
      <c r="W421" s="413"/>
      <c r="X421" s="413"/>
      <c r="Y421" s="413"/>
      <c r="Z421" s="584"/>
    </row>
    <row r="422" spans="1:26" ht="13.5">
      <c r="A422" s="484"/>
      <c r="B422" s="401"/>
      <c r="C422" s="401"/>
      <c r="D422" s="401"/>
      <c r="E422" s="168" t="s">
        <v>684</v>
      </c>
      <c r="F422" s="498"/>
      <c r="G422" s="500"/>
      <c r="H422" s="410"/>
      <c r="I422" s="410"/>
      <c r="J422" s="410"/>
      <c r="K422" s="410"/>
      <c r="L422" s="410"/>
      <c r="M422" s="410"/>
      <c r="N422" s="410"/>
      <c r="O422" s="410"/>
      <c r="P422" s="410"/>
      <c r="Q422" s="410"/>
      <c r="R422" s="410"/>
      <c r="S422" s="410"/>
      <c r="T422" s="410"/>
      <c r="U422" s="410"/>
      <c r="V422" s="413"/>
      <c r="W422" s="413"/>
      <c r="X422" s="413"/>
      <c r="Y422" s="413"/>
      <c r="Z422" s="584"/>
    </row>
    <row r="423" spans="1:26" ht="13.5">
      <c r="A423" s="484"/>
      <c r="B423" s="401"/>
      <c r="C423" s="401"/>
      <c r="D423" s="401"/>
      <c r="E423" s="168" t="s">
        <v>685</v>
      </c>
      <c r="F423" s="498"/>
      <c r="G423" s="500"/>
      <c r="H423" s="410"/>
      <c r="I423" s="410"/>
      <c r="J423" s="410"/>
      <c r="K423" s="410"/>
      <c r="L423" s="410"/>
      <c r="M423" s="410"/>
      <c r="N423" s="410"/>
      <c r="O423" s="410"/>
      <c r="P423" s="410"/>
      <c r="Q423" s="410"/>
      <c r="R423" s="410"/>
      <c r="S423" s="410"/>
      <c r="T423" s="410"/>
      <c r="U423" s="410"/>
      <c r="V423" s="413"/>
      <c r="W423" s="413"/>
      <c r="X423" s="413"/>
      <c r="Y423" s="413"/>
      <c r="Z423" s="584"/>
    </row>
    <row r="424" spans="1:26" ht="13.5">
      <c r="A424" s="484"/>
      <c r="B424" s="401"/>
      <c r="C424" s="401"/>
      <c r="D424" s="401"/>
      <c r="E424" s="168" t="s">
        <v>686</v>
      </c>
      <c r="F424" s="498"/>
      <c r="G424" s="500"/>
      <c r="H424" s="410"/>
      <c r="I424" s="410"/>
      <c r="J424" s="410"/>
      <c r="K424" s="410"/>
      <c r="L424" s="410"/>
      <c r="M424" s="410"/>
      <c r="N424" s="410"/>
      <c r="O424" s="410"/>
      <c r="P424" s="410"/>
      <c r="Q424" s="410"/>
      <c r="R424" s="410"/>
      <c r="S424" s="410"/>
      <c r="T424" s="410"/>
      <c r="U424" s="410"/>
      <c r="V424" s="413"/>
      <c r="W424" s="413"/>
      <c r="X424" s="413"/>
      <c r="Y424" s="413"/>
      <c r="Z424" s="584"/>
    </row>
    <row r="425" spans="1:26" ht="13.5">
      <c r="A425" s="484"/>
      <c r="B425" s="401"/>
      <c r="C425" s="401"/>
      <c r="D425" s="401"/>
      <c r="E425" s="168" t="s">
        <v>687</v>
      </c>
      <c r="F425" s="498"/>
      <c r="G425" s="500"/>
      <c r="H425" s="410"/>
      <c r="I425" s="410"/>
      <c r="J425" s="410"/>
      <c r="K425" s="410"/>
      <c r="L425" s="410"/>
      <c r="M425" s="410"/>
      <c r="N425" s="410"/>
      <c r="O425" s="410"/>
      <c r="P425" s="410"/>
      <c r="Q425" s="410"/>
      <c r="R425" s="410"/>
      <c r="S425" s="410"/>
      <c r="T425" s="410"/>
      <c r="U425" s="410"/>
      <c r="V425" s="413"/>
      <c r="W425" s="413"/>
      <c r="X425" s="413"/>
      <c r="Y425" s="413"/>
      <c r="Z425" s="584"/>
    </row>
    <row r="426" spans="1:26" ht="13.5">
      <c r="A426" s="484"/>
      <c r="B426" s="401"/>
      <c r="C426" s="401"/>
      <c r="D426" s="402"/>
      <c r="E426" s="168" t="s">
        <v>688</v>
      </c>
      <c r="F426" s="499"/>
      <c r="G426" s="495"/>
      <c r="H426" s="411"/>
      <c r="I426" s="411"/>
      <c r="J426" s="411"/>
      <c r="K426" s="411"/>
      <c r="L426" s="411"/>
      <c r="M426" s="411"/>
      <c r="N426" s="411"/>
      <c r="O426" s="411"/>
      <c r="P426" s="411"/>
      <c r="Q426" s="411"/>
      <c r="R426" s="411"/>
      <c r="S426" s="411"/>
      <c r="T426" s="411"/>
      <c r="U426" s="411"/>
      <c r="V426" s="414"/>
      <c r="W426" s="414"/>
      <c r="X426" s="414"/>
      <c r="Y426" s="414"/>
      <c r="Z426" s="584"/>
    </row>
    <row r="427" spans="1:26" ht="13.5">
      <c r="A427" s="484"/>
      <c r="B427" s="401"/>
      <c r="C427" s="401"/>
      <c r="D427" s="168" t="s">
        <v>1044</v>
      </c>
      <c r="E427" s="168"/>
      <c r="F427" s="355"/>
      <c r="G427" s="166" t="s">
        <v>689</v>
      </c>
      <c r="H427" s="15">
        <f>H428</f>
        <v>41250000</v>
      </c>
      <c r="I427" s="15">
        <f>I428</f>
        <v>35919999</v>
      </c>
      <c r="J427" s="15">
        <f>J428</f>
        <v>33319999</v>
      </c>
      <c r="K427" s="15">
        <f>K428</f>
        <v>30719999</v>
      </c>
      <c r="L427" s="15">
        <f>L428</f>
        <v>0</v>
      </c>
      <c r="M427" s="15"/>
      <c r="N427" s="15"/>
      <c r="O427" s="15"/>
      <c r="P427" s="15"/>
      <c r="Q427" s="15">
        <f>Q428</f>
        <v>0</v>
      </c>
      <c r="R427" s="15"/>
      <c r="S427" s="15"/>
      <c r="T427" s="15"/>
      <c r="U427" s="28"/>
      <c r="V427" s="139">
        <f>H427+L427+Q427</f>
        <v>41250000</v>
      </c>
      <c r="W427" s="139">
        <f aca="true" t="shared" si="213" ref="W427:Y428">I427+M427+R427</f>
        <v>35919999</v>
      </c>
      <c r="X427" s="139">
        <f t="shared" si="213"/>
        <v>33319999</v>
      </c>
      <c r="Y427" s="139">
        <f t="shared" si="213"/>
        <v>30719999</v>
      </c>
      <c r="Z427" s="584"/>
    </row>
    <row r="428" spans="1:26" ht="13.5">
      <c r="A428" s="484"/>
      <c r="B428" s="401"/>
      <c r="C428" s="401"/>
      <c r="D428" s="400"/>
      <c r="E428" s="168" t="s">
        <v>1045</v>
      </c>
      <c r="F428" s="400" t="s">
        <v>960</v>
      </c>
      <c r="G428" s="494" t="s">
        <v>690</v>
      </c>
      <c r="H428" s="409">
        <v>41250000</v>
      </c>
      <c r="I428" s="409">
        <v>35919999</v>
      </c>
      <c r="J428" s="409">
        <v>33319999</v>
      </c>
      <c r="K428" s="409">
        <v>30719999</v>
      </c>
      <c r="L428" s="409">
        <v>0</v>
      </c>
      <c r="M428" s="409"/>
      <c r="N428" s="409"/>
      <c r="O428" s="409"/>
      <c r="P428" s="409"/>
      <c r="Q428" s="409">
        <v>0</v>
      </c>
      <c r="R428" s="409"/>
      <c r="S428" s="409"/>
      <c r="T428" s="409"/>
      <c r="U428" s="409"/>
      <c r="V428" s="412">
        <f>H428+L428+Q428</f>
        <v>41250000</v>
      </c>
      <c r="W428" s="412">
        <f t="shared" si="213"/>
        <v>35919999</v>
      </c>
      <c r="X428" s="412">
        <f t="shared" si="213"/>
        <v>33319999</v>
      </c>
      <c r="Y428" s="412">
        <f t="shared" si="213"/>
        <v>30719999</v>
      </c>
      <c r="Z428" s="584"/>
    </row>
    <row r="429" spans="1:26" ht="13.5">
      <c r="A429" s="484"/>
      <c r="B429" s="401"/>
      <c r="C429" s="401"/>
      <c r="D429" s="401"/>
      <c r="E429" s="168" t="s">
        <v>1046</v>
      </c>
      <c r="F429" s="401"/>
      <c r="G429" s="500"/>
      <c r="H429" s="410"/>
      <c r="I429" s="410"/>
      <c r="J429" s="410"/>
      <c r="K429" s="410"/>
      <c r="L429" s="410"/>
      <c r="M429" s="410"/>
      <c r="N429" s="410"/>
      <c r="O429" s="410"/>
      <c r="P429" s="410"/>
      <c r="Q429" s="410"/>
      <c r="R429" s="410"/>
      <c r="S429" s="410"/>
      <c r="T429" s="410"/>
      <c r="U429" s="410"/>
      <c r="V429" s="413"/>
      <c r="W429" s="413"/>
      <c r="X429" s="413"/>
      <c r="Y429" s="413"/>
      <c r="Z429" s="584"/>
    </row>
    <row r="430" spans="1:26" ht="13.5">
      <c r="A430" s="484"/>
      <c r="B430" s="401"/>
      <c r="C430" s="401"/>
      <c r="D430" s="401"/>
      <c r="E430" s="168" t="s">
        <v>1047</v>
      </c>
      <c r="F430" s="401"/>
      <c r="G430" s="500"/>
      <c r="H430" s="410"/>
      <c r="I430" s="410"/>
      <c r="J430" s="410"/>
      <c r="K430" s="410"/>
      <c r="L430" s="410"/>
      <c r="M430" s="410"/>
      <c r="N430" s="410"/>
      <c r="O430" s="410"/>
      <c r="P430" s="410"/>
      <c r="Q430" s="410"/>
      <c r="R430" s="410"/>
      <c r="S430" s="410"/>
      <c r="T430" s="410"/>
      <c r="U430" s="410"/>
      <c r="V430" s="413"/>
      <c r="W430" s="413"/>
      <c r="X430" s="413"/>
      <c r="Y430" s="413"/>
      <c r="Z430" s="584"/>
    </row>
    <row r="431" spans="1:26" ht="13.5">
      <c r="A431" s="484"/>
      <c r="B431" s="401"/>
      <c r="C431" s="402"/>
      <c r="D431" s="402"/>
      <c r="E431" s="168" t="s">
        <v>1048</v>
      </c>
      <c r="F431" s="402"/>
      <c r="G431" s="495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  <c r="R431" s="411"/>
      <c r="S431" s="411"/>
      <c r="T431" s="411"/>
      <c r="U431" s="411"/>
      <c r="V431" s="414">
        <f>H431+L431</f>
        <v>0</v>
      </c>
      <c r="W431" s="414">
        <f>I431+M431</f>
        <v>0</v>
      </c>
      <c r="X431" s="414">
        <f>J431+N431</f>
        <v>0</v>
      </c>
      <c r="Y431" s="414">
        <f>K431+O431</f>
        <v>0</v>
      </c>
      <c r="Z431" s="584"/>
    </row>
    <row r="432" spans="1:26" ht="13.5">
      <c r="A432" s="484"/>
      <c r="B432" s="401"/>
      <c r="C432" s="168" t="s">
        <v>129</v>
      </c>
      <c r="D432" s="169"/>
      <c r="E432" s="48"/>
      <c r="F432" s="365"/>
      <c r="G432" s="166" t="s">
        <v>852</v>
      </c>
      <c r="H432" s="15">
        <f>H433+H437</f>
        <v>41250000</v>
      </c>
      <c r="I432" s="15">
        <f>I433+I437</f>
        <v>248996665</v>
      </c>
      <c r="J432" s="15">
        <f>J433+J437</f>
        <v>248596665</v>
      </c>
      <c r="K432" s="15">
        <f>K433+K437</f>
        <v>103099998</v>
      </c>
      <c r="L432" s="15">
        <f>L433+L437</f>
        <v>0</v>
      </c>
      <c r="M432" s="15"/>
      <c r="N432" s="15"/>
      <c r="O432" s="15"/>
      <c r="P432" s="15"/>
      <c r="Q432" s="15">
        <f>Q433+Q437</f>
        <v>0</v>
      </c>
      <c r="R432" s="15"/>
      <c r="S432" s="15"/>
      <c r="T432" s="15"/>
      <c r="U432" s="28"/>
      <c r="V432" s="139">
        <f>H432+L432+Q432</f>
        <v>41250000</v>
      </c>
      <c r="W432" s="139">
        <f aca="true" t="shared" si="214" ref="W432:Y434">I432+M432+R432</f>
        <v>248996665</v>
      </c>
      <c r="X432" s="139">
        <f t="shared" si="214"/>
        <v>248596665</v>
      </c>
      <c r="Y432" s="139">
        <f t="shared" si="214"/>
        <v>103099998</v>
      </c>
      <c r="Z432" s="584"/>
    </row>
    <row r="433" spans="1:26" ht="13.5">
      <c r="A433" s="484"/>
      <c r="B433" s="401"/>
      <c r="C433" s="400"/>
      <c r="D433" s="168" t="s">
        <v>691</v>
      </c>
      <c r="E433" s="168"/>
      <c r="F433" s="355"/>
      <c r="G433" s="166" t="s">
        <v>692</v>
      </c>
      <c r="H433" s="15">
        <f>H434</f>
        <v>27500000</v>
      </c>
      <c r="I433" s="15">
        <f>I434</f>
        <v>45846666</v>
      </c>
      <c r="J433" s="15">
        <f>J434</f>
        <v>45846666</v>
      </c>
      <c r="K433" s="15">
        <f>K434</f>
        <v>35446666</v>
      </c>
      <c r="L433" s="15">
        <f>L434</f>
        <v>0</v>
      </c>
      <c r="M433" s="15"/>
      <c r="N433" s="15"/>
      <c r="O433" s="15"/>
      <c r="P433" s="15"/>
      <c r="Q433" s="15">
        <f>Q434</f>
        <v>0</v>
      </c>
      <c r="R433" s="15"/>
      <c r="S433" s="15"/>
      <c r="T433" s="15"/>
      <c r="U433" s="28"/>
      <c r="V433" s="139">
        <f>H433+L433+Q433</f>
        <v>27500000</v>
      </c>
      <c r="W433" s="139">
        <f t="shared" si="214"/>
        <v>45846666</v>
      </c>
      <c r="X433" s="139">
        <f t="shared" si="214"/>
        <v>45846666</v>
      </c>
      <c r="Y433" s="139">
        <f t="shared" si="214"/>
        <v>35446666</v>
      </c>
      <c r="Z433" s="584"/>
    </row>
    <row r="434" spans="1:26" ht="13.5">
      <c r="A434" s="484"/>
      <c r="B434" s="401"/>
      <c r="C434" s="401"/>
      <c r="D434" s="400"/>
      <c r="E434" s="168" t="s">
        <v>693</v>
      </c>
      <c r="F434" s="400" t="s">
        <v>961</v>
      </c>
      <c r="G434" s="510" t="s">
        <v>694</v>
      </c>
      <c r="H434" s="409">
        <v>27500000</v>
      </c>
      <c r="I434" s="409">
        <v>45846666</v>
      </c>
      <c r="J434" s="409">
        <v>45846666</v>
      </c>
      <c r="K434" s="409">
        <v>35446666</v>
      </c>
      <c r="L434" s="540">
        <v>0</v>
      </c>
      <c r="M434" s="540"/>
      <c r="N434" s="540"/>
      <c r="O434" s="540"/>
      <c r="P434" s="540"/>
      <c r="Q434" s="540">
        <v>0</v>
      </c>
      <c r="R434" s="540"/>
      <c r="S434" s="540"/>
      <c r="T434" s="540"/>
      <c r="U434" s="540"/>
      <c r="V434" s="453">
        <f>H434+L434+Q434</f>
        <v>27500000</v>
      </c>
      <c r="W434" s="453">
        <f t="shared" si="214"/>
        <v>45846666</v>
      </c>
      <c r="X434" s="453">
        <f t="shared" si="214"/>
        <v>45846666</v>
      </c>
      <c r="Y434" s="453">
        <f t="shared" si="214"/>
        <v>35446666</v>
      </c>
      <c r="Z434" s="584"/>
    </row>
    <row r="435" spans="1:26" ht="13.5">
      <c r="A435" s="484"/>
      <c r="B435" s="401"/>
      <c r="C435" s="401"/>
      <c r="D435" s="401"/>
      <c r="E435" s="168" t="s">
        <v>695</v>
      </c>
      <c r="F435" s="401"/>
      <c r="G435" s="511"/>
      <c r="H435" s="410"/>
      <c r="I435" s="410"/>
      <c r="J435" s="410"/>
      <c r="K435" s="410"/>
      <c r="L435" s="541"/>
      <c r="M435" s="541"/>
      <c r="N435" s="541"/>
      <c r="O435" s="541"/>
      <c r="P435" s="541"/>
      <c r="Q435" s="541"/>
      <c r="R435" s="541"/>
      <c r="S435" s="541"/>
      <c r="T435" s="541"/>
      <c r="U435" s="541"/>
      <c r="V435" s="454"/>
      <c r="W435" s="454"/>
      <c r="X435" s="454"/>
      <c r="Y435" s="454"/>
      <c r="Z435" s="584"/>
    </row>
    <row r="436" spans="1:26" ht="13.5">
      <c r="A436" s="484"/>
      <c r="B436" s="401"/>
      <c r="C436" s="401"/>
      <c r="D436" s="402"/>
      <c r="E436" s="168" t="s">
        <v>696</v>
      </c>
      <c r="F436" s="402"/>
      <c r="G436" s="512"/>
      <c r="H436" s="411"/>
      <c r="I436" s="411"/>
      <c r="J436" s="411"/>
      <c r="K436" s="411"/>
      <c r="L436" s="542"/>
      <c r="M436" s="542"/>
      <c r="N436" s="542"/>
      <c r="O436" s="542"/>
      <c r="P436" s="542"/>
      <c r="Q436" s="542"/>
      <c r="R436" s="542"/>
      <c r="S436" s="542"/>
      <c r="T436" s="542"/>
      <c r="U436" s="542"/>
      <c r="V436" s="455"/>
      <c r="W436" s="455"/>
      <c r="X436" s="455"/>
      <c r="Y436" s="455"/>
      <c r="Z436" s="584"/>
    </row>
    <row r="437" spans="1:26" ht="13.5">
      <c r="A437" s="484"/>
      <c r="B437" s="401"/>
      <c r="C437" s="401"/>
      <c r="D437" s="168" t="s">
        <v>697</v>
      </c>
      <c r="E437" s="168"/>
      <c r="F437" s="355"/>
      <c r="G437" s="166" t="s">
        <v>698</v>
      </c>
      <c r="H437" s="15">
        <f>H438</f>
        <v>13750000</v>
      </c>
      <c r="I437" s="15">
        <f>I438</f>
        <v>203149999</v>
      </c>
      <c r="J437" s="15">
        <f>J438</f>
        <v>202749999</v>
      </c>
      <c r="K437" s="15">
        <f>K438</f>
        <v>67653332</v>
      </c>
      <c r="L437" s="15">
        <f>L438</f>
        <v>0</v>
      </c>
      <c r="M437" s="15"/>
      <c r="N437" s="15"/>
      <c r="O437" s="15"/>
      <c r="P437" s="15"/>
      <c r="Q437" s="15">
        <f>Q438</f>
        <v>0</v>
      </c>
      <c r="R437" s="15"/>
      <c r="S437" s="15"/>
      <c r="T437" s="15"/>
      <c r="U437" s="28"/>
      <c r="V437" s="139">
        <f aca="true" t="shared" si="215" ref="V437:Y438">H437+L437+Q437</f>
        <v>13750000</v>
      </c>
      <c r="W437" s="139">
        <f t="shared" si="215"/>
        <v>203149999</v>
      </c>
      <c r="X437" s="139">
        <f t="shared" si="215"/>
        <v>202749999</v>
      </c>
      <c r="Y437" s="139">
        <f t="shared" si="215"/>
        <v>67653332</v>
      </c>
      <c r="Z437" s="584"/>
    </row>
    <row r="438" spans="1:26" ht="13.5">
      <c r="A438" s="484"/>
      <c r="B438" s="401"/>
      <c r="C438" s="401"/>
      <c r="D438" s="400"/>
      <c r="E438" s="170" t="s">
        <v>699</v>
      </c>
      <c r="F438" s="513" t="s">
        <v>962</v>
      </c>
      <c r="G438" s="494" t="s">
        <v>700</v>
      </c>
      <c r="H438" s="409">
        <v>13750000</v>
      </c>
      <c r="I438" s="409">
        <v>203149999</v>
      </c>
      <c r="J438" s="409">
        <v>202749999</v>
      </c>
      <c r="K438" s="409">
        <v>67653332</v>
      </c>
      <c r="L438" s="540">
        <v>0</v>
      </c>
      <c r="M438" s="540"/>
      <c r="N438" s="540"/>
      <c r="O438" s="540"/>
      <c r="P438" s="540"/>
      <c r="Q438" s="540">
        <v>0</v>
      </c>
      <c r="R438" s="540"/>
      <c r="S438" s="540"/>
      <c r="T438" s="540"/>
      <c r="U438" s="540"/>
      <c r="V438" s="453">
        <f t="shared" si="215"/>
        <v>13750000</v>
      </c>
      <c r="W438" s="453">
        <f t="shared" si="215"/>
        <v>203149999</v>
      </c>
      <c r="X438" s="453">
        <f t="shared" si="215"/>
        <v>202749999</v>
      </c>
      <c r="Y438" s="453">
        <f t="shared" si="215"/>
        <v>67653332</v>
      </c>
      <c r="Z438" s="584"/>
    </row>
    <row r="439" spans="1:26" ht="13.5">
      <c r="A439" s="484"/>
      <c r="B439" s="401"/>
      <c r="C439" s="401"/>
      <c r="D439" s="401"/>
      <c r="E439" s="170" t="s">
        <v>701</v>
      </c>
      <c r="F439" s="514"/>
      <c r="G439" s="495"/>
      <c r="H439" s="411"/>
      <c r="I439" s="411"/>
      <c r="J439" s="411"/>
      <c r="K439" s="411"/>
      <c r="L439" s="542"/>
      <c r="M439" s="542"/>
      <c r="N439" s="542"/>
      <c r="O439" s="542"/>
      <c r="P439" s="542"/>
      <c r="Q439" s="542"/>
      <c r="R439" s="542"/>
      <c r="S439" s="542"/>
      <c r="T439" s="542"/>
      <c r="U439" s="542"/>
      <c r="V439" s="455"/>
      <c r="W439" s="455"/>
      <c r="X439" s="455"/>
      <c r="Y439" s="455"/>
      <c r="Z439" s="584"/>
    </row>
    <row r="440" spans="1:26" ht="13.5">
      <c r="A440" s="484"/>
      <c r="B440" s="168" t="s">
        <v>130</v>
      </c>
      <c r="C440" s="168"/>
      <c r="D440" s="168"/>
      <c r="E440" s="170"/>
      <c r="F440" s="27"/>
      <c r="G440" s="174" t="s">
        <v>853</v>
      </c>
      <c r="H440" s="126">
        <f aca="true" t="shared" si="216" ref="H440:O440">H441+H451+H46+H454</f>
        <v>546500000</v>
      </c>
      <c r="I440" s="134">
        <f t="shared" si="216"/>
        <v>1171713005</v>
      </c>
      <c r="J440" s="134">
        <f t="shared" si="216"/>
        <v>1076865994</v>
      </c>
      <c r="K440" s="134">
        <f t="shared" si="216"/>
        <v>984845662</v>
      </c>
      <c r="L440" s="126">
        <f t="shared" si="216"/>
        <v>370600000</v>
      </c>
      <c r="M440" s="134">
        <f t="shared" si="216"/>
        <v>492872673.71</v>
      </c>
      <c r="N440" s="134">
        <f t="shared" si="216"/>
        <v>440412012</v>
      </c>
      <c r="O440" s="134">
        <f t="shared" si="216"/>
        <v>378162012</v>
      </c>
      <c r="P440" s="126"/>
      <c r="Q440" s="126">
        <f>Q441+Q451+Q46+Q454</f>
        <v>0</v>
      </c>
      <c r="R440" s="134"/>
      <c r="S440" s="134"/>
      <c r="T440" s="134"/>
      <c r="U440" s="126"/>
      <c r="V440" s="139">
        <f aca="true" t="shared" si="217" ref="V440:V447">H440+L440+Q440</f>
        <v>917100000</v>
      </c>
      <c r="W440" s="139">
        <f aca="true" t="shared" si="218" ref="W440:W446">I440+M440+R440</f>
        <v>1664585678.71</v>
      </c>
      <c r="X440" s="139">
        <f aca="true" t="shared" si="219" ref="X440:X446">J440+N440+S440</f>
        <v>1517278006</v>
      </c>
      <c r="Y440" s="139">
        <f aca="true" t="shared" si="220" ref="Y440:Y446">K440+O440+T440</f>
        <v>1363007674</v>
      </c>
      <c r="Z440" s="584"/>
    </row>
    <row r="441" spans="1:26" ht="27">
      <c r="A441" s="484"/>
      <c r="B441" s="400"/>
      <c r="C441" s="168" t="s">
        <v>131</v>
      </c>
      <c r="D441" s="2"/>
      <c r="E441" s="169"/>
      <c r="F441" s="355"/>
      <c r="G441" s="166" t="s">
        <v>132</v>
      </c>
      <c r="H441" s="15">
        <f>H442+H444+H446+H449</f>
        <v>245300000</v>
      </c>
      <c r="I441" s="15">
        <f>I442+I444+I446+I449</f>
        <v>801549663</v>
      </c>
      <c r="J441" s="15">
        <f>J442+J444+J446+J449</f>
        <v>785056329</v>
      </c>
      <c r="K441" s="15">
        <f>K442+K444+K446+K449</f>
        <v>724635996</v>
      </c>
      <c r="L441" s="126">
        <f>L442</f>
        <v>370600000</v>
      </c>
      <c r="M441" s="134">
        <f aca="true" t="shared" si="221" ref="M441:O442">M442</f>
        <v>492872673.71</v>
      </c>
      <c r="N441" s="134">
        <f t="shared" si="221"/>
        <v>440412012</v>
      </c>
      <c r="O441" s="134">
        <f t="shared" si="221"/>
        <v>378162012</v>
      </c>
      <c r="P441" s="65"/>
      <c r="Q441" s="15">
        <v>0</v>
      </c>
      <c r="R441" s="15"/>
      <c r="S441" s="15"/>
      <c r="T441" s="15"/>
      <c r="U441" s="28"/>
      <c r="V441" s="139">
        <f t="shared" si="217"/>
        <v>615900000</v>
      </c>
      <c r="W441" s="139">
        <f t="shared" si="218"/>
        <v>1294422336.71</v>
      </c>
      <c r="X441" s="139">
        <f t="shared" si="219"/>
        <v>1225468341</v>
      </c>
      <c r="Y441" s="139">
        <f t="shared" si="220"/>
        <v>1102798008</v>
      </c>
      <c r="Z441" s="584"/>
    </row>
    <row r="442" spans="1:26" ht="13.5">
      <c r="A442" s="484"/>
      <c r="B442" s="401"/>
      <c r="C442" s="400"/>
      <c r="D442" s="168" t="s">
        <v>702</v>
      </c>
      <c r="E442" s="162"/>
      <c r="F442" s="355"/>
      <c r="G442" s="166" t="s">
        <v>703</v>
      </c>
      <c r="H442" s="15">
        <f>H443</f>
        <v>153350000</v>
      </c>
      <c r="I442" s="15">
        <f>I443</f>
        <v>695076331</v>
      </c>
      <c r="J442" s="15">
        <f>J443</f>
        <v>681076331</v>
      </c>
      <c r="K442" s="15">
        <f>K443</f>
        <v>644355998</v>
      </c>
      <c r="L442" s="15">
        <f>L443</f>
        <v>370600000</v>
      </c>
      <c r="M442" s="15">
        <f t="shared" si="221"/>
        <v>492872673.71</v>
      </c>
      <c r="N442" s="15">
        <f t="shared" si="221"/>
        <v>440412012</v>
      </c>
      <c r="O442" s="15">
        <f t="shared" si="221"/>
        <v>378162012</v>
      </c>
      <c r="P442" s="15"/>
      <c r="Q442" s="15">
        <f>Q443</f>
        <v>0</v>
      </c>
      <c r="R442" s="15"/>
      <c r="S442" s="15"/>
      <c r="T442" s="15"/>
      <c r="U442" s="28"/>
      <c r="V442" s="139">
        <f t="shared" si="217"/>
        <v>523950000</v>
      </c>
      <c r="W442" s="139">
        <f t="shared" si="218"/>
        <v>1187949004.71</v>
      </c>
      <c r="X442" s="139">
        <f t="shared" si="219"/>
        <v>1121488343</v>
      </c>
      <c r="Y442" s="139">
        <f t="shared" si="220"/>
        <v>1022518010</v>
      </c>
      <c r="Z442" s="584"/>
    </row>
    <row r="443" spans="1:26" ht="41.25">
      <c r="A443" s="484"/>
      <c r="B443" s="401"/>
      <c r="C443" s="401"/>
      <c r="D443" s="168"/>
      <c r="E443" s="168" t="s">
        <v>704</v>
      </c>
      <c r="F443" s="27" t="s">
        <v>963</v>
      </c>
      <c r="G443" s="69" t="s">
        <v>705</v>
      </c>
      <c r="H443" s="68">
        <v>153350000</v>
      </c>
      <c r="I443" s="68">
        <v>695076331</v>
      </c>
      <c r="J443" s="68">
        <v>681076331</v>
      </c>
      <c r="K443" s="68">
        <v>644355998</v>
      </c>
      <c r="L443" s="17">
        <v>370600000</v>
      </c>
      <c r="M443" s="17">
        <v>492872673.71</v>
      </c>
      <c r="N443" s="17">
        <v>440412012</v>
      </c>
      <c r="O443" s="17">
        <v>378162012</v>
      </c>
      <c r="P443" s="113" t="s">
        <v>153</v>
      </c>
      <c r="Q443" s="68">
        <v>0</v>
      </c>
      <c r="R443" s="68"/>
      <c r="S443" s="68"/>
      <c r="T443" s="68"/>
      <c r="U443" s="73"/>
      <c r="V443" s="140">
        <f t="shared" si="217"/>
        <v>523950000</v>
      </c>
      <c r="W443" s="140">
        <f t="shared" si="218"/>
        <v>1187949004.71</v>
      </c>
      <c r="X443" s="140">
        <f t="shared" si="219"/>
        <v>1121488343</v>
      </c>
      <c r="Y443" s="140">
        <f t="shared" si="220"/>
        <v>1022518010</v>
      </c>
      <c r="Z443" s="584"/>
    </row>
    <row r="444" spans="1:26" ht="27">
      <c r="A444" s="484"/>
      <c r="B444" s="401"/>
      <c r="C444" s="401"/>
      <c r="D444" s="168" t="s">
        <v>706</v>
      </c>
      <c r="E444" s="168"/>
      <c r="F444" s="355"/>
      <c r="G444" s="166" t="s">
        <v>707</v>
      </c>
      <c r="H444" s="15">
        <f>H445</f>
        <v>73200000</v>
      </c>
      <c r="I444" s="15">
        <f>I445</f>
        <v>69073332</v>
      </c>
      <c r="J444" s="15">
        <f>J445</f>
        <v>69073332</v>
      </c>
      <c r="K444" s="15">
        <f>K445</f>
        <v>53473332</v>
      </c>
      <c r="L444" s="15">
        <f>L445</f>
        <v>0</v>
      </c>
      <c r="M444" s="15"/>
      <c r="N444" s="15"/>
      <c r="O444" s="15"/>
      <c r="P444" s="15"/>
      <c r="Q444" s="15">
        <f>Q445</f>
        <v>0</v>
      </c>
      <c r="R444" s="15"/>
      <c r="S444" s="15"/>
      <c r="T444" s="15"/>
      <c r="U444" s="28"/>
      <c r="V444" s="139">
        <f t="shared" si="217"/>
        <v>73200000</v>
      </c>
      <c r="W444" s="139">
        <f t="shared" si="218"/>
        <v>69073332</v>
      </c>
      <c r="X444" s="139">
        <f t="shared" si="219"/>
        <v>69073332</v>
      </c>
      <c r="Y444" s="139">
        <f t="shared" si="220"/>
        <v>53473332</v>
      </c>
      <c r="Z444" s="584"/>
    </row>
    <row r="445" spans="1:26" ht="27">
      <c r="A445" s="484"/>
      <c r="B445" s="401"/>
      <c r="C445" s="401"/>
      <c r="D445" s="168"/>
      <c r="E445" s="168" t="s">
        <v>708</v>
      </c>
      <c r="F445" s="355" t="s">
        <v>964</v>
      </c>
      <c r="G445" s="186" t="s">
        <v>709</v>
      </c>
      <c r="H445" s="68">
        <v>73200000</v>
      </c>
      <c r="I445" s="68">
        <v>69073332</v>
      </c>
      <c r="J445" s="68">
        <v>69073332</v>
      </c>
      <c r="K445" s="68">
        <v>53473332</v>
      </c>
      <c r="L445" s="17">
        <v>0</v>
      </c>
      <c r="M445" s="17"/>
      <c r="N445" s="17"/>
      <c r="O445" s="17"/>
      <c r="P445" s="113"/>
      <c r="Q445" s="68">
        <v>0</v>
      </c>
      <c r="R445" s="68"/>
      <c r="S445" s="68"/>
      <c r="T445" s="68"/>
      <c r="U445" s="73"/>
      <c r="V445" s="140">
        <f t="shared" si="217"/>
        <v>73200000</v>
      </c>
      <c r="W445" s="140">
        <f t="shared" si="218"/>
        <v>69073332</v>
      </c>
      <c r="X445" s="140">
        <f t="shared" si="219"/>
        <v>69073332</v>
      </c>
      <c r="Y445" s="140">
        <f t="shared" si="220"/>
        <v>53473332</v>
      </c>
      <c r="Z445" s="584"/>
    </row>
    <row r="446" spans="1:26" ht="27">
      <c r="A446" s="484"/>
      <c r="B446" s="401"/>
      <c r="C446" s="401"/>
      <c r="D446" s="168" t="s">
        <v>710</v>
      </c>
      <c r="E446" s="168"/>
      <c r="F446" s="355"/>
      <c r="G446" s="166" t="s">
        <v>711</v>
      </c>
      <c r="H446" s="15">
        <f>H447</f>
        <v>5000000</v>
      </c>
      <c r="I446" s="15">
        <f>I447</f>
        <v>15700000</v>
      </c>
      <c r="J446" s="15">
        <f>J447</f>
        <v>13880000</v>
      </c>
      <c r="K446" s="15">
        <f>K447</f>
        <v>9980000</v>
      </c>
      <c r="L446" s="15">
        <f>L447</f>
        <v>0</v>
      </c>
      <c r="M446" s="15"/>
      <c r="N446" s="15"/>
      <c r="O446" s="15"/>
      <c r="P446" s="15"/>
      <c r="Q446" s="15">
        <f>Q447</f>
        <v>0</v>
      </c>
      <c r="R446" s="15"/>
      <c r="S446" s="15"/>
      <c r="T446" s="15"/>
      <c r="U446" s="28"/>
      <c r="V446" s="139">
        <f t="shared" si="217"/>
        <v>5000000</v>
      </c>
      <c r="W446" s="139">
        <f t="shared" si="218"/>
        <v>15700000</v>
      </c>
      <c r="X446" s="139">
        <f t="shared" si="219"/>
        <v>13880000</v>
      </c>
      <c r="Y446" s="139">
        <f t="shared" si="220"/>
        <v>9980000</v>
      </c>
      <c r="Z446" s="584"/>
    </row>
    <row r="447" spans="1:26" ht="13.5">
      <c r="A447" s="484"/>
      <c r="B447" s="401"/>
      <c r="C447" s="401"/>
      <c r="D447" s="400"/>
      <c r="E447" s="168" t="s">
        <v>712</v>
      </c>
      <c r="F447" s="400" t="s">
        <v>965</v>
      </c>
      <c r="G447" s="510" t="s">
        <v>713</v>
      </c>
      <c r="H447" s="409">
        <v>5000000</v>
      </c>
      <c r="I447" s="409">
        <v>15700000</v>
      </c>
      <c r="J447" s="409">
        <v>13880000</v>
      </c>
      <c r="K447" s="409">
        <v>9980000</v>
      </c>
      <c r="L447" s="409">
        <v>0</v>
      </c>
      <c r="M447" s="118"/>
      <c r="N447" s="118"/>
      <c r="O447" s="118"/>
      <c r="P447" s="409"/>
      <c r="Q447" s="409">
        <v>0</v>
      </c>
      <c r="R447" s="409"/>
      <c r="S447" s="409"/>
      <c r="T447" s="409"/>
      <c r="U447" s="409"/>
      <c r="V447" s="417">
        <f t="shared" si="217"/>
        <v>5000000</v>
      </c>
      <c r="W447" s="417">
        <f>I447+M447+R447</f>
        <v>15700000</v>
      </c>
      <c r="X447" s="417">
        <f>J447+N447+S447</f>
        <v>13880000</v>
      </c>
      <c r="Y447" s="417">
        <f>K447+O447+T447</f>
        <v>9980000</v>
      </c>
      <c r="Z447" s="584"/>
    </row>
    <row r="448" spans="1:26" ht="13.5">
      <c r="A448" s="484"/>
      <c r="B448" s="401"/>
      <c r="C448" s="401"/>
      <c r="D448" s="402"/>
      <c r="E448" s="168" t="s">
        <v>714</v>
      </c>
      <c r="F448" s="402"/>
      <c r="G448" s="512"/>
      <c r="H448" s="411"/>
      <c r="I448" s="411"/>
      <c r="J448" s="411"/>
      <c r="K448" s="411"/>
      <c r="L448" s="411"/>
      <c r="M448" s="119"/>
      <c r="N448" s="119"/>
      <c r="O448" s="119"/>
      <c r="P448" s="411"/>
      <c r="Q448" s="411"/>
      <c r="R448" s="411"/>
      <c r="S448" s="411"/>
      <c r="T448" s="411"/>
      <c r="U448" s="411"/>
      <c r="V448" s="418"/>
      <c r="W448" s="418"/>
      <c r="X448" s="418"/>
      <c r="Y448" s="418"/>
      <c r="Z448" s="584"/>
    </row>
    <row r="449" spans="1:26" ht="27">
      <c r="A449" s="484"/>
      <c r="B449" s="401"/>
      <c r="C449" s="401"/>
      <c r="D449" s="168" t="s">
        <v>715</v>
      </c>
      <c r="E449" s="168"/>
      <c r="F449" s="351"/>
      <c r="G449" s="174" t="s">
        <v>716</v>
      </c>
      <c r="H449" s="15">
        <f>H450</f>
        <v>13750000</v>
      </c>
      <c r="I449" s="15">
        <f>I450</f>
        <v>21700000</v>
      </c>
      <c r="J449" s="15">
        <f>J450</f>
        <v>21026666</v>
      </c>
      <c r="K449" s="15">
        <f>K450</f>
        <v>16826666</v>
      </c>
      <c r="L449" s="15">
        <f>L450</f>
        <v>0</v>
      </c>
      <c r="M449" s="15"/>
      <c r="N449" s="15"/>
      <c r="O449" s="15"/>
      <c r="P449" s="15"/>
      <c r="Q449" s="15">
        <f>Q450</f>
        <v>0</v>
      </c>
      <c r="R449" s="15"/>
      <c r="S449" s="15"/>
      <c r="T449" s="15"/>
      <c r="U449" s="28"/>
      <c r="V449" s="139">
        <f aca="true" t="shared" si="222" ref="V449:V456">H449+L449+Q449</f>
        <v>13750000</v>
      </c>
      <c r="W449" s="139">
        <f aca="true" t="shared" si="223" ref="W449:W456">I449+M449+R449</f>
        <v>21700000</v>
      </c>
      <c r="X449" s="139">
        <f aca="true" t="shared" si="224" ref="X449:X456">J449+N449+S449</f>
        <v>21026666</v>
      </c>
      <c r="Y449" s="139">
        <f aca="true" t="shared" si="225" ref="Y449:Y456">K449+O449+T449</f>
        <v>16826666</v>
      </c>
      <c r="Z449" s="584"/>
    </row>
    <row r="450" spans="1:26" ht="41.25">
      <c r="A450" s="484"/>
      <c r="B450" s="401"/>
      <c r="C450" s="402"/>
      <c r="D450" s="39"/>
      <c r="E450" s="168" t="s">
        <v>717</v>
      </c>
      <c r="F450" s="351" t="s">
        <v>966</v>
      </c>
      <c r="G450" s="187" t="s">
        <v>718</v>
      </c>
      <c r="H450" s="68">
        <v>13750000</v>
      </c>
      <c r="I450" s="68">
        <v>21700000</v>
      </c>
      <c r="J450" s="68">
        <v>21026666</v>
      </c>
      <c r="K450" s="68">
        <v>16826666</v>
      </c>
      <c r="L450" s="17">
        <v>0</v>
      </c>
      <c r="M450" s="17"/>
      <c r="N450" s="17"/>
      <c r="O450" s="17"/>
      <c r="P450" s="113"/>
      <c r="Q450" s="17">
        <v>0</v>
      </c>
      <c r="R450" s="17"/>
      <c r="S450" s="17"/>
      <c r="T450" s="17"/>
      <c r="U450" s="73"/>
      <c r="V450" s="140">
        <f t="shared" si="222"/>
        <v>13750000</v>
      </c>
      <c r="W450" s="140">
        <f t="shared" si="223"/>
        <v>21700000</v>
      </c>
      <c r="X450" s="140">
        <f t="shared" si="224"/>
        <v>21026666</v>
      </c>
      <c r="Y450" s="140">
        <f t="shared" si="225"/>
        <v>16826666</v>
      </c>
      <c r="Z450" s="584"/>
    </row>
    <row r="451" spans="1:26" ht="13.5">
      <c r="A451" s="484"/>
      <c r="B451" s="401"/>
      <c r="C451" s="168" t="s">
        <v>133</v>
      </c>
      <c r="D451" s="169"/>
      <c r="E451" s="169"/>
      <c r="F451" s="355"/>
      <c r="G451" s="166" t="s">
        <v>134</v>
      </c>
      <c r="H451" s="15">
        <f>H452</f>
        <v>18700000</v>
      </c>
      <c r="I451" s="15">
        <f aca="true" t="shared" si="226" ref="I451:K452">I452</f>
        <v>21050000</v>
      </c>
      <c r="J451" s="15">
        <f t="shared" si="226"/>
        <v>17570000</v>
      </c>
      <c r="K451" s="15">
        <f t="shared" si="226"/>
        <v>15670000</v>
      </c>
      <c r="L451" s="15">
        <f>L452</f>
        <v>0</v>
      </c>
      <c r="M451" s="15"/>
      <c r="N451" s="15"/>
      <c r="O451" s="15"/>
      <c r="P451" s="15"/>
      <c r="Q451" s="15">
        <f>Q452</f>
        <v>0</v>
      </c>
      <c r="R451" s="15"/>
      <c r="S451" s="15"/>
      <c r="T451" s="15"/>
      <c r="U451" s="28"/>
      <c r="V451" s="139">
        <f t="shared" si="222"/>
        <v>18700000</v>
      </c>
      <c r="W451" s="139">
        <f t="shared" si="223"/>
        <v>21050000</v>
      </c>
      <c r="X451" s="139">
        <f t="shared" si="224"/>
        <v>17570000</v>
      </c>
      <c r="Y451" s="139">
        <f t="shared" si="225"/>
        <v>15670000</v>
      </c>
      <c r="Z451" s="584"/>
    </row>
    <row r="452" spans="1:26" ht="13.5">
      <c r="A452" s="484"/>
      <c r="B452" s="401"/>
      <c r="C452" s="400"/>
      <c r="D452" s="168" t="s">
        <v>719</v>
      </c>
      <c r="E452" s="168"/>
      <c r="F452" s="355"/>
      <c r="G452" s="166" t="s">
        <v>720</v>
      </c>
      <c r="H452" s="15">
        <f>H453</f>
        <v>18700000</v>
      </c>
      <c r="I452" s="15">
        <f t="shared" si="226"/>
        <v>21050000</v>
      </c>
      <c r="J452" s="15">
        <f t="shared" si="226"/>
        <v>17570000</v>
      </c>
      <c r="K452" s="15">
        <f t="shared" si="226"/>
        <v>15670000</v>
      </c>
      <c r="L452" s="15">
        <f>L453</f>
        <v>0</v>
      </c>
      <c r="M452" s="15"/>
      <c r="N452" s="15"/>
      <c r="O452" s="15"/>
      <c r="P452" s="15"/>
      <c r="Q452" s="15">
        <f>Q453</f>
        <v>0</v>
      </c>
      <c r="R452" s="15"/>
      <c r="S452" s="15"/>
      <c r="T452" s="15"/>
      <c r="U452" s="28"/>
      <c r="V452" s="139">
        <f t="shared" si="222"/>
        <v>18700000</v>
      </c>
      <c r="W452" s="139">
        <f t="shared" si="223"/>
        <v>21050000</v>
      </c>
      <c r="X452" s="139">
        <f t="shared" si="224"/>
        <v>17570000</v>
      </c>
      <c r="Y452" s="139">
        <f t="shared" si="225"/>
        <v>15670000</v>
      </c>
      <c r="Z452" s="584"/>
    </row>
    <row r="453" spans="1:26" ht="41.25">
      <c r="A453" s="484"/>
      <c r="B453" s="401"/>
      <c r="C453" s="402"/>
      <c r="D453" s="168"/>
      <c r="E453" s="168" t="s">
        <v>721</v>
      </c>
      <c r="F453" s="27" t="s">
        <v>967</v>
      </c>
      <c r="G453" s="69" t="s">
        <v>722</v>
      </c>
      <c r="H453" s="68">
        <v>18700000</v>
      </c>
      <c r="I453" s="68">
        <v>21050000</v>
      </c>
      <c r="J453" s="68">
        <v>17570000</v>
      </c>
      <c r="K453" s="68">
        <v>15670000</v>
      </c>
      <c r="L453" s="10">
        <v>0</v>
      </c>
      <c r="M453" s="10"/>
      <c r="N453" s="10"/>
      <c r="O453" s="10"/>
      <c r="P453" s="75"/>
      <c r="Q453" s="10">
        <v>0</v>
      </c>
      <c r="R453" s="10"/>
      <c r="S453" s="10"/>
      <c r="T453" s="10"/>
      <c r="U453" s="73"/>
      <c r="V453" s="140">
        <f t="shared" si="222"/>
        <v>18700000</v>
      </c>
      <c r="W453" s="140">
        <f t="shared" si="223"/>
        <v>21050000</v>
      </c>
      <c r="X453" s="140">
        <f t="shared" si="224"/>
        <v>17570000</v>
      </c>
      <c r="Y453" s="140">
        <f t="shared" si="225"/>
        <v>15670000</v>
      </c>
      <c r="Z453" s="584"/>
    </row>
    <row r="454" spans="1:26" ht="13.5">
      <c r="A454" s="484"/>
      <c r="B454" s="401"/>
      <c r="C454" s="168" t="s">
        <v>135</v>
      </c>
      <c r="D454" s="169"/>
      <c r="E454" s="169"/>
      <c r="F454" s="355"/>
      <c r="G454" s="166" t="s">
        <v>136</v>
      </c>
      <c r="H454" s="15">
        <f>H455+H460</f>
        <v>282500000</v>
      </c>
      <c r="I454" s="15">
        <f>I455+I460</f>
        <v>349113342</v>
      </c>
      <c r="J454" s="15">
        <f>J455+J460</f>
        <v>274239665</v>
      </c>
      <c r="K454" s="15">
        <f>K455+K460</f>
        <v>244539666</v>
      </c>
      <c r="L454" s="15">
        <f>L455+L460</f>
        <v>0</v>
      </c>
      <c r="M454" s="15"/>
      <c r="N454" s="15"/>
      <c r="O454" s="15"/>
      <c r="P454" s="15"/>
      <c r="Q454" s="15">
        <f>Q455+Q460</f>
        <v>0</v>
      </c>
      <c r="R454" s="15"/>
      <c r="S454" s="15"/>
      <c r="T454" s="15"/>
      <c r="U454" s="28"/>
      <c r="V454" s="139">
        <f t="shared" si="222"/>
        <v>282500000</v>
      </c>
      <c r="W454" s="139">
        <f t="shared" si="223"/>
        <v>349113342</v>
      </c>
      <c r="X454" s="139">
        <f t="shared" si="224"/>
        <v>274239665</v>
      </c>
      <c r="Y454" s="139">
        <f t="shared" si="225"/>
        <v>244539666</v>
      </c>
      <c r="Z454" s="584"/>
    </row>
    <row r="455" spans="1:26" ht="41.25">
      <c r="A455" s="484"/>
      <c r="B455" s="401"/>
      <c r="C455" s="400"/>
      <c r="D455" s="168" t="s">
        <v>723</v>
      </c>
      <c r="E455" s="168"/>
      <c r="F455" s="27"/>
      <c r="G455" s="6" t="s">
        <v>724</v>
      </c>
      <c r="H455" s="15">
        <f>H456</f>
        <v>82500000</v>
      </c>
      <c r="I455" s="15">
        <f>I456</f>
        <v>148033000</v>
      </c>
      <c r="J455" s="15">
        <f>J456</f>
        <v>111349665</v>
      </c>
      <c r="K455" s="15">
        <f>K456</f>
        <v>87349666</v>
      </c>
      <c r="L455" s="15">
        <f>L456</f>
        <v>0</v>
      </c>
      <c r="M455" s="15"/>
      <c r="N455" s="15"/>
      <c r="O455" s="15"/>
      <c r="P455" s="15"/>
      <c r="Q455" s="15">
        <f>Q456</f>
        <v>0</v>
      </c>
      <c r="R455" s="15"/>
      <c r="S455" s="15"/>
      <c r="T455" s="15"/>
      <c r="U455" s="28"/>
      <c r="V455" s="139">
        <f t="shared" si="222"/>
        <v>82500000</v>
      </c>
      <c r="W455" s="139">
        <f t="shared" si="223"/>
        <v>148033000</v>
      </c>
      <c r="X455" s="139">
        <f t="shared" si="224"/>
        <v>111349665</v>
      </c>
      <c r="Y455" s="139">
        <f t="shared" si="225"/>
        <v>87349666</v>
      </c>
      <c r="Z455" s="584"/>
    </row>
    <row r="456" spans="1:26" ht="13.5">
      <c r="A456" s="484"/>
      <c r="B456" s="401"/>
      <c r="C456" s="401"/>
      <c r="D456" s="400"/>
      <c r="E456" s="168" t="s">
        <v>725</v>
      </c>
      <c r="F456" s="497" t="s">
        <v>968</v>
      </c>
      <c r="G456" s="494" t="s">
        <v>726</v>
      </c>
      <c r="H456" s="409">
        <v>82500000</v>
      </c>
      <c r="I456" s="409">
        <v>148033000</v>
      </c>
      <c r="J456" s="409">
        <v>111349665</v>
      </c>
      <c r="K456" s="409">
        <v>87349666</v>
      </c>
      <c r="L456" s="409">
        <v>0</v>
      </c>
      <c r="M456" s="118"/>
      <c r="N456" s="118"/>
      <c r="O456" s="118"/>
      <c r="P456" s="409"/>
      <c r="Q456" s="409">
        <v>0</v>
      </c>
      <c r="R456" s="409"/>
      <c r="S456" s="409"/>
      <c r="T456" s="409"/>
      <c r="U456" s="409"/>
      <c r="V456" s="412">
        <f t="shared" si="222"/>
        <v>82500000</v>
      </c>
      <c r="W456" s="412">
        <f t="shared" si="223"/>
        <v>148033000</v>
      </c>
      <c r="X456" s="412">
        <f t="shared" si="224"/>
        <v>111349665</v>
      </c>
      <c r="Y456" s="412">
        <f t="shared" si="225"/>
        <v>87349666</v>
      </c>
      <c r="Z456" s="584"/>
    </row>
    <row r="457" spans="1:26" ht="13.5">
      <c r="A457" s="484"/>
      <c r="B457" s="401"/>
      <c r="C457" s="401"/>
      <c r="D457" s="401"/>
      <c r="E457" s="168" t="s">
        <v>727</v>
      </c>
      <c r="F457" s="498"/>
      <c r="G457" s="500"/>
      <c r="H457" s="410"/>
      <c r="I457" s="410"/>
      <c r="J457" s="410"/>
      <c r="K457" s="410"/>
      <c r="L457" s="410"/>
      <c r="M457" s="120"/>
      <c r="N457" s="120"/>
      <c r="O457" s="120"/>
      <c r="P457" s="410"/>
      <c r="Q457" s="410"/>
      <c r="R457" s="410"/>
      <c r="S457" s="410"/>
      <c r="T457" s="410"/>
      <c r="U457" s="410"/>
      <c r="V457" s="413"/>
      <c r="W457" s="413"/>
      <c r="X457" s="413"/>
      <c r="Y457" s="413"/>
      <c r="Z457" s="584"/>
    </row>
    <row r="458" spans="1:26" ht="13.5">
      <c r="A458" s="484"/>
      <c r="B458" s="401"/>
      <c r="C458" s="401"/>
      <c r="D458" s="401"/>
      <c r="E458" s="168" t="s">
        <v>728</v>
      </c>
      <c r="F458" s="498"/>
      <c r="G458" s="500"/>
      <c r="H458" s="410"/>
      <c r="I458" s="410"/>
      <c r="J458" s="410"/>
      <c r="K458" s="410"/>
      <c r="L458" s="410"/>
      <c r="M458" s="120"/>
      <c r="N458" s="120"/>
      <c r="O458" s="120"/>
      <c r="P458" s="410"/>
      <c r="Q458" s="410"/>
      <c r="R458" s="410"/>
      <c r="S458" s="410"/>
      <c r="T458" s="410"/>
      <c r="U458" s="410"/>
      <c r="V458" s="413"/>
      <c r="W458" s="413"/>
      <c r="X458" s="413"/>
      <c r="Y458" s="413"/>
      <c r="Z458" s="584"/>
    </row>
    <row r="459" spans="1:26" ht="13.5">
      <c r="A459" s="484"/>
      <c r="B459" s="401"/>
      <c r="C459" s="401"/>
      <c r="D459" s="402"/>
      <c r="E459" s="168" t="s">
        <v>729</v>
      </c>
      <c r="F459" s="499"/>
      <c r="G459" s="495"/>
      <c r="H459" s="411"/>
      <c r="I459" s="411"/>
      <c r="J459" s="411"/>
      <c r="K459" s="411"/>
      <c r="L459" s="411"/>
      <c r="M459" s="119"/>
      <c r="N459" s="119"/>
      <c r="O459" s="119"/>
      <c r="P459" s="411"/>
      <c r="Q459" s="411"/>
      <c r="R459" s="411"/>
      <c r="S459" s="411"/>
      <c r="T459" s="411"/>
      <c r="U459" s="411"/>
      <c r="V459" s="414"/>
      <c r="W459" s="414"/>
      <c r="X459" s="414"/>
      <c r="Y459" s="414"/>
      <c r="Z459" s="584"/>
    </row>
    <row r="460" spans="1:26" ht="13.5">
      <c r="A460" s="484"/>
      <c r="B460" s="401"/>
      <c r="C460" s="401"/>
      <c r="D460" s="168" t="s">
        <v>730</v>
      </c>
      <c r="E460" s="168"/>
      <c r="F460" s="368"/>
      <c r="G460" s="40" t="s">
        <v>731</v>
      </c>
      <c r="H460" s="15">
        <f>H461</f>
        <v>200000000</v>
      </c>
      <c r="I460" s="15">
        <f>I461</f>
        <v>201080342</v>
      </c>
      <c r="J460" s="15">
        <f>J461</f>
        <v>162890000</v>
      </c>
      <c r="K460" s="15">
        <f>K461</f>
        <v>157190000</v>
      </c>
      <c r="L460" s="15">
        <f>L461</f>
        <v>0</v>
      </c>
      <c r="M460" s="15"/>
      <c r="N460" s="15"/>
      <c r="O460" s="15"/>
      <c r="P460" s="15"/>
      <c r="Q460" s="15">
        <f>Q461</f>
        <v>0</v>
      </c>
      <c r="R460" s="15"/>
      <c r="S460" s="15"/>
      <c r="T460" s="15"/>
      <c r="U460" s="28"/>
      <c r="V460" s="139">
        <f>H460+L460+Q460</f>
        <v>200000000</v>
      </c>
      <c r="W460" s="139">
        <f aca="true" t="shared" si="227" ref="W460:Y461">I460+M460+R460</f>
        <v>201080342</v>
      </c>
      <c r="X460" s="139">
        <f t="shared" si="227"/>
        <v>162890000</v>
      </c>
      <c r="Y460" s="139">
        <f t="shared" si="227"/>
        <v>157190000</v>
      </c>
      <c r="Z460" s="584"/>
    </row>
    <row r="461" spans="1:26" ht="13.5">
      <c r="A461" s="484"/>
      <c r="B461" s="401"/>
      <c r="C461" s="401"/>
      <c r="D461" s="400"/>
      <c r="E461" s="168" t="s">
        <v>732</v>
      </c>
      <c r="F461" s="497" t="s">
        <v>969</v>
      </c>
      <c r="G461" s="494" t="s">
        <v>733</v>
      </c>
      <c r="H461" s="409">
        <v>200000000</v>
      </c>
      <c r="I461" s="409">
        <v>201080342</v>
      </c>
      <c r="J461" s="409">
        <v>162890000</v>
      </c>
      <c r="K461" s="409">
        <v>157190000</v>
      </c>
      <c r="L461" s="409">
        <v>0</v>
      </c>
      <c r="M461" s="118"/>
      <c r="N461" s="118"/>
      <c r="O461" s="118"/>
      <c r="P461" s="409"/>
      <c r="Q461" s="409">
        <v>0</v>
      </c>
      <c r="R461" s="409"/>
      <c r="S461" s="409"/>
      <c r="T461" s="409"/>
      <c r="U461" s="409"/>
      <c r="V461" s="412">
        <f>H461+L461+Q461</f>
        <v>200000000</v>
      </c>
      <c r="W461" s="412">
        <f t="shared" si="227"/>
        <v>201080342</v>
      </c>
      <c r="X461" s="412">
        <f t="shared" si="227"/>
        <v>162890000</v>
      </c>
      <c r="Y461" s="412">
        <f t="shared" si="227"/>
        <v>157190000</v>
      </c>
      <c r="Z461" s="584"/>
    </row>
    <row r="462" spans="1:26" ht="36" customHeight="1" thickBot="1">
      <c r="A462" s="484"/>
      <c r="B462" s="401"/>
      <c r="C462" s="401"/>
      <c r="D462" s="401"/>
      <c r="E462" s="244" t="s">
        <v>734</v>
      </c>
      <c r="F462" s="498"/>
      <c r="G462" s="500"/>
      <c r="H462" s="410"/>
      <c r="I462" s="410"/>
      <c r="J462" s="410"/>
      <c r="K462" s="410"/>
      <c r="L462" s="410"/>
      <c r="M462" s="238"/>
      <c r="N462" s="238"/>
      <c r="O462" s="238"/>
      <c r="P462" s="410"/>
      <c r="Q462" s="410"/>
      <c r="R462" s="410"/>
      <c r="S462" s="410"/>
      <c r="T462" s="410"/>
      <c r="U462" s="410"/>
      <c r="V462" s="413"/>
      <c r="W462" s="413"/>
      <c r="X462" s="413"/>
      <c r="Y462" s="413"/>
      <c r="Z462" s="585"/>
    </row>
    <row r="463" spans="1:26" ht="13.5" customHeight="1" thickBot="1">
      <c r="A463" s="396" t="s">
        <v>141</v>
      </c>
      <c r="B463" s="396"/>
      <c r="C463" s="396"/>
      <c r="D463" s="396"/>
      <c r="E463" s="396"/>
      <c r="F463" s="396"/>
      <c r="G463" s="396"/>
      <c r="H463" s="266">
        <f>H464</f>
        <v>1402763857.6</v>
      </c>
      <c r="I463" s="266">
        <f aca="true" t="shared" si="228" ref="I463:K465">I464</f>
        <v>2022591669</v>
      </c>
      <c r="J463" s="266">
        <f t="shared" si="228"/>
        <v>1916821669</v>
      </c>
      <c r="K463" s="266">
        <f t="shared" si="228"/>
        <v>1706428865</v>
      </c>
      <c r="L463" s="266">
        <v>0</v>
      </c>
      <c r="M463" s="266"/>
      <c r="N463" s="266"/>
      <c r="O463" s="266"/>
      <c r="P463" s="308"/>
      <c r="Q463" s="266">
        <v>0</v>
      </c>
      <c r="R463" s="266"/>
      <c r="S463" s="266"/>
      <c r="T463" s="266"/>
      <c r="U463" s="269"/>
      <c r="V463" s="298">
        <f aca="true" t="shared" si="229" ref="V463:V468">H463+L463+Q463</f>
        <v>1402763857.6</v>
      </c>
      <c r="W463" s="298">
        <f aca="true" t="shared" si="230" ref="W463:W468">I463+M463+R463</f>
        <v>2022591669</v>
      </c>
      <c r="X463" s="298">
        <f aca="true" t="shared" si="231" ref="X463:X468">J463+N463+S463</f>
        <v>1916821669</v>
      </c>
      <c r="Y463" s="298">
        <f aca="true" t="shared" si="232" ref="Y463:Y468">K463+O463+T463</f>
        <v>1706428865</v>
      </c>
      <c r="Z463" s="583">
        <v>2</v>
      </c>
    </row>
    <row r="464" spans="1:26" ht="13.5">
      <c r="A464" s="242">
        <v>5</v>
      </c>
      <c r="B464" s="242"/>
      <c r="C464" s="296"/>
      <c r="D464" s="189"/>
      <c r="E464" s="245"/>
      <c r="F464" s="351"/>
      <c r="G464" s="174" t="s">
        <v>49</v>
      </c>
      <c r="H464" s="240">
        <f>H465</f>
        <v>1402763857.6</v>
      </c>
      <c r="I464" s="240">
        <f t="shared" si="228"/>
        <v>2022591669</v>
      </c>
      <c r="J464" s="240">
        <f t="shared" si="228"/>
        <v>1916821669</v>
      </c>
      <c r="K464" s="240">
        <f t="shared" si="228"/>
        <v>1706428865</v>
      </c>
      <c r="L464" s="240">
        <f>L465</f>
        <v>0</v>
      </c>
      <c r="M464" s="240"/>
      <c r="N464" s="240"/>
      <c r="O464" s="240"/>
      <c r="P464" s="240"/>
      <c r="Q464" s="240">
        <f>Q465</f>
        <v>0</v>
      </c>
      <c r="R464" s="240"/>
      <c r="S464" s="240"/>
      <c r="T464" s="240"/>
      <c r="U464" s="242"/>
      <c r="V464" s="138">
        <f t="shared" si="229"/>
        <v>1402763857.6</v>
      </c>
      <c r="W464" s="138">
        <f t="shared" si="230"/>
        <v>2022591669</v>
      </c>
      <c r="X464" s="138">
        <f t="shared" si="231"/>
        <v>1916821669</v>
      </c>
      <c r="Y464" s="138">
        <f t="shared" si="232"/>
        <v>1706428865</v>
      </c>
      <c r="Z464" s="584"/>
    </row>
    <row r="465" spans="1:26" ht="13.5">
      <c r="A465" s="483"/>
      <c r="B465" s="156" t="s">
        <v>137</v>
      </c>
      <c r="C465" s="168"/>
      <c r="D465" s="168"/>
      <c r="E465" s="48"/>
      <c r="F465" s="365"/>
      <c r="G465" s="166" t="s">
        <v>138</v>
      </c>
      <c r="H465" s="15">
        <f>H466</f>
        <v>1402763857.6</v>
      </c>
      <c r="I465" s="15">
        <f t="shared" si="228"/>
        <v>2022591669</v>
      </c>
      <c r="J465" s="15">
        <f t="shared" si="228"/>
        <v>1916821669</v>
      </c>
      <c r="K465" s="15">
        <f t="shared" si="228"/>
        <v>1706428865</v>
      </c>
      <c r="L465" s="5"/>
      <c r="M465" s="5"/>
      <c r="N465" s="5"/>
      <c r="O465" s="5"/>
      <c r="P465" s="7"/>
      <c r="Q465" s="36"/>
      <c r="R465" s="36"/>
      <c r="S465" s="36"/>
      <c r="T465" s="36"/>
      <c r="U465" s="28"/>
      <c r="V465" s="139">
        <f t="shared" si="229"/>
        <v>1402763857.6</v>
      </c>
      <c r="W465" s="139">
        <f t="shared" si="230"/>
        <v>2022591669</v>
      </c>
      <c r="X465" s="139">
        <f t="shared" si="231"/>
        <v>1916821669</v>
      </c>
      <c r="Y465" s="139">
        <f t="shared" si="232"/>
        <v>1706428865</v>
      </c>
      <c r="Z465" s="584"/>
    </row>
    <row r="466" spans="1:26" ht="27">
      <c r="A466" s="484"/>
      <c r="B466" s="483"/>
      <c r="C466" s="156" t="s">
        <v>139</v>
      </c>
      <c r="D466" s="2"/>
      <c r="E466" s="157"/>
      <c r="F466" s="156"/>
      <c r="G466" s="166" t="s">
        <v>140</v>
      </c>
      <c r="H466" s="15">
        <f>H467+H471</f>
        <v>1402763857.6</v>
      </c>
      <c r="I466" s="15">
        <f>I467+I471</f>
        <v>2022591669</v>
      </c>
      <c r="J466" s="15">
        <f>J467+J471</f>
        <v>1916821669</v>
      </c>
      <c r="K466" s="15">
        <f>K467+K471</f>
        <v>1706428865</v>
      </c>
      <c r="L466" s="15">
        <f>L467+L471</f>
        <v>0</v>
      </c>
      <c r="M466" s="15"/>
      <c r="N466" s="15"/>
      <c r="O466" s="15"/>
      <c r="P466" s="15"/>
      <c r="Q466" s="15">
        <f>Q467+Q471</f>
        <v>0</v>
      </c>
      <c r="R466" s="15"/>
      <c r="S466" s="15"/>
      <c r="T466" s="15"/>
      <c r="U466" s="28"/>
      <c r="V466" s="139">
        <f t="shared" si="229"/>
        <v>1402763857.6</v>
      </c>
      <c r="W466" s="139">
        <f t="shared" si="230"/>
        <v>2022591669</v>
      </c>
      <c r="X466" s="139">
        <f t="shared" si="231"/>
        <v>1916821669</v>
      </c>
      <c r="Y466" s="139">
        <f t="shared" si="232"/>
        <v>1706428865</v>
      </c>
      <c r="Z466" s="584"/>
    </row>
    <row r="467" spans="1:26" ht="13.5">
      <c r="A467" s="484"/>
      <c r="B467" s="484"/>
      <c r="C467" s="519"/>
      <c r="D467" s="156" t="s">
        <v>735</v>
      </c>
      <c r="E467" s="156"/>
      <c r="F467" s="369"/>
      <c r="G467" s="166" t="s">
        <v>736</v>
      </c>
      <c r="H467" s="15">
        <f>H468</f>
        <v>1238593857.6</v>
      </c>
      <c r="I467" s="15">
        <f>I468</f>
        <v>1661921669</v>
      </c>
      <c r="J467" s="15">
        <f>J468</f>
        <v>1613821669</v>
      </c>
      <c r="K467" s="15">
        <f>K468</f>
        <v>1425455005</v>
      </c>
      <c r="L467" s="15">
        <f>L468</f>
        <v>0</v>
      </c>
      <c r="M467" s="15"/>
      <c r="N467" s="15"/>
      <c r="O467" s="15"/>
      <c r="P467" s="15"/>
      <c r="Q467" s="15">
        <f>Q468</f>
        <v>0</v>
      </c>
      <c r="R467" s="15"/>
      <c r="S467" s="15"/>
      <c r="T467" s="15"/>
      <c r="U467" s="28"/>
      <c r="V467" s="139">
        <f t="shared" si="229"/>
        <v>1238593857.6</v>
      </c>
      <c r="W467" s="139">
        <f t="shared" si="230"/>
        <v>1661921669</v>
      </c>
      <c r="X467" s="139">
        <f t="shared" si="231"/>
        <v>1613821669</v>
      </c>
      <c r="Y467" s="139">
        <f t="shared" si="232"/>
        <v>1425455005</v>
      </c>
      <c r="Z467" s="584"/>
    </row>
    <row r="468" spans="1:26" ht="18" customHeight="1">
      <c r="A468" s="484"/>
      <c r="B468" s="484"/>
      <c r="C468" s="520"/>
      <c r="D468" s="515"/>
      <c r="E468" s="34" t="s">
        <v>737</v>
      </c>
      <c r="F468" s="513" t="s">
        <v>970</v>
      </c>
      <c r="G468" s="494" t="s">
        <v>738</v>
      </c>
      <c r="H468" s="409">
        <v>1238593857.6</v>
      </c>
      <c r="I468" s="409">
        <v>1661921669</v>
      </c>
      <c r="J468" s="409">
        <v>1613821669</v>
      </c>
      <c r="K468" s="409">
        <v>1425455005</v>
      </c>
      <c r="L468" s="409">
        <v>0</v>
      </c>
      <c r="M468" s="409"/>
      <c r="N468" s="409"/>
      <c r="O468" s="409"/>
      <c r="P468" s="409"/>
      <c r="Q468" s="409">
        <v>0</v>
      </c>
      <c r="R468" s="409"/>
      <c r="S468" s="409"/>
      <c r="T468" s="409"/>
      <c r="U468" s="409"/>
      <c r="V468" s="412">
        <f t="shared" si="229"/>
        <v>1238593857.6</v>
      </c>
      <c r="W468" s="412">
        <f t="shared" si="230"/>
        <v>1661921669</v>
      </c>
      <c r="X468" s="412">
        <f t="shared" si="231"/>
        <v>1613821669</v>
      </c>
      <c r="Y468" s="412">
        <f t="shared" si="232"/>
        <v>1425455005</v>
      </c>
      <c r="Z468" s="584"/>
    </row>
    <row r="469" spans="1:26" ht="18" customHeight="1">
      <c r="A469" s="484"/>
      <c r="B469" s="484"/>
      <c r="C469" s="520"/>
      <c r="D469" s="516"/>
      <c r="E469" s="34" t="s">
        <v>739</v>
      </c>
      <c r="F469" s="518"/>
      <c r="G469" s="500"/>
      <c r="H469" s="410"/>
      <c r="I469" s="410"/>
      <c r="J469" s="410"/>
      <c r="K469" s="410"/>
      <c r="L469" s="410"/>
      <c r="M469" s="410"/>
      <c r="N469" s="410"/>
      <c r="O469" s="410"/>
      <c r="P469" s="410"/>
      <c r="Q469" s="410"/>
      <c r="R469" s="410"/>
      <c r="S469" s="410"/>
      <c r="T469" s="410"/>
      <c r="U469" s="410"/>
      <c r="V469" s="413"/>
      <c r="W469" s="413"/>
      <c r="X469" s="413"/>
      <c r="Y469" s="413"/>
      <c r="Z469" s="584"/>
    </row>
    <row r="470" spans="1:26" ht="18" customHeight="1">
      <c r="A470" s="484"/>
      <c r="B470" s="484"/>
      <c r="C470" s="520"/>
      <c r="D470" s="517"/>
      <c r="E470" s="34" t="s">
        <v>740</v>
      </c>
      <c r="F470" s="514"/>
      <c r="G470" s="495"/>
      <c r="H470" s="411"/>
      <c r="I470" s="411"/>
      <c r="J470" s="411"/>
      <c r="K470" s="411"/>
      <c r="L470" s="411"/>
      <c r="M470" s="411"/>
      <c r="N470" s="411"/>
      <c r="O470" s="411"/>
      <c r="P470" s="411"/>
      <c r="Q470" s="411"/>
      <c r="R470" s="411"/>
      <c r="S470" s="411"/>
      <c r="T470" s="411"/>
      <c r="U470" s="411"/>
      <c r="V470" s="414"/>
      <c r="W470" s="414"/>
      <c r="X470" s="414"/>
      <c r="Y470" s="414"/>
      <c r="Z470" s="584"/>
    </row>
    <row r="471" spans="1:26" ht="13.5">
      <c r="A471" s="484"/>
      <c r="B471" s="484"/>
      <c r="C471" s="520"/>
      <c r="D471" s="156" t="s">
        <v>741</v>
      </c>
      <c r="E471" s="34"/>
      <c r="F471" s="3"/>
      <c r="G471" s="6" t="s">
        <v>742</v>
      </c>
      <c r="H471" s="15">
        <f>H472</f>
        <v>164170000</v>
      </c>
      <c r="I471" s="15">
        <f>I472</f>
        <v>360670000</v>
      </c>
      <c r="J471" s="15">
        <f>J472</f>
        <v>303000000</v>
      </c>
      <c r="K471" s="15">
        <f>K472</f>
        <v>280973860</v>
      </c>
      <c r="L471" s="15">
        <f>L472</f>
        <v>0</v>
      </c>
      <c r="M471" s="15"/>
      <c r="N471" s="15"/>
      <c r="O471" s="15"/>
      <c r="P471" s="15"/>
      <c r="Q471" s="15">
        <f>Q472</f>
        <v>0</v>
      </c>
      <c r="R471" s="15"/>
      <c r="S471" s="15"/>
      <c r="T471" s="15"/>
      <c r="U471" s="28"/>
      <c r="V471" s="139">
        <f>H471+L471+Q471</f>
        <v>164170000</v>
      </c>
      <c r="W471" s="139">
        <f aca="true" t="shared" si="233" ref="W471:Y480">I471+M471+R471</f>
        <v>360670000</v>
      </c>
      <c r="X471" s="139">
        <f t="shared" si="233"/>
        <v>303000000</v>
      </c>
      <c r="Y471" s="139">
        <f t="shared" si="233"/>
        <v>280973860</v>
      </c>
      <c r="Z471" s="584"/>
    </row>
    <row r="472" spans="1:26" ht="94.5" customHeight="1" thickBot="1">
      <c r="A472" s="484"/>
      <c r="B472" s="484"/>
      <c r="C472" s="520"/>
      <c r="D472" s="300"/>
      <c r="E472" s="301" t="s">
        <v>743</v>
      </c>
      <c r="F472" s="370" t="s">
        <v>971</v>
      </c>
      <c r="G472" s="246" t="s">
        <v>744</v>
      </c>
      <c r="H472" s="236">
        <v>164170000</v>
      </c>
      <c r="I472" s="236">
        <v>360670000</v>
      </c>
      <c r="J472" s="236">
        <v>303000000</v>
      </c>
      <c r="K472" s="236">
        <v>280973860</v>
      </c>
      <c r="L472" s="239">
        <v>0</v>
      </c>
      <c r="M472" s="239"/>
      <c r="N472" s="239"/>
      <c r="O472" s="239"/>
      <c r="P472" s="96"/>
      <c r="Q472" s="239">
        <v>0</v>
      </c>
      <c r="R472" s="239"/>
      <c r="S472" s="239"/>
      <c r="T472" s="239"/>
      <c r="U472" s="262"/>
      <c r="V472" s="146">
        <f>H472+L472+Q472</f>
        <v>164170000</v>
      </c>
      <c r="W472" s="146">
        <f t="shared" si="233"/>
        <v>360670000</v>
      </c>
      <c r="X472" s="146">
        <f t="shared" si="233"/>
        <v>303000000</v>
      </c>
      <c r="Y472" s="146">
        <f t="shared" si="233"/>
        <v>280973860</v>
      </c>
      <c r="Z472" s="585"/>
    </row>
    <row r="473" spans="1:26" ht="13.5" customHeight="1" thickBot="1">
      <c r="A473" s="396" t="s">
        <v>142</v>
      </c>
      <c r="B473" s="396"/>
      <c r="C473" s="396"/>
      <c r="D473" s="396"/>
      <c r="E473" s="396"/>
      <c r="F473" s="396"/>
      <c r="G473" s="396"/>
      <c r="H473" s="266">
        <f>H474</f>
        <v>496100000</v>
      </c>
      <c r="I473" s="266">
        <f>I474</f>
        <v>1199394929</v>
      </c>
      <c r="J473" s="266">
        <f>J474</f>
        <v>1172244248</v>
      </c>
      <c r="K473" s="266">
        <f>K474</f>
        <v>778721674.2</v>
      </c>
      <c r="L473" s="266">
        <f>L474</f>
        <v>0</v>
      </c>
      <c r="M473" s="266"/>
      <c r="N473" s="266"/>
      <c r="O473" s="266"/>
      <c r="P473" s="266"/>
      <c r="Q473" s="266">
        <f>Q474</f>
        <v>0</v>
      </c>
      <c r="R473" s="266"/>
      <c r="S473" s="266"/>
      <c r="T473" s="266"/>
      <c r="U473" s="269"/>
      <c r="V473" s="298">
        <f aca="true" t="shared" si="234" ref="V473:V480">H473+L473+Q473</f>
        <v>496100000</v>
      </c>
      <c r="W473" s="298">
        <f t="shared" si="233"/>
        <v>1199394929</v>
      </c>
      <c r="X473" s="298">
        <f t="shared" si="233"/>
        <v>1172244248</v>
      </c>
      <c r="Y473" s="298">
        <f t="shared" si="233"/>
        <v>778721674.2</v>
      </c>
      <c r="Z473" s="583">
        <v>4</v>
      </c>
    </row>
    <row r="474" spans="1:26" ht="13.5">
      <c r="A474" s="242">
        <v>5</v>
      </c>
      <c r="B474" s="242"/>
      <c r="C474" s="296"/>
      <c r="D474" s="189"/>
      <c r="E474" s="245"/>
      <c r="F474" s="351"/>
      <c r="G474" s="174" t="s">
        <v>49</v>
      </c>
      <c r="H474" s="240">
        <f>H475+H484</f>
        <v>496100000</v>
      </c>
      <c r="I474" s="240">
        <f>I475+I484</f>
        <v>1199394929</v>
      </c>
      <c r="J474" s="240">
        <f>J475+J484</f>
        <v>1172244248</v>
      </c>
      <c r="K474" s="240">
        <f>K475+K484</f>
        <v>778721674.2</v>
      </c>
      <c r="L474" s="240">
        <f>L475+L484</f>
        <v>0</v>
      </c>
      <c r="M474" s="240"/>
      <c r="N474" s="240"/>
      <c r="O474" s="240"/>
      <c r="P474" s="240"/>
      <c r="Q474" s="240">
        <f>Q475+Q484</f>
        <v>0</v>
      </c>
      <c r="R474" s="240"/>
      <c r="S474" s="240"/>
      <c r="T474" s="240"/>
      <c r="U474" s="242"/>
      <c r="V474" s="138">
        <f t="shared" si="234"/>
        <v>496100000</v>
      </c>
      <c r="W474" s="138">
        <f t="shared" si="233"/>
        <v>1199394929</v>
      </c>
      <c r="X474" s="138">
        <f t="shared" si="233"/>
        <v>1172244248</v>
      </c>
      <c r="Y474" s="138">
        <f t="shared" si="233"/>
        <v>778721674.2</v>
      </c>
      <c r="Z474" s="584"/>
    </row>
    <row r="475" spans="1:26" ht="27">
      <c r="A475" s="483"/>
      <c r="B475" s="168" t="s">
        <v>15</v>
      </c>
      <c r="C475" s="168"/>
      <c r="D475" s="168"/>
      <c r="E475" s="48"/>
      <c r="F475" s="365"/>
      <c r="G475" s="166" t="s">
        <v>16</v>
      </c>
      <c r="H475" s="15">
        <f>H476</f>
        <v>451000000</v>
      </c>
      <c r="I475" s="15">
        <f>I476</f>
        <v>1146614929</v>
      </c>
      <c r="J475" s="15">
        <f>J476</f>
        <v>1119464248</v>
      </c>
      <c r="K475" s="15">
        <f>K476</f>
        <v>725941674.2</v>
      </c>
      <c r="L475" s="15">
        <f>L476+L479</f>
        <v>0</v>
      </c>
      <c r="M475" s="15"/>
      <c r="N475" s="15"/>
      <c r="O475" s="15"/>
      <c r="P475" s="15"/>
      <c r="Q475" s="15">
        <f>Q476+Q479</f>
        <v>0</v>
      </c>
      <c r="R475" s="15"/>
      <c r="S475" s="15"/>
      <c r="T475" s="15"/>
      <c r="U475" s="28"/>
      <c r="V475" s="139">
        <f t="shared" si="234"/>
        <v>451000000</v>
      </c>
      <c r="W475" s="139">
        <f t="shared" si="233"/>
        <v>1146614929</v>
      </c>
      <c r="X475" s="139">
        <f t="shared" si="233"/>
        <v>1119464248</v>
      </c>
      <c r="Y475" s="139">
        <f t="shared" si="233"/>
        <v>725941674.2</v>
      </c>
      <c r="Z475" s="584"/>
    </row>
    <row r="476" spans="1:26" ht="15" customHeight="1">
      <c r="A476" s="484"/>
      <c r="B476" s="483"/>
      <c r="C476" s="168" t="s">
        <v>91</v>
      </c>
      <c r="D476" s="2"/>
      <c r="E476" s="169"/>
      <c r="F476" s="355"/>
      <c r="G476" s="166" t="s">
        <v>92</v>
      </c>
      <c r="H476" s="15">
        <f>H477+H479</f>
        <v>451000000</v>
      </c>
      <c r="I476" s="15">
        <f>I477+I479</f>
        <v>1146614929</v>
      </c>
      <c r="J476" s="15">
        <f>J477+J479</f>
        <v>1119464248</v>
      </c>
      <c r="K476" s="15">
        <f>K477+K479</f>
        <v>725941674.2</v>
      </c>
      <c r="L476" s="15">
        <f>L477</f>
        <v>0</v>
      </c>
      <c r="M476" s="15"/>
      <c r="N476" s="15"/>
      <c r="O476" s="15"/>
      <c r="P476" s="15"/>
      <c r="Q476" s="15">
        <f>Q477</f>
        <v>0</v>
      </c>
      <c r="R476" s="15"/>
      <c r="S476" s="15"/>
      <c r="T476" s="15"/>
      <c r="U476" s="28"/>
      <c r="V476" s="139">
        <f t="shared" si="234"/>
        <v>451000000</v>
      </c>
      <c r="W476" s="139">
        <f t="shared" si="233"/>
        <v>1146614929</v>
      </c>
      <c r="X476" s="139">
        <f t="shared" si="233"/>
        <v>1119464248</v>
      </c>
      <c r="Y476" s="139">
        <f t="shared" si="233"/>
        <v>725941674.2</v>
      </c>
      <c r="Z476" s="584"/>
    </row>
    <row r="477" spans="1:26" ht="15" customHeight="1">
      <c r="A477" s="484"/>
      <c r="B477" s="484"/>
      <c r="C477" s="400"/>
      <c r="D477" s="168" t="s">
        <v>745</v>
      </c>
      <c r="E477" s="168"/>
      <c r="F477" s="355"/>
      <c r="G477" s="166" t="s">
        <v>746</v>
      </c>
      <c r="H477" s="15">
        <f>H478</f>
        <v>92950000</v>
      </c>
      <c r="I477" s="15">
        <f>I478</f>
        <v>177950000</v>
      </c>
      <c r="J477" s="15">
        <f>J478</f>
        <v>167663994</v>
      </c>
      <c r="K477" s="15">
        <f>K478</f>
        <v>136303994</v>
      </c>
      <c r="L477" s="15">
        <f>L478</f>
        <v>0</v>
      </c>
      <c r="M477" s="15"/>
      <c r="N477" s="15"/>
      <c r="O477" s="15"/>
      <c r="P477" s="15"/>
      <c r="Q477" s="15">
        <f>Q478</f>
        <v>0</v>
      </c>
      <c r="R477" s="15"/>
      <c r="S477" s="15"/>
      <c r="T477" s="15"/>
      <c r="U477" s="28"/>
      <c r="V477" s="139">
        <f t="shared" si="234"/>
        <v>92950000</v>
      </c>
      <c r="W477" s="139">
        <f t="shared" si="233"/>
        <v>177950000</v>
      </c>
      <c r="X477" s="139">
        <f t="shared" si="233"/>
        <v>167663994</v>
      </c>
      <c r="Y477" s="139">
        <f t="shared" si="233"/>
        <v>136303994</v>
      </c>
      <c r="Z477" s="584"/>
    </row>
    <row r="478" spans="1:26" ht="43.5" customHeight="1">
      <c r="A478" s="484"/>
      <c r="B478" s="484"/>
      <c r="C478" s="401"/>
      <c r="D478" s="177"/>
      <c r="E478" s="176" t="s">
        <v>747</v>
      </c>
      <c r="F478" s="27" t="s">
        <v>972</v>
      </c>
      <c r="G478" s="69" t="s">
        <v>863</v>
      </c>
      <c r="H478" s="68">
        <v>92950000</v>
      </c>
      <c r="I478" s="68">
        <v>177950000</v>
      </c>
      <c r="J478" s="68">
        <v>167663994</v>
      </c>
      <c r="K478" s="68">
        <v>136303994</v>
      </c>
      <c r="L478" s="15">
        <v>0</v>
      </c>
      <c r="M478" s="15"/>
      <c r="N478" s="15"/>
      <c r="O478" s="15"/>
      <c r="P478" s="9"/>
      <c r="Q478" s="15">
        <v>0</v>
      </c>
      <c r="R478" s="15"/>
      <c r="S478" s="15"/>
      <c r="T478" s="15"/>
      <c r="U478" s="73"/>
      <c r="V478" s="140">
        <f t="shared" si="234"/>
        <v>92950000</v>
      </c>
      <c r="W478" s="140">
        <f t="shared" si="233"/>
        <v>177950000</v>
      </c>
      <c r="X478" s="140">
        <f t="shared" si="233"/>
        <v>167663994</v>
      </c>
      <c r="Y478" s="140">
        <f t="shared" si="233"/>
        <v>136303994</v>
      </c>
      <c r="Z478" s="584"/>
    </row>
    <row r="479" spans="1:26" ht="15" customHeight="1">
      <c r="A479" s="484"/>
      <c r="B479" s="484"/>
      <c r="C479" s="401"/>
      <c r="D479" s="156" t="s">
        <v>748</v>
      </c>
      <c r="E479" s="156"/>
      <c r="F479" s="352"/>
      <c r="G479" s="188" t="s">
        <v>749</v>
      </c>
      <c r="H479" s="15">
        <f>H480+H482</f>
        <v>358050000</v>
      </c>
      <c r="I479" s="15">
        <f>I480+I482</f>
        <v>968664929</v>
      </c>
      <c r="J479" s="15">
        <f>J480+J482</f>
        <v>951800254</v>
      </c>
      <c r="K479" s="15">
        <f>K480+K482</f>
        <v>589637680.2</v>
      </c>
      <c r="L479" s="15">
        <f>L480+L482</f>
        <v>0</v>
      </c>
      <c r="M479" s="15"/>
      <c r="N479" s="15"/>
      <c r="O479" s="15"/>
      <c r="P479" s="15"/>
      <c r="Q479" s="15">
        <f>Q480+Q482</f>
        <v>0</v>
      </c>
      <c r="R479" s="15"/>
      <c r="S479" s="15"/>
      <c r="T479" s="15"/>
      <c r="U479" s="28"/>
      <c r="V479" s="139">
        <f t="shared" si="234"/>
        <v>358050000</v>
      </c>
      <c r="W479" s="139">
        <f t="shared" si="233"/>
        <v>968664929</v>
      </c>
      <c r="X479" s="139">
        <f t="shared" si="233"/>
        <v>951800254</v>
      </c>
      <c r="Y479" s="139">
        <f t="shared" si="233"/>
        <v>589637680.2</v>
      </c>
      <c r="Z479" s="584"/>
    </row>
    <row r="480" spans="1:26" ht="14.25" customHeight="1">
      <c r="A480" s="484"/>
      <c r="B480" s="484"/>
      <c r="C480" s="401"/>
      <c r="D480" s="515"/>
      <c r="E480" s="34" t="s">
        <v>750</v>
      </c>
      <c r="F480" s="497" t="s">
        <v>973</v>
      </c>
      <c r="G480" s="494" t="s">
        <v>751</v>
      </c>
      <c r="H480" s="409">
        <v>137500000</v>
      </c>
      <c r="I480" s="409">
        <v>683757079</v>
      </c>
      <c r="J480" s="409">
        <v>666892404</v>
      </c>
      <c r="K480" s="409">
        <v>370763879</v>
      </c>
      <c r="L480" s="409">
        <v>0</v>
      </c>
      <c r="M480" s="409"/>
      <c r="N480" s="409"/>
      <c r="O480" s="409"/>
      <c r="P480" s="409"/>
      <c r="Q480" s="409">
        <v>0</v>
      </c>
      <c r="R480" s="409"/>
      <c r="S480" s="409"/>
      <c r="T480" s="409"/>
      <c r="U480" s="409"/>
      <c r="V480" s="412">
        <f t="shared" si="234"/>
        <v>137500000</v>
      </c>
      <c r="W480" s="412">
        <f t="shared" si="233"/>
        <v>683757079</v>
      </c>
      <c r="X480" s="412">
        <f t="shared" si="233"/>
        <v>666892404</v>
      </c>
      <c r="Y480" s="412">
        <f t="shared" si="233"/>
        <v>370763879</v>
      </c>
      <c r="Z480" s="584"/>
    </row>
    <row r="481" spans="1:26" ht="14.25" customHeight="1">
      <c r="A481" s="484"/>
      <c r="B481" s="484"/>
      <c r="C481" s="401"/>
      <c r="D481" s="516"/>
      <c r="E481" s="34" t="s">
        <v>752</v>
      </c>
      <c r="F481" s="499"/>
      <c r="G481" s="495"/>
      <c r="H481" s="411"/>
      <c r="I481" s="411"/>
      <c r="J481" s="411"/>
      <c r="K481" s="411"/>
      <c r="L481" s="411"/>
      <c r="M481" s="411"/>
      <c r="N481" s="411"/>
      <c r="O481" s="411"/>
      <c r="P481" s="411"/>
      <c r="Q481" s="411"/>
      <c r="R481" s="411"/>
      <c r="S481" s="411"/>
      <c r="T481" s="411"/>
      <c r="U481" s="411"/>
      <c r="V481" s="414"/>
      <c r="W481" s="414"/>
      <c r="X481" s="414"/>
      <c r="Y481" s="414"/>
      <c r="Z481" s="584"/>
    </row>
    <row r="482" spans="1:26" ht="18.75" customHeight="1">
      <c r="A482" s="484"/>
      <c r="B482" s="484"/>
      <c r="C482" s="401"/>
      <c r="D482" s="516"/>
      <c r="E482" s="34" t="s">
        <v>753</v>
      </c>
      <c r="F482" s="497" t="s">
        <v>974</v>
      </c>
      <c r="G482" s="494" t="s">
        <v>754</v>
      </c>
      <c r="H482" s="409">
        <v>220550000</v>
      </c>
      <c r="I482" s="409">
        <v>284907850</v>
      </c>
      <c r="J482" s="409">
        <v>284907850</v>
      </c>
      <c r="K482" s="409">
        <v>218873801.2</v>
      </c>
      <c r="L482" s="409">
        <v>0</v>
      </c>
      <c r="M482" s="409"/>
      <c r="N482" s="409"/>
      <c r="O482" s="409"/>
      <c r="P482" s="409"/>
      <c r="Q482" s="409">
        <v>0</v>
      </c>
      <c r="R482" s="409"/>
      <c r="S482" s="409"/>
      <c r="T482" s="409"/>
      <c r="U482" s="409"/>
      <c r="V482" s="412">
        <f>H482+L482+Q482</f>
        <v>220550000</v>
      </c>
      <c r="W482" s="412">
        <f>I482+M482+R482</f>
        <v>284907850</v>
      </c>
      <c r="X482" s="412">
        <f>J482+N482+S482</f>
        <v>284907850</v>
      </c>
      <c r="Y482" s="412">
        <f>K482+O482+T482</f>
        <v>218873801.2</v>
      </c>
      <c r="Z482" s="584"/>
    </row>
    <row r="483" spans="1:26" ht="21" customHeight="1">
      <c r="A483" s="484"/>
      <c r="B483" s="530"/>
      <c r="C483" s="402"/>
      <c r="D483" s="517"/>
      <c r="E483" s="34" t="s">
        <v>755</v>
      </c>
      <c r="F483" s="499"/>
      <c r="G483" s="495"/>
      <c r="H483" s="411"/>
      <c r="I483" s="411"/>
      <c r="J483" s="411"/>
      <c r="K483" s="411"/>
      <c r="L483" s="411"/>
      <c r="M483" s="411"/>
      <c r="N483" s="411"/>
      <c r="O483" s="411"/>
      <c r="P483" s="411"/>
      <c r="Q483" s="411"/>
      <c r="R483" s="411"/>
      <c r="S483" s="411"/>
      <c r="T483" s="411"/>
      <c r="U483" s="411"/>
      <c r="V483" s="414"/>
      <c r="W483" s="414"/>
      <c r="X483" s="414"/>
      <c r="Y483" s="414"/>
      <c r="Z483" s="584"/>
    </row>
    <row r="484" spans="1:26" ht="13.5">
      <c r="A484" s="484"/>
      <c r="B484" s="168" t="s">
        <v>137</v>
      </c>
      <c r="C484" s="168"/>
      <c r="D484" s="168"/>
      <c r="E484" s="48"/>
      <c r="F484" s="365"/>
      <c r="G484" s="166" t="s">
        <v>138</v>
      </c>
      <c r="H484" s="15">
        <f>H485</f>
        <v>45100000</v>
      </c>
      <c r="I484" s="15">
        <f aca="true" t="shared" si="235" ref="I484:K486">I485</f>
        <v>52780000</v>
      </c>
      <c r="J484" s="15">
        <f t="shared" si="235"/>
        <v>52780000</v>
      </c>
      <c r="K484" s="15">
        <f t="shared" si="235"/>
        <v>52780000</v>
      </c>
      <c r="L484" s="15">
        <f>L485</f>
        <v>0</v>
      </c>
      <c r="M484" s="15"/>
      <c r="N484" s="15"/>
      <c r="O484" s="15"/>
      <c r="P484" s="15"/>
      <c r="Q484" s="15">
        <f>Q485</f>
        <v>0</v>
      </c>
      <c r="R484" s="15"/>
      <c r="S484" s="15"/>
      <c r="T484" s="15"/>
      <c r="U484" s="15"/>
      <c r="V484" s="139">
        <f aca="true" t="shared" si="236" ref="V484:V493">H484+L484+Q484</f>
        <v>45100000</v>
      </c>
      <c r="W484" s="139">
        <f aca="true" t="shared" si="237" ref="W484:W493">I484+M484+R484</f>
        <v>52780000</v>
      </c>
      <c r="X484" s="139">
        <f aca="true" t="shared" si="238" ref="X484:X493">J484+N484+S484</f>
        <v>52780000</v>
      </c>
      <c r="Y484" s="139">
        <f aca="true" t="shared" si="239" ref="Y484:Y493">K484+O484+T484</f>
        <v>52780000</v>
      </c>
      <c r="Z484" s="584"/>
    </row>
    <row r="485" spans="1:26" ht="27">
      <c r="A485" s="484"/>
      <c r="B485" s="483"/>
      <c r="C485" s="168" t="s">
        <v>139</v>
      </c>
      <c r="D485" s="2"/>
      <c r="E485" s="169"/>
      <c r="F485" s="355"/>
      <c r="G485" s="166" t="s">
        <v>140</v>
      </c>
      <c r="H485" s="15">
        <f>H486</f>
        <v>45100000</v>
      </c>
      <c r="I485" s="15">
        <f t="shared" si="235"/>
        <v>52780000</v>
      </c>
      <c r="J485" s="15">
        <f t="shared" si="235"/>
        <v>52780000</v>
      </c>
      <c r="K485" s="15">
        <f t="shared" si="235"/>
        <v>52780000</v>
      </c>
      <c r="L485" s="15">
        <f>L486</f>
        <v>0</v>
      </c>
      <c r="M485" s="15"/>
      <c r="N485" s="15"/>
      <c r="O485" s="15"/>
      <c r="P485" s="15"/>
      <c r="Q485" s="15">
        <f>Q486</f>
        <v>0</v>
      </c>
      <c r="R485" s="15"/>
      <c r="S485" s="15"/>
      <c r="T485" s="15"/>
      <c r="U485" s="15"/>
      <c r="V485" s="139">
        <f t="shared" si="236"/>
        <v>45100000</v>
      </c>
      <c r="W485" s="139">
        <f t="shared" si="237"/>
        <v>52780000</v>
      </c>
      <c r="X485" s="139">
        <f t="shared" si="238"/>
        <v>52780000</v>
      </c>
      <c r="Y485" s="139">
        <f t="shared" si="239"/>
        <v>52780000</v>
      </c>
      <c r="Z485" s="584"/>
    </row>
    <row r="486" spans="1:26" ht="13.5">
      <c r="A486" s="484"/>
      <c r="B486" s="484"/>
      <c r="C486" s="400"/>
      <c r="D486" s="168" t="s">
        <v>756</v>
      </c>
      <c r="E486" s="168"/>
      <c r="F486" s="355"/>
      <c r="G486" s="166" t="s">
        <v>757</v>
      </c>
      <c r="H486" s="15">
        <f>H487</f>
        <v>45100000</v>
      </c>
      <c r="I486" s="15">
        <f t="shared" si="235"/>
        <v>52780000</v>
      </c>
      <c r="J486" s="15">
        <f t="shared" si="235"/>
        <v>52780000</v>
      </c>
      <c r="K486" s="15">
        <f t="shared" si="235"/>
        <v>52780000</v>
      </c>
      <c r="L486" s="15">
        <f>L487</f>
        <v>0</v>
      </c>
      <c r="M486" s="15"/>
      <c r="N486" s="15"/>
      <c r="O486" s="15"/>
      <c r="P486" s="15"/>
      <c r="Q486" s="15">
        <f>Q487</f>
        <v>0</v>
      </c>
      <c r="R486" s="15"/>
      <c r="S486" s="15"/>
      <c r="T486" s="15"/>
      <c r="U486" s="15"/>
      <c r="V486" s="139">
        <f t="shared" si="236"/>
        <v>45100000</v>
      </c>
      <c r="W486" s="139">
        <f t="shared" si="237"/>
        <v>52780000</v>
      </c>
      <c r="X486" s="139">
        <f t="shared" si="238"/>
        <v>52780000</v>
      </c>
      <c r="Y486" s="139">
        <f t="shared" si="239"/>
        <v>52780000</v>
      </c>
      <c r="Z486" s="584"/>
    </row>
    <row r="487" spans="1:26" ht="31.5" customHeight="1" thickBot="1">
      <c r="A487" s="484"/>
      <c r="B487" s="484"/>
      <c r="C487" s="401"/>
      <c r="D487" s="251"/>
      <c r="E487" s="243" t="s">
        <v>859</v>
      </c>
      <c r="F487" s="370" t="s">
        <v>975</v>
      </c>
      <c r="G487" s="246" t="s">
        <v>851</v>
      </c>
      <c r="H487" s="236">
        <v>45100000</v>
      </c>
      <c r="I487" s="236">
        <v>52780000</v>
      </c>
      <c r="J487" s="236">
        <v>52780000</v>
      </c>
      <c r="K487" s="236">
        <v>52780000</v>
      </c>
      <c r="L487" s="239">
        <v>0</v>
      </c>
      <c r="M487" s="239"/>
      <c r="N487" s="239"/>
      <c r="O487" s="239"/>
      <c r="P487" s="239"/>
      <c r="Q487" s="239">
        <v>0</v>
      </c>
      <c r="R487" s="239"/>
      <c r="S487" s="239"/>
      <c r="T487" s="239"/>
      <c r="U487" s="239"/>
      <c r="V487" s="146">
        <f t="shared" si="236"/>
        <v>45100000</v>
      </c>
      <c r="W487" s="146">
        <f t="shared" si="237"/>
        <v>52780000</v>
      </c>
      <c r="X487" s="146">
        <f t="shared" si="238"/>
        <v>52780000</v>
      </c>
      <c r="Y487" s="146">
        <f t="shared" si="239"/>
        <v>52780000</v>
      </c>
      <c r="Z487" s="585"/>
    </row>
    <row r="488" spans="1:26" ht="13.5" customHeight="1" thickBot="1">
      <c r="A488" s="396" t="s">
        <v>154</v>
      </c>
      <c r="B488" s="396"/>
      <c r="C488" s="396"/>
      <c r="D488" s="396"/>
      <c r="E488" s="396"/>
      <c r="F488" s="396"/>
      <c r="G488" s="396"/>
      <c r="H488" s="266">
        <f>H489</f>
        <v>2266222882</v>
      </c>
      <c r="I488" s="266">
        <f aca="true" t="shared" si="240" ref="I488:K492">I489</f>
        <v>3142264372.54</v>
      </c>
      <c r="J488" s="266">
        <f t="shared" si="240"/>
        <v>2464124737.57</v>
      </c>
      <c r="K488" s="266">
        <f t="shared" si="240"/>
        <v>1802784580.33</v>
      </c>
      <c r="L488" s="266">
        <f>L489</f>
        <v>41245000</v>
      </c>
      <c r="M488" s="266">
        <f aca="true" t="shared" si="241" ref="M488:O492">M489</f>
        <v>584972461</v>
      </c>
      <c r="N488" s="266">
        <f t="shared" si="241"/>
        <v>394130759</v>
      </c>
      <c r="O488" s="266">
        <f t="shared" si="241"/>
        <v>286542084</v>
      </c>
      <c r="P488" s="266"/>
      <c r="Q488" s="266">
        <f>Q489</f>
        <v>0</v>
      </c>
      <c r="R488" s="266"/>
      <c r="S488" s="266"/>
      <c r="T488" s="266"/>
      <c r="U488" s="297"/>
      <c r="V488" s="298">
        <f t="shared" si="236"/>
        <v>2307467882</v>
      </c>
      <c r="W488" s="298">
        <f t="shared" si="237"/>
        <v>3727236833.54</v>
      </c>
      <c r="X488" s="298">
        <f t="shared" si="238"/>
        <v>2858255496.57</v>
      </c>
      <c r="Y488" s="298">
        <f t="shared" si="239"/>
        <v>2089326664.33</v>
      </c>
      <c r="Z488" s="583">
        <v>1</v>
      </c>
    </row>
    <row r="489" spans="1:26" ht="13.5">
      <c r="A489" s="242">
        <v>5</v>
      </c>
      <c r="B489" s="242"/>
      <c r="C489" s="296"/>
      <c r="D489" s="189"/>
      <c r="E489" s="245"/>
      <c r="F489" s="351"/>
      <c r="G489" s="174" t="s">
        <v>49</v>
      </c>
      <c r="H489" s="240">
        <f>H490</f>
        <v>2266222882</v>
      </c>
      <c r="I489" s="240">
        <f t="shared" si="240"/>
        <v>3142264372.54</v>
      </c>
      <c r="J489" s="240">
        <f t="shared" si="240"/>
        <v>2464124737.57</v>
      </c>
      <c r="K489" s="240">
        <f t="shared" si="240"/>
        <v>1802784580.33</v>
      </c>
      <c r="L489" s="240">
        <f>L490</f>
        <v>41245000</v>
      </c>
      <c r="M489" s="240">
        <f t="shared" si="241"/>
        <v>584972461</v>
      </c>
      <c r="N489" s="240">
        <f t="shared" si="241"/>
        <v>394130759</v>
      </c>
      <c r="O489" s="240">
        <f t="shared" si="241"/>
        <v>286542084</v>
      </c>
      <c r="P489" s="240"/>
      <c r="Q489" s="240">
        <f>Q490</f>
        <v>0</v>
      </c>
      <c r="R489" s="240"/>
      <c r="S489" s="240"/>
      <c r="T489" s="240"/>
      <c r="U489" s="242"/>
      <c r="V489" s="138">
        <f t="shared" si="236"/>
        <v>2307467882</v>
      </c>
      <c r="W489" s="138">
        <f t="shared" si="237"/>
        <v>3727236833.54</v>
      </c>
      <c r="X489" s="138">
        <f t="shared" si="238"/>
        <v>2858255496.57</v>
      </c>
      <c r="Y489" s="138">
        <f t="shared" si="239"/>
        <v>2089326664.33</v>
      </c>
      <c r="Z489" s="584"/>
    </row>
    <row r="490" spans="1:26" ht="13.5">
      <c r="A490" s="483"/>
      <c r="B490" s="168" t="s">
        <v>137</v>
      </c>
      <c r="C490" s="168"/>
      <c r="D490" s="168"/>
      <c r="E490" s="48"/>
      <c r="F490" s="365"/>
      <c r="G490" s="166" t="s">
        <v>138</v>
      </c>
      <c r="H490" s="15">
        <f>H491</f>
        <v>2266222882</v>
      </c>
      <c r="I490" s="15">
        <f t="shared" si="240"/>
        <v>3142264372.54</v>
      </c>
      <c r="J490" s="15">
        <f t="shared" si="240"/>
        <v>2464124737.57</v>
      </c>
      <c r="K490" s="15">
        <f t="shared" si="240"/>
        <v>1802784580.33</v>
      </c>
      <c r="L490" s="15">
        <f>L491</f>
        <v>41245000</v>
      </c>
      <c r="M490" s="15">
        <f t="shared" si="241"/>
        <v>584972461</v>
      </c>
      <c r="N490" s="15">
        <f t="shared" si="241"/>
        <v>394130759</v>
      </c>
      <c r="O490" s="15">
        <f t="shared" si="241"/>
        <v>286542084</v>
      </c>
      <c r="P490" s="15"/>
      <c r="Q490" s="15">
        <f>Q491</f>
        <v>0</v>
      </c>
      <c r="R490" s="15"/>
      <c r="S490" s="15"/>
      <c r="T490" s="15"/>
      <c r="U490" s="28"/>
      <c r="V490" s="139">
        <f t="shared" si="236"/>
        <v>2307467882</v>
      </c>
      <c r="W490" s="139">
        <f t="shared" si="237"/>
        <v>3727236833.54</v>
      </c>
      <c r="X490" s="139">
        <f t="shared" si="238"/>
        <v>2858255496.57</v>
      </c>
      <c r="Y490" s="139">
        <f t="shared" si="239"/>
        <v>2089326664.33</v>
      </c>
      <c r="Z490" s="584"/>
    </row>
    <row r="491" spans="1:26" ht="12" customHeight="1">
      <c r="A491" s="484"/>
      <c r="B491" s="483"/>
      <c r="C491" s="168" t="s">
        <v>144</v>
      </c>
      <c r="D491" s="2"/>
      <c r="E491" s="169"/>
      <c r="F491" s="355"/>
      <c r="G491" s="166" t="s">
        <v>145</v>
      </c>
      <c r="H491" s="15">
        <f>H492</f>
        <v>2266222882</v>
      </c>
      <c r="I491" s="15">
        <f t="shared" si="240"/>
        <v>3142264372.54</v>
      </c>
      <c r="J491" s="15">
        <f t="shared" si="240"/>
        <v>2464124737.57</v>
      </c>
      <c r="K491" s="15">
        <f t="shared" si="240"/>
        <v>1802784580.33</v>
      </c>
      <c r="L491" s="15">
        <f>L492</f>
        <v>41245000</v>
      </c>
      <c r="M491" s="15">
        <f t="shared" si="241"/>
        <v>584972461</v>
      </c>
      <c r="N491" s="15">
        <f t="shared" si="241"/>
        <v>394130759</v>
      </c>
      <c r="O491" s="15">
        <f t="shared" si="241"/>
        <v>286542084</v>
      </c>
      <c r="P491" s="15"/>
      <c r="Q491" s="15">
        <f>Q492</f>
        <v>0</v>
      </c>
      <c r="R491" s="15"/>
      <c r="S491" s="15"/>
      <c r="T491" s="15"/>
      <c r="U491" s="28"/>
      <c r="V491" s="139">
        <f t="shared" si="236"/>
        <v>2307467882</v>
      </c>
      <c r="W491" s="139">
        <f t="shared" si="237"/>
        <v>3727236833.54</v>
      </c>
      <c r="X491" s="139">
        <f t="shared" si="238"/>
        <v>2858255496.57</v>
      </c>
      <c r="Y491" s="139">
        <f t="shared" si="239"/>
        <v>2089326664.33</v>
      </c>
      <c r="Z491" s="584"/>
    </row>
    <row r="492" spans="1:26" ht="44.25" customHeight="1">
      <c r="A492" s="484"/>
      <c r="B492" s="484"/>
      <c r="C492" s="521"/>
      <c r="D492" s="168" t="s">
        <v>760</v>
      </c>
      <c r="E492" s="168"/>
      <c r="F492" s="355"/>
      <c r="G492" s="166" t="s">
        <v>761</v>
      </c>
      <c r="H492" s="15">
        <f>H493</f>
        <v>2266222882</v>
      </c>
      <c r="I492" s="15">
        <f t="shared" si="240"/>
        <v>3142264372.54</v>
      </c>
      <c r="J492" s="15">
        <f t="shared" si="240"/>
        <v>2464124737.57</v>
      </c>
      <c r="K492" s="15">
        <f t="shared" si="240"/>
        <v>1802784580.33</v>
      </c>
      <c r="L492" s="15">
        <f>L493</f>
        <v>41245000</v>
      </c>
      <c r="M492" s="15">
        <f t="shared" si="241"/>
        <v>584972461</v>
      </c>
      <c r="N492" s="15">
        <f t="shared" si="241"/>
        <v>394130759</v>
      </c>
      <c r="O492" s="15">
        <f t="shared" si="241"/>
        <v>286542084</v>
      </c>
      <c r="P492" s="15"/>
      <c r="Q492" s="15">
        <f>Q493</f>
        <v>0</v>
      </c>
      <c r="R492" s="15"/>
      <c r="S492" s="15"/>
      <c r="T492" s="15"/>
      <c r="U492" s="28"/>
      <c r="V492" s="139">
        <f t="shared" si="236"/>
        <v>2307467882</v>
      </c>
      <c r="W492" s="139">
        <f t="shared" si="237"/>
        <v>3727236833.54</v>
      </c>
      <c r="X492" s="139">
        <f t="shared" si="238"/>
        <v>2858255496.57</v>
      </c>
      <c r="Y492" s="139">
        <f t="shared" si="239"/>
        <v>2089326664.33</v>
      </c>
      <c r="Z492" s="584"/>
    </row>
    <row r="493" spans="1:26" ht="21.75" customHeight="1">
      <c r="A493" s="484"/>
      <c r="B493" s="484"/>
      <c r="C493" s="522"/>
      <c r="D493" s="400"/>
      <c r="E493" s="170" t="s">
        <v>762</v>
      </c>
      <c r="F493" s="497" t="s">
        <v>976</v>
      </c>
      <c r="G493" s="494" t="s">
        <v>763</v>
      </c>
      <c r="H493" s="409">
        <v>2266222882</v>
      </c>
      <c r="I493" s="409">
        <v>3142264372.54</v>
      </c>
      <c r="J493" s="409">
        <v>2464124737.57</v>
      </c>
      <c r="K493" s="409">
        <v>1802784580.33</v>
      </c>
      <c r="L493" s="409">
        <v>41245000</v>
      </c>
      <c r="M493" s="409">
        <f>41245000+543727461</f>
        <v>584972461</v>
      </c>
      <c r="N493" s="409">
        <f>18000000+376130759</f>
        <v>394130759</v>
      </c>
      <c r="O493" s="409">
        <v>286542084</v>
      </c>
      <c r="P493" s="409" t="s">
        <v>1072</v>
      </c>
      <c r="Q493" s="409">
        <v>0</v>
      </c>
      <c r="R493" s="409"/>
      <c r="S493" s="409"/>
      <c r="T493" s="409"/>
      <c r="U493" s="409"/>
      <c r="V493" s="412">
        <f t="shared" si="236"/>
        <v>2307467882</v>
      </c>
      <c r="W493" s="412">
        <f t="shared" si="237"/>
        <v>3727236833.54</v>
      </c>
      <c r="X493" s="412">
        <f t="shared" si="238"/>
        <v>2858255496.57</v>
      </c>
      <c r="Y493" s="412">
        <f t="shared" si="239"/>
        <v>2089326664.33</v>
      </c>
      <c r="Z493" s="584"/>
    </row>
    <row r="494" spans="1:26" ht="17.25" customHeight="1" thickBot="1">
      <c r="A494" s="484"/>
      <c r="B494" s="484"/>
      <c r="C494" s="522"/>
      <c r="D494" s="401"/>
      <c r="E494" s="243" t="s">
        <v>764</v>
      </c>
      <c r="F494" s="498"/>
      <c r="G494" s="500"/>
      <c r="H494" s="410"/>
      <c r="I494" s="410"/>
      <c r="J494" s="410"/>
      <c r="K494" s="410"/>
      <c r="L494" s="410"/>
      <c r="M494" s="410"/>
      <c r="N494" s="410"/>
      <c r="O494" s="410"/>
      <c r="P494" s="410"/>
      <c r="Q494" s="410"/>
      <c r="R494" s="410"/>
      <c r="S494" s="410"/>
      <c r="T494" s="410"/>
      <c r="U494" s="410"/>
      <c r="V494" s="413"/>
      <c r="W494" s="413"/>
      <c r="X494" s="413"/>
      <c r="Y494" s="413"/>
      <c r="Z494" s="585"/>
    </row>
    <row r="495" spans="1:26" ht="13.5" customHeight="1" thickBot="1">
      <c r="A495" s="396" t="s">
        <v>162</v>
      </c>
      <c r="B495" s="396"/>
      <c r="C495" s="396"/>
      <c r="D495" s="396"/>
      <c r="E495" s="396"/>
      <c r="F495" s="396"/>
      <c r="G495" s="396"/>
      <c r="H495" s="299">
        <f>H496</f>
        <v>150000000</v>
      </c>
      <c r="I495" s="299">
        <f aca="true" t="shared" si="242" ref="I495:K499">I496</f>
        <v>275319992</v>
      </c>
      <c r="J495" s="299">
        <f t="shared" si="242"/>
        <v>275319992</v>
      </c>
      <c r="K495" s="299">
        <f t="shared" si="242"/>
        <v>210039993</v>
      </c>
      <c r="L495" s="266">
        <f>L496</f>
        <v>0</v>
      </c>
      <c r="M495" s="266"/>
      <c r="N495" s="266"/>
      <c r="O495" s="266"/>
      <c r="P495" s="299"/>
      <c r="Q495" s="266">
        <f>Q496</f>
        <v>0</v>
      </c>
      <c r="R495" s="266"/>
      <c r="S495" s="266"/>
      <c r="T495" s="266"/>
      <c r="U495" s="297"/>
      <c r="V495" s="298">
        <f aca="true" t="shared" si="243" ref="V495:V500">H495+L495+Q495</f>
        <v>150000000</v>
      </c>
      <c r="W495" s="298">
        <f aca="true" t="shared" si="244" ref="W495:W500">I495+M495+R495</f>
        <v>275319992</v>
      </c>
      <c r="X495" s="298">
        <f aca="true" t="shared" si="245" ref="X495:X500">J495+N495+S495</f>
        <v>275319992</v>
      </c>
      <c r="Y495" s="298">
        <f aca="true" t="shared" si="246" ref="Y495:Y500">K495+O495+T495</f>
        <v>210039993</v>
      </c>
      <c r="Z495" s="583">
        <v>1</v>
      </c>
    </row>
    <row r="496" spans="1:26" ht="13.5">
      <c r="A496" s="242">
        <v>5</v>
      </c>
      <c r="B496" s="242"/>
      <c r="C496" s="296"/>
      <c r="D496" s="189"/>
      <c r="E496" s="245"/>
      <c r="F496" s="351"/>
      <c r="G496" s="174" t="s">
        <v>49</v>
      </c>
      <c r="H496" s="94">
        <f>H497</f>
        <v>150000000</v>
      </c>
      <c r="I496" s="94">
        <f t="shared" si="242"/>
        <v>275319992</v>
      </c>
      <c r="J496" s="94">
        <f t="shared" si="242"/>
        <v>275319992</v>
      </c>
      <c r="K496" s="94">
        <f t="shared" si="242"/>
        <v>210039993</v>
      </c>
      <c r="L496" s="240">
        <f>L497</f>
        <v>0</v>
      </c>
      <c r="M496" s="240"/>
      <c r="N496" s="240"/>
      <c r="O496" s="240"/>
      <c r="P496" s="94"/>
      <c r="Q496" s="240">
        <f>Q497</f>
        <v>0</v>
      </c>
      <c r="R496" s="240"/>
      <c r="S496" s="240"/>
      <c r="T496" s="240"/>
      <c r="U496" s="242"/>
      <c r="V496" s="138">
        <f t="shared" si="243"/>
        <v>150000000</v>
      </c>
      <c r="W496" s="138">
        <f t="shared" si="244"/>
        <v>275319992</v>
      </c>
      <c r="X496" s="138">
        <f t="shared" si="245"/>
        <v>275319992</v>
      </c>
      <c r="Y496" s="138">
        <f t="shared" si="246"/>
        <v>210039993</v>
      </c>
      <c r="Z496" s="584"/>
    </row>
    <row r="497" spans="1:26" ht="13.5">
      <c r="A497" s="483"/>
      <c r="B497" s="168" t="s">
        <v>137</v>
      </c>
      <c r="C497" s="168"/>
      <c r="D497" s="168"/>
      <c r="E497" s="48"/>
      <c r="F497" s="365"/>
      <c r="G497" s="166" t="s">
        <v>138</v>
      </c>
      <c r="H497" s="16">
        <f>H498</f>
        <v>150000000</v>
      </c>
      <c r="I497" s="16">
        <f t="shared" si="242"/>
        <v>275319992</v>
      </c>
      <c r="J497" s="16">
        <f t="shared" si="242"/>
        <v>275319992</v>
      </c>
      <c r="K497" s="16">
        <f t="shared" si="242"/>
        <v>210039993</v>
      </c>
      <c r="L497" s="15">
        <f>L498</f>
        <v>0</v>
      </c>
      <c r="M497" s="15"/>
      <c r="N497" s="15"/>
      <c r="O497" s="15"/>
      <c r="P497" s="16"/>
      <c r="Q497" s="15">
        <f>Q498</f>
        <v>0</v>
      </c>
      <c r="R497" s="15"/>
      <c r="S497" s="15"/>
      <c r="T497" s="15"/>
      <c r="U497" s="28"/>
      <c r="V497" s="139">
        <f t="shared" si="243"/>
        <v>150000000</v>
      </c>
      <c r="W497" s="139">
        <f t="shared" si="244"/>
        <v>275319992</v>
      </c>
      <c r="X497" s="139">
        <f t="shared" si="245"/>
        <v>275319992</v>
      </c>
      <c r="Y497" s="139">
        <f t="shared" si="246"/>
        <v>210039993</v>
      </c>
      <c r="Z497" s="584"/>
    </row>
    <row r="498" spans="1:26" ht="25.5" customHeight="1">
      <c r="A498" s="484"/>
      <c r="B498" s="483"/>
      <c r="C498" s="168" t="s">
        <v>139</v>
      </c>
      <c r="D498" s="2"/>
      <c r="E498" s="169"/>
      <c r="F498" s="355"/>
      <c r="G498" s="166" t="s">
        <v>140</v>
      </c>
      <c r="H498" s="16">
        <f>H499</f>
        <v>150000000</v>
      </c>
      <c r="I498" s="16">
        <f t="shared" si="242"/>
        <v>275319992</v>
      </c>
      <c r="J498" s="16">
        <f t="shared" si="242"/>
        <v>275319992</v>
      </c>
      <c r="K498" s="16">
        <f t="shared" si="242"/>
        <v>210039993</v>
      </c>
      <c r="L498" s="15">
        <f>L499</f>
        <v>0</v>
      </c>
      <c r="M498" s="15"/>
      <c r="N498" s="15"/>
      <c r="O498" s="15"/>
      <c r="P498" s="16"/>
      <c r="Q498" s="15">
        <f>Q499</f>
        <v>0</v>
      </c>
      <c r="R498" s="15"/>
      <c r="S498" s="15"/>
      <c r="T498" s="15"/>
      <c r="U498" s="28"/>
      <c r="V498" s="139">
        <f t="shared" si="243"/>
        <v>150000000</v>
      </c>
      <c r="W498" s="139">
        <f t="shared" si="244"/>
        <v>275319992</v>
      </c>
      <c r="X498" s="139">
        <f t="shared" si="245"/>
        <v>275319992</v>
      </c>
      <c r="Y498" s="139">
        <f t="shared" si="246"/>
        <v>210039993</v>
      </c>
      <c r="Z498" s="584"/>
    </row>
    <row r="499" spans="1:26" ht="12" customHeight="1">
      <c r="A499" s="484"/>
      <c r="B499" s="484"/>
      <c r="C499" s="521"/>
      <c r="D499" s="168" t="s">
        <v>756</v>
      </c>
      <c r="E499" s="168"/>
      <c r="F499" s="355"/>
      <c r="G499" s="166" t="s">
        <v>757</v>
      </c>
      <c r="H499" s="16">
        <f>H500</f>
        <v>150000000</v>
      </c>
      <c r="I499" s="16">
        <f t="shared" si="242"/>
        <v>275319992</v>
      </c>
      <c r="J499" s="16">
        <f t="shared" si="242"/>
        <v>275319992</v>
      </c>
      <c r="K499" s="16">
        <f t="shared" si="242"/>
        <v>210039993</v>
      </c>
      <c r="L499" s="15">
        <f>L500</f>
        <v>0</v>
      </c>
      <c r="M499" s="15"/>
      <c r="N499" s="15"/>
      <c r="O499" s="15"/>
      <c r="P499" s="16"/>
      <c r="Q499" s="15">
        <f>Q500</f>
        <v>0</v>
      </c>
      <c r="R499" s="15"/>
      <c r="S499" s="15"/>
      <c r="T499" s="15"/>
      <c r="U499" s="28"/>
      <c r="V499" s="139">
        <f t="shared" si="243"/>
        <v>150000000</v>
      </c>
      <c r="W499" s="139">
        <f t="shared" si="244"/>
        <v>275319992</v>
      </c>
      <c r="X499" s="139">
        <f t="shared" si="245"/>
        <v>275319992</v>
      </c>
      <c r="Y499" s="139">
        <f t="shared" si="246"/>
        <v>210039993</v>
      </c>
      <c r="Z499" s="584"/>
    </row>
    <row r="500" spans="1:26" ht="15" customHeight="1">
      <c r="A500" s="484"/>
      <c r="B500" s="484"/>
      <c r="C500" s="522"/>
      <c r="D500" s="400"/>
      <c r="E500" s="170" t="s">
        <v>765</v>
      </c>
      <c r="F500" s="497" t="s">
        <v>977</v>
      </c>
      <c r="G500" s="494" t="s">
        <v>1049</v>
      </c>
      <c r="H500" s="397">
        <v>150000000</v>
      </c>
      <c r="I500" s="397">
        <v>275319992</v>
      </c>
      <c r="J500" s="397">
        <v>275319992</v>
      </c>
      <c r="K500" s="397">
        <v>210039993</v>
      </c>
      <c r="L500" s="540">
        <v>0</v>
      </c>
      <c r="M500" s="540"/>
      <c r="N500" s="540"/>
      <c r="O500" s="540"/>
      <c r="P500" s="540"/>
      <c r="Q500" s="540">
        <v>0</v>
      </c>
      <c r="R500" s="540"/>
      <c r="S500" s="540"/>
      <c r="T500" s="540"/>
      <c r="U500" s="540"/>
      <c r="V500" s="422">
        <f t="shared" si="243"/>
        <v>150000000</v>
      </c>
      <c r="W500" s="422">
        <f t="shared" si="244"/>
        <v>275319992</v>
      </c>
      <c r="X500" s="422">
        <f t="shared" si="245"/>
        <v>275319992</v>
      </c>
      <c r="Y500" s="422">
        <f t="shared" si="246"/>
        <v>210039993</v>
      </c>
      <c r="Z500" s="584"/>
    </row>
    <row r="501" spans="1:26" ht="15" customHeight="1">
      <c r="A501" s="484"/>
      <c r="B501" s="484"/>
      <c r="C501" s="522"/>
      <c r="D501" s="401"/>
      <c r="E501" s="170" t="s">
        <v>766</v>
      </c>
      <c r="F501" s="498"/>
      <c r="G501" s="500"/>
      <c r="H501" s="398"/>
      <c r="I501" s="398"/>
      <c r="J501" s="398"/>
      <c r="K501" s="398"/>
      <c r="L501" s="541"/>
      <c r="M501" s="541"/>
      <c r="N501" s="541"/>
      <c r="O501" s="541"/>
      <c r="P501" s="541"/>
      <c r="Q501" s="541"/>
      <c r="R501" s="541"/>
      <c r="S501" s="541"/>
      <c r="T501" s="541"/>
      <c r="U501" s="541"/>
      <c r="V501" s="423"/>
      <c r="W501" s="423"/>
      <c r="X501" s="423"/>
      <c r="Y501" s="423"/>
      <c r="Z501" s="584"/>
    </row>
    <row r="502" spans="1:26" ht="15" customHeight="1">
      <c r="A502" s="484"/>
      <c r="B502" s="484"/>
      <c r="C502" s="522"/>
      <c r="D502" s="401"/>
      <c r="E502" s="170" t="s">
        <v>767</v>
      </c>
      <c r="F502" s="498"/>
      <c r="G502" s="500"/>
      <c r="H502" s="398"/>
      <c r="I502" s="398"/>
      <c r="J502" s="398"/>
      <c r="K502" s="398"/>
      <c r="L502" s="541"/>
      <c r="M502" s="541"/>
      <c r="N502" s="541"/>
      <c r="O502" s="541"/>
      <c r="P502" s="541"/>
      <c r="Q502" s="541"/>
      <c r="R502" s="541"/>
      <c r="S502" s="541"/>
      <c r="T502" s="541"/>
      <c r="U502" s="541"/>
      <c r="V502" s="423"/>
      <c r="W502" s="423"/>
      <c r="X502" s="423"/>
      <c r="Y502" s="423"/>
      <c r="Z502" s="584"/>
    </row>
    <row r="503" spans="1:26" ht="15" customHeight="1" thickBot="1">
      <c r="A503" s="484"/>
      <c r="B503" s="484"/>
      <c r="C503" s="522"/>
      <c r="D503" s="401"/>
      <c r="E503" s="293" t="s">
        <v>768</v>
      </c>
      <c r="F503" s="498"/>
      <c r="G503" s="500"/>
      <c r="H503" s="398"/>
      <c r="I503" s="398"/>
      <c r="J503" s="398"/>
      <c r="K503" s="398"/>
      <c r="L503" s="541"/>
      <c r="M503" s="541"/>
      <c r="N503" s="541"/>
      <c r="O503" s="541"/>
      <c r="P503" s="541"/>
      <c r="Q503" s="541"/>
      <c r="R503" s="541"/>
      <c r="S503" s="541"/>
      <c r="T503" s="541"/>
      <c r="U503" s="541"/>
      <c r="V503" s="423"/>
      <c r="W503" s="423"/>
      <c r="X503" s="423"/>
      <c r="Y503" s="423"/>
      <c r="Z503" s="585"/>
    </row>
    <row r="504" spans="1:26" ht="13.5" customHeight="1" thickBot="1">
      <c r="A504" s="396" t="s">
        <v>163</v>
      </c>
      <c r="B504" s="396"/>
      <c r="C504" s="396"/>
      <c r="D504" s="396"/>
      <c r="E504" s="396"/>
      <c r="F504" s="396"/>
      <c r="G504" s="396"/>
      <c r="H504" s="266">
        <f>H505</f>
        <v>174000000</v>
      </c>
      <c r="I504" s="266">
        <f aca="true" t="shared" si="247" ref="I504:K508">I505</f>
        <v>280396151</v>
      </c>
      <c r="J504" s="266">
        <f t="shared" si="247"/>
        <v>280396151</v>
      </c>
      <c r="K504" s="266">
        <f t="shared" si="247"/>
        <v>222296066</v>
      </c>
      <c r="L504" s="266">
        <f>L505</f>
        <v>0</v>
      </c>
      <c r="M504" s="266"/>
      <c r="N504" s="266"/>
      <c r="O504" s="266"/>
      <c r="P504" s="266">
        <f>P505</f>
        <v>0</v>
      </c>
      <c r="Q504" s="266">
        <f>Q505</f>
        <v>0</v>
      </c>
      <c r="R504" s="266"/>
      <c r="S504" s="266"/>
      <c r="T504" s="266"/>
      <c r="U504" s="297"/>
      <c r="V504" s="298">
        <f aca="true" t="shared" si="248" ref="V504:V515">H504+L504+Q504</f>
        <v>174000000</v>
      </c>
      <c r="W504" s="298">
        <f aca="true" t="shared" si="249" ref="W504:Y515">I504+M504+R504</f>
        <v>280396151</v>
      </c>
      <c r="X504" s="298">
        <f aca="true" t="shared" si="250" ref="X504:X509">J504+N504+S504</f>
        <v>280396151</v>
      </c>
      <c r="Y504" s="298">
        <f aca="true" t="shared" si="251" ref="Y504:Y509">K504+O504+T504</f>
        <v>222296066</v>
      </c>
      <c r="Z504" s="583">
        <v>1</v>
      </c>
    </row>
    <row r="505" spans="1:26" ht="14.25" thickBot="1">
      <c r="A505" s="242">
        <v>5</v>
      </c>
      <c r="B505" s="242"/>
      <c r="C505" s="296"/>
      <c r="D505" s="189"/>
      <c r="E505" s="245"/>
      <c r="F505" s="351"/>
      <c r="G505" s="174" t="s">
        <v>49</v>
      </c>
      <c r="H505" s="240">
        <f>H506</f>
        <v>174000000</v>
      </c>
      <c r="I505" s="240">
        <f t="shared" si="247"/>
        <v>280396151</v>
      </c>
      <c r="J505" s="240">
        <f t="shared" si="247"/>
        <v>280396151</v>
      </c>
      <c r="K505" s="240">
        <f t="shared" si="247"/>
        <v>222296066</v>
      </c>
      <c r="L505" s="240">
        <f>L506</f>
        <v>0</v>
      </c>
      <c r="M505" s="240"/>
      <c r="N505" s="240"/>
      <c r="O505" s="240"/>
      <c r="P505" s="240"/>
      <c r="Q505" s="240">
        <f>Q506</f>
        <v>0</v>
      </c>
      <c r="R505" s="240"/>
      <c r="S505" s="240"/>
      <c r="T505" s="240"/>
      <c r="U505" s="242"/>
      <c r="V505" s="138">
        <f t="shared" si="248"/>
        <v>174000000</v>
      </c>
      <c r="W505" s="138">
        <f t="shared" si="249"/>
        <v>280396151</v>
      </c>
      <c r="X505" s="138">
        <f t="shared" si="250"/>
        <v>280396151</v>
      </c>
      <c r="Y505" s="138">
        <f t="shared" si="251"/>
        <v>222296066</v>
      </c>
      <c r="Z505" s="584"/>
    </row>
    <row r="506" spans="1:29" ht="14.25" customHeight="1" thickBot="1">
      <c r="A506" s="30"/>
      <c r="B506" s="168" t="s">
        <v>137</v>
      </c>
      <c r="C506" s="168"/>
      <c r="D506" s="168"/>
      <c r="E506" s="48"/>
      <c r="F506" s="365"/>
      <c r="G506" s="166" t="s">
        <v>138</v>
      </c>
      <c r="H506" s="15">
        <f>H507</f>
        <v>174000000</v>
      </c>
      <c r="I506" s="15">
        <f t="shared" si="247"/>
        <v>280396151</v>
      </c>
      <c r="J506" s="15">
        <f t="shared" si="247"/>
        <v>280396151</v>
      </c>
      <c r="K506" s="15">
        <f t="shared" si="247"/>
        <v>222296066</v>
      </c>
      <c r="L506" s="15">
        <f>L507</f>
        <v>0</v>
      </c>
      <c r="M506" s="15"/>
      <c r="N506" s="15"/>
      <c r="O506" s="15"/>
      <c r="P506" s="15"/>
      <c r="Q506" s="15">
        <f>Q507</f>
        <v>0</v>
      </c>
      <c r="R506" s="15"/>
      <c r="S506" s="15"/>
      <c r="T506" s="15"/>
      <c r="U506" s="28"/>
      <c r="V506" s="139">
        <f t="shared" si="248"/>
        <v>174000000</v>
      </c>
      <c r="W506" s="139">
        <f t="shared" si="249"/>
        <v>280396151</v>
      </c>
      <c r="X506" s="139">
        <f t="shared" si="250"/>
        <v>280396151</v>
      </c>
      <c r="Y506" s="139">
        <f t="shared" si="251"/>
        <v>222296066</v>
      </c>
      <c r="Z506" s="584"/>
      <c r="AC506" s="307"/>
    </row>
    <row r="507" spans="1:26" ht="27" customHeight="1">
      <c r="A507" s="32"/>
      <c r="B507" s="28"/>
      <c r="C507" s="168" t="s">
        <v>139</v>
      </c>
      <c r="D507" s="2"/>
      <c r="E507" s="169"/>
      <c r="F507" s="355"/>
      <c r="G507" s="166" t="s">
        <v>140</v>
      </c>
      <c r="H507" s="15">
        <f>H508</f>
        <v>174000000</v>
      </c>
      <c r="I507" s="15">
        <f t="shared" si="247"/>
        <v>280396151</v>
      </c>
      <c r="J507" s="15">
        <f t="shared" si="247"/>
        <v>280396151</v>
      </c>
      <c r="K507" s="15">
        <f t="shared" si="247"/>
        <v>222296066</v>
      </c>
      <c r="L507" s="15">
        <f>L508</f>
        <v>0</v>
      </c>
      <c r="M507" s="15"/>
      <c r="N507" s="15"/>
      <c r="O507" s="15"/>
      <c r="P507" s="15"/>
      <c r="Q507" s="15">
        <f>Q508</f>
        <v>0</v>
      </c>
      <c r="R507" s="15"/>
      <c r="S507" s="15"/>
      <c r="T507" s="15"/>
      <c r="U507" s="28"/>
      <c r="V507" s="139">
        <f t="shared" si="248"/>
        <v>174000000</v>
      </c>
      <c r="W507" s="139">
        <f t="shared" si="249"/>
        <v>280396151</v>
      </c>
      <c r="X507" s="139">
        <f t="shared" si="250"/>
        <v>280396151</v>
      </c>
      <c r="Y507" s="139">
        <f t="shared" si="251"/>
        <v>222296066</v>
      </c>
      <c r="Z507" s="584"/>
    </row>
    <row r="508" spans="1:26" ht="15.75" customHeight="1">
      <c r="A508" s="35"/>
      <c r="B508" s="28"/>
      <c r="C508" s="168"/>
      <c r="D508" s="168" t="s">
        <v>735</v>
      </c>
      <c r="E508" s="168"/>
      <c r="F508" s="355"/>
      <c r="G508" s="166" t="s">
        <v>757</v>
      </c>
      <c r="H508" s="15">
        <f>H509</f>
        <v>174000000</v>
      </c>
      <c r="I508" s="15">
        <f t="shared" si="247"/>
        <v>280396151</v>
      </c>
      <c r="J508" s="15">
        <f t="shared" si="247"/>
        <v>280396151</v>
      </c>
      <c r="K508" s="15">
        <f t="shared" si="247"/>
        <v>222296066</v>
      </c>
      <c r="L508" s="15">
        <f>L509</f>
        <v>0</v>
      </c>
      <c r="M508" s="15"/>
      <c r="N508" s="15"/>
      <c r="O508" s="15"/>
      <c r="P508" s="15"/>
      <c r="Q508" s="15">
        <f>Q509</f>
        <v>0</v>
      </c>
      <c r="R508" s="15"/>
      <c r="S508" s="15"/>
      <c r="T508" s="15"/>
      <c r="U508" s="28"/>
      <c r="V508" s="139">
        <f t="shared" si="248"/>
        <v>174000000</v>
      </c>
      <c r="W508" s="139">
        <f t="shared" si="249"/>
        <v>280396151</v>
      </c>
      <c r="X508" s="139">
        <f t="shared" si="250"/>
        <v>280396151</v>
      </c>
      <c r="Y508" s="139">
        <f t="shared" si="251"/>
        <v>222296066</v>
      </c>
      <c r="Z508" s="584"/>
    </row>
    <row r="509" spans="1:26" ht="27" customHeight="1" thickBot="1">
      <c r="A509" s="30"/>
      <c r="B509" s="241"/>
      <c r="C509" s="244"/>
      <c r="D509" s="244"/>
      <c r="E509" s="243" t="s">
        <v>758</v>
      </c>
      <c r="F509" s="363" t="s">
        <v>978</v>
      </c>
      <c r="G509" s="246" t="s">
        <v>759</v>
      </c>
      <c r="H509" s="236">
        <v>174000000</v>
      </c>
      <c r="I509" s="236">
        <v>280396151</v>
      </c>
      <c r="J509" s="236">
        <v>280396151</v>
      </c>
      <c r="K509" s="236">
        <v>222296066</v>
      </c>
      <c r="L509" s="236">
        <v>0</v>
      </c>
      <c r="M509" s="236"/>
      <c r="N509" s="236"/>
      <c r="O509" s="236"/>
      <c r="P509" s="96"/>
      <c r="Q509" s="236">
        <v>0</v>
      </c>
      <c r="R509" s="236"/>
      <c r="S509" s="236"/>
      <c r="T509" s="236"/>
      <c r="U509" s="262"/>
      <c r="V509" s="146">
        <f t="shared" si="248"/>
        <v>174000000</v>
      </c>
      <c r="W509" s="146">
        <f t="shared" si="249"/>
        <v>280396151</v>
      </c>
      <c r="X509" s="146">
        <f t="shared" si="250"/>
        <v>280396151</v>
      </c>
      <c r="Y509" s="146">
        <f t="shared" si="251"/>
        <v>222296066</v>
      </c>
      <c r="Z509" s="584"/>
    </row>
    <row r="510" spans="1:26" ht="13.5" customHeight="1" thickBot="1">
      <c r="A510" s="529" t="s">
        <v>152</v>
      </c>
      <c r="B510" s="529"/>
      <c r="C510" s="529"/>
      <c r="D510" s="529"/>
      <c r="E510" s="529"/>
      <c r="F510" s="529"/>
      <c r="G510" s="529"/>
      <c r="H510" s="291">
        <f aca="true" t="shared" si="252" ref="H510:O511">H511</f>
        <v>250000000</v>
      </c>
      <c r="I510" s="291">
        <f t="shared" si="252"/>
        <v>2279675895</v>
      </c>
      <c r="J510" s="291">
        <f t="shared" si="252"/>
        <v>1683207348</v>
      </c>
      <c r="K510" s="291">
        <f t="shared" si="252"/>
        <v>1067598171</v>
      </c>
      <c r="L510" s="291">
        <f t="shared" si="252"/>
        <v>22947824509.760002</v>
      </c>
      <c r="M510" s="291">
        <f t="shared" si="252"/>
        <v>30194809850.53</v>
      </c>
      <c r="N510" s="291">
        <f t="shared" si="252"/>
        <v>21591933087.45</v>
      </c>
      <c r="O510" s="291">
        <f t="shared" si="252"/>
        <v>17769246633.45</v>
      </c>
      <c r="P510" s="291"/>
      <c r="Q510" s="291">
        <f aca="true" t="shared" si="253" ref="Q510:T511">Q511</f>
        <v>16391072048</v>
      </c>
      <c r="R510" s="291">
        <f t="shared" si="253"/>
        <v>15942754326.840002</v>
      </c>
      <c r="S510" s="291">
        <f t="shared" si="253"/>
        <v>9384446939.7</v>
      </c>
      <c r="T510" s="291">
        <f t="shared" si="253"/>
        <v>4864083474</v>
      </c>
      <c r="U510" s="284"/>
      <c r="V510" s="291">
        <f t="shared" si="248"/>
        <v>39588896557.76</v>
      </c>
      <c r="W510" s="291">
        <f t="shared" si="249"/>
        <v>48417240072.37</v>
      </c>
      <c r="X510" s="291">
        <f t="shared" si="249"/>
        <v>32659587375.15</v>
      </c>
      <c r="Y510" s="379">
        <f t="shared" si="249"/>
        <v>23700928278.45</v>
      </c>
      <c r="Z510" s="392">
        <v>23</v>
      </c>
    </row>
    <row r="511" spans="1:26" ht="12.75" customHeight="1">
      <c r="A511" s="242">
        <v>1</v>
      </c>
      <c r="B511" s="242"/>
      <c r="C511" s="294"/>
      <c r="D511" s="264"/>
      <c r="E511" s="261"/>
      <c r="F511" s="349"/>
      <c r="G511" s="215" t="s">
        <v>1</v>
      </c>
      <c r="H511" s="255">
        <f t="shared" si="252"/>
        <v>250000000</v>
      </c>
      <c r="I511" s="255">
        <f t="shared" si="252"/>
        <v>2279675895</v>
      </c>
      <c r="J511" s="255">
        <f t="shared" si="252"/>
        <v>1683207348</v>
      </c>
      <c r="K511" s="255">
        <f t="shared" si="252"/>
        <v>1067598171</v>
      </c>
      <c r="L511" s="255">
        <f t="shared" si="252"/>
        <v>22947824509.760002</v>
      </c>
      <c r="M511" s="255">
        <f t="shared" si="252"/>
        <v>30194809850.53</v>
      </c>
      <c r="N511" s="255">
        <f t="shared" si="252"/>
        <v>21591933087.45</v>
      </c>
      <c r="O511" s="255">
        <f t="shared" si="252"/>
        <v>17769246633.45</v>
      </c>
      <c r="P511" s="60"/>
      <c r="Q511" s="60">
        <f t="shared" si="253"/>
        <v>16391072048</v>
      </c>
      <c r="R511" s="60">
        <f t="shared" si="253"/>
        <v>15942754326.840002</v>
      </c>
      <c r="S511" s="60">
        <f t="shared" si="253"/>
        <v>9384446939.7</v>
      </c>
      <c r="T511" s="60">
        <f t="shared" si="253"/>
        <v>4864083474</v>
      </c>
      <c r="U511" s="295"/>
      <c r="V511" s="216">
        <f t="shared" si="248"/>
        <v>39588896557.76</v>
      </c>
      <c r="W511" s="216">
        <f t="shared" si="249"/>
        <v>48417240072.37</v>
      </c>
      <c r="X511" s="216">
        <f t="shared" si="249"/>
        <v>32659587375.15</v>
      </c>
      <c r="Y511" s="148">
        <f t="shared" si="249"/>
        <v>23700928278.45</v>
      </c>
      <c r="Z511" s="392"/>
    </row>
    <row r="512" spans="1:26" ht="12" customHeight="1">
      <c r="A512" s="483"/>
      <c r="B512" s="209" t="s">
        <v>55</v>
      </c>
      <c r="C512" s="209"/>
      <c r="D512" s="209"/>
      <c r="E512" s="48"/>
      <c r="F512" s="365"/>
      <c r="G512" s="210" t="s">
        <v>56</v>
      </c>
      <c r="H512" s="201">
        <f aca="true" t="shared" si="254" ref="H512:O512">H513+H532+H557+H563</f>
        <v>250000000</v>
      </c>
      <c r="I512" s="201">
        <f t="shared" si="254"/>
        <v>2279675895</v>
      </c>
      <c r="J512" s="201">
        <f t="shared" si="254"/>
        <v>1683207348</v>
      </c>
      <c r="K512" s="201">
        <f t="shared" si="254"/>
        <v>1067598171</v>
      </c>
      <c r="L512" s="201">
        <f t="shared" si="254"/>
        <v>22947824509.760002</v>
      </c>
      <c r="M512" s="201">
        <f t="shared" si="254"/>
        <v>30194809850.53</v>
      </c>
      <c r="N512" s="201">
        <f t="shared" si="254"/>
        <v>21591933087.45</v>
      </c>
      <c r="O512" s="201">
        <f t="shared" si="254"/>
        <v>17769246633.45</v>
      </c>
      <c r="P512" s="11"/>
      <c r="Q512" s="11">
        <f>Q513+Q532+Q557+Q563</f>
        <v>16391072048</v>
      </c>
      <c r="R512" s="11">
        <f>R513+R532+R557+R563</f>
        <v>15942754326.840002</v>
      </c>
      <c r="S512" s="11">
        <f>S513+S532+S557+S563</f>
        <v>9384446939.7</v>
      </c>
      <c r="T512" s="11">
        <f>T513+T532+T557+T563</f>
        <v>4864083474</v>
      </c>
      <c r="U512" s="11">
        <v>0</v>
      </c>
      <c r="V512" s="211">
        <f t="shared" si="248"/>
        <v>39588896557.76</v>
      </c>
      <c r="W512" s="211">
        <f t="shared" si="249"/>
        <v>48417240072.37</v>
      </c>
      <c r="X512" s="211">
        <f t="shared" si="249"/>
        <v>32659587375.15</v>
      </c>
      <c r="Y512" s="147">
        <f t="shared" si="249"/>
        <v>23700928278.45</v>
      </c>
      <c r="Z512" s="392"/>
    </row>
    <row r="513" spans="1:26" ht="24" customHeight="1">
      <c r="A513" s="484"/>
      <c r="B513" s="483"/>
      <c r="C513" s="209" t="s">
        <v>146</v>
      </c>
      <c r="D513" s="2"/>
      <c r="E513" s="212"/>
      <c r="F513" s="209"/>
      <c r="G513" s="210" t="s">
        <v>147</v>
      </c>
      <c r="H513" s="201">
        <f aca="true" t="shared" si="255" ref="H513:O513">H514+H517+H521+H526+H528+H530</f>
        <v>50000000</v>
      </c>
      <c r="I513" s="201">
        <f t="shared" si="255"/>
        <v>747226663</v>
      </c>
      <c r="J513" s="201">
        <f t="shared" si="255"/>
        <v>533526663</v>
      </c>
      <c r="K513" s="201">
        <f t="shared" si="255"/>
        <v>265200000</v>
      </c>
      <c r="L513" s="11">
        <f t="shared" si="255"/>
        <v>17268470301</v>
      </c>
      <c r="M513" s="11">
        <f t="shared" si="255"/>
        <v>23431492963.78</v>
      </c>
      <c r="N513" s="11">
        <f t="shared" si="255"/>
        <v>16370067129</v>
      </c>
      <c r="O513" s="11">
        <f t="shared" si="255"/>
        <v>13326060492</v>
      </c>
      <c r="P513" s="201"/>
      <c r="Q513" s="201">
        <f>Q514+Q517+Q521+Q526+Q528+Q530</f>
        <v>13654585146</v>
      </c>
      <c r="R513" s="201">
        <f>R514+R517+R521+R526+R528+R530</f>
        <v>11150994028.720001</v>
      </c>
      <c r="S513" s="201">
        <f>S514+S517+S521+S526+S528+S530</f>
        <v>5641130719</v>
      </c>
      <c r="T513" s="201">
        <f>T514+T517+T521+T526+T528+T530</f>
        <v>1854125380.3</v>
      </c>
      <c r="U513" s="201">
        <v>0</v>
      </c>
      <c r="V513" s="211">
        <f t="shared" si="248"/>
        <v>30973055447</v>
      </c>
      <c r="W513" s="211">
        <f t="shared" si="249"/>
        <v>35329713655.5</v>
      </c>
      <c r="X513" s="211">
        <f t="shared" si="249"/>
        <v>22544724511</v>
      </c>
      <c r="Y513" s="147">
        <f t="shared" si="249"/>
        <v>15445385872.3</v>
      </c>
      <c r="Z513" s="392"/>
    </row>
    <row r="514" spans="1:26" ht="42" customHeight="1">
      <c r="A514" s="484"/>
      <c r="B514" s="484"/>
      <c r="C514" s="487"/>
      <c r="D514" s="209" t="s">
        <v>769</v>
      </c>
      <c r="E514" s="209"/>
      <c r="F514" s="209"/>
      <c r="G514" s="210" t="s">
        <v>770</v>
      </c>
      <c r="H514" s="201">
        <f>H515</f>
        <v>0</v>
      </c>
      <c r="I514" s="201"/>
      <c r="J514" s="201"/>
      <c r="K514" s="201"/>
      <c r="L514" s="11">
        <f>L515</f>
        <v>14635250569</v>
      </c>
      <c r="M514" s="11">
        <f>M515</f>
        <v>18458225124.77</v>
      </c>
      <c r="N514" s="11">
        <f>N515</f>
        <v>13935444855</v>
      </c>
      <c r="O514" s="11">
        <f>O515</f>
        <v>11471170538</v>
      </c>
      <c r="P514" s="201"/>
      <c r="Q514" s="201">
        <f>Q515</f>
        <v>0</v>
      </c>
      <c r="R514" s="201"/>
      <c r="S514" s="201"/>
      <c r="T514" s="201"/>
      <c r="U514" s="58"/>
      <c r="V514" s="211">
        <f t="shared" si="248"/>
        <v>14635250569</v>
      </c>
      <c r="W514" s="211">
        <f t="shared" si="249"/>
        <v>18458225124.77</v>
      </c>
      <c r="X514" s="211">
        <f t="shared" si="249"/>
        <v>13935444855</v>
      </c>
      <c r="Y514" s="147">
        <f t="shared" si="249"/>
        <v>11471170538</v>
      </c>
      <c r="Z514" s="392"/>
    </row>
    <row r="515" spans="1:26" ht="18" customHeight="1">
      <c r="A515" s="484"/>
      <c r="B515" s="484"/>
      <c r="C515" s="488"/>
      <c r="D515" s="394"/>
      <c r="E515" s="78" t="s">
        <v>771</v>
      </c>
      <c r="F515" s="487" t="s">
        <v>979</v>
      </c>
      <c r="G515" s="491" t="s">
        <v>772</v>
      </c>
      <c r="H515" s="446">
        <v>0</v>
      </c>
      <c r="I515" s="446"/>
      <c r="J515" s="446"/>
      <c r="K515" s="446"/>
      <c r="L515" s="557">
        <v>14635250569</v>
      </c>
      <c r="M515" s="446">
        <v>18458225124.77</v>
      </c>
      <c r="N515" s="446">
        <v>13935444855</v>
      </c>
      <c r="O515" s="446">
        <v>11471170538</v>
      </c>
      <c r="P515" s="446" t="s">
        <v>857</v>
      </c>
      <c r="Q515" s="446">
        <v>0</v>
      </c>
      <c r="R515" s="446"/>
      <c r="S515" s="446"/>
      <c r="T515" s="446"/>
      <c r="U515" s="566"/>
      <c r="V515" s="440">
        <f t="shared" si="248"/>
        <v>14635250569</v>
      </c>
      <c r="W515" s="440">
        <f t="shared" si="249"/>
        <v>18458225124.77</v>
      </c>
      <c r="X515" s="440">
        <f t="shared" si="249"/>
        <v>13935444855</v>
      </c>
      <c r="Y515" s="443">
        <f t="shared" si="249"/>
        <v>11471170538</v>
      </c>
      <c r="Z515" s="392"/>
    </row>
    <row r="516" spans="1:29" ht="21" customHeight="1">
      <c r="A516" s="484"/>
      <c r="B516" s="484"/>
      <c r="C516" s="488"/>
      <c r="D516" s="395"/>
      <c r="E516" s="213" t="s">
        <v>773</v>
      </c>
      <c r="F516" s="489"/>
      <c r="G516" s="493"/>
      <c r="H516" s="448"/>
      <c r="I516" s="448"/>
      <c r="J516" s="448"/>
      <c r="K516" s="448"/>
      <c r="L516" s="558"/>
      <c r="M516" s="448"/>
      <c r="N516" s="448"/>
      <c r="O516" s="448"/>
      <c r="P516" s="448"/>
      <c r="Q516" s="448"/>
      <c r="R516" s="448"/>
      <c r="S516" s="448"/>
      <c r="T516" s="448"/>
      <c r="U516" s="567"/>
      <c r="V516" s="452"/>
      <c r="W516" s="452"/>
      <c r="X516" s="452"/>
      <c r="Y516" s="563"/>
      <c r="Z516" s="392"/>
      <c r="AB516" s="92"/>
      <c r="AC516" s="13"/>
    </row>
    <row r="517" spans="1:26" ht="28.5" customHeight="1">
      <c r="A517" s="484"/>
      <c r="B517" s="484"/>
      <c r="C517" s="488"/>
      <c r="D517" s="25" t="s">
        <v>774</v>
      </c>
      <c r="E517" s="212"/>
      <c r="F517" s="209"/>
      <c r="G517" s="210" t="s">
        <v>775</v>
      </c>
      <c r="H517" s="201">
        <f>H518</f>
        <v>0</v>
      </c>
      <c r="I517" s="201"/>
      <c r="J517" s="201"/>
      <c r="K517" s="201"/>
      <c r="L517" s="11">
        <f>L518</f>
        <v>2153219732</v>
      </c>
      <c r="M517" s="11">
        <f>M518</f>
        <v>4378787839.01</v>
      </c>
      <c r="N517" s="11">
        <f>N518</f>
        <v>1897442607</v>
      </c>
      <c r="O517" s="11">
        <f>O518</f>
        <v>1363813288</v>
      </c>
      <c r="P517" s="201"/>
      <c r="Q517" s="201">
        <f>SUM(Q518:Q520)</f>
        <v>13654585146</v>
      </c>
      <c r="R517" s="201">
        <f>SUM(R518:R520)</f>
        <v>10820994028.720001</v>
      </c>
      <c r="S517" s="201">
        <f>SUM(S518:S520)</f>
        <v>5311130719</v>
      </c>
      <c r="T517" s="201">
        <f>SUM(T518:T520)</f>
        <v>1524125380.3</v>
      </c>
      <c r="U517" s="59"/>
      <c r="V517" s="211">
        <f>H517+L517+Q517</f>
        <v>15807804878</v>
      </c>
      <c r="W517" s="211">
        <f>I517+M517+R517</f>
        <v>15199781867.730001</v>
      </c>
      <c r="X517" s="211">
        <f>J517+N517+S517</f>
        <v>7208573326</v>
      </c>
      <c r="Y517" s="147">
        <f>K517+O517+T517</f>
        <v>2887938668.3</v>
      </c>
      <c r="Z517" s="392"/>
    </row>
    <row r="518" spans="1:26" ht="12.75" customHeight="1">
      <c r="A518" s="484"/>
      <c r="B518" s="484"/>
      <c r="C518" s="488"/>
      <c r="D518" s="394"/>
      <c r="E518" s="213" t="s">
        <v>776</v>
      </c>
      <c r="F518" s="487" t="s">
        <v>980</v>
      </c>
      <c r="G518" s="491" t="s">
        <v>777</v>
      </c>
      <c r="H518" s="446">
        <v>0</v>
      </c>
      <c r="I518" s="446"/>
      <c r="J518" s="446"/>
      <c r="K518" s="446"/>
      <c r="L518" s="557">
        <v>2153219732</v>
      </c>
      <c r="M518" s="446">
        <v>4378787839.01</v>
      </c>
      <c r="N518" s="446">
        <v>1897442607</v>
      </c>
      <c r="O518" s="446">
        <v>1363813288</v>
      </c>
      <c r="P518" s="446" t="s">
        <v>857</v>
      </c>
      <c r="Q518" s="112">
        <v>9563390263</v>
      </c>
      <c r="R518" s="112">
        <v>4895839247.5</v>
      </c>
      <c r="S518" s="112">
        <v>4729570719</v>
      </c>
      <c r="T518" s="112">
        <v>1258698180.3</v>
      </c>
      <c r="U518" s="198" t="s">
        <v>854</v>
      </c>
      <c r="V518" s="440">
        <f>H518+L518+Q518+Q519+Q520</f>
        <v>15807804878</v>
      </c>
      <c r="W518" s="440">
        <f>I518+M518+R518+R519+R520</f>
        <v>15199781867.73</v>
      </c>
      <c r="X518" s="440">
        <f>J518+N518+S518+S519+S520</f>
        <v>7208573326</v>
      </c>
      <c r="Y518" s="443">
        <f>K518+O518+T518+T519+T520</f>
        <v>2887938668.3</v>
      </c>
      <c r="Z518" s="392"/>
    </row>
    <row r="519" spans="1:29" ht="13.5" customHeight="1">
      <c r="A519" s="484"/>
      <c r="B519" s="484"/>
      <c r="C519" s="488"/>
      <c r="D519" s="503"/>
      <c r="E519" s="213" t="s">
        <v>778</v>
      </c>
      <c r="F519" s="488"/>
      <c r="G519" s="492"/>
      <c r="H519" s="447"/>
      <c r="I519" s="447"/>
      <c r="J519" s="447"/>
      <c r="K519" s="447"/>
      <c r="L519" s="562"/>
      <c r="M519" s="447"/>
      <c r="N519" s="447"/>
      <c r="O519" s="447"/>
      <c r="P519" s="447"/>
      <c r="Q519" s="101">
        <v>0</v>
      </c>
      <c r="R519" s="101">
        <f>67769293.83+1616452872.39</f>
        <v>1684222166.22</v>
      </c>
      <c r="S519" s="101">
        <v>581560000</v>
      </c>
      <c r="T519" s="101">
        <v>265427200</v>
      </c>
      <c r="U519" s="207" t="s">
        <v>1061</v>
      </c>
      <c r="V519" s="565"/>
      <c r="W519" s="565"/>
      <c r="X519" s="565"/>
      <c r="Y519" s="564"/>
      <c r="Z519" s="392"/>
      <c r="AB519" s="92"/>
      <c r="AC519" s="13"/>
    </row>
    <row r="520" spans="1:26" ht="15" customHeight="1">
      <c r="A520" s="484"/>
      <c r="B520" s="484"/>
      <c r="C520" s="488"/>
      <c r="D520" s="395"/>
      <c r="E520" s="214" t="s">
        <v>779</v>
      </c>
      <c r="F520" s="489"/>
      <c r="G520" s="493"/>
      <c r="H520" s="448"/>
      <c r="I520" s="448"/>
      <c r="J520" s="448"/>
      <c r="K520" s="448"/>
      <c r="L520" s="558"/>
      <c r="M520" s="448"/>
      <c r="N520" s="448"/>
      <c r="O520" s="448"/>
      <c r="P520" s="448"/>
      <c r="Q520" s="124">
        <v>4091194883</v>
      </c>
      <c r="R520" s="124">
        <v>4240932615</v>
      </c>
      <c r="S520" s="124">
        <v>0</v>
      </c>
      <c r="T520" s="124">
        <v>0</v>
      </c>
      <c r="U520" s="207" t="s">
        <v>855</v>
      </c>
      <c r="V520" s="452"/>
      <c r="W520" s="452"/>
      <c r="X520" s="452"/>
      <c r="Y520" s="563"/>
      <c r="Z520" s="392"/>
    </row>
    <row r="521" spans="1:26" ht="57" customHeight="1">
      <c r="A521" s="484"/>
      <c r="B521" s="484"/>
      <c r="C521" s="488"/>
      <c r="D521" s="209" t="s">
        <v>780</v>
      </c>
      <c r="E521" s="209"/>
      <c r="F521" s="349"/>
      <c r="G521" s="215" t="s">
        <v>781</v>
      </c>
      <c r="H521" s="203">
        <f aca="true" t="shared" si="256" ref="H521:O521">H522</f>
        <v>20000000</v>
      </c>
      <c r="I521" s="203">
        <f t="shared" si="256"/>
        <v>685026663</v>
      </c>
      <c r="J521" s="203">
        <f t="shared" si="256"/>
        <v>533526663</v>
      </c>
      <c r="K521" s="203">
        <f t="shared" si="256"/>
        <v>265200000</v>
      </c>
      <c r="L521" s="60">
        <f t="shared" si="256"/>
        <v>130000000</v>
      </c>
      <c r="M521" s="60">
        <f t="shared" si="256"/>
        <v>214480000</v>
      </c>
      <c r="N521" s="60">
        <f t="shared" si="256"/>
        <v>214479667</v>
      </c>
      <c r="O521" s="60">
        <f t="shared" si="256"/>
        <v>183876666</v>
      </c>
      <c r="P521" s="203"/>
      <c r="Q521" s="201">
        <f>Q522</f>
        <v>0</v>
      </c>
      <c r="R521" s="203"/>
      <c r="S521" s="203"/>
      <c r="T521" s="203"/>
      <c r="U521" s="61"/>
      <c r="V521" s="211">
        <f>H521+L521+Q521</f>
        <v>150000000</v>
      </c>
      <c r="W521" s="211">
        <f aca="true" t="shared" si="257" ref="W521:Y522">I521+M521+R521</f>
        <v>899506663</v>
      </c>
      <c r="X521" s="211">
        <f t="shared" si="257"/>
        <v>748006330</v>
      </c>
      <c r="Y521" s="147">
        <f t="shared" si="257"/>
        <v>449076666</v>
      </c>
      <c r="Z521" s="392"/>
    </row>
    <row r="522" spans="1:26" ht="14.25" customHeight="1">
      <c r="A522" s="484"/>
      <c r="B522" s="484"/>
      <c r="C522" s="488"/>
      <c r="D522" s="487"/>
      <c r="E522" s="209" t="s">
        <v>782</v>
      </c>
      <c r="F522" s="497" t="s">
        <v>981</v>
      </c>
      <c r="G522" s="491" t="s">
        <v>783</v>
      </c>
      <c r="H522" s="554">
        <v>20000000</v>
      </c>
      <c r="I522" s="554">
        <f>535026663+150000000</f>
        <v>685026663</v>
      </c>
      <c r="J522" s="554">
        <f>517726663+15800000</f>
        <v>533526663</v>
      </c>
      <c r="K522" s="554">
        <v>265200000</v>
      </c>
      <c r="L522" s="554">
        <v>130000000</v>
      </c>
      <c r="M522" s="554">
        <v>214480000</v>
      </c>
      <c r="N522" s="554">
        <v>214479667</v>
      </c>
      <c r="O522" s="554">
        <v>183876666</v>
      </c>
      <c r="P522" s="446" t="s">
        <v>856</v>
      </c>
      <c r="Q522" s="446">
        <v>0</v>
      </c>
      <c r="R522" s="446"/>
      <c r="S522" s="446"/>
      <c r="T522" s="446"/>
      <c r="U522" s="446"/>
      <c r="V522" s="446">
        <f>H522+L522+Q522</f>
        <v>150000000</v>
      </c>
      <c r="W522" s="446">
        <f t="shared" si="257"/>
        <v>899506663</v>
      </c>
      <c r="X522" s="446">
        <f t="shared" si="257"/>
        <v>748006330</v>
      </c>
      <c r="Y522" s="449">
        <f t="shared" si="257"/>
        <v>449076666</v>
      </c>
      <c r="Z522" s="392"/>
    </row>
    <row r="523" spans="1:26" ht="13.5" customHeight="1">
      <c r="A523" s="484"/>
      <c r="B523" s="484"/>
      <c r="C523" s="488"/>
      <c r="D523" s="488"/>
      <c r="E523" s="209" t="s">
        <v>784</v>
      </c>
      <c r="F523" s="498"/>
      <c r="G523" s="492"/>
      <c r="H523" s="555"/>
      <c r="I523" s="555"/>
      <c r="J523" s="555"/>
      <c r="K523" s="555"/>
      <c r="L523" s="555"/>
      <c r="M523" s="555"/>
      <c r="N523" s="555"/>
      <c r="O523" s="555"/>
      <c r="P523" s="447"/>
      <c r="Q523" s="447"/>
      <c r="R523" s="447"/>
      <c r="S523" s="447"/>
      <c r="T523" s="447"/>
      <c r="U523" s="447"/>
      <c r="V523" s="447"/>
      <c r="W523" s="447"/>
      <c r="X523" s="447"/>
      <c r="Y523" s="450"/>
      <c r="Z523" s="392"/>
    </row>
    <row r="524" spans="1:26" ht="13.5" customHeight="1">
      <c r="A524" s="484"/>
      <c r="B524" s="484"/>
      <c r="C524" s="488"/>
      <c r="D524" s="488"/>
      <c r="E524" s="209" t="s">
        <v>785</v>
      </c>
      <c r="F524" s="498"/>
      <c r="G524" s="492"/>
      <c r="H524" s="555"/>
      <c r="I524" s="555"/>
      <c r="J524" s="555"/>
      <c r="K524" s="555"/>
      <c r="L524" s="555"/>
      <c r="M524" s="555"/>
      <c r="N524" s="555"/>
      <c r="O524" s="555"/>
      <c r="P524" s="447"/>
      <c r="Q524" s="447"/>
      <c r="R524" s="447"/>
      <c r="S524" s="447"/>
      <c r="T524" s="447"/>
      <c r="U524" s="447"/>
      <c r="V524" s="447"/>
      <c r="W524" s="447"/>
      <c r="X524" s="447"/>
      <c r="Y524" s="450"/>
      <c r="Z524" s="392"/>
    </row>
    <row r="525" spans="1:26" ht="13.5" customHeight="1">
      <c r="A525" s="484"/>
      <c r="B525" s="484"/>
      <c r="C525" s="488"/>
      <c r="D525" s="488"/>
      <c r="E525" s="209" t="s">
        <v>786</v>
      </c>
      <c r="F525" s="499"/>
      <c r="G525" s="493"/>
      <c r="H525" s="556"/>
      <c r="I525" s="556"/>
      <c r="J525" s="556"/>
      <c r="K525" s="556"/>
      <c r="L525" s="556"/>
      <c r="M525" s="556"/>
      <c r="N525" s="556"/>
      <c r="O525" s="556"/>
      <c r="P525" s="448"/>
      <c r="Q525" s="448"/>
      <c r="R525" s="448"/>
      <c r="S525" s="448"/>
      <c r="T525" s="448"/>
      <c r="U525" s="448"/>
      <c r="V525" s="448"/>
      <c r="W525" s="448"/>
      <c r="X525" s="448"/>
      <c r="Y525" s="451"/>
      <c r="Z525" s="392"/>
    </row>
    <row r="526" spans="1:26" ht="18.75" customHeight="1">
      <c r="A526" s="484"/>
      <c r="B526" s="484"/>
      <c r="C526" s="488"/>
      <c r="D526" s="209" t="s">
        <v>787</v>
      </c>
      <c r="E526" s="209"/>
      <c r="F526" s="209"/>
      <c r="G526" s="210" t="s">
        <v>788</v>
      </c>
      <c r="H526" s="201">
        <f>H527</f>
        <v>0</v>
      </c>
      <c r="I526" s="203"/>
      <c r="J526" s="203"/>
      <c r="K526" s="203"/>
      <c r="L526" s="60">
        <f>L527</f>
        <v>10000000</v>
      </c>
      <c r="M526" s="60">
        <f>M527</f>
        <v>40000000</v>
      </c>
      <c r="N526" s="60">
        <f>N527</f>
        <v>15500000</v>
      </c>
      <c r="O526" s="60">
        <f>O527</f>
        <v>0</v>
      </c>
      <c r="P526" s="203"/>
      <c r="Q526" s="203">
        <f>Q527</f>
        <v>0</v>
      </c>
      <c r="R526" s="203">
        <f>R527</f>
        <v>330000000</v>
      </c>
      <c r="S526" s="203">
        <f>S527</f>
        <v>330000000</v>
      </c>
      <c r="T526" s="203">
        <f>T527</f>
        <v>330000000</v>
      </c>
      <c r="U526" s="61"/>
      <c r="V526" s="216">
        <f aca="true" t="shared" si="258" ref="V526:Y535">H526+L526+Q526</f>
        <v>10000000</v>
      </c>
      <c r="W526" s="216">
        <f t="shared" si="258"/>
        <v>370000000</v>
      </c>
      <c r="X526" s="216">
        <f t="shared" si="258"/>
        <v>345500000</v>
      </c>
      <c r="Y526" s="148">
        <f t="shared" si="258"/>
        <v>330000000</v>
      </c>
      <c r="Z526" s="392"/>
    </row>
    <row r="527" spans="1:26" ht="41.25">
      <c r="A527" s="484"/>
      <c r="B527" s="484"/>
      <c r="C527" s="488"/>
      <c r="D527" s="209"/>
      <c r="E527" s="209" t="s">
        <v>789</v>
      </c>
      <c r="F527" s="209" t="s">
        <v>982</v>
      </c>
      <c r="G527" s="42" t="s">
        <v>790</v>
      </c>
      <c r="H527" s="206">
        <v>0</v>
      </c>
      <c r="I527" s="206"/>
      <c r="J527" s="206"/>
      <c r="K527" s="206"/>
      <c r="L527" s="75">
        <v>10000000</v>
      </c>
      <c r="M527" s="75">
        <v>40000000</v>
      </c>
      <c r="N527" s="75">
        <v>15500000</v>
      </c>
      <c r="O527" s="75">
        <v>0</v>
      </c>
      <c r="P527" s="212" t="s">
        <v>856</v>
      </c>
      <c r="Q527" s="201">
        <v>0</v>
      </c>
      <c r="R527" s="201">
        <v>330000000</v>
      </c>
      <c r="S527" s="201">
        <v>330000000</v>
      </c>
      <c r="T527" s="201">
        <v>330000000</v>
      </c>
      <c r="U527" s="207" t="s">
        <v>1061</v>
      </c>
      <c r="V527" s="217">
        <f t="shared" si="258"/>
        <v>10000000</v>
      </c>
      <c r="W527" s="217">
        <f t="shared" si="258"/>
        <v>370000000</v>
      </c>
      <c r="X527" s="217">
        <f t="shared" si="258"/>
        <v>345500000</v>
      </c>
      <c r="Y527" s="149">
        <f t="shared" si="258"/>
        <v>330000000</v>
      </c>
      <c r="Z527" s="392"/>
    </row>
    <row r="528" spans="1:26" ht="13.5">
      <c r="A528" s="484"/>
      <c r="B528" s="484"/>
      <c r="C528" s="488"/>
      <c r="D528" s="209" t="s">
        <v>791</v>
      </c>
      <c r="E528" s="209"/>
      <c r="F528" s="209"/>
      <c r="G528" s="210" t="s">
        <v>792</v>
      </c>
      <c r="H528" s="201">
        <v>0</v>
      </c>
      <c r="I528" s="201"/>
      <c r="J528" s="201"/>
      <c r="K528" s="201"/>
      <c r="L528" s="11">
        <f>L529</f>
        <v>20000000</v>
      </c>
      <c r="M528" s="11">
        <f>M529</f>
        <v>20000000</v>
      </c>
      <c r="N528" s="11">
        <f>N529</f>
        <v>7200000</v>
      </c>
      <c r="O528" s="11">
        <f>O529</f>
        <v>7200000</v>
      </c>
      <c r="P528" s="201"/>
      <c r="Q528" s="201">
        <f>Q529</f>
        <v>0</v>
      </c>
      <c r="R528" s="201"/>
      <c r="S528" s="201"/>
      <c r="T528" s="201"/>
      <c r="U528" s="59"/>
      <c r="V528" s="211">
        <f t="shared" si="258"/>
        <v>20000000</v>
      </c>
      <c r="W528" s="211">
        <f t="shared" si="258"/>
        <v>20000000</v>
      </c>
      <c r="X528" s="211">
        <f t="shared" si="258"/>
        <v>7200000</v>
      </c>
      <c r="Y528" s="147">
        <f t="shared" si="258"/>
        <v>7200000</v>
      </c>
      <c r="Z528" s="392"/>
    </row>
    <row r="529" spans="1:26" ht="25.5">
      <c r="A529" s="484"/>
      <c r="B529" s="484"/>
      <c r="C529" s="488"/>
      <c r="D529" s="209"/>
      <c r="E529" s="209" t="s">
        <v>793</v>
      </c>
      <c r="F529" s="209" t="s">
        <v>983</v>
      </c>
      <c r="G529" s="42" t="s">
        <v>794</v>
      </c>
      <c r="H529" s="206">
        <v>0</v>
      </c>
      <c r="I529" s="206"/>
      <c r="J529" s="206"/>
      <c r="K529" s="206"/>
      <c r="L529" s="75">
        <v>20000000</v>
      </c>
      <c r="M529" s="75">
        <v>20000000</v>
      </c>
      <c r="N529" s="75">
        <v>7200000</v>
      </c>
      <c r="O529" s="75">
        <v>7200000</v>
      </c>
      <c r="P529" s="212" t="s">
        <v>856</v>
      </c>
      <c r="Q529" s="201">
        <v>0</v>
      </c>
      <c r="R529" s="201"/>
      <c r="S529" s="201"/>
      <c r="T529" s="201"/>
      <c r="U529" s="53"/>
      <c r="V529" s="217">
        <f t="shared" si="258"/>
        <v>20000000</v>
      </c>
      <c r="W529" s="217">
        <f t="shared" si="258"/>
        <v>20000000</v>
      </c>
      <c r="X529" s="217">
        <f t="shared" si="258"/>
        <v>7200000</v>
      </c>
      <c r="Y529" s="149">
        <f t="shared" si="258"/>
        <v>7200000</v>
      </c>
      <c r="Z529" s="392"/>
    </row>
    <row r="530" spans="1:26" ht="27.75" customHeight="1">
      <c r="A530" s="484"/>
      <c r="B530" s="484"/>
      <c r="C530" s="488"/>
      <c r="D530" s="209" t="s">
        <v>795</v>
      </c>
      <c r="E530" s="209"/>
      <c r="F530" s="209"/>
      <c r="G530" s="210" t="s">
        <v>796</v>
      </c>
      <c r="H530" s="201">
        <f aca="true" t="shared" si="259" ref="H530:O530">H531</f>
        <v>30000000</v>
      </c>
      <c r="I530" s="201">
        <f t="shared" si="259"/>
        <v>62200000</v>
      </c>
      <c r="J530" s="201">
        <f t="shared" si="259"/>
        <v>0</v>
      </c>
      <c r="K530" s="201">
        <f t="shared" si="259"/>
        <v>0</v>
      </c>
      <c r="L530" s="11">
        <f t="shared" si="259"/>
        <v>320000000</v>
      </c>
      <c r="M530" s="11">
        <f t="shared" si="259"/>
        <v>320000000</v>
      </c>
      <c r="N530" s="11">
        <f t="shared" si="259"/>
        <v>300000000</v>
      </c>
      <c r="O530" s="11">
        <f t="shared" si="259"/>
        <v>300000000</v>
      </c>
      <c r="P530" s="201"/>
      <c r="Q530" s="201">
        <f>Q531</f>
        <v>0</v>
      </c>
      <c r="R530" s="201"/>
      <c r="S530" s="201"/>
      <c r="T530" s="201"/>
      <c r="U530" s="59"/>
      <c r="V530" s="211">
        <f t="shared" si="258"/>
        <v>350000000</v>
      </c>
      <c r="W530" s="211">
        <f t="shared" si="258"/>
        <v>382200000</v>
      </c>
      <c r="X530" s="211">
        <f t="shared" si="258"/>
        <v>300000000</v>
      </c>
      <c r="Y530" s="147">
        <f t="shared" si="258"/>
        <v>300000000</v>
      </c>
      <c r="Z530" s="392"/>
    </row>
    <row r="531" spans="1:26" ht="27.75" customHeight="1">
      <c r="A531" s="484"/>
      <c r="B531" s="484"/>
      <c r="C531" s="489"/>
      <c r="D531" s="209"/>
      <c r="E531" s="209" t="s">
        <v>797</v>
      </c>
      <c r="F531" s="209" t="s">
        <v>984</v>
      </c>
      <c r="G531" s="205" t="s">
        <v>798</v>
      </c>
      <c r="H531" s="206">
        <v>30000000</v>
      </c>
      <c r="I531" s="206">
        <v>62200000</v>
      </c>
      <c r="J531" s="206">
        <v>0</v>
      </c>
      <c r="K531" s="206">
        <v>0</v>
      </c>
      <c r="L531" s="75">
        <v>320000000</v>
      </c>
      <c r="M531" s="75">
        <v>320000000</v>
      </c>
      <c r="N531" s="75">
        <v>300000000</v>
      </c>
      <c r="O531" s="75">
        <v>300000000</v>
      </c>
      <c r="P531" s="212" t="s">
        <v>1027</v>
      </c>
      <c r="Q531" s="201">
        <v>0</v>
      </c>
      <c r="R531" s="201"/>
      <c r="S531" s="201"/>
      <c r="T531" s="201"/>
      <c r="U531" s="53"/>
      <c r="V531" s="217">
        <f t="shared" si="258"/>
        <v>350000000</v>
      </c>
      <c r="W531" s="217">
        <f t="shared" si="258"/>
        <v>382200000</v>
      </c>
      <c r="X531" s="217">
        <f t="shared" si="258"/>
        <v>300000000</v>
      </c>
      <c r="Y531" s="149">
        <f t="shared" si="258"/>
        <v>300000000</v>
      </c>
      <c r="Z531" s="392"/>
    </row>
    <row r="532" spans="1:26" ht="14.25" customHeight="1">
      <c r="A532" s="484"/>
      <c r="B532" s="484"/>
      <c r="C532" s="209" t="s">
        <v>148</v>
      </c>
      <c r="D532" s="212"/>
      <c r="E532" s="212"/>
      <c r="F532" s="209"/>
      <c r="G532" s="210" t="s">
        <v>149</v>
      </c>
      <c r="H532" s="44">
        <f aca="true" t="shared" si="260" ref="H532:O532">H533+H543+H548+H550+H552</f>
        <v>150000000</v>
      </c>
      <c r="I532" s="44">
        <f t="shared" si="260"/>
        <v>723608667</v>
      </c>
      <c r="J532" s="44">
        <f t="shared" si="260"/>
        <v>507903454</v>
      </c>
      <c r="K532" s="44">
        <f t="shared" si="260"/>
        <v>303042605</v>
      </c>
      <c r="L532" s="57">
        <f t="shared" si="260"/>
        <v>5578354208.76</v>
      </c>
      <c r="M532" s="57">
        <f t="shared" si="260"/>
        <v>6529957781.75</v>
      </c>
      <c r="N532" s="57">
        <f t="shared" si="260"/>
        <v>5006056295.45</v>
      </c>
      <c r="O532" s="57">
        <f t="shared" si="260"/>
        <v>4237836145.45</v>
      </c>
      <c r="P532" s="44"/>
      <c r="Q532" s="44">
        <f>Q533+Q543+Q548+Q550+Q552</f>
        <v>2736486902</v>
      </c>
      <c r="R532" s="44">
        <f>R533+R543+R548+R550+R552</f>
        <v>4554344617.360001</v>
      </c>
      <c r="S532" s="44">
        <f>S533+S543+S548+S550+S552</f>
        <v>3534711498.85</v>
      </c>
      <c r="T532" s="44">
        <f>T533+T543+T548+T550+T552</f>
        <v>2823233752</v>
      </c>
      <c r="U532" s="54"/>
      <c r="V532" s="211">
        <f t="shared" si="258"/>
        <v>8464841110.76</v>
      </c>
      <c r="W532" s="211">
        <f t="shared" si="258"/>
        <v>11807911066.11</v>
      </c>
      <c r="X532" s="211">
        <f t="shared" si="258"/>
        <v>9048671248.3</v>
      </c>
      <c r="Y532" s="147">
        <f t="shared" si="258"/>
        <v>7364112502.45</v>
      </c>
      <c r="Z532" s="392"/>
    </row>
    <row r="533" spans="1:26" ht="27" customHeight="1">
      <c r="A533" s="484"/>
      <c r="B533" s="484"/>
      <c r="C533" s="487"/>
      <c r="D533" s="209" t="s">
        <v>799</v>
      </c>
      <c r="E533" s="209"/>
      <c r="F533" s="209"/>
      <c r="G533" s="210" t="s">
        <v>800</v>
      </c>
      <c r="H533" s="201">
        <f aca="true" t="shared" si="261" ref="H533:O533">H534+H535+H539+H540+H542</f>
        <v>120000000</v>
      </c>
      <c r="I533" s="201">
        <f t="shared" si="261"/>
        <v>225743334</v>
      </c>
      <c r="J533" s="201">
        <f t="shared" si="261"/>
        <v>181780034</v>
      </c>
      <c r="K533" s="201">
        <f t="shared" si="261"/>
        <v>127913205</v>
      </c>
      <c r="L533" s="11">
        <f t="shared" si="261"/>
        <v>340000000</v>
      </c>
      <c r="M533" s="11">
        <f t="shared" si="261"/>
        <v>353593333</v>
      </c>
      <c r="N533" s="11">
        <f t="shared" si="261"/>
        <v>322857334</v>
      </c>
      <c r="O533" s="11">
        <f t="shared" si="261"/>
        <v>278881333</v>
      </c>
      <c r="P533" s="201"/>
      <c r="Q533" s="201">
        <f>Q534+Q535+Q539+Q540+Q542</f>
        <v>2101486902</v>
      </c>
      <c r="R533" s="201">
        <f>R534+R535+R539+R540+R542</f>
        <v>2978029781.36</v>
      </c>
      <c r="S533" s="201">
        <f>S534+S535+S539+S540+S542</f>
        <v>2262497398.85</v>
      </c>
      <c r="T533" s="201">
        <f>T534+T535+T539+T540+T542</f>
        <v>2080232538</v>
      </c>
      <c r="U533" s="62"/>
      <c r="V533" s="211">
        <f t="shared" si="258"/>
        <v>2561486902</v>
      </c>
      <c r="W533" s="211">
        <f t="shared" si="258"/>
        <v>3557366448.36</v>
      </c>
      <c r="X533" s="211">
        <f t="shared" si="258"/>
        <v>2767134766.85</v>
      </c>
      <c r="Y533" s="147">
        <f t="shared" si="258"/>
        <v>2487027076</v>
      </c>
      <c r="Z533" s="392"/>
    </row>
    <row r="534" spans="1:26" ht="50.25" customHeight="1">
      <c r="A534" s="484"/>
      <c r="B534" s="484"/>
      <c r="C534" s="488"/>
      <c r="D534" s="487"/>
      <c r="E534" s="214" t="s">
        <v>801</v>
      </c>
      <c r="F534" s="348" t="s">
        <v>1002</v>
      </c>
      <c r="G534" s="42" t="s">
        <v>1001</v>
      </c>
      <c r="H534" s="218">
        <v>40000000</v>
      </c>
      <c r="I534" s="218">
        <v>40000000</v>
      </c>
      <c r="J534" s="218">
        <v>31593368</v>
      </c>
      <c r="K534" s="218">
        <v>19283205</v>
      </c>
      <c r="L534" s="218">
        <v>130000000</v>
      </c>
      <c r="M534" s="218">
        <f>80000000+50000000</f>
        <v>130000000</v>
      </c>
      <c r="N534" s="218">
        <f>74654000+35963334</f>
        <v>110617334</v>
      </c>
      <c r="O534" s="218">
        <f>64838000+21620001</f>
        <v>86458001</v>
      </c>
      <c r="P534" s="212" t="s">
        <v>1027</v>
      </c>
      <c r="Q534" s="202">
        <v>0</v>
      </c>
      <c r="R534" s="202">
        <v>32500689</v>
      </c>
      <c r="S534" s="202">
        <v>22982863</v>
      </c>
      <c r="T534" s="202">
        <v>16829530</v>
      </c>
      <c r="U534" s="219" t="s">
        <v>1087</v>
      </c>
      <c r="V534" s="220">
        <f t="shared" si="258"/>
        <v>170000000</v>
      </c>
      <c r="W534" s="220">
        <f t="shared" si="258"/>
        <v>202500689</v>
      </c>
      <c r="X534" s="220">
        <f t="shared" si="258"/>
        <v>165193565</v>
      </c>
      <c r="Y534" s="150">
        <f t="shared" si="258"/>
        <v>122570736</v>
      </c>
      <c r="Z534" s="392"/>
    </row>
    <row r="535" spans="1:26" ht="15" customHeight="1">
      <c r="A535" s="484"/>
      <c r="B535" s="484"/>
      <c r="C535" s="488"/>
      <c r="D535" s="488"/>
      <c r="E535" s="209" t="s">
        <v>802</v>
      </c>
      <c r="F535" s="497" t="s">
        <v>985</v>
      </c>
      <c r="G535" s="491" t="s">
        <v>865</v>
      </c>
      <c r="H535" s="472">
        <v>40000000</v>
      </c>
      <c r="I535" s="472">
        <v>115960000</v>
      </c>
      <c r="J535" s="472">
        <v>100070000</v>
      </c>
      <c r="K535" s="472">
        <v>72430000</v>
      </c>
      <c r="L535" s="472">
        <v>100000000</v>
      </c>
      <c r="M535" s="472">
        <f>100000000+13593333</f>
        <v>113593333</v>
      </c>
      <c r="N535" s="472">
        <f>99282997+9950336</f>
        <v>109233333</v>
      </c>
      <c r="O535" s="472">
        <f>98682997+2570336</f>
        <v>101253333</v>
      </c>
      <c r="P535" s="577" t="s">
        <v>1027</v>
      </c>
      <c r="Q535" s="474">
        <v>0</v>
      </c>
      <c r="R535" s="446">
        <v>30000000</v>
      </c>
      <c r="S535" s="446">
        <v>30000000</v>
      </c>
      <c r="T535" s="446">
        <v>30000000</v>
      </c>
      <c r="U535" s="477" t="s">
        <v>1088</v>
      </c>
      <c r="V535" s="430">
        <f t="shared" si="258"/>
        <v>140000000</v>
      </c>
      <c r="W535" s="430">
        <f t="shared" si="258"/>
        <v>259553333</v>
      </c>
      <c r="X535" s="430">
        <f t="shared" si="258"/>
        <v>239303333</v>
      </c>
      <c r="Y535" s="433">
        <f t="shared" si="258"/>
        <v>203683333</v>
      </c>
      <c r="Z535" s="392"/>
    </row>
    <row r="536" spans="1:26" ht="15" customHeight="1">
      <c r="A536" s="484"/>
      <c r="B536" s="484"/>
      <c r="C536" s="488"/>
      <c r="D536" s="488"/>
      <c r="E536" s="209" t="s">
        <v>803</v>
      </c>
      <c r="F536" s="498"/>
      <c r="G536" s="492"/>
      <c r="H536" s="496"/>
      <c r="I536" s="496"/>
      <c r="J536" s="496"/>
      <c r="K536" s="496"/>
      <c r="L536" s="496"/>
      <c r="M536" s="496"/>
      <c r="N536" s="496"/>
      <c r="O536" s="496"/>
      <c r="P536" s="578"/>
      <c r="Q536" s="475"/>
      <c r="R536" s="447"/>
      <c r="S536" s="447"/>
      <c r="T536" s="447"/>
      <c r="U536" s="478"/>
      <c r="V536" s="431"/>
      <c r="W536" s="431"/>
      <c r="X536" s="431"/>
      <c r="Y536" s="434"/>
      <c r="Z536" s="392"/>
    </row>
    <row r="537" spans="1:26" ht="15" customHeight="1">
      <c r="A537" s="484"/>
      <c r="B537" s="484"/>
      <c r="C537" s="488"/>
      <c r="D537" s="488"/>
      <c r="E537" s="209" t="s">
        <v>805</v>
      </c>
      <c r="F537" s="498"/>
      <c r="G537" s="492"/>
      <c r="H537" s="496"/>
      <c r="I537" s="496"/>
      <c r="J537" s="496"/>
      <c r="K537" s="496"/>
      <c r="L537" s="496"/>
      <c r="M537" s="496"/>
      <c r="N537" s="496"/>
      <c r="O537" s="496"/>
      <c r="P537" s="578"/>
      <c r="Q537" s="475"/>
      <c r="R537" s="447"/>
      <c r="S537" s="447"/>
      <c r="T537" s="447"/>
      <c r="U537" s="478"/>
      <c r="V537" s="431"/>
      <c r="W537" s="431"/>
      <c r="X537" s="431"/>
      <c r="Y537" s="434"/>
      <c r="Z537" s="392"/>
    </row>
    <row r="538" spans="1:26" ht="15" customHeight="1">
      <c r="A538" s="484"/>
      <c r="B538" s="484"/>
      <c r="C538" s="488"/>
      <c r="D538" s="488"/>
      <c r="E538" s="209" t="s">
        <v>806</v>
      </c>
      <c r="F538" s="499"/>
      <c r="G538" s="493"/>
      <c r="H538" s="473"/>
      <c r="I538" s="473"/>
      <c r="J538" s="473"/>
      <c r="K538" s="473"/>
      <c r="L538" s="473"/>
      <c r="M538" s="473"/>
      <c r="N538" s="473"/>
      <c r="O538" s="473"/>
      <c r="P538" s="579"/>
      <c r="Q538" s="476"/>
      <c r="R538" s="448"/>
      <c r="S538" s="448"/>
      <c r="T538" s="448"/>
      <c r="U538" s="479"/>
      <c r="V538" s="432"/>
      <c r="W538" s="432"/>
      <c r="X538" s="432"/>
      <c r="Y538" s="435"/>
      <c r="Z538" s="392"/>
    </row>
    <row r="539" spans="1:26" ht="41.25" customHeight="1">
      <c r="A539" s="484"/>
      <c r="B539" s="484"/>
      <c r="C539" s="488"/>
      <c r="D539" s="488"/>
      <c r="E539" s="209" t="s">
        <v>804</v>
      </c>
      <c r="F539" s="363" t="s">
        <v>1003</v>
      </c>
      <c r="G539" s="221" t="s">
        <v>1004</v>
      </c>
      <c r="H539" s="222">
        <v>10000000</v>
      </c>
      <c r="I539" s="222">
        <v>16000000</v>
      </c>
      <c r="J539" s="222">
        <v>0</v>
      </c>
      <c r="K539" s="222">
        <v>0</v>
      </c>
      <c r="L539" s="222">
        <v>30000000</v>
      </c>
      <c r="M539" s="222">
        <v>30000000</v>
      </c>
      <c r="N539" s="222">
        <v>26460000</v>
      </c>
      <c r="O539" s="222">
        <v>18300000</v>
      </c>
      <c r="P539" s="204" t="s">
        <v>856</v>
      </c>
      <c r="Q539" s="99">
        <v>0</v>
      </c>
      <c r="R539" s="96">
        <f>23934836+247565980</f>
        <v>271500816</v>
      </c>
      <c r="S539" s="96">
        <f>19989998+236808362</f>
        <v>256798360</v>
      </c>
      <c r="T539" s="96">
        <v>190266666</v>
      </c>
      <c r="U539" s="219" t="s">
        <v>1087</v>
      </c>
      <c r="V539" s="223">
        <f>H539+L539+Q539</f>
        <v>40000000</v>
      </c>
      <c r="W539" s="223">
        <f aca="true" t="shared" si="262" ref="W539:Y540">I539+M539+R539</f>
        <v>317500816</v>
      </c>
      <c r="X539" s="223">
        <f t="shared" si="262"/>
        <v>283258360</v>
      </c>
      <c r="Y539" s="231">
        <f t="shared" si="262"/>
        <v>208566666</v>
      </c>
      <c r="Z539" s="392"/>
    </row>
    <row r="540" spans="1:26" ht="16.5" customHeight="1">
      <c r="A540" s="484"/>
      <c r="B540" s="484"/>
      <c r="C540" s="488"/>
      <c r="D540" s="488"/>
      <c r="E540" s="213" t="s">
        <v>807</v>
      </c>
      <c r="F540" s="487" t="s">
        <v>1006</v>
      </c>
      <c r="G540" s="505" t="s">
        <v>1005</v>
      </c>
      <c r="H540" s="474">
        <v>0</v>
      </c>
      <c r="I540" s="202"/>
      <c r="J540" s="202"/>
      <c r="K540" s="202"/>
      <c r="L540" s="474">
        <v>0</v>
      </c>
      <c r="M540" s="202"/>
      <c r="N540" s="202"/>
      <c r="O540" s="202"/>
      <c r="P540" s="577"/>
      <c r="Q540" s="436">
        <v>2101486902</v>
      </c>
      <c r="R540" s="436">
        <f>2071351406+149753855.36</f>
        <v>2221105261.36</v>
      </c>
      <c r="S540" s="436">
        <f>1523466659+97111839.85</f>
        <v>1620578498.85</v>
      </c>
      <c r="T540" s="436">
        <f>1520340196+96790284</f>
        <v>1617130480</v>
      </c>
      <c r="U540" s="577" t="s">
        <v>1087</v>
      </c>
      <c r="V540" s="436">
        <f>H540+L540+Q540</f>
        <v>2101486902</v>
      </c>
      <c r="W540" s="436">
        <f t="shared" si="262"/>
        <v>2221105261.36</v>
      </c>
      <c r="X540" s="436">
        <f t="shared" si="262"/>
        <v>1620578498.85</v>
      </c>
      <c r="Y540" s="438">
        <f t="shared" si="262"/>
        <v>1617130480</v>
      </c>
      <c r="Z540" s="392"/>
    </row>
    <row r="541" spans="1:26" ht="16.5" customHeight="1">
      <c r="A541" s="484"/>
      <c r="B541" s="484"/>
      <c r="C541" s="488"/>
      <c r="D541" s="488"/>
      <c r="E541" s="213" t="s">
        <v>808</v>
      </c>
      <c r="F541" s="489"/>
      <c r="G541" s="506"/>
      <c r="H541" s="476"/>
      <c r="I541" s="203"/>
      <c r="J541" s="203"/>
      <c r="K541" s="203"/>
      <c r="L541" s="476"/>
      <c r="M541" s="203"/>
      <c r="N541" s="203"/>
      <c r="O541" s="203"/>
      <c r="P541" s="579"/>
      <c r="Q541" s="437"/>
      <c r="R541" s="437"/>
      <c r="S541" s="437"/>
      <c r="T541" s="437"/>
      <c r="U541" s="579"/>
      <c r="V541" s="437"/>
      <c r="W541" s="437"/>
      <c r="X541" s="437"/>
      <c r="Y541" s="439"/>
      <c r="Z541" s="392"/>
    </row>
    <row r="542" spans="1:26" ht="29.25" customHeight="1">
      <c r="A542" s="484"/>
      <c r="B542" s="484"/>
      <c r="C542" s="488"/>
      <c r="D542" s="488"/>
      <c r="E542" s="209" t="s">
        <v>809</v>
      </c>
      <c r="F542" s="209" t="s">
        <v>986</v>
      </c>
      <c r="G542" s="224" t="s">
        <v>810</v>
      </c>
      <c r="H542" s="18">
        <v>30000000</v>
      </c>
      <c r="I542" s="18">
        <v>53783334</v>
      </c>
      <c r="J542" s="18">
        <v>50116666</v>
      </c>
      <c r="K542" s="18">
        <v>36200000</v>
      </c>
      <c r="L542" s="9">
        <v>80000000</v>
      </c>
      <c r="M542" s="9">
        <f>30000000+50000000</f>
        <v>80000000</v>
      </c>
      <c r="N542" s="9">
        <f>30000000+46546667</f>
        <v>76546667</v>
      </c>
      <c r="O542" s="9">
        <f>29869999+43000000</f>
        <v>72869999</v>
      </c>
      <c r="P542" s="212" t="s">
        <v>1027</v>
      </c>
      <c r="Q542" s="7">
        <v>0</v>
      </c>
      <c r="R542" s="9">
        <v>422923015</v>
      </c>
      <c r="S542" s="9">
        <v>332137677</v>
      </c>
      <c r="T542" s="9">
        <v>226005862</v>
      </c>
      <c r="U542" s="53" t="s">
        <v>1087</v>
      </c>
      <c r="V542" s="217">
        <f>H542+L542+Q542</f>
        <v>110000000</v>
      </c>
      <c r="W542" s="217">
        <f aca="true" t="shared" si="263" ref="W542:Y544">I542+M542+R542</f>
        <v>556706349</v>
      </c>
      <c r="X542" s="217">
        <f t="shared" si="263"/>
        <v>458801010</v>
      </c>
      <c r="Y542" s="149">
        <f t="shared" si="263"/>
        <v>335075861</v>
      </c>
      <c r="Z542" s="392"/>
    </row>
    <row r="543" spans="1:26" ht="27.75" customHeight="1">
      <c r="A543" s="484"/>
      <c r="B543" s="484"/>
      <c r="C543" s="488"/>
      <c r="D543" s="209" t="s">
        <v>811</v>
      </c>
      <c r="E543" s="209"/>
      <c r="F543" s="349"/>
      <c r="G543" s="215" t="s">
        <v>812</v>
      </c>
      <c r="H543" s="44">
        <f>H544</f>
        <v>30000000</v>
      </c>
      <c r="I543" s="44">
        <f>I544</f>
        <v>134500496</v>
      </c>
      <c r="J543" s="44">
        <f>J544</f>
        <v>118657898</v>
      </c>
      <c r="K543" s="44">
        <f>K544</f>
        <v>100280000</v>
      </c>
      <c r="L543" s="44">
        <f>L544+L547</f>
        <v>906665924.38</v>
      </c>
      <c r="M543" s="44">
        <f>M544+M547</f>
        <v>1367504857.75</v>
      </c>
      <c r="N543" s="44">
        <f>N544+N547</f>
        <v>876769123.45</v>
      </c>
      <c r="O543" s="44">
        <f>O544+O547</f>
        <v>527616501.45</v>
      </c>
      <c r="P543" s="44"/>
      <c r="Q543" s="201">
        <f>Q544</f>
        <v>0</v>
      </c>
      <c r="R543" s="201">
        <f>R544</f>
        <v>9242102</v>
      </c>
      <c r="S543" s="201">
        <f>S544</f>
        <v>9242102</v>
      </c>
      <c r="T543" s="201">
        <f>T544</f>
        <v>2242102</v>
      </c>
      <c r="U543" s="62"/>
      <c r="V543" s="211">
        <f>H543+L543+Q543</f>
        <v>936665924.38</v>
      </c>
      <c r="W543" s="211">
        <f t="shared" si="263"/>
        <v>1511247455.75</v>
      </c>
      <c r="X543" s="211">
        <f t="shared" si="263"/>
        <v>1004669123.45</v>
      </c>
      <c r="Y543" s="147">
        <f t="shared" si="263"/>
        <v>630138603.45</v>
      </c>
      <c r="Z543" s="392"/>
    </row>
    <row r="544" spans="1:26" ht="12.75" customHeight="1">
      <c r="A544" s="484"/>
      <c r="B544" s="484"/>
      <c r="C544" s="488"/>
      <c r="D544" s="487"/>
      <c r="E544" s="209" t="s">
        <v>815</v>
      </c>
      <c r="F544" s="393" t="s">
        <v>987</v>
      </c>
      <c r="G544" s="559" t="s">
        <v>814</v>
      </c>
      <c r="H544" s="552">
        <v>30000000</v>
      </c>
      <c r="I544" s="554">
        <v>134500496</v>
      </c>
      <c r="J544" s="554">
        <v>118657898</v>
      </c>
      <c r="K544" s="554">
        <v>100280000</v>
      </c>
      <c r="L544" s="446">
        <v>230000000</v>
      </c>
      <c r="M544" s="446">
        <f>180000000+70201232</f>
        <v>250201232</v>
      </c>
      <c r="N544" s="446">
        <f>179513829.45+69680000</f>
        <v>249193829.45</v>
      </c>
      <c r="O544" s="446">
        <f>177138394.45+49893333</f>
        <v>227031727.45</v>
      </c>
      <c r="P544" s="446" t="s">
        <v>1027</v>
      </c>
      <c r="Q544" s="504">
        <v>0</v>
      </c>
      <c r="R544" s="446">
        <v>9242102</v>
      </c>
      <c r="S544" s="446">
        <v>9242102</v>
      </c>
      <c r="T544" s="446">
        <v>2242102</v>
      </c>
      <c r="U544" s="580" t="s">
        <v>1088</v>
      </c>
      <c r="V544" s="440">
        <f>H544+L544+Q544</f>
        <v>260000000</v>
      </c>
      <c r="W544" s="440">
        <f t="shared" si="263"/>
        <v>393943830</v>
      </c>
      <c r="X544" s="440">
        <f t="shared" si="263"/>
        <v>377093829.45</v>
      </c>
      <c r="Y544" s="443">
        <f t="shared" si="263"/>
        <v>329553829.45</v>
      </c>
      <c r="Z544" s="392"/>
    </row>
    <row r="545" spans="1:26" ht="409.5">
      <c r="A545" s="484"/>
      <c r="B545" s="484"/>
      <c r="C545" s="488"/>
      <c r="D545" s="488"/>
      <c r="E545" s="209" t="s">
        <v>816</v>
      </c>
      <c r="F545" s="393"/>
      <c r="G545" s="559"/>
      <c r="H545" s="552"/>
      <c r="I545" s="555"/>
      <c r="J545" s="555"/>
      <c r="K545" s="555"/>
      <c r="L545" s="560"/>
      <c r="M545" s="447"/>
      <c r="N545" s="447"/>
      <c r="O545" s="447"/>
      <c r="P545" s="560"/>
      <c r="Q545" s="504"/>
      <c r="R545" s="447"/>
      <c r="S545" s="447"/>
      <c r="T545" s="447"/>
      <c r="U545" s="581"/>
      <c r="V545" s="441"/>
      <c r="W545" s="441"/>
      <c r="X545" s="441"/>
      <c r="Y545" s="444"/>
      <c r="Z545" s="392"/>
    </row>
    <row r="546" spans="1:26" ht="409.5">
      <c r="A546" s="484"/>
      <c r="B546" s="484"/>
      <c r="C546" s="488"/>
      <c r="D546" s="488"/>
      <c r="E546" s="209" t="s">
        <v>817</v>
      </c>
      <c r="F546" s="393"/>
      <c r="G546" s="559"/>
      <c r="H546" s="552"/>
      <c r="I546" s="556"/>
      <c r="J546" s="556"/>
      <c r="K546" s="556"/>
      <c r="L546" s="561"/>
      <c r="M546" s="448"/>
      <c r="N546" s="448"/>
      <c r="O546" s="448"/>
      <c r="P546" s="561"/>
      <c r="Q546" s="504"/>
      <c r="R546" s="448"/>
      <c r="S546" s="448"/>
      <c r="T546" s="448"/>
      <c r="U546" s="582"/>
      <c r="V546" s="442"/>
      <c r="W546" s="442"/>
      <c r="X546" s="442"/>
      <c r="Y546" s="445"/>
      <c r="Z546" s="392"/>
    </row>
    <row r="547" spans="1:26" ht="30.75" customHeight="1">
      <c r="A547" s="484"/>
      <c r="B547" s="484"/>
      <c r="C547" s="488"/>
      <c r="D547" s="488"/>
      <c r="E547" s="209" t="s">
        <v>813</v>
      </c>
      <c r="F547" s="27" t="s">
        <v>1008</v>
      </c>
      <c r="G547" s="225" t="s">
        <v>1007</v>
      </c>
      <c r="H547" s="7">
        <v>0</v>
      </c>
      <c r="I547" s="7"/>
      <c r="J547" s="7"/>
      <c r="K547" s="7"/>
      <c r="L547" s="9">
        <v>676665924.38</v>
      </c>
      <c r="M547" s="9">
        <f>917303625.75+200000000</f>
        <v>1117303625.75</v>
      </c>
      <c r="N547" s="9">
        <f>572485294+55090000</f>
        <v>627575294</v>
      </c>
      <c r="O547" s="9">
        <f>277004774+23580000</f>
        <v>300584774</v>
      </c>
      <c r="P547" s="207" t="s">
        <v>1051</v>
      </c>
      <c r="Q547" s="7">
        <v>0</v>
      </c>
      <c r="R547" s="7"/>
      <c r="S547" s="7"/>
      <c r="T547" s="7"/>
      <c r="U547" s="7"/>
      <c r="V547" s="101">
        <f>H547+L547+Q547</f>
        <v>676665924.38</v>
      </c>
      <c r="W547" s="101">
        <f aca="true" t="shared" si="264" ref="W547:Y561">I547+M547+R547</f>
        <v>1117303625.75</v>
      </c>
      <c r="X547" s="101">
        <f t="shared" si="264"/>
        <v>627575294</v>
      </c>
      <c r="Y547" s="151">
        <f t="shared" si="264"/>
        <v>300584774</v>
      </c>
      <c r="Z547" s="392"/>
    </row>
    <row r="548" spans="1:26" ht="30" customHeight="1">
      <c r="A548" s="484"/>
      <c r="B548" s="484"/>
      <c r="C548" s="488"/>
      <c r="D548" s="209" t="s">
        <v>818</v>
      </c>
      <c r="E548" s="209"/>
      <c r="F548" s="209"/>
      <c r="G548" s="210" t="s">
        <v>819</v>
      </c>
      <c r="H548" s="201">
        <f aca="true" t="shared" si="265" ref="H548:O548">H549</f>
        <v>0</v>
      </c>
      <c r="I548" s="201">
        <f t="shared" si="265"/>
        <v>6340000</v>
      </c>
      <c r="J548" s="201">
        <f t="shared" si="265"/>
        <v>3640000</v>
      </c>
      <c r="K548" s="201">
        <f t="shared" si="265"/>
        <v>640000</v>
      </c>
      <c r="L548" s="57">
        <f t="shared" si="265"/>
        <v>27000000</v>
      </c>
      <c r="M548" s="57">
        <f t="shared" si="265"/>
        <v>27000000</v>
      </c>
      <c r="N548" s="57">
        <f t="shared" si="265"/>
        <v>26600000</v>
      </c>
      <c r="O548" s="57">
        <f t="shared" si="265"/>
        <v>23900000</v>
      </c>
      <c r="P548" s="44"/>
      <c r="Q548" s="201">
        <f>Q549</f>
        <v>0</v>
      </c>
      <c r="R548" s="201">
        <f>R549</f>
        <v>3500000</v>
      </c>
      <c r="S548" s="201">
        <f>S549</f>
        <v>3500000</v>
      </c>
      <c r="T548" s="201">
        <f>T549</f>
        <v>3500000</v>
      </c>
      <c r="U548" s="62"/>
      <c r="V548" s="211">
        <f aca="true" t="shared" si="266" ref="V548:V553">H548+L548+Q548</f>
        <v>27000000</v>
      </c>
      <c r="W548" s="211">
        <f t="shared" si="264"/>
        <v>36840000</v>
      </c>
      <c r="X548" s="211">
        <f t="shared" si="264"/>
        <v>33740000</v>
      </c>
      <c r="Y548" s="147">
        <f t="shared" si="264"/>
        <v>28040000</v>
      </c>
      <c r="Z548" s="392"/>
    </row>
    <row r="549" spans="1:26" ht="30" customHeight="1">
      <c r="A549" s="484"/>
      <c r="B549" s="484"/>
      <c r="C549" s="488"/>
      <c r="D549" s="209"/>
      <c r="E549" s="209" t="s">
        <v>820</v>
      </c>
      <c r="F549" s="209" t="s">
        <v>988</v>
      </c>
      <c r="G549" s="226" t="s">
        <v>821</v>
      </c>
      <c r="H549" s="201">
        <v>0</v>
      </c>
      <c r="I549" s="206">
        <v>6340000</v>
      </c>
      <c r="J549" s="206">
        <v>3640000</v>
      </c>
      <c r="K549" s="206">
        <v>640000</v>
      </c>
      <c r="L549" s="56">
        <v>27000000</v>
      </c>
      <c r="M549" s="56">
        <v>27000000</v>
      </c>
      <c r="N549" s="56">
        <v>26600000</v>
      </c>
      <c r="O549" s="56">
        <v>23900000</v>
      </c>
      <c r="P549" s="212" t="s">
        <v>856</v>
      </c>
      <c r="Q549" s="201">
        <v>0</v>
      </c>
      <c r="R549" s="206">
        <v>3500000</v>
      </c>
      <c r="S549" s="206">
        <v>3500000</v>
      </c>
      <c r="T549" s="206">
        <v>3500000</v>
      </c>
      <c r="U549" s="227" t="s">
        <v>1088</v>
      </c>
      <c r="V549" s="217">
        <f t="shared" si="266"/>
        <v>27000000</v>
      </c>
      <c r="W549" s="217">
        <f t="shared" si="264"/>
        <v>36840000</v>
      </c>
      <c r="X549" s="217">
        <f t="shared" si="264"/>
        <v>33740000</v>
      </c>
      <c r="Y549" s="149">
        <f t="shared" si="264"/>
        <v>28040000</v>
      </c>
      <c r="Z549" s="392"/>
    </row>
    <row r="550" spans="1:26" ht="25.5">
      <c r="A550" s="484"/>
      <c r="B550" s="484"/>
      <c r="C550" s="488"/>
      <c r="D550" s="209" t="s">
        <v>822</v>
      </c>
      <c r="E550" s="209"/>
      <c r="F550" s="209"/>
      <c r="G550" s="210" t="s">
        <v>823</v>
      </c>
      <c r="H550" s="201">
        <f aca="true" t="shared" si="267" ref="H550:O550">H551</f>
        <v>0</v>
      </c>
      <c r="I550" s="201">
        <f t="shared" si="267"/>
        <v>12570000</v>
      </c>
      <c r="J550" s="201">
        <f t="shared" si="267"/>
        <v>8220000</v>
      </c>
      <c r="K550" s="201">
        <f t="shared" si="267"/>
        <v>8000000</v>
      </c>
      <c r="L550" s="44">
        <f t="shared" si="267"/>
        <v>27000000</v>
      </c>
      <c r="M550" s="44">
        <f t="shared" si="267"/>
        <v>27000000</v>
      </c>
      <c r="N550" s="44">
        <f t="shared" si="267"/>
        <v>27000000</v>
      </c>
      <c r="O550" s="44">
        <f t="shared" si="267"/>
        <v>26320000</v>
      </c>
      <c r="P550" s="44"/>
      <c r="Q550" s="201">
        <f>Q551</f>
        <v>0</v>
      </c>
      <c r="R550" s="201">
        <f>R551</f>
        <v>2900000</v>
      </c>
      <c r="S550" s="201">
        <f>S551</f>
        <v>2900000</v>
      </c>
      <c r="T550" s="201">
        <f>T551</f>
        <v>2900000</v>
      </c>
      <c r="U550" s="62"/>
      <c r="V550" s="211">
        <f t="shared" si="266"/>
        <v>27000000</v>
      </c>
      <c r="W550" s="211">
        <f t="shared" si="264"/>
        <v>42470000</v>
      </c>
      <c r="X550" s="211">
        <f t="shared" si="264"/>
        <v>38120000</v>
      </c>
      <c r="Y550" s="147">
        <f t="shared" si="264"/>
        <v>37220000</v>
      </c>
      <c r="Z550" s="392"/>
    </row>
    <row r="551" spans="1:26" ht="42.75" customHeight="1">
      <c r="A551" s="484"/>
      <c r="B551" s="484"/>
      <c r="C551" s="488"/>
      <c r="D551" s="209"/>
      <c r="E551" s="209" t="s">
        <v>824</v>
      </c>
      <c r="F551" s="27" t="s">
        <v>989</v>
      </c>
      <c r="G551" s="226" t="s">
        <v>825</v>
      </c>
      <c r="H551" s="201">
        <v>0</v>
      </c>
      <c r="I551" s="206">
        <v>12570000</v>
      </c>
      <c r="J551" s="206">
        <v>8220000</v>
      </c>
      <c r="K551" s="206">
        <v>8000000</v>
      </c>
      <c r="L551" s="75">
        <v>27000000</v>
      </c>
      <c r="M551" s="75">
        <v>27000000</v>
      </c>
      <c r="N551" s="75">
        <v>27000000</v>
      </c>
      <c r="O551" s="75">
        <v>26320000</v>
      </c>
      <c r="P551" s="212" t="s">
        <v>856</v>
      </c>
      <c r="Q551" s="201">
        <v>0</v>
      </c>
      <c r="R551" s="206">
        <v>2900000</v>
      </c>
      <c r="S551" s="206">
        <v>2900000</v>
      </c>
      <c r="T551" s="206">
        <v>2900000</v>
      </c>
      <c r="U551" s="227" t="s">
        <v>1088</v>
      </c>
      <c r="V551" s="217">
        <f t="shared" si="266"/>
        <v>27000000</v>
      </c>
      <c r="W551" s="217">
        <f t="shared" si="264"/>
        <v>42470000</v>
      </c>
      <c r="X551" s="217">
        <f t="shared" si="264"/>
        <v>38120000</v>
      </c>
      <c r="Y551" s="149">
        <f t="shared" si="264"/>
        <v>37220000</v>
      </c>
      <c r="Z551" s="392"/>
    </row>
    <row r="552" spans="1:26" ht="42.75" customHeight="1">
      <c r="A552" s="484"/>
      <c r="B552" s="484"/>
      <c r="C552" s="488"/>
      <c r="D552" s="209" t="s">
        <v>826</v>
      </c>
      <c r="E552" s="209"/>
      <c r="F552" s="209"/>
      <c r="G552" s="210" t="s">
        <v>827</v>
      </c>
      <c r="H552" s="201">
        <f aca="true" t="shared" si="268" ref="H552:O552">H553+H554+H555+H556</f>
        <v>0</v>
      </c>
      <c r="I552" s="201">
        <f t="shared" si="268"/>
        <v>344454837</v>
      </c>
      <c r="J552" s="201">
        <f t="shared" si="268"/>
        <v>195605522</v>
      </c>
      <c r="K552" s="201">
        <f t="shared" si="268"/>
        <v>66209400</v>
      </c>
      <c r="L552" s="44">
        <f t="shared" si="268"/>
        <v>4277688284.38</v>
      </c>
      <c r="M552" s="44">
        <f t="shared" si="268"/>
        <v>4754859591</v>
      </c>
      <c r="N552" s="44">
        <f t="shared" si="268"/>
        <v>3752829838</v>
      </c>
      <c r="O552" s="44">
        <f t="shared" si="268"/>
        <v>3381118311</v>
      </c>
      <c r="P552" s="44"/>
      <c r="Q552" s="44">
        <f>Q553+Q555+Q556</f>
        <v>635000000</v>
      </c>
      <c r="R552" s="44">
        <f>R553+R555+R556</f>
        <v>1560672734</v>
      </c>
      <c r="S552" s="44">
        <f>S553+S555+S556</f>
        <v>1256571998</v>
      </c>
      <c r="T552" s="44">
        <f>T553+T555+T556</f>
        <v>734359112</v>
      </c>
      <c r="U552" s="62"/>
      <c r="V552" s="211">
        <f t="shared" si="266"/>
        <v>4912688284.38</v>
      </c>
      <c r="W552" s="211">
        <f t="shared" si="264"/>
        <v>6659987162</v>
      </c>
      <c r="X552" s="211">
        <f t="shared" si="264"/>
        <v>5205007358</v>
      </c>
      <c r="Y552" s="147">
        <f t="shared" si="264"/>
        <v>4181686823</v>
      </c>
      <c r="Z552" s="392"/>
    </row>
    <row r="553" spans="1:26" ht="29.25" customHeight="1">
      <c r="A553" s="484"/>
      <c r="B553" s="484"/>
      <c r="C553" s="488"/>
      <c r="D553" s="487"/>
      <c r="E553" s="209" t="s">
        <v>828</v>
      </c>
      <c r="F553" s="348" t="s">
        <v>990</v>
      </c>
      <c r="G553" s="228" t="s">
        <v>829</v>
      </c>
      <c r="H553" s="201">
        <v>0</v>
      </c>
      <c r="I553" s="201"/>
      <c r="J553" s="201"/>
      <c r="K553" s="201"/>
      <c r="L553" s="97">
        <v>0</v>
      </c>
      <c r="M553" s="97"/>
      <c r="N553" s="97"/>
      <c r="O553" s="97"/>
      <c r="P553" s="96"/>
      <c r="Q553" s="96">
        <v>400000000</v>
      </c>
      <c r="R553" s="96">
        <v>786541052</v>
      </c>
      <c r="S553" s="96">
        <v>712949996</v>
      </c>
      <c r="T553" s="96">
        <v>347409996</v>
      </c>
      <c r="U553" s="227" t="s">
        <v>1088</v>
      </c>
      <c r="V553" s="100">
        <f t="shared" si="266"/>
        <v>400000000</v>
      </c>
      <c r="W553" s="100">
        <f t="shared" si="264"/>
        <v>786541052</v>
      </c>
      <c r="X553" s="100">
        <f t="shared" si="264"/>
        <v>712949996</v>
      </c>
      <c r="Y553" s="152">
        <f t="shared" si="264"/>
        <v>347409996</v>
      </c>
      <c r="Z553" s="392"/>
    </row>
    <row r="554" spans="1:26" ht="29.25" customHeight="1">
      <c r="A554" s="484"/>
      <c r="B554" s="484"/>
      <c r="C554" s="488"/>
      <c r="D554" s="488"/>
      <c r="E554" s="213" t="s">
        <v>1050</v>
      </c>
      <c r="F554" s="363" t="s">
        <v>1000</v>
      </c>
      <c r="G554" s="221" t="s">
        <v>866</v>
      </c>
      <c r="H554" s="96">
        <v>0</v>
      </c>
      <c r="I554" s="96">
        <f>83000000+103724837</f>
        <v>186724837</v>
      </c>
      <c r="J554" s="96">
        <f>83000000+60808855</f>
        <v>143808855</v>
      </c>
      <c r="K554" s="96">
        <v>38759400</v>
      </c>
      <c r="L554" s="98">
        <v>3664688284.38</v>
      </c>
      <c r="M554" s="98">
        <f>260000000+1011162782+3261230143</f>
        <v>4532392925</v>
      </c>
      <c r="N554" s="98">
        <f>167062548+1002094396+2398159304</f>
        <v>3567316248</v>
      </c>
      <c r="O554" s="98">
        <f>167062548+859832374+2202869799</f>
        <v>3229764721</v>
      </c>
      <c r="P554" s="9" t="s">
        <v>856</v>
      </c>
      <c r="Q554" s="9">
        <v>0</v>
      </c>
      <c r="R554" s="9"/>
      <c r="S554" s="9"/>
      <c r="T554" s="9"/>
      <c r="U554" s="9"/>
      <c r="V554" s="9">
        <f>H554+L554+Q554</f>
        <v>3664688284.38</v>
      </c>
      <c r="W554" s="9">
        <f t="shared" si="264"/>
        <v>4719117762</v>
      </c>
      <c r="X554" s="9">
        <f t="shared" si="264"/>
        <v>3711125103</v>
      </c>
      <c r="Y554" s="153">
        <f t="shared" si="264"/>
        <v>3268524121</v>
      </c>
      <c r="Z554" s="392"/>
    </row>
    <row r="555" spans="1:26" ht="35.25" customHeight="1">
      <c r="A555" s="484"/>
      <c r="B555" s="484"/>
      <c r="C555" s="488"/>
      <c r="D555" s="488"/>
      <c r="E555" s="213" t="s">
        <v>830</v>
      </c>
      <c r="F555" s="371" t="s">
        <v>991</v>
      </c>
      <c r="G555" s="226" t="s">
        <v>831</v>
      </c>
      <c r="H555" s="201">
        <v>0</v>
      </c>
      <c r="I555" s="206">
        <v>94330000</v>
      </c>
      <c r="J555" s="206">
        <v>24796667</v>
      </c>
      <c r="K555" s="206">
        <v>450000</v>
      </c>
      <c r="L555" s="18">
        <v>543000000</v>
      </c>
      <c r="M555" s="18">
        <f>93000000+57050000</f>
        <v>150050000</v>
      </c>
      <c r="N555" s="18">
        <f>80602720+38994204</f>
        <v>119596924</v>
      </c>
      <c r="O555" s="18">
        <f>69742719+31810871</f>
        <v>101553590</v>
      </c>
      <c r="P555" s="212" t="s">
        <v>1027</v>
      </c>
      <c r="Q555" s="52">
        <v>60000000</v>
      </c>
      <c r="R555" s="52">
        <v>568936055</v>
      </c>
      <c r="S555" s="52">
        <v>347872565</v>
      </c>
      <c r="T555" s="52">
        <v>229233013</v>
      </c>
      <c r="U555" s="53" t="s">
        <v>1087</v>
      </c>
      <c r="V555" s="217">
        <f aca="true" t="shared" si="269" ref="V555:V561">H555+L555+Q555</f>
        <v>603000000</v>
      </c>
      <c r="W555" s="217">
        <f t="shared" si="264"/>
        <v>813316055</v>
      </c>
      <c r="X555" s="217">
        <f t="shared" si="264"/>
        <v>492266156</v>
      </c>
      <c r="Y555" s="149">
        <f t="shared" si="264"/>
        <v>331236603</v>
      </c>
      <c r="Z555" s="392"/>
    </row>
    <row r="556" spans="1:26" ht="33" customHeight="1">
      <c r="A556" s="484"/>
      <c r="B556" s="484"/>
      <c r="C556" s="489"/>
      <c r="D556" s="489"/>
      <c r="E556" s="213" t="s">
        <v>832</v>
      </c>
      <c r="F556" s="371" t="s">
        <v>992</v>
      </c>
      <c r="G556" s="226" t="s">
        <v>833</v>
      </c>
      <c r="H556" s="201">
        <v>0</v>
      </c>
      <c r="I556" s="206">
        <v>63400000</v>
      </c>
      <c r="J556" s="206">
        <v>27000000</v>
      </c>
      <c r="K556" s="206">
        <v>27000000</v>
      </c>
      <c r="L556" s="18">
        <v>70000000</v>
      </c>
      <c r="M556" s="18">
        <f>20000000+52416666</f>
        <v>72416666</v>
      </c>
      <c r="N556" s="18">
        <f>13500000+52416666</f>
        <v>65916666</v>
      </c>
      <c r="O556" s="18">
        <f>13500000+36300000</f>
        <v>49800000</v>
      </c>
      <c r="P556" s="212" t="s">
        <v>1027</v>
      </c>
      <c r="Q556" s="52">
        <v>175000000</v>
      </c>
      <c r="R556" s="52">
        <v>205195627</v>
      </c>
      <c r="S556" s="52">
        <v>195749437</v>
      </c>
      <c r="T556" s="52">
        <v>157716103</v>
      </c>
      <c r="U556" s="53" t="s">
        <v>1087</v>
      </c>
      <c r="V556" s="217">
        <f t="shared" si="269"/>
        <v>245000000</v>
      </c>
      <c r="W556" s="217">
        <f t="shared" si="264"/>
        <v>341012293</v>
      </c>
      <c r="X556" s="217">
        <f t="shared" si="264"/>
        <v>288666103</v>
      </c>
      <c r="Y556" s="149">
        <f t="shared" si="264"/>
        <v>234516103</v>
      </c>
      <c r="Z556" s="392"/>
    </row>
    <row r="557" spans="1:26" ht="409.5">
      <c r="A557" s="484"/>
      <c r="B557" s="484"/>
      <c r="C557" s="209" t="s">
        <v>57</v>
      </c>
      <c r="D557" s="212"/>
      <c r="E557" s="212"/>
      <c r="F557" s="209"/>
      <c r="G557" s="210" t="s">
        <v>58</v>
      </c>
      <c r="H557" s="44">
        <f aca="true" t="shared" si="270" ref="H557:O557">H558+H560</f>
        <v>20000000</v>
      </c>
      <c r="I557" s="44">
        <f t="shared" si="270"/>
        <v>455800000</v>
      </c>
      <c r="J557" s="44">
        <f t="shared" si="270"/>
        <v>346936666</v>
      </c>
      <c r="K557" s="44">
        <f t="shared" si="270"/>
        <v>277225000</v>
      </c>
      <c r="L557" s="44">
        <f t="shared" si="270"/>
        <v>61000000</v>
      </c>
      <c r="M557" s="44">
        <f t="shared" si="270"/>
        <v>81000000</v>
      </c>
      <c r="N557" s="44">
        <f t="shared" si="270"/>
        <v>72350000</v>
      </c>
      <c r="O557" s="44">
        <f t="shared" si="270"/>
        <v>68850000</v>
      </c>
      <c r="P557" s="201"/>
      <c r="Q557" s="201">
        <f>Q558+Q560</f>
        <v>0</v>
      </c>
      <c r="R557" s="201">
        <f>R558+R560</f>
        <v>53296725.31</v>
      </c>
      <c r="S557" s="201">
        <f>S558+S560</f>
        <v>47880000</v>
      </c>
      <c r="T557" s="201">
        <f>T558+T560</f>
        <v>39780000</v>
      </c>
      <c r="U557" s="201"/>
      <c r="V557" s="211">
        <f t="shared" si="269"/>
        <v>81000000</v>
      </c>
      <c r="W557" s="211">
        <f t="shared" si="264"/>
        <v>590096725.31</v>
      </c>
      <c r="X557" s="211">
        <f t="shared" si="264"/>
        <v>467166666</v>
      </c>
      <c r="Y557" s="147">
        <f t="shared" si="264"/>
        <v>385855000</v>
      </c>
      <c r="Z557" s="392"/>
    </row>
    <row r="558" spans="1:26" ht="409.5">
      <c r="A558" s="484"/>
      <c r="B558" s="484"/>
      <c r="C558" s="487"/>
      <c r="D558" s="209" t="s">
        <v>353</v>
      </c>
      <c r="E558" s="209"/>
      <c r="F558" s="209"/>
      <c r="G558" s="210" t="s">
        <v>354</v>
      </c>
      <c r="H558" s="44">
        <f aca="true" t="shared" si="271" ref="H558:O558">H559</f>
        <v>20000000</v>
      </c>
      <c r="I558" s="44">
        <f t="shared" si="271"/>
        <v>433100000</v>
      </c>
      <c r="J558" s="44">
        <f t="shared" si="271"/>
        <v>342236666</v>
      </c>
      <c r="K558" s="44">
        <f t="shared" si="271"/>
        <v>273100000</v>
      </c>
      <c r="L558" s="44">
        <f t="shared" si="271"/>
        <v>34000000</v>
      </c>
      <c r="M558" s="44">
        <f t="shared" si="271"/>
        <v>54000000</v>
      </c>
      <c r="N558" s="44">
        <f t="shared" si="271"/>
        <v>48600000</v>
      </c>
      <c r="O558" s="44">
        <f t="shared" si="271"/>
        <v>45900000</v>
      </c>
      <c r="P558" s="44"/>
      <c r="Q558" s="201">
        <f>Q559</f>
        <v>0</v>
      </c>
      <c r="R558" s="201">
        <f>R559</f>
        <v>27349760</v>
      </c>
      <c r="S558" s="201">
        <f>S559</f>
        <v>25380000</v>
      </c>
      <c r="T558" s="201">
        <f>T559</f>
        <v>19980000</v>
      </c>
      <c r="U558" s="62"/>
      <c r="V558" s="211">
        <f t="shared" si="269"/>
        <v>54000000</v>
      </c>
      <c r="W558" s="211">
        <f t="shared" si="264"/>
        <v>514449760</v>
      </c>
      <c r="X558" s="211">
        <f t="shared" si="264"/>
        <v>416216666</v>
      </c>
      <c r="Y558" s="147">
        <f t="shared" si="264"/>
        <v>338980000</v>
      </c>
      <c r="Z558" s="392"/>
    </row>
    <row r="559" spans="1:26" ht="41.25" customHeight="1">
      <c r="A559" s="484"/>
      <c r="B559" s="484"/>
      <c r="C559" s="488"/>
      <c r="D559" s="209"/>
      <c r="E559" s="209" t="s">
        <v>834</v>
      </c>
      <c r="F559" s="27" t="s">
        <v>993</v>
      </c>
      <c r="G559" s="41" t="s">
        <v>835</v>
      </c>
      <c r="H559" s="18">
        <v>20000000</v>
      </c>
      <c r="I559" s="18">
        <v>433100000</v>
      </c>
      <c r="J559" s="18">
        <v>342236666</v>
      </c>
      <c r="K559" s="18">
        <v>273100000</v>
      </c>
      <c r="L559" s="18">
        <v>34000000</v>
      </c>
      <c r="M559" s="18">
        <f>27000000+27000000</f>
        <v>54000000</v>
      </c>
      <c r="N559" s="18">
        <f>27000000+21600000</f>
        <v>48600000</v>
      </c>
      <c r="O559" s="18">
        <f>24300000+21600000</f>
        <v>45900000</v>
      </c>
      <c r="P559" s="212" t="s">
        <v>856</v>
      </c>
      <c r="Q559" s="7">
        <v>0</v>
      </c>
      <c r="R559" s="9">
        <v>27349760</v>
      </c>
      <c r="S559" s="9">
        <v>25380000</v>
      </c>
      <c r="T559" s="9">
        <v>19980000</v>
      </c>
      <c r="U559" s="53" t="s">
        <v>1087</v>
      </c>
      <c r="V559" s="217">
        <f t="shared" si="269"/>
        <v>54000000</v>
      </c>
      <c r="W559" s="217">
        <f t="shared" si="264"/>
        <v>514449760</v>
      </c>
      <c r="X559" s="217">
        <f t="shared" si="264"/>
        <v>416216666</v>
      </c>
      <c r="Y559" s="149">
        <f t="shared" si="264"/>
        <v>338980000</v>
      </c>
      <c r="Z559" s="392"/>
    </row>
    <row r="560" spans="1:26" ht="27" customHeight="1">
      <c r="A560" s="484"/>
      <c r="B560" s="484"/>
      <c r="C560" s="488"/>
      <c r="D560" s="209" t="s">
        <v>836</v>
      </c>
      <c r="E560" s="209"/>
      <c r="F560" s="209"/>
      <c r="G560" s="210" t="s">
        <v>837</v>
      </c>
      <c r="H560" s="201">
        <f aca="true" t="shared" si="272" ref="H560:O560">H561</f>
        <v>0</v>
      </c>
      <c r="I560" s="201">
        <f t="shared" si="272"/>
        <v>22700000</v>
      </c>
      <c r="J560" s="201">
        <f t="shared" si="272"/>
        <v>4700000</v>
      </c>
      <c r="K560" s="201">
        <f t="shared" si="272"/>
        <v>4125000</v>
      </c>
      <c r="L560" s="44">
        <f t="shared" si="272"/>
        <v>27000000</v>
      </c>
      <c r="M560" s="44">
        <f t="shared" si="272"/>
        <v>27000000</v>
      </c>
      <c r="N560" s="44">
        <f t="shared" si="272"/>
        <v>23750000</v>
      </c>
      <c r="O560" s="44">
        <f t="shared" si="272"/>
        <v>22950000</v>
      </c>
      <c r="P560" s="18"/>
      <c r="Q560" s="201">
        <f>Q561</f>
        <v>0</v>
      </c>
      <c r="R560" s="201">
        <f>R561</f>
        <v>25946965.31</v>
      </c>
      <c r="S560" s="201">
        <f>S561</f>
        <v>22500000</v>
      </c>
      <c r="T560" s="201">
        <f>T561</f>
        <v>19800000</v>
      </c>
      <c r="U560" s="55"/>
      <c r="V560" s="211">
        <f t="shared" si="269"/>
        <v>27000000</v>
      </c>
      <c r="W560" s="211">
        <f t="shared" si="264"/>
        <v>75646965.31</v>
      </c>
      <c r="X560" s="211">
        <f t="shared" si="264"/>
        <v>50950000</v>
      </c>
      <c r="Y560" s="147">
        <f t="shared" si="264"/>
        <v>46875000</v>
      </c>
      <c r="Z560" s="392"/>
    </row>
    <row r="561" spans="1:26" ht="21.75" customHeight="1">
      <c r="A561" s="484"/>
      <c r="B561" s="484"/>
      <c r="C561" s="488"/>
      <c r="D561" s="501"/>
      <c r="E561" s="209" t="s">
        <v>838</v>
      </c>
      <c r="F561" s="393" t="s">
        <v>994</v>
      </c>
      <c r="G561" s="528" t="s">
        <v>839</v>
      </c>
      <c r="H561" s="504">
        <v>0</v>
      </c>
      <c r="I561" s="446">
        <v>22700000</v>
      </c>
      <c r="J561" s="446">
        <v>4700000</v>
      </c>
      <c r="K561" s="446">
        <v>4125000</v>
      </c>
      <c r="L561" s="480">
        <v>27000000</v>
      </c>
      <c r="M561" s="446">
        <v>27000000</v>
      </c>
      <c r="N561" s="446">
        <v>23750000</v>
      </c>
      <c r="O561" s="446">
        <v>22950000</v>
      </c>
      <c r="P561" s="480" t="s">
        <v>856</v>
      </c>
      <c r="Q561" s="480">
        <v>0</v>
      </c>
      <c r="R561" s="446">
        <v>25946965.31</v>
      </c>
      <c r="S561" s="446">
        <v>22500000</v>
      </c>
      <c r="T561" s="446">
        <v>19800000</v>
      </c>
      <c r="U561" s="490" t="s">
        <v>1088</v>
      </c>
      <c r="V561" s="425">
        <f t="shared" si="269"/>
        <v>27000000</v>
      </c>
      <c r="W561" s="425">
        <f t="shared" si="264"/>
        <v>75646965.31</v>
      </c>
      <c r="X561" s="425">
        <f t="shared" si="264"/>
        <v>50950000</v>
      </c>
      <c r="Y561" s="426">
        <f t="shared" si="264"/>
        <v>46875000</v>
      </c>
      <c r="Z561" s="392"/>
    </row>
    <row r="562" spans="1:26" ht="21.75" customHeight="1">
      <c r="A562" s="484"/>
      <c r="B562" s="484"/>
      <c r="C562" s="488"/>
      <c r="D562" s="502"/>
      <c r="E562" s="209" t="s">
        <v>840</v>
      </c>
      <c r="F562" s="393"/>
      <c r="G562" s="528"/>
      <c r="H562" s="504"/>
      <c r="I562" s="448"/>
      <c r="J562" s="448"/>
      <c r="K562" s="448"/>
      <c r="L562" s="480"/>
      <c r="M562" s="448"/>
      <c r="N562" s="448"/>
      <c r="O562" s="448"/>
      <c r="P562" s="480"/>
      <c r="Q562" s="480"/>
      <c r="R562" s="448"/>
      <c r="S562" s="448"/>
      <c r="T562" s="448"/>
      <c r="U562" s="490"/>
      <c r="V562" s="425"/>
      <c r="W562" s="425"/>
      <c r="X562" s="425"/>
      <c r="Y562" s="426"/>
      <c r="Z562" s="392"/>
    </row>
    <row r="563" spans="1:26" ht="409.5">
      <c r="A563" s="484"/>
      <c r="B563" s="484"/>
      <c r="C563" s="209" t="s">
        <v>150</v>
      </c>
      <c r="D563" s="212"/>
      <c r="E563" s="212"/>
      <c r="F563" s="209"/>
      <c r="G563" s="210" t="s">
        <v>151</v>
      </c>
      <c r="H563" s="44">
        <f aca="true" t="shared" si="273" ref="H563:O563">H564+H566</f>
        <v>30000000</v>
      </c>
      <c r="I563" s="44">
        <f t="shared" si="273"/>
        <v>353040565</v>
      </c>
      <c r="J563" s="44">
        <f t="shared" si="273"/>
        <v>294840565</v>
      </c>
      <c r="K563" s="44">
        <f t="shared" si="273"/>
        <v>222130566</v>
      </c>
      <c r="L563" s="44">
        <f t="shared" si="273"/>
        <v>40000000</v>
      </c>
      <c r="M563" s="44">
        <f t="shared" si="273"/>
        <v>152359105</v>
      </c>
      <c r="N563" s="44">
        <f t="shared" si="273"/>
        <v>143459663</v>
      </c>
      <c r="O563" s="44">
        <f t="shared" si="273"/>
        <v>136499996</v>
      </c>
      <c r="P563" s="201"/>
      <c r="Q563" s="201">
        <f>Q564+Q566</f>
        <v>0</v>
      </c>
      <c r="R563" s="201">
        <f>R564+R566</f>
        <v>184118955.45000002</v>
      </c>
      <c r="S563" s="201">
        <f>S564+S566</f>
        <v>160724721.85</v>
      </c>
      <c r="T563" s="201">
        <f>T564+T566</f>
        <v>146944341.7</v>
      </c>
      <c r="U563" s="201"/>
      <c r="V563" s="211">
        <f>H563+L563+Q563</f>
        <v>70000000</v>
      </c>
      <c r="W563" s="211">
        <f aca="true" t="shared" si="274" ref="V563:Y567">I563+M563+R563</f>
        <v>689518625.45</v>
      </c>
      <c r="X563" s="211">
        <f t="shared" si="274"/>
        <v>599024949.85</v>
      </c>
      <c r="Y563" s="147">
        <f t="shared" si="274"/>
        <v>505574903.7</v>
      </c>
      <c r="Z563" s="392"/>
    </row>
    <row r="564" spans="1:26" ht="409.5">
      <c r="A564" s="484"/>
      <c r="B564" s="484"/>
      <c r="C564" s="485"/>
      <c r="D564" s="209" t="s">
        <v>841</v>
      </c>
      <c r="E564" s="208"/>
      <c r="F564" s="208"/>
      <c r="G564" s="208" t="s">
        <v>842</v>
      </c>
      <c r="H564" s="44">
        <f aca="true" t="shared" si="275" ref="H564:O564">H565</f>
        <v>20000000</v>
      </c>
      <c r="I564" s="44">
        <f t="shared" si="275"/>
        <v>165307232</v>
      </c>
      <c r="J564" s="44">
        <f t="shared" si="275"/>
        <v>135307232</v>
      </c>
      <c r="K564" s="44">
        <f t="shared" si="275"/>
        <v>101330566</v>
      </c>
      <c r="L564" s="44">
        <f t="shared" si="275"/>
        <v>20000000</v>
      </c>
      <c r="M564" s="44">
        <f t="shared" si="275"/>
        <v>32359105</v>
      </c>
      <c r="N564" s="44">
        <f t="shared" si="275"/>
        <v>24493000</v>
      </c>
      <c r="O564" s="44">
        <f t="shared" si="275"/>
        <v>19800000</v>
      </c>
      <c r="P564" s="44"/>
      <c r="Q564" s="201">
        <f>Q565</f>
        <v>0</v>
      </c>
      <c r="R564" s="201">
        <f>R565</f>
        <v>184118955.45000002</v>
      </c>
      <c r="S564" s="201">
        <f>S565</f>
        <v>160724721.85</v>
      </c>
      <c r="T564" s="201">
        <f>T565</f>
        <v>146944341.7</v>
      </c>
      <c r="U564" s="62"/>
      <c r="V564" s="211">
        <f t="shared" si="274"/>
        <v>40000000</v>
      </c>
      <c r="W564" s="211">
        <f t="shared" si="274"/>
        <v>381785292.45000005</v>
      </c>
      <c r="X564" s="211">
        <f t="shared" si="274"/>
        <v>320524953.85</v>
      </c>
      <c r="Y564" s="147">
        <f t="shared" si="274"/>
        <v>268074907.7</v>
      </c>
      <c r="Z564" s="392"/>
    </row>
    <row r="565" spans="1:26" ht="30" customHeight="1">
      <c r="A565" s="484"/>
      <c r="B565" s="484"/>
      <c r="C565" s="486"/>
      <c r="D565" s="209"/>
      <c r="E565" s="209" t="s">
        <v>843</v>
      </c>
      <c r="F565" s="209" t="s">
        <v>995</v>
      </c>
      <c r="G565" s="226" t="s">
        <v>844</v>
      </c>
      <c r="H565" s="18">
        <v>20000000</v>
      </c>
      <c r="I565" s="18">
        <f>29307232+136000000</f>
        <v>165307232</v>
      </c>
      <c r="J565" s="18">
        <f>28193333+107113899</f>
        <v>135307232</v>
      </c>
      <c r="K565" s="18">
        <f>11100000+90230566</f>
        <v>101330566</v>
      </c>
      <c r="L565" s="18">
        <v>20000000</v>
      </c>
      <c r="M565" s="18">
        <f>20000000+12359105</f>
        <v>32359105</v>
      </c>
      <c r="N565" s="18">
        <f>19800000+4693000</f>
        <v>24493000</v>
      </c>
      <c r="O565" s="18">
        <v>19800000</v>
      </c>
      <c r="P565" s="212" t="s">
        <v>1027</v>
      </c>
      <c r="Q565" s="201">
        <v>0</v>
      </c>
      <c r="R565" s="206">
        <f>155724727.05+28394228.4</f>
        <v>184118955.45000002</v>
      </c>
      <c r="S565" s="206">
        <f>135724721.75+25000000.1</f>
        <v>160724721.85</v>
      </c>
      <c r="T565" s="206">
        <f>121944341.7+25000000</f>
        <v>146944341.7</v>
      </c>
      <c r="U565" s="53" t="s">
        <v>1087</v>
      </c>
      <c r="V565" s="217">
        <f>H565+L565+Q565</f>
        <v>40000000</v>
      </c>
      <c r="W565" s="217">
        <f t="shared" si="274"/>
        <v>381785292.45000005</v>
      </c>
      <c r="X565" s="217">
        <f t="shared" si="274"/>
        <v>320524953.85</v>
      </c>
      <c r="Y565" s="149">
        <f t="shared" si="274"/>
        <v>268074907.7</v>
      </c>
      <c r="Z565" s="392"/>
    </row>
    <row r="566" spans="1:26" ht="409.5">
      <c r="A566" s="484"/>
      <c r="B566" s="484"/>
      <c r="C566" s="486"/>
      <c r="D566" s="209" t="s">
        <v>845</v>
      </c>
      <c r="E566" s="208"/>
      <c r="F566" s="209"/>
      <c r="G566" s="229" t="s">
        <v>846</v>
      </c>
      <c r="H566" s="44">
        <f aca="true" t="shared" si="276" ref="H566:O566">H567</f>
        <v>10000000</v>
      </c>
      <c r="I566" s="44">
        <f t="shared" si="276"/>
        <v>187733333</v>
      </c>
      <c r="J566" s="44">
        <f t="shared" si="276"/>
        <v>159533333</v>
      </c>
      <c r="K566" s="44">
        <f t="shared" si="276"/>
        <v>120800000</v>
      </c>
      <c r="L566" s="44">
        <f t="shared" si="276"/>
        <v>20000000</v>
      </c>
      <c r="M566" s="44">
        <f t="shared" si="276"/>
        <v>120000000</v>
      </c>
      <c r="N566" s="44">
        <f t="shared" si="276"/>
        <v>118966663</v>
      </c>
      <c r="O566" s="44">
        <f t="shared" si="276"/>
        <v>116699996</v>
      </c>
      <c r="P566" s="44"/>
      <c r="Q566" s="201">
        <f>Q567</f>
        <v>0</v>
      </c>
      <c r="R566" s="201"/>
      <c r="S566" s="201"/>
      <c r="T566" s="201"/>
      <c r="U566" s="62"/>
      <c r="V566" s="211">
        <f>H566+L566+Q566</f>
        <v>30000000</v>
      </c>
      <c r="W566" s="211">
        <f t="shared" si="274"/>
        <v>307733333</v>
      </c>
      <c r="X566" s="211">
        <f t="shared" si="274"/>
        <v>278499996</v>
      </c>
      <c r="Y566" s="147">
        <f t="shared" si="274"/>
        <v>237499996</v>
      </c>
      <c r="Z566" s="392"/>
    </row>
    <row r="567" spans="1:26" ht="36" customHeight="1" thickBot="1">
      <c r="A567" s="484"/>
      <c r="B567" s="484"/>
      <c r="C567" s="486"/>
      <c r="D567" s="230"/>
      <c r="E567" s="214" t="s">
        <v>847</v>
      </c>
      <c r="F567" s="348" t="s">
        <v>996</v>
      </c>
      <c r="G567" s="273" t="s">
        <v>848</v>
      </c>
      <c r="H567" s="233">
        <v>10000000</v>
      </c>
      <c r="I567" s="233">
        <v>187733333</v>
      </c>
      <c r="J567" s="233">
        <v>159533333</v>
      </c>
      <c r="K567" s="233">
        <v>120800000</v>
      </c>
      <c r="L567" s="220">
        <v>20000000</v>
      </c>
      <c r="M567" s="220">
        <v>120000000</v>
      </c>
      <c r="N567" s="220">
        <v>118966663</v>
      </c>
      <c r="O567" s="220">
        <v>116699996</v>
      </c>
      <c r="P567" s="250" t="s">
        <v>856</v>
      </c>
      <c r="Q567" s="254">
        <v>0</v>
      </c>
      <c r="R567" s="254"/>
      <c r="S567" s="254"/>
      <c r="T567" s="254"/>
      <c r="U567" s="271"/>
      <c r="V567" s="274">
        <f>H567+L567+Q567</f>
        <v>30000000</v>
      </c>
      <c r="W567" s="274">
        <f t="shared" si="274"/>
        <v>307733333</v>
      </c>
      <c r="X567" s="274">
        <f t="shared" si="274"/>
        <v>278499996</v>
      </c>
      <c r="Y567" s="272">
        <f t="shared" si="274"/>
        <v>237499996</v>
      </c>
      <c r="Z567" s="392"/>
    </row>
    <row r="568" spans="1:26" ht="13.5" customHeight="1" thickBot="1">
      <c r="A568" s="482" t="s">
        <v>861</v>
      </c>
      <c r="B568" s="482"/>
      <c r="C568" s="482"/>
      <c r="D568" s="482"/>
      <c r="E568" s="482"/>
      <c r="F568" s="482"/>
      <c r="G568" s="482"/>
      <c r="H568" s="286">
        <v>0</v>
      </c>
      <c r="I568" s="286"/>
      <c r="J568" s="286"/>
      <c r="K568" s="286"/>
      <c r="L568" s="287">
        <f>L569+L584</f>
        <v>1635188000</v>
      </c>
      <c r="M568" s="287">
        <f>M569+M584</f>
        <v>1635188000</v>
      </c>
      <c r="N568" s="287">
        <f>N569+N584</f>
        <v>500000000</v>
      </c>
      <c r="O568" s="287">
        <f>O569+O584</f>
        <v>150000000</v>
      </c>
      <c r="P568" s="287"/>
      <c r="Q568" s="286">
        <f>Q569+Q584</f>
        <v>0</v>
      </c>
      <c r="R568" s="286"/>
      <c r="S568" s="286"/>
      <c r="T568" s="286"/>
      <c r="U568" s="288"/>
      <c r="V568" s="289">
        <f aca="true" t="shared" si="277" ref="V568:V574">H568+L568+Q568</f>
        <v>1635188000</v>
      </c>
      <c r="W568" s="289">
        <f aca="true" t="shared" si="278" ref="W568:W574">I568+M568+R568</f>
        <v>1635188000</v>
      </c>
      <c r="X568" s="289">
        <f aca="true" t="shared" si="279" ref="X568:X574">J568+N568+S568</f>
        <v>500000000</v>
      </c>
      <c r="Y568" s="380">
        <f aca="true" t="shared" si="280" ref="Y568:Y574">K568+O568+T568</f>
        <v>150000000</v>
      </c>
      <c r="Z568" s="392">
        <v>1</v>
      </c>
    </row>
    <row r="569" spans="1:26" ht="14.25" customHeight="1" thickBot="1">
      <c r="A569" s="481" t="s">
        <v>862</v>
      </c>
      <c r="B569" s="481"/>
      <c r="C569" s="481"/>
      <c r="D569" s="481"/>
      <c r="E569" s="481"/>
      <c r="F569" s="481"/>
      <c r="G569" s="481"/>
      <c r="H569" s="281">
        <v>0</v>
      </c>
      <c r="I569" s="281"/>
      <c r="J569" s="281"/>
      <c r="K569" s="281"/>
      <c r="L569" s="282">
        <f aca="true" t="shared" si="281" ref="L569:O570">L570</f>
        <v>500000000</v>
      </c>
      <c r="M569" s="282">
        <f t="shared" si="281"/>
        <v>1000000000</v>
      </c>
      <c r="N569" s="282">
        <f t="shared" si="281"/>
        <v>500000000</v>
      </c>
      <c r="O569" s="282">
        <f t="shared" si="281"/>
        <v>150000000</v>
      </c>
      <c r="P569" s="290"/>
      <c r="Q569" s="291">
        <v>0</v>
      </c>
      <c r="R569" s="291"/>
      <c r="S569" s="291"/>
      <c r="T569" s="291"/>
      <c r="U569" s="292"/>
      <c r="V569" s="285">
        <f t="shared" si="277"/>
        <v>500000000</v>
      </c>
      <c r="W569" s="285">
        <f t="shared" si="278"/>
        <v>1000000000</v>
      </c>
      <c r="X569" s="285">
        <f t="shared" si="279"/>
        <v>500000000</v>
      </c>
      <c r="Y569" s="381">
        <f t="shared" si="280"/>
        <v>150000000</v>
      </c>
      <c r="Z569" s="392"/>
    </row>
    <row r="570" spans="1:26" s="63" customFormat="1" ht="14.25" customHeight="1">
      <c r="A570" s="574">
        <v>3</v>
      </c>
      <c r="B570" s="275"/>
      <c r="C570" s="276"/>
      <c r="D570" s="276"/>
      <c r="E570" s="276"/>
      <c r="F570" s="276"/>
      <c r="G570" s="276" t="s">
        <v>96</v>
      </c>
      <c r="H570" s="234">
        <v>0</v>
      </c>
      <c r="I570" s="234"/>
      <c r="J570" s="234"/>
      <c r="K570" s="234"/>
      <c r="L570" s="255">
        <f t="shared" si="281"/>
        <v>500000000</v>
      </c>
      <c r="M570" s="255">
        <f t="shared" si="281"/>
        <v>1000000000</v>
      </c>
      <c r="N570" s="255">
        <f t="shared" si="281"/>
        <v>500000000</v>
      </c>
      <c r="O570" s="255">
        <f t="shared" si="281"/>
        <v>150000000</v>
      </c>
      <c r="P570" s="245"/>
      <c r="Q570" s="234">
        <v>0</v>
      </c>
      <c r="R570" s="234"/>
      <c r="S570" s="234"/>
      <c r="T570" s="234"/>
      <c r="U570" s="279"/>
      <c r="V570" s="148">
        <f t="shared" si="277"/>
        <v>500000000</v>
      </c>
      <c r="W570" s="148">
        <f t="shared" si="278"/>
        <v>1000000000</v>
      </c>
      <c r="X570" s="148">
        <f t="shared" si="279"/>
        <v>500000000</v>
      </c>
      <c r="Y570" s="148">
        <f t="shared" si="280"/>
        <v>150000000</v>
      </c>
      <c r="Z570" s="392"/>
    </row>
    <row r="571" spans="1:26" s="63" customFormat="1" ht="14.25" customHeight="1">
      <c r="A571" s="574"/>
      <c r="B571" s="78" t="s">
        <v>97</v>
      </c>
      <c r="C571" s="190"/>
      <c r="D571" s="190"/>
      <c r="E571" s="191"/>
      <c r="F571" s="190"/>
      <c r="G571" s="190" t="s">
        <v>98</v>
      </c>
      <c r="H571" s="113">
        <v>0</v>
      </c>
      <c r="I571" s="113"/>
      <c r="J571" s="113"/>
      <c r="K571" s="113"/>
      <c r="L571" s="123">
        <f>L572+L578</f>
        <v>500000000</v>
      </c>
      <c r="M571" s="135">
        <f>M572+M578</f>
        <v>1000000000</v>
      </c>
      <c r="N571" s="135">
        <f>N572+N578</f>
        <v>500000000</v>
      </c>
      <c r="O571" s="135">
        <f>O572+O578</f>
        <v>150000000</v>
      </c>
      <c r="P571" s="168"/>
      <c r="Q571" s="113">
        <v>0</v>
      </c>
      <c r="R571" s="113"/>
      <c r="S571" s="113"/>
      <c r="T571" s="113"/>
      <c r="U571" s="62"/>
      <c r="V571" s="147">
        <f t="shared" si="277"/>
        <v>500000000</v>
      </c>
      <c r="W571" s="147">
        <f t="shared" si="278"/>
        <v>1000000000</v>
      </c>
      <c r="X571" s="147">
        <f t="shared" si="279"/>
        <v>500000000</v>
      </c>
      <c r="Y571" s="147">
        <f t="shared" si="280"/>
        <v>150000000</v>
      </c>
      <c r="Z571" s="392"/>
    </row>
    <row r="572" spans="1:26" ht="18" customHeight="1">
      <c r="A572" s="574"/>
      <c r="B572" s="483"/>
      <c r="C572" s="194" t="s">
        <v>104</v>
      </c>
      <c r="D572" s="2"/>
      <c r="E572" s="169"/>
      <c r="F572" s="355"/>
      <c r="G572" s="166" t="s">
        <v>98</v>
      </c>
      <c r="H572" s="113">
        <v>0</v>
      </c>
      <c r="I572" s="113"/>
      <c r="J572" s="113"/>
      <c r="K572" s="113"/>
      <c r="L572" s="44">
        <f>L573+L576</f>
        <v>500000000</v>
      </c>
      <c r="M572" s="44">
        <f>M573+M576</f>
        <v>500000000</v>
      </c>
      <c r="N572" s="44">
        <f>N573+N576</f>
        <v>0</v>
      </c>
      <c r="O572" s="44">
        <f>O573+O576</f>
        <v>0</v>
      </c>
      <c r="P572" s="113"/>
      <c r="Q572" s="113">
        <v>0</v>
      </c>
      <c r="R572" s="113"/>
      <c r="S572" s="113"/>
      <c r="T572" s="113"/>
      <c r="U572" s="62"/>
      <c r="V572" s="147">
        <f t="shared" si="277"/>
        <v>500000000</v>
      </c>
      <c r="W572" s="147">
        <f t="shared" si="278"/>
        <v>500000000</v>
      </c>
      <c r="X572" s="147">
        <f t="shared" si="279"/>
        <v>0</v>
      </c>
      <c r="Y572" s="147">
        <f t="shared" si="280"/>
        <v>0</v>
      </c>
      <c r="Z572" s="392"/>
    </row>
    <row r="573" spans="1:26" ht="25.5">
      <c r="A573" s="574"/>
      <c r="B573" s="484"/>
      <c r="C573" s="525"/>
      <c r="D573" s="168" t="s">
        <v>563</v>
      </c>
      <c r="E573" s="168"/>
      <c r="F573" s="355"/>
      <c r="G573" s="166" t="s">
        <v>564</v>
      </c>
      <c r="H573" s="113">
        <v>0</v>
      </c>
      <c r="I573" s="113"/>
      <c r="J573" s="113"/>
      <c r="K573" s="113"/>
      <c r="L573" s="44">
        <f>L574</f>
        <v>250000000</v>
      </c>
      <c r="M573" s="44">
        <f>M574</f>
        <v>250000000</v>
      </c>
      <c r="N573" s="44">
        <f>N574</f>
        <v>0</v>
      </c>
      <c r="O573" s="44">
        <f>O574</f>
        <v>0</v>
      </c>
      <c r="P573" s="113"/>
      <c r="Q573" s="113">
        <v>0</v>
      </c>
      <c r="R573" s="113"/>
      <c r="S573" s="113"/>
      <c r="T573" s="113"/>
      <c r="U573" s="62"/>
      <c r="V573" s="147">
        <f t="shared" si="277"/>
        <v>250000000</v>
      </c>
      <c r="W573" s="147">
        <f t="shared" si="278"/>
        <v>250000000</v>
      </c>
      <c r="X573" s="147">
        <f t="shared" si="279"/>
        <v>0</v>
      </c>
      <c r="Y573" s="147">
        <f t="shared" si="280"/>
        <v>0</v>
      </c>
      <c r="Z573" s="392"/>
    </row>
    <row r="574" spans="1:26" ht="27.75" customHeight="1">
      <c r="A574" s="574"/>
      <c r="B574" s="484"/>
      <c r="C574" s="526"/>
      <c r="D574" s="400"/>
      <c r="E574" s="170" t="s">
        <v>565</v>
      </c>
      <c r="F574" s="497" t="s">
        <v>997</v>
      </c>
      <c r="G574" s="494" t="s">
        <v>849</v>
      </c>
      <c r="H574" s="446">
        <v>0</v>
      </c>
      <c r="I574" s="446"/>
      <c r="J574" s="446"/>
      <c r="K574" s="446"/>
      <c r="L574" s="472">
        <v>250000000</v>
      </c>
      <c r="M574" s="472">
        <v>250000000</v>
      </c>
      <c r="N574" s="472">
        <v>0</v>
      </c>
      <c r="O574" s="472">
        <v>0</v>
      </c>
      <c r="P574" s="472" t="s">
        <v>143</v>
      </c>
      <c r="Q574" s="446">
        <v>0</v>
      </c>
      <c r="R574" s="446"/>
      <c r="S574" s="446"/>
      <c r="T574" s="446"/>
      <c r="U574" s="472"/>
      <c r="V574" s="427">
        <f t="shared" si="277"/>
        <v>250000000</v>
      </c>
      <c r="W574" s="427">
        <f t="shared" si="278"/>
        <v>250000000</v>
      </c>
      <c r="X574" s="427">
        <f t="shared" si="279"/>
        <v>0</v>
      </c>
      <c r="Y574" s="427">
        <f t="shared" si="280"/>
        <v>0</v>
      </c>
      <c r="Z574" s="392"/>
    </row>
    <row r="575" spans="1:29" ht="27.75" customHeight="1">
      <c r="A575" s="574"/>
      <c r="B575" s="484"/>
      <c r="C575" s="526"/>
      <c r="D575" s="402"/>
      <c r="E575" s="170" t="s">
        <v>566</v>
      </c>
      <c r="F575" s="499"/>
      <c r="G575" s="495"/>
      <c r="H575" s="448"/>
      <c r="I575" s="448"/>
      <c r="J575" s="448"/>
      <c r="K575" s="448"/>
      <c r="L575" s="473"/>
      <c r="M575" s="473"/>
      <c r="N575" s="473"/>
      <c r="O575" s="473"/>
      <c r="P575" s="473"/>
      <c r="Q575" s="448"/>
      <c r="R575" s="448"/>
      <c r="S575" s="448"/>
      <c r="T575" s="448"/>
      <c r="U575" s="473"/>
      <c r="V575" s="428"/>
      <c r="W575" s="428"/>
      <c r="X575" s="428"/>
      <c r="Y575" s="428"/>
      <c r="Z575" s="392"/>
      <c r="AC575" s="63"/>
    </row>
    <row r="576" spans="1:26" ht="48" customHeight="1">
      <c r="A576" s="574"/>
      <c r="B576" s="484"/>
      <c r="C576" s="526"/>
      <c r="D576" s="168" t="s">
        <v>580</v>
      </c>
      <c r="E576" s="170"/>
      <c r="F576" s="31"/>
      <c r="G576" s="6" t="s">
        <v>581</v>
      </c>
      <c r="H576" s="113">
        <v>0</v>
      </c>
      <c r="I576" s="113"/>
      <c r="J576" s="113"/>
      <c r="K576" s="113"/>
      <c r="L576" s="44">
        <f>L577</f>
        <v>250000000</v>
      </c>
      <c r="M576" s="44">
        <f>M577</f>
        <v>250000000</v>
      </c>
      <c r="N576" s="44">
        <f>N577</f>
        <v>0</v>
      </c>
      <c r="O576" s="44">
        <f>O577</f>
        <v>0</v>
      </c>
      <c r="P576" s="169"/>
      <c r="Q576" s="113">
        <v>0</v>
      </c>
      <c r="R576" s="113"/>
      <c r="S576" s="113"/>
      <c r="T576" s="113"/>
      <c r="U576" s="55"/>
      <c r="V576" s="147">
        <f>H576+L576+Q576</f>
        <v>250000000</v>
      </c>
      <c r="W576" s="147">
        <f aca="true" t="shared" si="282" ref="W576:Y577">I576+M576+R576</f>
        <v>250000000</v>
      </c>
      <c r="X576" s="147">
        <f t="shared" si="282"/>
        <v>0</v>
      </c>
      <c r="Y576" s="147">
        <f t="shared" si="282"/>
        <v>0</v>
      </c>
      <c r="Z576" s="392"/>
    </row>
    <row r="577" spans="1:26" ht="38.25">
      <c r="A577" s="574"/>
      <c r="B577" s="484"/>
      <c r="C577" s="527"/>
      <c r="D577" s="168"/>
      <c r="E577" s="170" t="s">
        <v>582</v>
      </c>
      <c r="F577" s="27" t="s">
        <v>998</v>
      </c>
      <c r="G577" s="117" t="s">
        <v>583</v>
      </c>
      <c r="H577" s="113">
        <v>0</v>
      </c>
      <c r="I577" s="113"/>
      <c r="J577" s="113"/>
      <c r="K577" s="113"/>
      <c r="L577" s="18">
        <v>250000000</v>
      </c>
      <c r="M577" s="18">
        <v>250000000</v>
      </c>
      <c r="N577" s="18">
        <v>0</v>
      </c>
      <c r="O577" s="18">
        <v>0</v>
      </c>
      <c r="P577" s="113" t="s">
        <v>143</v>
      </c>
      <c r="Q577" s="113">
        <v>0</v>
      </c>
      <c r="R577" s="113"/>
      <c r="S577" s="113"/>
      <c r="T577" s="113"/>
      <c r="U577" s="55"/>
      <c r="V577" s="149">
        <f>H577+L577+Q577</f>
        <v>250000000</v>
      </c>
      <c r="W577" s="149">
        <f t="shared" si="282"/>
        <v>250000000</v>
      </c>
      <c r="X577" s="149">
        <f t="shared" si="282"/>
        <v>0</v>
      </c>
      <c r="Y577" s="149">
        <f t="shared" si="282"/>
        <v>0</v>
      </c>
      <c r="Z577" s="392"/>
    </row>
    <row r="578" spans="1:26" ht="38.25">
      <c r="A578" s="574"/>
      <c r="B578" s="484"/>
      <c r="C578" s="194" t="s">
        <v>1083</v>
      </c>
      <c r="D578" s="168"/>
      <c r="E578" s="170"/>
      <c r="F578" s="27"/>
      <c r="G578" s="40" t="s">
        <v>1082</v>
      </c>
      <c r="H578" s="136">
        <v>0</v>
      </c>
      <c r="I578" s="136"/>
      <c r="J578" s="136"/>
      <c r="K578" s="136"/>
      <c r="L578" s="44">
        <f>L579</f>
        <v>0</v>
      </c>
      <c r="M578" s="44">
        <f>M579</f>
        <v>500000000</v>
      </c>
      <c r="N578" s="44">
        <f>N579</f>
        <v>500000000</v>
      </c>
      <c r="O578" s="44">
        <f>O579</f>
        <v>150000000</v>
      </c>
      <c r="P578" s="136"/>
      <c r="Q578" s="136"/>
      <c r="R578" s="136"/>
      <c r="S578" s="136"/>
      <c r="T578" s="136"/>
      <c r="U578" s="55"/>
      <c r="V578" s="149">
        <f>L578</f>
        <v>0</v>
      </c>
      <c r="W578" s="149">
        <f aca="true" t="shared" si="283" ref="W578:Y580">M578</f>
        <v>500000000</v>
      </c>
      <c r="X578" s="149">
        <f t="shared" si="283"/>
        <v>500000000</v>
      </c>
      <c r="Y578" s="149">
        <f t="shared" si="283"/>
        <v>150000000</v>
      </c>
      <c r="Z578" s="392"/>
    </row>
    <row r="579" spans="1:26" ht="38.25">
      <c r="A579" s="574"/>
      <c r="B579" s="484"/>
      <c r="C579" s="575"/>
      <c r="D579" s="168" t="s">
        <v>1081</v>
      </c>
      <c r="E579" s="175"/>
      <c r="F579" s="355"/>
      <c r="G579" s="189" t="s">
        <v>1076</v>
      </c>
      <c r="H579" s="361">
        <v>0</v>
      </c>
      <c r="I579" s="44"/>
      <c r="J579" s="44"/>
      <c r="K579" s="44"/>
      <c r="L579" s="44">
        <f>SUM(L580:L583)</f>
        <v>0</v>
      </c>
      <c r="M579" s="44">
        <f>SUM(M580:M583)</f>
        <v>500000000</v>
      </c>
      <c r="N579" s="44">
        <f>SUM(N580:N583)</f>
        <v>500000000</v>
      </c>
      <c r="O579" s="44">
        <f>SUM(O580:O583)</f>
        <v>150000000</v>
      </c>
      <c r="P579" s="44"/>
      <c r="Q579" s="135">
        <f>Q580</f>
        <v>0</v>
      </c>
      <c r="R579" s="135"/>
      <c r="S579" s="135"/>
      <c r="T579" s="135"/>
      <c r="U579" s="62"/>
      <c r="V579" s="147">
        <f>L579</f>
        <v>0</v>
      </c>
      <c r="W579" s="147">
        <f t="shared" si="283"/>
        <v>500000000</v>
      </c>
      <c r="X579" s="147">
        <f t="shared" si="283"/>
        <v>500000000</v>
      </c>
      <c r="Y579" s="147">
        <f t="shared" si="283"/>
        <v>150000000</v>
      </c>
      <c r="Z579" s="392"/>
    </row>
    <row r="580" spans="1:26" ht="409.5">
      <c r="A580" s="574"/>
      <c r="B580" s="484"/>
      <c r="C580" s="576"/>
      <c r="D580" s="571"/>
      <c r="E580" s="193" t="s">
        <v>1077</v>
      </c>
      <c r="F580" s="571" t="s">
        <v>1074</v>
      </c>
      <c r="G580" s="572" t="s">
        <v>1075</v>
      </c>
      <c r="H580" s="446">
        <v>0</v>
      </c>
      <c r="I580" s="446"/>
      <c r="J580" s="446"/>
      <c r="K580" s="446"/>
      <c r="L580" s="446">
        <v>0</v>
      </c>
      <c r="M580" s="446">
        <v>500000000</v>
      </c>
      <c r="N580" s="446">
        <v>500000000</v>
      </c>
      <c r="O580" s="446">
        <v>150000000</v>
      </c>
      <c r="P580" s="446" t="s">
        <v>143</v>
      </c>
      <c r="Q580" s="446">
        <v>0</v>
      </c>
      <c r="R580" s="446"/>
      <c r="S580" s="446"/>
      <c r="T580" s="446"/>
      <c r="U580" s="446"/>
      <c r="V580" s="446">
        <f>L580</f>
        <v>0</v>
      </c>
      <c r="W580" s="446">
        <f t="shared" si="283"/>
        <v>500000000</v>
      </c>
      <c r="X580" s="446">
        <f t="shared" si="283"/>
        <v>500000000</v>
      </c>
      <c r="Y580" s="449">
        <f t="shared" si="283"/>
        <v>150000000</v>
      </c>
      <c r="Z580" s="392"/>
    </row>
    <row r="581" spans="1:26" ht="409.5">
      <c r="A581" s="574"/>
      <c r="B581" s="484"/>
      <c r="C581" s="576"/>
      <c r="D581" s="571"/>
      <c r="E581" s="193" t="s">
        <v>1078</v>
      </c>
      <c r="F581" s="571"/>
      <c r="G581" s="573"/>
      <c r="H581" s="447"/>
      <c r="I581" s="447"/>
      <c r="J581" s="447"/>
      <c r="K581" s="447"/>
      <c r="L581" s="447"/>
      <c r="M581" s="447"/>
      <c r="N581" s="447"/>
      <c r="O581" s="447"/>
      <c r="P581" s="447"/>
      <c r="Q581" s="447"/>
      <c r="R581" s="447"/>
      <c r="S581" s="447"/>
      <c r="T581" s="447"/>
      <c r="U581" s="447"/>
      <c r="V581" s="447"/>
      <c r="W581" s="447"/>
      <c r="X581" s="447"/>
      <c r="Y581" s="450"/>
      <c r="Z581" s="392"/>
    </row>
    <row r="582" spans="1:26" ht="409.5">
      <c r="A582" s="574"/>
      <c r="B582" s="484"/>
      <c r="C582" s="576"/>
      <c r="D582" s="571"/>
      <c r="E582" s="193" t="s">
        <v>1079</v>
      </c>
      <c r="F582" s="571"/>
      <c r="G582" s="573"/>
      <c r="H582" s="447"/>
      <c r="I582" s="447"/>
      <c r="J582" s="447"/>
      <c r="K582" s="447"/>
      <c r="L582" s="447"/>
      <c r="M582" s="447"/>
      <c r="N582" s="447"/>
      <c r="O582" s="447"/>
      <c r="P582" s="447"/>
      <c r="Q582" s="447"/>
      <c r="R582" s="447"/>
      <c r="S582" s="447"/>
      <c r="T582" s="447"/>
      <c r="U582" s="447"/>
      <c r="V582" s="447"/>
      <c r="W582" s="447"/>
      <c r="X582" s="447"/>
      <c r="Y582" s="450"/>
      <c r="Z582" s="392"/>
    </row>
    <row r="583" spans="1:26" ht="13.5" thickBot="1">
      <c r="A583" s="574"/>
      <c r="B583" s="484"/>
      <c r="C583" s="576"/>
      <c r="D583" s="400"/>
      <c r="E583" s="193" t="s">
        <v>1080</v>
      </c>
      <c r="F583" s="400"/>
      <c r="G583" s="573"/>
      <c r="H583" s="447"/>
      <c r="I583" s="447"/>
      <c r="J583" s="447"/>
      <c r="K583" s="447"/>
      <c r="L583" s="447"/>
      <c r="M583" s="447"/>
      <c r="N583" s="447"/>
      <c r="O583" s="447"/>
      <c r="P583" s="447"/>
      <c r="Q583" s="447"/>
      <c r="R583" s="447"/>
      <c r="S583" s="447"/>
      <c r="T583" s="447"/>
      <c r="U583" s="447"/>
      <c r="V583" s="447"/>
      <c r="W583" s="447"/>
      <c r="X583" s="447"/>
      <c r="Y583" s="450"/>
      <c r="Z583" s="392"/>
    </row>
    <row r="584" spans="1:26" ht="13.5" customHeight="1" thickBot="1">
      <c r="A584" s="396" t="s">
        <v>860</v>
      </c>
      <c r="B584" s="396"/>
      <c r="C584" s="396"/>
      <c r="D584" s="396"/>
      <c r="E584" s="396"/>
      <c r="F584" s="396"/>
      <c r="G584" s="396"/>
      <c r="H584" s="281">
        <v>0</v>
      </c>
      <c r="I584" s="281"/>
      <c r="J584" s="281"/>
      <c r="K584" s="281"/>
      <c r="L584" s="282">
        <f>L585</f>
        <v>1135188000</v>
      </c>
      <c r="M584" s="282">
        <f aca="true" t="shared" si="284" ref="M584:O588">M585</f>
        <v>635188000</v>
      </c>
      <c r="N584" s="282">
        <f t="shared" si="284"/>
        <v>0</v>
      </c>
      <c r="O584" s="282">
        <f t="shared" si="284"/>
        <v>0</v>
      </c>
      <c r="P584" s="283"/>
      <c r="Q584" s="281">
        <v>0</v>
      </c>
      <c r="R584" s="281"/>
      <c r="S584" s="281"/>
      <c r="T584" s="281"/>
      <c r="U584" s="284"/>
      <c r="V584" s="285">
        <f aca="true" t="shared" si="285" ref="V584:V589">H584+L584+Q584</f>
        <v>1135188000</v>
      </c>
      <c r="W584" s="285">
        <f aca="true" t="shared" si="286" ref="W584:Y590">I584+M584+R584</f>
        <v>635188000</v>
      </c>
      <c r="X584" s="285">
        <f t="shared" si="286"/>
        <v>0</v>
      </c>
      <c r="Y584" s="285">
        <f t="shared" si="286"/>
        <v>0</v>
      </c>
      <c r="Z584" s="583">
        <v>0</v>
      </c>
    </row>
    <row r="585" spans="1:26" ht="409.5">
      <c r="A585" s="275">
        <v>3</v>
      </c>
      <c r="B585" s="275"/>
      <c r="C585" s="276"/>
      <c r="D585" s="276"/>
      <c r="E585" s="276"/>
      <c r="F585" s="276"/>
      <c r="G585" s="276" t="s">
        <v>96</v>
      </c>
      <c r="H585" s="234">
        <v>0</v>
      </c>
      <c r="I585" s="234"/>
      <c r="J585" s="234"/>
      <c r="K585" s="234"/>
      <c r="L585" s="277">
        <f>L586</f>
        <v>1135188000</v>
      </c>
      <c r="M585" s="277">
        <f t="shared" si="284"/>
        <v>635188000</v>
      </c>
      <c r="N585" s="277">
        <f t="shared" si="284"/>
        <v>0</v>
      </c>
      <c r="O585" s="277">
        <f t="shared" si="284"/>
        <v>0</v>
      </c>
      <c r="P585" s="252"/>
      <c r="Q585" s="234">
        <v>0</v>
      </c>
      <c r="R585" s="234"/>
      <c r="S585" s="234"/>
      <c r="T585" s="234"/>
      <c r="U585" s="278"/>
      <c r="V585" s="148">
        <f t="shared" si="285"/>
        <v>1135188000</v>
      </c>
      <c r="W585" s="148">
        <f t="shared" si="286"/>
        <v>635188000</v>
      </c>
      <c r="X585" s="148">
        <f t="shared" si="286"/>
        <v>0</v>
      </c>
      <c r="Y585" s="148">
        <f t="shared" si="286"/>
        <v>0</v>
      </c>
      <c r="Z585" s="584"/>
    </row>
    <row r="586" spans="1:26" ht="13.5" customHeight="1">
      <c r="A586" s="28"/>
      <c r="B586" s="78" t="s">
        <v>97</v>
      </c>
      <c r="C586" s="190"/>
      <c r="D586" s="190"/>
      <c r="E586" s="191"/>
      <c r="F586" s="190"/>
      <c r="G586" s="190" t="s">
        <v>98</v>
      </c>
      <c r="H586" s="113">
        <v>0</v>
      </c>
      <c r="I586" s="113"/>
      <c r="J586" s="113"/>
      <c r="K586" s="113"/>
      <c r="L586" s="44">
        <f>L587</f>
        <v>1135188000</v>
      </c>
      <c r="M586" s="44">
        <f t="shared" si="284"/>
        <v>635188000</v>
      </c>
      <c r="N586" s="44">
        <f t="shared" si="284"/>
        <v>0</v>
      </c>
      <c r="O586" s="44">
        <f t="shared" si="284"/>
        <v>0</v>
      </c>
      <c r="P586" s="169"/>
      <c r="Q586" s="113">
        <v>0</v>
      </c>
      <c r="R586" s="113"/>
      <c r="S586" s="113"/>
      <c r="T586" s="113"/>
      <c r="U586" s="55"/>
      <c r="V586" s="147">
        <f t="shared" si="285"/>
        <v>1135188000</v>
      </c>
      <c r="W586" s="147">
        <f t="shared" si="286"/>
        <v>635188000</v>
      </c>
      <c r="X586" s="147">
        <f t="shared" si="286"/>
        <v>0</v>
      </c>
      <c r="Y586" s="147">
        <f t="shared" si="286"/>
        <v>0</v>
      </c>
      <c r="Z586" s="584"/>
    </row>
    <row r="587" spans="1:26" ht="25.5">
      <c r="A587" s="28"/>
      <c r="B587" s="78"/>
      <c r="C587" s="168" t="s">
        <v>99</v>
      </c>
      <c r="D587" s="2"/>
      <c r="E587" s="169"/>
      <c r="F587" s="355"/>
      <c r="G587" s="166" t="s">
        <v>100</v>
      </c>
      <c r="H587" s="113"/>
      <c r="I587" s="113"/>
      <c r="J587" s="113"/>
      <c r="K587" s="113"/>
      <c r="L587" s="44">
        <f>L588</f>
        <v>1135188000</v>
      </c>
      <c r="M587" s="44">
        <f t="shared" si="284"/>
        <v>635188000</v>
      </c>
      <c r="N587" s="44">
        <f t="shared" si="284"/>
        <v>0</v>
      </c>
      <c r="O587" s="44">
        <f t="shared" si="284"/>
        <v>0</v>
      </c>
      <c r="P587" s="169"/>
      <c r="Q587" s="113"/>
      <c r="R587" s="113"/>
      <c r="S587" s="113"/>
      <c r="T587" s="113"/>
      <c r="U587" s="55"/>
      <c r="V587" s="147">
        <f t="shared" si="285"/>
        <v>1135188000</v>
      </c>
      <c r="W587" s="147">
        <f t="shared" si="286"/>
        <v>635188000</v>
      </c>
      <c r="X587" s="147">
        <f t="shared" si="286"/>
        <v>0</v>
      </c>
      <c r="Y587" s="147">
        <f t="shared" si="286"/>
        <v>0</v>
      </c>
      <c r="Z587" s="584"/>
    </row>
    <row r="588" spans="1:26" ht="409.5">
      <c r="A588" s="28"/>
      <c r="B588" s="28"/>
      <c r="C588" s="168"/>
      <c r="D588" s="168" t="s">
        <v>577</v>
      </c>
      <c r="E588" s="170"/>
      <c r="F588" s="31"/>
      <c r="G588" s="6" t="s">
        <v>578</v>
      </c>
      <c r="H588" s="113">
        <v>0</v>
      </c>
      <c r="I588" s="113"/>
      <c r="J588" s="113"/>
      <c r="K588" s="113"/>
      <c r="L588" s="44">
        <f>L589</f>
        <v>1135188000</v>
      </c>
      <c r="M588" s="44">
        <f t="shared" si="284"/>
        <v>635188000</v>
      </c>
      <c r="N588" s="44">
        <f t="shared" si="284"/>
        <v>0</v>
      </c>
      <c r="O588" s="44">
        <f t="shared" si="284"/>
        <v>0</v>
      </c>
      <c r="P588" s="169"/>
      <c r="Q588" s="113">
        <v>0</v>
      </c>
      <c r="R588" s="113"/>
      <c r="S588" s="113"/>
      <c r="T588" s="113"/>
      <c r="U588" s="55"/>
      <c r="V588" s="147">
        <f t="shared" si="285"/>
        <v>1135188000</v>
      </c>
      <c r="W588" s="147">
        <f t="shared" si="286"/>
        <v>635188000</v>
      </c>
      <c r="X588" s="147">
        <f t="shared" si="286"/>
        <v>0</v>
      </c>
      <c r="Y588" s="147">
        <f t="shared" si="286"/>
        <v>0</v>
      </c>
      <c r="Z588" s="584"/>
    </row>
    <row r="589" spans="1:26" ht="39" thickBot="1">
      <c r="A589" s="196"/>
      <c r="B589" s="196"/>
      <c r="C589" s="199"/>
      <c r="D589" s="199"/>
      <c r="E589" s="197" t="s">
        <v>579</v>
      </c>
      <c r="F589" s="363" t="s">
        <v>999</v>
      </c>
      <c r="G589" s="200" t="s">
        <v>1063</v>
      </c>
      <c r="H589" s="233"/>
      <c r="I589" s="233"/>
      <c r="J589" s="233"/>
      <c r="K589" s="233"/>
      <c r="L589" s="220">
        <v>1135188000</v>
      </c>
      <c r="M589" s="220">
        <v>635188000</v>
      </c>
      <c r="N589" s="220">
        <v>0</v>
      </c>
      <c r="O589" s="220">
        <v>0</v>
      </c>
      <c r="P589" s="233" t="s">
        <v>143</v>
      </c>
      <c r="Q589" s="254"/>
      <c r="R589" s="254"/>
      <c r="S589" s="254"/>
      <c r="T589" s="254"/>
      <c r="U589" s="271"/>
      <c r="V589" s="272">
        <f t="shared" si="285"/>
        <v>1135188000</v>
      </c>
      <c r="W589" s="272">
        <f t="shared" si="286"/>
        <v>635188000</v>
      </c>
      <c r="X589" s="272">
        <f t="shared" si="286"/>
        <v>0</v>
      </c>
      <c r="Y589" s="272">
        <f t="shared" si="286"/>
        <v>0</v>
      </c>
      <c r="Z589" s="584"/>
    </row>
    <row r="590" spans="1:27" ht="13.5" customHeight="1" thickBot="1">
      <c r="A590" s="524" t="s">
        <v>864</v>
      </c>
      <c r="B590" s="524"/>
      <c r="C590" s="524"/>
      <c r="D590" s="524"/>
      <c r="E590" s="524"/>
      <c r="F590" s="524"/>
      <c r="G590" s="524"/>
      <c r="H590" s="280">
        <f aca="true" t="shared" si="287" ref="H590:T590">H9+H568</f>
        <v>15596391003.300001</v>
      </c>
      <c r="I590" s="280">
        <f t="shared" si="287"/>
        <v>30735991344.68</v>
      </c>
      <c r="J590" s="280">
        <f t="shared" si="287"/>
        <v>27849077013.1</v>
      </c>
      <c r="K590" s="280">
        <f t="shared" si="287"/>
        <v>20597590049.809998</v>
      </c>
      <c r="L590" s="280">
        <f t="shared" si="287"/>
        <v>35579917955.850006</v>
      </c>
      <c r="M590" s="280">
        <f t="shared" si="287"/>
        <v>106084198760.83</v>
      </c>
      <c r="N590" s="280">
        <f t="shared" si="287"/>
        <v>89011330007.04001</v>
      </c>
      <c r="O590" s="280">
        <f t="shared" si="287"/>
        <v>56628140666.70999</v>
      </c>
      <c r="P590" s="280">
        <f t="shared" si="287"/>
        <v>0</v>
      </c>
      <c r="Q590" s="280">
        <f t="shared" si="287"/>
        <v>115101119548</v>
      </c>
      <c r="R590" s="280">
        <f t="shared" si="287"/>
        <v>125260458424.17998</v>
      </c>
      <c r="S590" s="280">
        <f t="shared" si="287"/>
        <v>91700391951.54</v>
      </c>
      <c r="T590" s="280">
        <f t="shared" si="287"/>
        <v>83989414668.84</v>
      </c>
      <c r="U590" s="280"/>
      <c r="V590" s="315">
        <f>H590+L590+Q590</f>
        <v>166277428507.15002</v>
      </c>
      <c r="W590" s="315">
        <f>I590+M590+R590</f>
        <v>262080648529.69</v>
      </c>
      <c r="X590" s="315">
        <f t="shared" si="286"/>
        <v>208560798971.68</v>
      </c>
      <c r="Y590" s="315">
        <f t="shared" si="286"/>
        <v>161215145385.36</v>
      </c>
      <c r="Z590" s="259">
        <v>136</v>
      </c>
      <c r="AA590" s="65"/>
    </row>
    <row r="591" spans="1:26" ht="409.5">
      <c r="A591" s="1"/>
      <c r="B591" s="1"/>
      <c r="H591" s="13"/>
      <c r="I591" s="13"/>
      <c r="J591" s="13"/>
      <c r="K591" s="13"/>
      <c r="Z591" s="65"/>
    </row>
    <row r="592" spans="1:22" ht="409.5">
      <c r="A592" s="1"/>
      <c r="B592" s="1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</row>
    <row r="593" spans="8:25" ht="409.5"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132"/>
      <c r="W593" s="107"/>
      <c r="X593" s="92"/>
      <c r="Y593" s="92"/>
    </row>
    <row r="594" spans="17:20" ht="409.5">
      <c r="Q594" s="92"/>
      <c r="R594" s="92"/>
      <c r="S594" s="92"/>
      <c r="T594" s="92"/>
    </row>
  </sheetData>
  <sheetProtection/>
  <mergeCells count="1736">
    <mergeCell ref="Z117:Z163"/>
    <mergeCell ref="Z5:Z8"/>
    <mergeCell ref="Z10:Z81"/>
    <mergeCell ref="Z82:Z116"/>
    <mergeCell ref="Z584:Z589"/>
    <mergeCell ref="Q6:U7"/>
    <mergeCell ref="Z463:Z472"/>
    <mergeCell ref="Z473:Z487"/>
    <mergeCell ref="Z488:Z494"/>
    <mergeCell ref="Z495:Z503"/>
    <mergeCell ref="R561:R562"/>
    <mergeCell ref="S561:S562"/>
    <mergeCell ref="T561:T562"/>
    <mergeCell ref="Z504:Z509"/>
    <mergeCell ref="K515:K516"/>
    <mergeCell ref="R515:R516"/>
    <mergeCell ref="S515:S516"/>
    <mergeCell ref="T515:T516"/>
    <mergeCell ref="W561:W562"/>
    <mergeCell ref="O561:O562"/>
    <mergeCell ref="Z164:Z256"/>
    <mergeCell ref="Z257:Z296"/>
    <mergeCell ref="Z297:Z340"/>
    <mergeCell ref="Z341:Z401"/>
    <mergeCell ref="Z402:Z462"/>
    <mergeCell ref="Z510:Z567"/>
    <mergeCell ref="I518:I520"/>
    <mergeCell ref="J518:J520"/>
    <mergeCell ref="K518:K520"/>
    <mergeCell ref="R544:R546"/>
    <mergeCell ref="S544:S546"/>
    <mergeCell ref="I561:I562"/>
    <mergeCell ref="J561:J562"/>
    <mergeCell ref="K561:K562"/>
    <mergeCell ref="M561:M562"/>
    <mergeCell ref="N561:N562"/>
    <mergeCell ref="W535:W538"/>
    <mergeCell ref="R540:R541"/>
    <mergeCell ref="S540:S541"/>
    <mergeCell ref="T540:T541"/>
    <mergeCell ref="W540:W541"/>
    <mergeCell ref="W544:W546"/>
    <mergeCell ref="T544:T546"/>
    <mergeCell ref="R535:R538"/>
    <mergeCell ref="P540:P541"/>
    <mergeCell ref="S535:S538"/>
    <mergeCell ref="V544:V546"/>
    <mergeCell ref="U540:U541"/>
    <mergeCell ref="U544:U546"/>
    <mergeCell ref="M544:M546"/>
    <mergeCell ref="N544:N546"/>
    <mergeCell ref="O544:O546"/>
    <mergeCell ref="Q544:Q546"/>
    <mergeCell ref="O522:O525"/>
    <mergeCell ref="R522:R525"/>
    <mergeCell ref="S522:S525"/>
    <mergeCell ref="P535:P538"/>
    <mergeCell ref="N535:N538"/>
    <mergeCell ref="O535:O538"/>
    <mergeCell ref="W160:W163"/>
    <mergeCell ref="R134:R135"/>
    <mergeCell ref="S134:S135"/>
    <mergeCell ref="R152:R155"/>
    <mergeCell ref="S152:S155"/>
    <mergeCell ref="X518:X520"/>
    <mergeCell ref="W148:W150"/>
    <mergeCell ref="W500:W503"/>
    <mergeCell ref="R357:R359"/>
    <mergeCell ref="T357:T359"/>
    <mergeCell ref="W152:W155"/>
    <mergeCell ref="W128:W130"/>
    <mergeCell ref="W134:W135"/>
    <mergeCell ref="W137:W140"/>
    <mergeCell ref="W142:W143"/>
    <mergeCell ref="U152:U155"/>
    <mergeCell ref="R128:R130"/>
    <mergeCell ref="S128:S130"/>
    <mergeCell ref="T152:T155"/>
    <mergeCell ref="T128:T130"/>
    <mergeCell ref="T134:T135"/>
    <mergeCell ref="R137:R140"/>
    <mergeCell ref="S137:S140"/>
    <mergeCell ref="M160:M163"/>
    <mergeCell ref="N160:N163"/>
    <mergeCell ref="O160:O163"/>
    <mergeCell ref="R160:R163"/>
    <mergeCell ref="S160:S163"/>
    <mergeCell ref="T160:T163"/>
    <mergeCell ref="Q152:Q155"/>
    <mergeCell ref="R142:R143"/>
    <mergeCell ref="S142:S143"/>
    <mergeCell ref="T142:T143"/>
    <mergeCell ref="M148:M150"/>
    <mergeCell ref="N148:N150"/>
    <mergeCell ref="O148:O150"/>
    <mergeCell ref="R148:R150"/>
    <mergeCell ref="S148:S150"/>
    <mergeCell ref="T148:T150"/>
    <mergeCell ref="I160:I163"/>
    <mergeCell ref="J160:J163"/>
    <mergeCell ref="K160:K163"/>
    <mergeCell ref="M142:M143"/>
    <mergeCell ref="N142:N143"/>
    <mergeCell ref="O142:O143"/>
    <mergeCell ref="M152:M155"/>
    <mergeCell ref="N152:N155"/>
    <mergeCell ref="O152:O155"/>
    <mergeCell ref="K142:K143"/>
    <mergeCell ref="N134:N135"/>
    <mergeCell ref="O134:O135"/>
    <mergeCell ref="M137:M140"/>
    <mergeCell ref="N137:N140"/>
    <mergeCell ref="O137:O140"/>
    <mergeCell ref="I148:I150"/>
    <mergeCell ref="J148:J150"/>
    <mergeCell ref="K148:K150"/>
    <mergeCell ref="I134:I135"/>
    <mergeCell ref="J134:J135"/>
    <mergeCell ref="K134:K135"/>
    <mergeCell ref="L134:L135"/>
    <mergeCell ref="J137:J140"/>
    <mergeCell ref="K137:K140"/>
    <mergeCell ref="I128:I130"/>
    <mergeCell ref="J128:J130"/>
    <mergeCell ref="K128:K130"/>
    <mergeCell ref="M128:M130"/>
    <mergeCell ref="I122:I125"/>
    <mergeCell ref="J122:J125"/>
    <mergeCell ref="L128:L130"/>
    <mergeCell ref="W122:W125"/>
    <mergeCell ref="W106:W107"/>
    <mergeCell ref="V87:V90"/>
    <mergeCell ref="V95:V97"/>
    <mergeCell ref="V106:V107"/>
    <mergeCell ref="V101:V103"/>
    <mergeCell ref="W112:W114"/>
    <mergeCell ref="W87:W90"/>
    <mergeCell ref="W95:W97"/>
    <mergeCell ref="W101:W103"/>
    <mergeCell ref="J112:J114"/>
    <mergeCell ref="K112:K114"/>
    <mergeCell ref="M284:M285"/>
    <mergeCell ref="N284:N285"/>
    <mergeCell ref="O284:O285"/>
    <mergeCell ref="M95:M97"/>
    <mergeCell ref="M112:M114"/>
    <mergeCell ref="N128:N130"/>
    <mergeCell ref="O128:O130"/>
    <mergeCell ref="M134:M135"/>
    <mergeCell ref="L95:L97"/>
    <mergeCell ref="O101:O103"/>
    <mergeCell ref="J101:J103"/>
    <mergeCell ref="K101:K103"/>
    <mergeCell ref="L101:L103"/>
    <mergeCell ref="M101:M103"/>
    <mergeCell ref="P87:P90"/>
    <mergeCell ref="O106:O107"/>
    <mergeCell ref="M106:M107"/>
    <mergeCell ref="N106:N107"/>
    <mergeCell ref="N95:N97"/>
    <mergeCell ref="O95:O97"/>
    <mergeCell ref="T574:T575"/>
    <mergeCell ref="S284:S285"/>
    <mergeCell ref="T284:T285"/>
    <mergeCell ref="T294:T295"/>
    <mergeCell ref="S346:S351"/>
    <mergeCell ref="S500:S503"/>
    <mergeCell ref="T500:T503"/>
    <mergeCell ref="S357:S359"/>
    <mergeCell ref="T535:T538"/>
    <mergeCell ref="T456:T459"/>
    <mergeCell ref="I87:I90"/>
    <mergeCell ref="J87:J90"/>
    <mergeCell ref="K87:K90"/>
    <mergeCell ref="M87:M90"/>
    <mergeCell ref="N87:N90"/>
    <mergeCell ref="O87:O90"/>
    <mergeCell ref="L87:L90"/>
    <mergeCell ref="Y580:Y583"/>
    <mergeCell ref="N580:N583"/>
    <mergeCell ref="O580:O583"/>
    <mergeCell ref="P580:P583"/>
    <mergeCell ref="Q580:Q583"/>
    <mergeCell ref="R580:R583"/>
    <mergeCell ref="S580:S583"/>
    <mergeCell ref="T580:T583"/>
    <mergeCell ref="U580:U583"/>
    <mergeCell ref="V580:V583"/>
    <mergeCell ref="J580:J583"/>
    <mergeCell ref="K580:K583"/>
    <mergeCell ref="L580:L583"/>
    <mergeCell ref="M580:M583"/>
    <mergeCell ref="W580:W583"/>
    <mergeCell ref="X580:X583"/>
    <mergeCell ref="A570:A583"/>
    <mergeCell ref="B572:B583"/>
    <mergeCell ref="C579:C583"/>
    <mergeCell ref="D580:D583"/>
    <mergeCell ref="D574:D575"/>
    <mergeCell ref="F574:F575"/>
    <mergeCell ref="I574:I575"/>
    <mergeCell ref="J574:J575"/>
    <mergeCell ref="K574:K575"/>
    <mergeCell ref="R574:R575"/>
    <mergeCell ref="S574:S575"/>
    <mergeCell ref="F580:F583"/>
    <mergeCell ref="G580:G583"/>
    <mergeCell ref="G574:G575"/>
    <mergeCell ref="H580:H583"/>
    <mergeCell ref="I580:I583"/>
    <mergeCell ref="M574:M575"/>
    <mergeCell ref="N574:N575"/>
    <mergeCell ref="O574:O575"/>
    <mergeCell ref="W574:W575"/>
    <mergeCell ref="W515:W516"/>
    <mergeCell ref="W518:W520"/>
    <mergeCell ref="W522:W525"/>
    <mergeCell ref="V515:V516"/>
    <mergeCell ref="U522:U525"/>
    <mergeCell ref="M518:M520"/>
    <mergeCell ref="T361:T363"/>
    <mergeCell ref="I500:I503"/>
    <mergeCell ref="J500:J503"/>
    <mergeCell ref="K500:K503"/>
    <mergeCell ref="M500:M503"/>
    <mergeCell ref="N500:N503"/>
    <mergeCell ref="O500:O503"/>
    <mergeCell ref="T447:T448"/>
    <mergeCell ref="N482:N483"/>
    <mergeCell ref="O482:O483"/>
    <mergeCell ref="T290:T291"/>
    <mergeCell ref="S280:S281"/>
    <mergeCell ref="T280:T281"/>
    <mergeCell ref="W493:W494"/>
    <mergeCell ref="T346:T351"/>
    <mergeCell ref="R353:R355"/>
    <mergeCell ref="S353:S355"/>
    <mergeCell ref="T353:T355"/>
    <mergeCell ref="R361:R363"/>
    <mergeCell ref="S361:S363"/>
    <mergeCell ref="S317:S322"/>
    <mergeCell ref="P329:P330"/>
    <mergeCell ref="M290:M291"/>
    <mergeCell ref="N290:N291"/>
    <mergeCell ref="O290:O291"/>
    <mergeCell ref="R290:R291"/>
    <mergeCell ref="S290:S291"/>
    <mergeCell ref="M294:M295"/>
    <mergeCell ref="N294:N295"/>
    <mergeCell ref="O294:O295"/>
    <mergeCell ref="R294:R295"/>
    <mergeCell ref="S294:S295"/>
    <mergeCell ref="O480:O481"/>
    <mergeCell ref="R480:R481"/>
    <mergeCell ref="R332:R334"/>
    <mergeCell ref="S332:S334"/>
    <mergeCell ref="R317:R322"/>
    <mergeCell ref="S428:S431"/>
    <mergeCell ref="R434:R436"/>
    <mergeCell ref="S434:S436"/>
    <mergeCell ref="Q482:Q483"/>
    <mergeCell ref="Q480:Q481"/>
    <mergeCell ref="I482:I483"/>
    <mergeCell ref="J482:J483"/>
    <mergeCell ref="K482:K483"/>
    <mergeCell ref="R482:R483"/>
    <mergeCell ref="M480:M481"/>
    <mergeCell ref="N480:N481"/>
    <mergeCell ref="W480:W481"/>
    <mergeCell ref="W482:W483"/>
    <mergeCell ref="I493:I494"/>
    <mergeCell ref="J493:J494"/>
    <mergeCell ref="K493:K494"/>
    <mergeCell ref="M493:M494"/>
    <mergeCell ref="N493:N494"/>
    <mergeCell ref="Q493:Q494"/>
    <mergeCell ref="U493:U494"/>
    <mergeCell ref="V493:V494"/>
    <mergeCell ref="W468:W470"/>
    <mergeCell ref="I480:I481"/>
    <mergeCell ref="J480:J481"/>
    <mergeCell ref="K480:K481"/>
    <mergeCell ref="T468:T470"/>
    <mergeCell ref="L468:L470"/>
    <mergeCell ref="U468:U470"/>
    <mergeCell ref="V468:V470"/>
    <mergeCell ref="S468:S470"/>
    <mergeCell ref="L480:L481"/>
    <mergeCell ref="W407:W411"/>
    <mergeCell ref="R407:R411"/>
    <mergeCell ref="S407:S411"/>
    <mergeCell ref="T407:T411"/>
    <mergeCell ref="I468:I470"/>
    <mergeCell ref="J468:J470"/>
    <mergeCell ref="K468:K470"/>
    <mergeCell ref="M468:M470"/>
    <mergeCell ref="N468:N470"/>
    <mergeCell ref="O468:O470"/>
    <mergeCell ref="W428:W431"/>
    <mergeCell ref="W434:W436"/>
    <mergeCell ref="W438:W439"/>
    <mergeCell ref="W447:W448"/>
    <mergeCell ref="W456:W459"/>
    <mergeCell ref="W461:W462"/>
    <mergeCell ref="R456:R459"/>
    <mergeCell ref="S456:S459"/>
    <mergeCell ref="S438:S439"/>
    <mergeCell ref="R447:R448"/>
    <mergeCell ref="S447:S448"/>
    <mergeCell ref="J456:J459"/>
    <mergeCell ref="K456:K459"/>
    <mergeCell ref="K447:K448"/>
    <mergeCell ref="M438:M439"/>
    <mergeCell ref="N438:N439"/>
    <mergeCell ref="I461:I462"/>
    <mergeCell ref="J461:J462"/>
    <mergeCell ref="K461:K462"/>
    <mergeCell ref="M434:M436"/>
    <mergeCell ref="K434:K436"/>
    <mergeCell ref="I438:I439"/>
    <mergeCell ref="J438:J439"/>
    <mergeCell ref="K438:K439"/>
    <mergeCell ref="I447:I448"/>
    <mergeCell ref="J447:J448"/>
    <mergeCell ref="N419:N426"/>
    <mergeCell ref="O419:O426"/>
    <mergeCell ref="M407:M411"/>
    <mergeCell ref="N407:N411"/>
    <mergeCell ref="O407:O411"/>
    <mergeCell ref="I428:I431"/>
    <mergeCell ref="J428:J431"/>
    <mergeCell ref="L407:L411"/>
    <mergeCell ref="O361:O363"/>
    <mergeCell ref="K428:K431"/>
    <mergeCell ref="M428:M431"/>
    <mergeCell ref="N428:N431"/>
    <mergeCell ref="W383:W384"/>
    <mergeCell ref="W391:W392"/>
    <mergeCell ref="W398:W401"/>
    <mergeCell ref="T419:T426"/>
    <mergeCell ref="T428:T431"/>
    <mergeCell ref="W419:W426"/>
    <mergeCell ref="W346:W351"/>
    <mergeCell ref="W353:W355"/>
    <mergeCell ref="W357:W359"/>
    <mergeCell ref="W361:W363"/>
    <mergeCell ref="W366:W368"/>
    <mergeCell ref="W370:W371"/>
    <mergeCell ref="J366:J368"/>
    <mergeCell ref="K366:K368"/>
    <mergeCell ref="I370:I371"/>
    <mergeCell ref="J370:J371"/>
    <mergeCell ref="K370:K371"/>
    <mergeCell ref="I407:I411"/>
    <mergeCell ref="J407:J411"/>
    <mergeCell ref="K407:K411"/>
    <mergeCell ref="J357:J359"/>
    <mergeCell ref="K357:K359"/>
    <mergeCell ref="M357:M359"/>
    <mergeCell ref="N357:N359"/>
    <mergeCell ref="O357:O359"/>
    <mergeCell ref="I361:I363"/>
    <mergeCell ref="J361:J363"/>
    <mergeCell ref="K361:K363"/>
    <mergeCell ref="M361:M363"/>
    <mergeCell ref="N361:N363"/>
    <mergeCell ref="W329:W330"/>
    <mergeCell ref="W332:W334"/>
    <mergeCell ref="I346:I351"/>
    <mergeCell ref="J346:J351"/>
    <mergeCell ref="K346:K351"/>
    <mergeCell ref="I353:I355"/>
    <mergeCell ref="J353:J355"/>
    <mergeCell ref="K353:K355"/>
    <mergeCell ref="M353:M355"/>
    <mergeCell ref="N353:N355"/>
    <mergeCell ref="T332:T334"/>
    <mergeCell ref="R329:R330"/>
    <mergeCell ref="S329:S330"/>
    <mergeCell ref="T329:T330"/>
    <mergeCell ref="I332:I334"/>
    <mergeCell ref="J332:J334"/>
    <mergeCell ref="K332:K334"/>
    <mergeCell ref="M332:M334"/>
    <mergeCell ref="N332:N334"/>
    <mergeCell ref="O332:O334"/>
    <mergeCell ref="T302:T308"/>
    <mergeCell ref="W313:W315"/>
    <mergeCell ref="W317:W322"/>
    <mergeCell ref="I329:I330"/>
    <mergeCell ref="J329:J330"/>
    <mergeCell ref="K329:K330"/>
    <mergeCell ref="M329:M330"/>
    <mergeCell ref="N329:N330"/>
    <mergeCell ref="O329:O330"/>
    <mergeCell ref="W302:W308"/>
    <mergeCell ref="I317:I322"/>
    <mergeCell ref="J317:J322"/>
    <mergeCell ref="K317:K322"/>
    <mergeCell ref="M317:M322"/>
    <mergeCell ref="N317:N322"/>
    <mergeCell ref="O317:O322"/>
    <mergeCell ref="I313:I315"/>
    <mergeCell ref="J313:J315"/>
    <mergeCell ref="K313:K315"/>
    <mergeCell ref="M313:M315"/>
    <mergeCell ref="N313:N315"/>
    <mergeCell ref="O313:O315"/>
    <mergeCell ref="W290:W291"/>
    <mergeCell ref="W294:W295"/>
    <mergeCell ref="I302:I308"/>
    <mergeCell ref="J302:J308"/>
    <mergeCell ref="K302:K308"/>
    <mergeCell ref="M302:M308"/>
    <mergeCell ref="N302:N308"/>
    <mergeCell ref="O302:O308"/>
    <mergeCell ref="R302:R308"/>
    <mergeCell ref="S302:S308"/>
    <mergeCell ref="I290:I291"/>
    <mergeCell ref="J290:J291"/>
    <mergeCell ref="K290:K291"/>
    <mergeCell ref="I294:I295"/>
    <mergeCell ref="J294:J295"/>
    <mergeCell ref="K294:K295"/>
    <mergeCell ref="I284:I285"/>
    <mergeCell ref="J284:J285"/>
    <mergeCell ref="K284:K285"/>
    <mergeCell ref="W280:W281"/>
    <mergeCell ref="W284:W285"/>
    <mergeCell ref="M280:M281"/>
    <mergeCell ref="R284:R285"/>
    <mergeCell ref="N280:N281"/>
    <mergeCell ref="O280:O281"/>
    <mergeCell ref="R280:R281"/>
    <mergeCell ref="R262:R265"/>
    <mergeCell ref="S262:S265"/>
    <mergeCell ref="T262:T265"/>
    <mergeCell ref="W262:W265"/>
    <mergeCell ref="I280:I281"/>
    <mergeCell ref="J280:J281"/>
    <mergeCell ref="K280:K281"/>
    <mergeCell ref="I262:I265"/>
    <mergeCell ref="J262:J265"/>
    <mergeCell ref="K262:K265"/>
    <mergeCell ref="M262:M265"/>
    <mergeCell ref="N262:N265"/>
    <mergeCell ref="O262:O265"/>
    <mergeCell ref="M178:M179"/>
    <mergeCell ref="N178:N179"/>
    <mergeCell ref="O178:O179"/>
    <mergeCell ref="R178:R179"/>
    <mergeCell ref="S178:S179"/>
    <mergeCell ref="T178:T179"/>
    <mergeCell ref="P178:P179"/>
    <mergeCell ref="M192:M195"/>
    <mergeCell ref="N192:N195"/>
    <mergeCell ref="O192:O195"/>
    <mergeCell ref="R192:R195"/>
    <mergeCell ref="S192:S195"/>
    <mergeCell ref="T192:T195"/>
    <mergeCell ref="M198:M200"/>
    <mergeCell ref="N198:N200"/>
    <mergeCell ref="O198:O200"/>
    <mergeCell ref="R198:R200"/>
    <mergeCell ref="S198:S200"/>
    <mergeCell ref="T198:T200"/>
    <mergeCell ref="P198:P200"/>
    <mergeCell ref="Q198:Q200"/>
    <mergeCell ref="M202:M203"/>
    <mergeCell ref="N202:N203"/>
    <mergeCell ref="O202:O203"/>
    <mergeCell ref="R202:R203"/>
    <mergeCell ref="S202:S203"/>
    <mergeCell ref="T202:T203"/>
    <mergeCell ref="P202:P203"/>
    <mergeCell ref="M209:M213"/>
    <mergeCell ref="N209:N213"/>
    <mergeCell ref="O209:O213"/>
    <mergeCell ref="R209:R213"/>
    <mergeCell ref="S209:S213"/>
    <mergeCell ref="T209:T213"/>
    <mergeCell ref="M215:M220"/>
    <mergeCell ref="N215:N220"/>
    <mergeCell ref="O215:O220"/>
    <mergeCell ref="R215:R220"/>
    <mergeCell ref="S215:S220"/>
    <mergeCell ref="T215:T220"/>
    <mergeCell ref="P215:P220"/>
    <mergeCell ref="M222:M224"/>
    <mergeCell ref="N222:N224"/>
    <mergeCell ref="O222:O224"/>
    <mergeCell ref="R222:R224"/>
    <mergeCell ref="S222:S224"/>
    <mergeCell ref="T222:T224"/>
    <mergeCell ref="T232:T235"/>
    <mergeCell ref="R237:R238"/>
    <mergeCell ref="S237:S238"/>
    <mergeCell ref="T237:T238"/>
    <mergeCell ref="M226:M227"/>
    <mergeCell ref="N226:N227"/>
    <mergeCell ref="O226:O227"/>
    <mergeCell ref="R226:R227"/>
    <mergeCell ref="S226:S227"/>
    <mergeCell ref="T226:T227"/>
    <mergeCell ref="M237:M238"/>
    <mergeCell ref="N237:N238"/>
    <mergeCell ref="O237:O238"/>
    <mergeCell ref="M232:M235"/>
    <mergeCell ref="N232:N235"/>
    <mergeCell ref="O232:O235"/>
    <mergeCell ref="S242:S243"/>
    <mergeCell ref="T242:T243"/>
    <mergeCell ref="R246:R247"/>
    <mergeCell ref="S246:S247"/>
    <mergeCell ref="T246:T247"/>
    <mergeCell ref="R249:R250"/>
    <mergeCell ref="S249:S250"/>
    <mergeCell ref="T249:T250"/>
    <mergeCell ref="W242:W243"/>
    <mergeCell ref="W246:W247"/>
    <mergeCell ref="W249:W250"/>
    <mergeCell ref="M246:M247"/>
    <mergeCell ref="N246:N247"/>
    <mergeCell ref="O246:O247"/>
    <mergeCell ref="M242:M243"/>
    <mergeCell ref="N242:N243"/>
    <mergeCell ref="O242:O243"/>
    <mergeCell ref="R242:R243"/>
    <mergeCell ref="W209:W213"/>
    <mergeCell ref="W215:W220"/>
    <mergeCell ref="W222:W224"/>
    <mergeCell ref="W226:W227"/>
    <mergeCell ref="W232:W235"/>
    <mergeCell ref="W237:W238"/>
    <mergeCell ref="K246:K247"/>
    <mergeCell ref="M249:M250"/>
    <mergeCell ref="N249:N250"/>
    <mergeCell ref="O249:O250"/>
    <mergeCell ref="L249:L250"/>
    <mergeCell ref="W175:W176"/>
    <mergeCell ref="W178:W179"/>
    <mergeCell ref="W192:W195"/>
    <mergeCell ref="W198:W200"/>
    <mergeCell ref="W202:W203"/>
    <mergeCell ref="I226:I227"/>
    <mergeCell ref="J226:J227"/>
    <mergeCell ref="K226:K227"/>
    <mergeCell ref="J237:J238"/>
    <mergeCell ref="K237:K238"/>
    <mergeCell ref="I242:I243"/>
    <mergeCell ref="J242:J243"/>
    <mergeCell ref="K242:K243"/>
    <mergeCell ref="M32:M35"/>
    <mergeCell ref="N32:N35"/>
    <mergeCell ref="O32:O35"/>
    <mergeCell ref="M22:M30"/>
    <mergeCell ref="N22:N30"/>
    <mergeCell ref="O22:O30"/>
    <mergeCell ref="I38:I41"/>
    <mergeCell ref="J38:J41"/>
    <mergeCell ref="K38:K41"/>
    <mergeCell ref="M38:M41"/>
    <mergeCell ref="N38:N41"/>
    <mergeCell ref="O38:O41"/>
    <mergeCell ref="M42:M44"/>
    <mergeCell ref="N42:N44"/>
    <mergeCell ref="O42:O44"/>
    <mergeCell ref="P42:P44"/>
    <mergeCell ref="L45:L47"/>
    <mergeCell ref="M45:M47"/>
    <mergeCell ref="N45:N47"/>
    <mergeCell ref="O45:O47"/>
    <mergeCell ref="P45:P47"/>
    <mergeCell ref="I22:I30"/>
    <mergeCell ref="J22:J30"/>
    <mergeCell ref="K22:K30"/>
    <mergeCell ref="I32:I35"/>
    <mergeCell ref="J32:J35"/>
    <mergeCell ref="K32:K35"/>
    <mergeCell ref="Y518:Y520"/>
    <mergeCell ref="N515:N516"/>
    <mergeCell ref="O515:O516"/>
    <mergeCell ref="P518:P520"/>
    <mergeCell ref="V518:V520"/>
    <mergeCell ref="P515:P516"/>
    <mergeCell ref="O518:O520"/>
    <mergeCell ref="N518:N520"/>
    <mergeCell ref="U515:U516"/>
    <mergeCell ref="O438:O439"/>
    <mergeCell ref="R438:R439"/>
    <mergeCell ref="Q461:Q462"/>
    <mergeCell ref="Y515:Y516"/>
    <mergeCell ref="R461:R462"/>
    <mergeCell ref="S461:S462"/>
    <mergeCell ref="T461:T462"/>
    <mergeCell ref="T438:T439"/>
    <mergeCell ref="P438:P439"/>
    <mergeCell ref="P480:P481"/>
    <mergeCell ref="O493:O494"/>
    <mergeCell ref="V500:V503"/>
    <mergeCell ref="R500:R503"/>
    <mergeCell ref="Q500:Q503"/>
    <mergeCell ref="Q447:Q448"/>
    <mergeCell ref="Q468:Q470"/>
    <mergeCell ref="V480:V481"/>
    <mergeCell ref="U480:U481"/>
    <mergeCell ref="V482:V483"/>
    <mergeCell ref="U482:U483"/>
    <mergeCell ref="Q438:Q439"/>
    <mergeCell ref="R468:R470"/>
    <mergeCell ref="P447:P448"/>
    <mergeCell ref="L500:L503"/>
    <mergeCell ref="P461:P462"/>
    <mergeCell ref="M515:M516"/>
    <mergeCell ref="P468:P470"/>
    <mergeCell ref="L482:L483"/>
    <mergeCell ref="L493:L494"/>
    <mergeCell ref="L447:L448"/>
    <mergeCell ref="V522:V525"/>
    <mergeCell ref="P544:P546"/>
    <mergeCell ref="V540:V541"/>
    <mergeCell ref="U500:U503"/>
    <mergeCell ref="Q540:Q541"/>
    <mergeCell ref="L518:L520"/>
    <mergeCell ref="L535:L538"/>
    <mergeCell ref="T522:T525"/>
    <mergeCell ref="M522:M525"/>
    <mergeCell ref="N522:N525"/>
    <mergeCell ref="U574:U575"/>
    <mergeCell ref="P482:P483"/>
    <mergeCell ref="L522:L525"/>
    <mergeCell ref="P522:P525"/>
    <mergeCell ref="Q522:Q525"/>
    <mergeCell ref="L544:L546"/>
    <mergeCell ref="P500:P503"/>
    <mergeCell ref="Q515:Q516"/>
    <mergeCell ref="T493:T494"/>
    <mergeCell ref="M482:M483"/>
    <mergeCell ref="H480:H481"/>
    <mergeCell ref="B485:B487"/>
    <mergeCell ref="H500:H503"/>
    <mergeCell ref="H482:H483"/>
    <mergeCell ref="B476:B483"/>
    <mergeCell ref="C499:C503"/>
    <mergeCell ref="C486:C487"/>
    <mergeCell ref="D500:D503"/>
    <mergeCell ref="A495:G495"/>
    <mergeCell ref="Q357:Q359"/>
    <mergeCell ref="L346:L351"/>
    <mergeCell ref="P346:P351"/>
    <mergeCell ref="Q346:Q351"/>
    <mergeCell ref="P357:P359"/>
    <mergeCell ref="O353:O355"/>
    <mergeCell ref="M346:M351"/>
    <mergeCell ref="P407:P411"/>
    <mergeCell ref="D493:D494"/>
    <mergeCell ref="A490:A494"/>
    <mergeCell ref="B491:B494"/>
    <mergeCell ref="C492:C494"/>
    <mergeCell ref="P493:P494"/>
    <mergeCell ref="H428:H431"/>
    <mergeCell ref="L428:L431"/>
    <mergeCell ref="P428:P431"/>
    <mergeCell ref="G447:G448"/>
    <mergeCell ref="L515:L516"/>
    <mergeCell ref="F518:F520"/>
    <mergeCell ref="G544:G546"/>
    <mergeCell ref="H544:H546"/>
    <mergeCell ref="G518:G520"/>
    <mergeCell ref="I544:I546"/>
    <mergeCell ref="J544:J546"/>
    <mergeCell ref="K544:K546"/>
    <mergeCell ref="I515:I516"/>
    <mergeCell ref="J515:J516"/>
    <mergeCell ref="I535:I538"/>
    <mergeCell ref="J535:J538"/>
    <mergeCell ref="K535:K538"/>
    <mergeCell ref="M535:M538"/>
    <mergeCell ref="L540:L541"/>
    <mergeCell ref="H518:H520"/>
    <mergeCell ref="H522:H525"/>
    <mergeCell ref="I522:I525"/>
    <mergeCell ref="J522:J525"/>
    <mergeCell ref="K522:K525"/>
    <mergeCell ref="R493:R494"/>
    <mergeCell ref="S493:S494"/>
    <mergeCell ref="S480:S481"/>
    <mergeCell ref="T480:T481"/>
    <mergeCell ref="S482:S483"/>
    <mergeCell ref="T482:T483"/>
    <mergeCell ref="V461:V462"/>
    <mergeCell ref="H456:H459"/>
    <mergeCell ref="L456:L459"/>
    <mergeCell ref="P456:P459"/>
    <mergeCell ref="Q456:Q459"/>
    <mergeCell ref="U456:U459"/>
    <mergeCell ref="V456:V459"/>
    <mergeCell ref="U461:U462"/>
    <mergeCell ref="L461:L462"/>
    <mergeCell ref="I456:I459"/>
    <mergeCell ref="V438:V439"/>
    <mergeCell ref="U438:U439"/>
    <mergeCell ref="H438:H439"/>
    <mergeCell ref="L438:L439"/>
    <mergeCell ref="H447:H448"/>
    <mergeCell ref="H434:H436"/>
    <mergeCell ref="L434:L436"/>
    <mergeCell ref="P434:P436"/>
    <mergeCell ref="Q434:Q436"/>
    <mergeCell ref="U434:U436"/>
    <mergeCell ref="Q428:Q431"/>
    <mergeCell ref="U428:U431"/>
    <mergeCell ref="V428:V431"/>
    <mergeCell ref="O428:O431"/>
    <mergeCell ref="J419:J426"/>
    <mergeCell ref="K419:K426"/>
    <mergeCell ref="M419:M426"/>
    <mergeCell ref="R419:R426"/>
    <mergeCell ref="S419:S426"/>
    <mergeCell ref="R428:R431"/>
    <mergeCell ref="V434:V436"/>
    <mergeCell ref="I434:I436"/>
    <mergeCell ref="J434:J436"/>
    <mergeCell ref="N434:N436"/>
    <mergeCell ref="O434:O436"/>
    <mergeCell ref="T434:T436"/>
    <mergeCell ref="Q407:Q411"/>
    <mergeCell ref="U407:U411"/>
    <mergeCell ref="V407:V411"/>
    <mergeCell ref="H419:H426"/>
    <mergeCell ref="L419:L426"/>
    <mergeCell ref="P419:P426"/>
    <mergeCell ref="Q419:Q426"/>
    <mergeCell ref="U419:U426"/>
    <mergeCell ref="V419:V426"/>
    <mergeCell ref="I419:I426"/>
    <mergeCell ref="H398:H401"/>
    <mergeCell ref="L398:L401"/>
    <mergeCell ref="P398:P401"/>
    <mergeCell ref="Q398:Q401"/>
    <mergeCell ref="U398:U401"/>
    <mergeCell ref="V398:V401"/>
    <mergeCell ref="I398:I401"/>
    <mergeCell ref="J398:J401"/>
    <mergeCell ref="K398:K401"/>
    <mergeCell ref="L391:L392"/>
    <mergeCell ref="P391:P392"/>
    <mergeCell ref="Q391:Q392"/>
    <mergeCell ref="U391:U392"/>
    <mergeCell ref="V391:V392"/>
    <mergeCell ref="I391:I392"/>
    <mergeCell ref="J391:J392"/>
    <mergeCell ref="K391:K392"/>
    <mergeCell ref="H383:H384"/>
    <mergeCell ref="L383:L384"/>
    <mergeCell ref="P383:P384"/>
    <mergeCell ref="Q383:Q384"/>
    <mergeCell ref="U383:U384"/>
    <mergeCell ref="V383:V384"/>
    <mergeCell ref="I383:I384"/>
    <mergeCell ref="J383:J384"/>
    <mergeCell ref="K383:K384"/>
    <mergeCell ref="H370:H371"/>
    <mergeCell ref="L370:L371"/>
    <mergeCell ref="P370:P371"/>
    <mergeCell ref="Q370:Q371"/>
    <mergeCell ref="U370:U371"/>
    <mergeCell ref="V370:V371"/>
    <mergeCell ref="R370:R371"/>
    <mergeCell ref="S370:S371"/>
    <mergeCell ref="T370:T371"/>
    <mergeCell ref="H366:H368"/>
    <mergeCell ref="L366:L368"/>
    <mergeCell ref="P366:P368"/>
    <mergeCell ref="Q366:Q368"/>
    <mergeCell ref="U366:U368"/>
    <mergeCell ref="V366:V368"/>
    <mergeCell ref="R366:R368"/>
    <mergeCell ref="S366:S368"/>
    <mergeCell ref="T366:T368"/>
    <mergeCell ref="I366:I368"/>
    <mergeCell ref="U357:U359"/>
    <mergeCell ref="V357:V359"/>
    <mergeCell ref="H361:H363"/>
    <mergeCell ref="L361:L363"/>
    <mergeCell ref="P361:P363"/>
    <mergeCell ref="Q361:Q363"/>
    <mergeCell ref="U361:U363"/>
    <mergeCell ref="V361:V363"/>
    <mergeCell ref="L357:L359"/>
    <mergeCell ref="I357:I359"/>
    <mergeCell ref="U346:U351"/>
    <mergeCell ref="V346:V351"/>
    <mergeCell ref="L353:L355"/>
    <mergeCell ref="P353:P355"/>
    <mergeCell ref="Q353:Q355"/>
    <mergeCell ref="U353:U355"/>
    <mergeCell ref="V353:V355"/>
    <mergeCell ref="N346:N351"/>
    <mergeCell ref="O346:O351"/>
    <mergeCell ref="R346:R351"/>
    <mergeCell ref="V317:V322"/>
    <mergeCell ref="H332:H334"/>
    <mergeCell ref="L332:L334"/>
    <mergeCell ref="P332:P334"/>
    <mergeCell ref="Q332:Q334"/>
    <mergeCell ref="U332:U334"/>
    <mergeCell ref="V332:V334"/>
    <mergeCell ref="V329:V330"/>
    <mergeCell ref="L329:L330"/>
    <mergeCell ref="H317:H322"/>
    <mergeCell ref="V302:V308"/>
    <mergeCell ref="H313:H315"/>
    <mergeCell ref="L313:L315"/>
    <mergeCell ref="P313:P315"/>
    <mergeCell ref="Q313:Q315"/>
    <mergeCell ref="U313:U315"/>
    <mergeCell ref="V313:V315"/>
    <mergeCell ref="P302:P308"/>
    <mergeCell ref="R313:R315"/>
    <mergeCell ref="S313:S315"/>
    <mergeCell ref="C328:C340"/>
    <mergeCell ref="D329:D330"/>
    <mergeCell ref="G332:G334"/>
    <mergeCell ref="D313:D315"/>
    <mergeCell ref="F313:F315"/>
    <mergeCell ref="G313:G315"/>
    <mergeCell ref="D332:D334"/>
    <mergeCell ref="F332:F334"/>
    <mergeCell ref="V290:V291"/>
    <mergeCell ref="P294:P295"/>
    <mergeCell ref="Q294:Q295"/>
    <mergeCell ref="V294:V295"/>
    <mergeCell ref="V284:V285"/>
    <mergeCell ref="U294:U295"/>
    <mergeCell ref="U284:U285"/>
    <mergeCell ref="P290:P291"/>
    <mergeCell ref="U290:U291"/>
    <mergeCell ref="Q290:Q291"/>
    <mergeCell ref="H294:H295"/>
    <mergeCell ref="C283:C296"/>
    <mergeCell ref="L294:L295"/>
    <mergeCell ref="L246:L247"/>
    <mergeCell ref="D249:D250"/>
    <mergeCell ref="H249:H250"/>
    <mergeCell ref="I249:I250"/>
    <mergeCell ref="J249:J250"/>
    <mergeCell ref="I246:I247"/>
    <mergeCell ref="J246:J247"/>
    <mergeCell ref="Q249:Q250"/>
    <mergeCell ref="H246:H247"/>
    <mergeCell ref="P246:P247"/>
    <mergeCell ref="U280:U281"/>
    <mergeCell ref="U246:U247"/>
    <mergeCell ref="L280:L281"/>
    <mergeCell ref="Q262:Q265"/>
    <mergeCell ref="L262:L265"/>
    <mergeCell ref="P262:P265"/>
    <mergeCell ref="K249:K250"/>
    <mergeCell ref="V280:V281"/>
    <mergeCell ref="V249:V250"/>
    <mergeCell ref="U249:U250"/>
    <mergeCell ref="Q246:Q247"/>
    <mergeCell ref="V246:V247"/>
    <mergeCell ref="Q237:Q238"/>
    <mergeCell ref="V262:V265"/>
    <mergeCell ref="U242:U243"/>
    <mergeCell ref="Q242:Q243"/>
    <mergeCell ref="V242:V243"/>
    <mergeCell ref="U237:U238"/>
    <mergeCell ref="H226:H227"/>
    <mergeCell ref="L226:L227"/>
    <mergeCell ref="P226:P227"/>
    <mergeCell ref="Q226:Q227"/>
    <mergeCell ref="U226:U227"/>
    <mergeCell ref="I232:I235"/>
    <mergeCell ref="J232:J235"/>
    <mergeCell ref="K232:K235"/>
    <mergeCell ref="I237:I238"/>
    <mergeCell ref="U192:U195"/>
    <mergeCell ref="V192:V195"/>
    <mergeCell ref="U198:U200"/>
    <mergeCell ref="V198:V200"/>
    <mergeCell ref="V209:V213"/>
    <mergeCell ref="U215:U220"/>
    <mergeCell ref="U202:U203"/>
    <mergeCell ref="V202:V203"/>
    <mergeCell ref="L202:L203"/>
    <mergeCell ref="V215:V220"/>
    <mergeCell ref="Q202:Q203"/>
    <mergeCell ref="L242:L243"/>
    <mergeCell ref="P242:P243"/>
    <mergeCell ref="L237:L238"/>
    <mergeCell ref="P237:P238"/>
    <mergeCell ref="Q232:Q235"/>
    <mergeCell ref="L232:L235"/>
    <mergeCell ref="P232:P235"/>
    <mergeCell ref="L209:L213"/>
    <mergeCell ref="P209:P213"/>
    <mergeCell ref="U209:U213"/>
    <mergeCell ref="V226:V227"/>
    <mergeCell ref="U232:U235"/>
    <mergeCell ref="V232:V235"/>
    <mergeCell ref="Q215:Q220"/>
    <mergeCell ref="L215:L220"/>
    <mergeCell ref="R232:R235"/>
    <mergeCell ref="S232:S235"/>
    <mergeCell ref="V178:V179"/>
    <mergeCell ref="L192:L195"/>
    <mergeCell ref="P192:P195"/>
    <mergeCell ref="Q192:Q195"/>
    <mergeCell ref="V222:V224"/>
    <mergeCell ref="Q209:Q213"/>
    <mergeCell ref="Q222:Q224"/>
    <mergeCell ref="U222:U224"/>
    <mergeCell ref="L198:L200"/>
    <mergeCell ref="Q178:Q179"/>
    <mergeCell ref="P175:P176"/>
    <mergeCell ref="Q175:Q176"/>
    <mergeCell ref="U175:U176"/>
    <mergeCell ref="V175:V176"/>
    <mergeCell ref="M175:M176"/>
    <mergeCell ref="N175:N176"/>
    <mergeCell ref="O175:O176"/>
    <mergeCell ref="R175:R176"/>
    <mergeCell ref="S175:S176"/>
    <mergeCell ref="T175:T176"/>
    <mergeCell ref="V152:V155"/>
    <mergeCell ref="H160:H163"/>
    <mergeCell ref="L160:L163"/>
    <mergeCell ref="P160:P163"/>
    <mergeCell ref="Q160:Q163"/>
    <mergeCell ref="U160:U163"/>
    <mergeCell ref="V160:V163"/>
    <mergeCell ref="I152:I155"/>
    <mergeCell ref="J152:J155"/>
    <mergeCell ref="K152:K155"/>
    <mergeCell ref="Q128:Q130"/>
    <mergeCell ref="U128:U130"/>
    <mergeCell ref="V137:V140"/>
    <mergeCell ref="Q137:Q140"/>
    <mergeCell ref="U137:U140"/>
    <mergeCell ref="Q142:Q143"/>
    <mergeCell ref="U142:U143"/>
    <mergeCell ref="U134:U135"/>
    <mergeCell ref="V128:V130"/>
    <mergeCell ref="T137:T140"/>
    <mergeCell ref="U148:U150"/>
    <mergeCell ref="G329:G330"/>
    <mergeCell ref="H178:H179"/>
    <mergeCell ref="P317:P322"/>
    <mergeCell ref="H192:H195"/>
    <mergeCell ref="H232:H235"/>
    <mergeCell ref="L178:L179"/>
    <mergeCell ref="U178:U179"/>
    <mergeCell ref="H175:H176"/>
    <mergeCell ref="L175:L176"/>
    <mergeCell ref="L137:L140"/>
    <mergeCell ref="H152:H155"/>
    <mergeCell ref="L152:L155"/>
    <mergeCell ref="P152:P155"/>
    <mergeCell ref="P137:P140"/>
    <mergeCell ref="H148:H150"/>
    <mergeCell ref="I142:I143"/>
    <mergeCell ref="J142:J143"/>
    <mergeCell ref="I137:I140"/>
    <mergeCell ref="L142:L143"/>
    <mergeCell ref="V148:V150"/>
    <mergeCell ref="U56:U60"/>
    <mergeCell ref="Q56:Q60"/>
    <mergeCell ref="V142:V143"/>
    <mergeCell ref="V134:V135"/>
    <mergeCell ref="P128:P130"/>
    <mergeCell ref="P142:P143"/>
    <mergeCell ref="P134:P135"/>
    <mergeCell ref="Q134:Q135"/>
    <mergeCell ref="Q148:Q150"/>
    <mergeCell ref="U22:U30"/>
    <mergeCell ref="V38:V41"/>
    <mergeCell ref="R42:R47"/>
    <mergeCell ref="S42:S47"/>
    <mergeCell ref="T42:T47"/>
    <mergeCell ref="U38:U41"/>
    <mergeCell ref="V42:V47"/>
    <mergeCell ref="U42:U47"/>
    <mergeCell ref="V22:V30"/>
    <mergeCell ref="H22:H30"/>
    <mergeCell ref="P22:P30"/>
    <mergeCell ref="Q22:Q30"/>
    <mergeCell ref="A5:G5"/>
    <mergeCell ref="A6:A8"/>
    <mergeCell ref="B6:B8"/>
    <mergeCell ref="C6:C8"/>
    <mergeCell ref="G6:G8"/>
    <mergeCell ref="F22:F30"/>
    <mergeCell ref="G22:G30"/>
    <mergeCell ref="C121:C125"/>
    <mergeCell ref="D128:D130"/>
    <mergeCell ref="V32:V35"/>
    <mergeCell ref="L38:L41"/>
    <mergeCell ref="L32:L35"/>
    <mergeCell ref="Q32:Q35"/>
    <mergeCell ref="U32:U35"/>
    <mergeCell ref="V62:V66"/>
    <mergeCell ref="Q68:Q71"/>
    <mergeCell ref="D68:D71"/>
    <mergeCell ref="H32:H35"/>
    <mergeCell ref="G38:G41"/>
    <mergeCell ref="P32:P35"/>
    <mergeCell ref="H56:H60"/>
    <mergeCell ref="G56:G60"/>
    <mergeCell ref="P38:P41"/>
    <mergeCell ref="I42:I47"/>
    <mergeCell ref="J42:J47"/>
    <mergeCell ref="K42:K47"/>
    <mergeCell ref="L42:L44"/>
    <mergeCell ref="L22:L30"/>
    <mergeCell ref="L49:L50"/>
    <mergeCell ref="H62:H66"/>
    <mergeCell ref="H38:H41"/>
    <mergeCell ref="G383:G384"/>
    <mergeCell ref="L7:P7"/>
    <mergeCell ref="A82:G82"/>
    <mergeCell ref="A117:G117"/>
    <mergeCell ref="A10:G10"/>
    <mergeCell ref="F49:F50"/>
    <mergeCell ref="A9:G9"/>
    <mergeCell ref="A373:A401"/>
    <mergeCell ref="D438:D439"/>
    <mergeCell ref="B405:B415"/>
    <mergeCell ref="D407:D411"/>
    <mergeCell ref="C433:C439"/>
    <mergeCell ref="A404:A462"/>
    <mergeCell ref="D293:D296"/>
    <mergeCell ref="C310:C326"/>
    <mergeCell ref="U329:U330"/>
    <mergeCell ref="U302:U308"/>
    <mergeCell ref="U317:U322"/>
    <mergeCell ref="Q329:Q330"/>
    <mergeCell ref="Q302:Q308"/>
    <mergeCell ref="L302:L308"/>
    <mergeCell ref="L317:L322"/>
    <mergeCell ref="T313:T315"/>
    <mergeCell ref="T317:T322"/>
    <mergeCell ref="Q317:Q322"/>
    <mergeCell ref="H198:H200"/>
    <mergeCell ref="G178:G179"/>
    <mergeCell ref="F175:F176"/>
    <mergeCell ref="D370:D371"/>
    <mergeCell ref="G398:G401"/>
    <mergeCell ref="B260:B270"/>
    <mergeCell ref="C261:C270"/>
    <mergeCell ref="F262:F265"/>
    <mergeCell ref="B273:B275"/>
    <mergeCell ref="C274:C275"/>
    <mergeCell ref="Q284:Q285"/>
    <mergeCell ref="L290:L291"/>
    <mergeCell ref="G249:G250"/>
    <mergeCell ref="A257:G257"/>
    <mergeCell ref="G262:G265"/>
    <mergeCell ref="A272:A275"/>
    <mergeCell ref="H290:H291"/>
    <mergeCell ref="C279:C281"/>
    <mergeCell ref="D290:D291"/>
    <mergeCell ref="F290:F291"/>
    <mergeCell ref="C253:C256"/>
    <mergeCell ref="G226:G227"/>
    <mergeCell ref="F215:F220"/>
    <mergeCell ref="G198:G200"/>
    <mergeCell ref="G202:G203"/>
    <mergeCell ref="L284:L285"/>
    <mergeCell ref="H209:H213"/>
    <mergeCell ref="D215:D220"/>
    <mergeCell ref="F198:F200"/>
    <mergeCell ref="H202:H203"/>
    <mergeCell ref="H222:H224"/>
    <mergeCell ref="L222:L224"/>
    <mergeCell ref="P222:P224"/>
    <mergeCell ref="G290:G291"/>
    <mergeCell ref="G280:G281"/>
    <mergeCell ref="P284:P285"/>
    <mergeCell ref="H242:H243"/>
    <mergeCell ref="I222:I224"/>
    <mergeCell ref="J222:J224"/>
    <mergeCell ref="K222:K224"/>
    <mergeCell ref="H215:H220"/>
    <mergeCell ref="P249:P250"/>
    <mergeCell ref="H237:H238"/>
    <mergeCell ref="H346:H351"/>
    <mergeCell ref="F294:F295"/>
    <mergeCell ref="G353:G355"/>
    <mergeCell ref="H329:H330"/>
    <mergeCell ref="H302:H308"/>
    <mergeCell ref="F317:F322"/>
    <mergeCell ref="G317:G322"/>
    <mergeCell ref="H357:H359"/>
    <mergeCell ref="F302:F308"/>
    <mergeCell ref="G294:G295"/>
    <mergeCell ref="C55:C71"/>
    <mergeCell ref="F284:F285"/>
    <mergeCell ref="C229:C243"/>
    <mergeCell ref="A297:G297"/>
    <mergeCell ref="A299:A340"/>
    <mergeCell ref="B183:B203"/>
    <mergeCell ref="D192:D195"/>
    <mergeCell ref="U262:U265"/>
    <mergeCell ref="P280:P281"/>
    <mergeCell ref="Q280:Q281"/>
    <mergeCell ref="L68:L71"/>
    <mergeCell ref="P68:P71"/>
    <mergeCell ref="F142:F143"/>
    <mergeCell ref="F202:F203"/>
    <mergeCell ref="F160:F163"/>
    <mergeCell ref="G192:G195"/>
    <mergeCell ref="G222:G224"/>
    <mergeCell ref="C75:C81"/>
    <mergeCell ref="D22:D30"/>
    <mergeCell ref="D32:D35"/>
    <mergeCell ref="D62:D66"/>
    <mergeCell ref="F62:F66"/>
    <mergeCell ref="F42:F47"/>
    <mergeCell ref="D38:D47"/>
    <mergeCell ref="C37:C50"/>
    <mergeCell ref="D49:D50"/>
    <mergeCell ref="C21:C35"/>
    <mergeCell ref="D262:D266"/>
    <mergeCell ref="D302:D308"/>
    <mergeCell ref="F76:F81"/>
    <mergeCell ref="G76:G81"/>
    <mergeCell ref="F32:F35"/>
    <mergeCell ref="G62:G66"/>
    <mergeCell ref="G49:G50"/>
    <mergeCell ref="G95:G97"/>
    <mergeCell ref="G302:G308"/>
    <mergeCell ref="A164:G164"/>
    <mergeCell ref="F178:F179"/>
    <mergeCell ref="H137:H140"/>
    <mergeCell ref="G175:G176"/>
    <mergeCell ref="B120:B130"/>
    <mergeCell ref="C197:C203"/>
    <mergeCell ref="C301:C308"/>
    <mergeCell ref="G242:G243"/>
    <mergeCell ref="B171:B181"/>
    <mergeCell ref="C172:C181"/>
    <mergeCell ref="D242:D243"/>
    <mergeCell ref="P49:P50"/>
    <mergeCell ref="R76:R81"/>
    <mergeCell ref="S76:S81"/>
    <mergeCell ref="F192:F195"/>
    <mergeCell ref="L148:L150"/>
    <mergeCell ref="P148:P150"/>
    <mergeCell ref="H134:H135"/>
    <mergeCell ref="H142:H143"/>
    <mergeCell ref="H128:H130"/>
    <mergeCell ref="G152:G155"/>
    <mergeCell ref="Q42:Q47"/>
    <mergeCell ref="R87:R90"/>
    <mergeCell ref="S87:S90"/>
    <mergeCell ref="T87:T90"/>
    <mergeCell ref="U49:U50"/>
    <mergeCell ref="Q87:Q90"/>
    <mergeCell ref="Q49:Q50"/>
    <mergeCell ref="D95:D97"/>
    <mergeCell ref="F95:F97"/>
    <mergeCell ref="D87:D90"/>
    <mergeCell ref="H87:H90"/>
    <mergeCell ref="U62:U66"/>
    <mergeCell ref="J56:J60"/>
    <mergeCell ref="K56:K60"/>
    <mergeCell ref="M56:M60"/>
    <mergeCell ref="L56:L60"/>
    <mergeCell ref="P56:P60"/>
    <mergeCell ref="D152:D155"/>
    <mergeCell ref="D101:D103"/>
    <mergeCell ref="F152:F155"/>
    <mergeCell ref="F101:F103"/>
    <mergeCell ref="F112:F114"/>
    <mergeCell ref="F137:F140"/>
    <mergeCell ref="D142:D143"/>
    <mergeCell ref="D148:D150"/>
    <mergeCell ref="F128:F130"/>
    <mergeCell ref="D106:D107"/>
    <mergeCell ref="B85:B116"/>
    <mergeCell ref="C111:C116"/>
    <mergeCell ref="D112:D114"/>
    <mergeCell ref="C94:C103"/>
    <mergeCell ref="H106:H107"/>
    <mergeCell ref="C105:C109"/>
    <mergeCell ref="G87:G90"/>
    <mergeCell ref="F87:F90"/>
    <mergeCell ref="G101:G103"/>
    <mergeCell ref="C86:C92"/>
    <mergeCell ref="G148:G150"/>
    <mergeCell ref="F106:F107"/>
    <mergeCell ref="G106:G107"/>
    <mergeCell ref="C133:C143"/>
    <mergeCell ref="G112:G114"/>
    <mergeCell ref="G142:G143"/>
    <mergeCell ref="C127:C130"/>
    <mergeCell ref="C147:C155"/>
    <mergeCell ref="G137:G140"/>
    <mergeCell ref="G134:G135"/>
    <mergeCell ref="A12:A71"/>
    <mergeCell ref="G32:G35"/>
    <mergeCell ref="H76:H81"/>
    <mergeCell ref="D56:D60"/>
    <mergeCell ref="F56:F60"/>
    <mergeCell ref="C52:C53"/>
    <mergeCell ref="F38:F41"/>
    <mergeCell ref="A73:A81"/>
    <mergeCell ref="B13:B71"/>
    <mergeCell ref="C14:C19"/>
    <mergeCell ref="A84:A116"/>
    <mergeCell ref="Q38:Q41"/>
    <mergeCell ref="Q62:Q66"/>
    <mergeCell ref="F68:F71"/>
    <mergeCell ref="H68:H71"/>
    <mergeCell ref="H49:H50"/>
    <mergeCell ref="K62:K66"/>
    <mergeCell ref="M62:M66"/>
    <mergeCell ref="B74:B81"/>
    <mergeCell ref="D76:D81"/>
    <mergeCell ref="H42:H47"/>
    <mergeCell ref="J62:J66"/>
    <mergeCell ref="G42:G47"/>
    <mergeCell ref="H112:H114"/>
    <mergeCell ref="I112:I114"/>
    <mergeCell ref="J68:J71"/>
    <mergeCell ref="G68:G71"/>
    <mergeCell ref="I95:I97"/>
    <mergeCell ref="J95:J97"/>
    <mergeCell ref="I101:I103"/>
    <mergeCell ref="G128:G130"/>
    <mergeCell ref="H122:H125"/>
    <mergeCell ref="H95:H97"/>
    <mergeCell ref="H101:H103"/>
    <mergeCell ref="G122:G125"/>
    <mergeCell ref="K95:K97"/>
    <mergeCell ref="I106:I107"/>
    <mergeCell ref="J106:J107"/>
    <mergeCell ref="K106:K107"/>
    <mergeCell ref="K122:K125"/>
    <mergeCell ref="I56:I60"/>
    <mergeCell ref="P76:P81"/>
    <mergeCell ref="Q76:Q81"/>
    <mergeCell ref="L76:L81"/>
    <mergeCell ref="I62:I66"/>
    <mergeCell ref="N56:N60"/>
    <mergeCell ref="P62:P66"/>
    <mergeCell ref="N62:N66"/>
    <mergeCell ref="O62:O66"/>
    <mergeCell ref="L62:L66"/>
    <mergeCell ref="T76:T81"/>
    <mergeCell ref="U68:U71"/>
    <mergeCell ref="V76:V81"/>
    <mergeCell ref="U76:U81"/>
    <mergeCell ref="U87:U90"/>
    <mergeCell ref="U106:U107"/>
    <mergeCell ref="U95:U97"/>
    <mergeCell ref="U101:U103"/>
    <mergeCell ref="T106:T107"/>
    <mergeCell ref="P95:P97"/>
    <mergeCell ref="T95:T97"/>
    <mergeCell ref="R101:R103"/>
    <mergeCell ref="S101:S103"/>
    <mergeCell ref="T101:T103"/>
    <mergeCell ref="S106:S107"/>
    <mergeCell ref="S95:S97"/>
    <mergeCell ref="Q95:Q97"/>
    <mergeCell ref="R106:R107"/>
    <mergeCell ref="R95:R97"/>
    <mergeCell ref="Q101:Q103"/>
    <mergeCell ref="R112:R114"/>
    <mergeCell ref="Q112:Q114"/>
    <mergeCell ref="S112:S114"/>
    <mergeCell ref="O112:O114"/>
    <mergeCell ref="N101:N103"/>
    <mergeCell ref="N112:N114"/>
    <mergeCell ref="Q106:Q107"/>
    <mergeCell ref="L122:L125"/>
    <mergeCell ref="L106:L107"/>
    <mergeCell ref="P106:P107"/>
    <mergeCell ref="P101:P103"/>
    <mergeCell ref="O122:O125"/>
    <mergeCell ref="P112:P114"/>
    <mergeCell ref="M122:M125"/>
    <mergeCell ref="N122:N125"/>
    <mergeCell ref="L112:L114"/>
    <mergeCell ref="P122:P125"/>
    <mergeCell ref="Q122:Q125"/>
    <mergeCell ref="V112:V114"/>
    <mergeCell ref="S122:S125"/>
    <mergeCell ref="T122:T125"/>
    <mergeCell ref="U122:U125"/>
    <mergeCell ref="V122:V125"/>
    <mergeCell ref="U112:U114"/>
    <mergeCell ref="T112:T114"/>
    <mergeCell ref="R122:R125"/>
    <mergeCell ref="A145:A155"/>
    <mergeCell ref="A119:A143"/>
    <mergeCell ref="B132:B143"/>
    <mergeCell ref="D134:D135"/>
    <mergeCell ref="F134:F135"/>
    <mergeCell ref="D122:D125"/>
    <mergeCell ref="F122:F125"/>
    <mergeCell ref="D137:D140"/>
    <mergeCell ref="B146:B155"/>
    <mergeCell ref="F148:F150"/>
    <mergeCell ref="A157:A163"/>
    <mergeCell ref="B158:B163"/>
    <mergeCell ref="D160:D163"/>
    <mergeCell ref="C184:C187"/>
    <mergeCell ref="D178:D179"/>
    <mergeCell ref="G160:G163"/>
    <mergeCell ref="C159:C163"/>
    <mergeCell ref="C168:C169"/>
    <mergeCell ref="A166:A256"/>
    <mergeCell ref="B252:B256"/>
    <mergeCell ref="D175:D176"/>
    <mergeCell ref="B167:B169"/>
    <mergeCell ref="C189:C195"/>
    <mergeCell ref="D226:D227"/>
    <mergeCell ref="D198:D200"/>
    <mergeCell ref="D209:D213"/>
    <mergeCell ref="D202:D203"/>
    <mergeCell ref="B205:B250"/>
    <mergeCell ref="C245:C250"/>
    <mergeCell ref="C206:C227"/>
    <mergeCell ref="G209:G213"/>
    <mergeCell ref="D246:D247"/>
    <mergeCell ref="F209:F213"/>
    <mergeCell ref="G215:G220"/>
    <mergeCell ref="D237:D238"/>
    <mergeCell ref="F222:F224"/>
    <mergeCell ref="F237:F238"/>
    <mergeCell ref="D232:D235"/>
    <mergeCell ref="F246:F247"/>
    <mergeCell ref="G246:G247"/>
    <mergeCell ref="F232:F235"/>
    <mergeCell ref="D222:D224"/>
    <mergeCell ref="F249:F250"/>
    <mergeCell ref="F242:F243"/>
    <mergeCell ref="G237:G238"/>
    <mergeCell ref="F226:F227"/>
    <mergeCell ref="G232:G235"/>
    <mergeCell ref="B300:B340"/>
    <mergeCell ref="D317:D322"/>
    <mergeCell ref="D280:D281"/>
    <mergeCell ref="F329:F330"/>
    <mergeCell ref="A259:A270"/>
    <mergeCell ref="C345:C363"/>
    <mergeCell ref="A343:A371"/>
    <mergeCell ref="A341:G341"/>
    <mergeCell ref="F280:F281"/>
    <mergeCell ref="G284:G285"/>
    <mergeCell ref="D346:D351"/>
    <mergeCell ref="F357:F359"/>
    <mergeCell ref="B344:B371"/>
    <mergeCell ref="D357:D359"/>
    <mergeCell ref="G366:G368"/>
    <mergeCell ref="G361:G363"/>
    <mergeCell ref="G357:G359"/>
    <mergeCell ref="D361:D363"/>
    <mergeCell ref="H391:H392"/>
    <mergeCell ref="F346:F351"/>
    <mergeCell ref="F383:F384"/>
    <mergeCell ref="F370:F371"/>
    <mergeCell ref="D366:D368"/>
    <mergeCell ref="D353:D355"/>
    <mergeCell ref="F353:F355"/>
    <mergeCell ref="G370:G371"/>
    <mergeCell ref="G346:G351"/>
    <mergeCell ref="F366:F368"/>
    <mergeCell ref="D544:D547"/>
    <mergeCell ref="F515:F516"/>
    <mergeCell ref="A510:G510"/>
    <mergeCell ref="F391:F392"/>
    <mergeCell ref="F522:F525"/>
    <mergeCell ref="A504:G504"/>
    <mergeCell ref="A512:A567"/>
    <mergeCell ref="A497:A503"/>
    <mergeCell ref="F500:F503"/>
    <mergeCell ref="F482:F483"/>
    <mergeCell ref="D287:D288"/>
    <mergeCell ref="F398:F401"/>
    <mergeCell ref="H280:H281"/>
    <mergeCell ref="A590:G590"/>
    <mergeCell ref="C514:C531"/>
    <mergeCell ref="A584:G584"/>
    <mergeCell ref="C573:C577"/>
    <mergeCell ref="C558:C562"/>
    <mergeCell ref="G561:G562"/>
    <mergeCell ref="D553:D556"/>
    <mergeCell ref="A277:A296"/>
    <mergeCell ref="B278:B296"/>
    <mergeCell ref="D398:D401"/>
    <mergeCell ref="C365:C371"/>
    <mergeCell ref="D447:D448"/>
    <mergeCell ref="D383:D384"/>
    <mergeCell ref="C397:C401"/>
    <mergeCell ref="C418:C431"/>
    <mergeCell ref="C375:C378"/>
    <mergeCell ref="A402:G402"/>
    <mergeCell ref="V237:V238"/>
    <mergeCell ref="F361:F363"/>
    <mergeCell ref="F434:F436"/>
    <mergeCell ref="G419:G426"/>
    <mergeCell ref="V447:V448"/>
    <mergeCell ref="U447:U448"/>
    <mergeCell ref="G407:G411"/>
    <mergeCell ref="H262:H265"/>
    <mergeCell ref="F419:F426"/>
    <mergeCell ref="H284:H285"/>
    <mergeCell ref="H468:H470"/>
    <mergeCell ref="F461:F462"/>
    <mergeCell ref="C477:C483"/>
    <mergeCell ref="H407:H411"/>
    <mergeCell ref="F468:F470"/>
    <mergeCell ref="F493:F494"/>
    <mergeCell ref="C467:C472"/>
    <mergeCell ref="G461:G462"/>
    <mergeCell ref="F480:F481"/>
    <mergeCell ref="D480:D483"/>
    <mergeCell ref="F447:F448"/>
    <mergeCell ref="A473:G473"/>
    <mergeCell ref="A465:A472"/>
    <mergeCell ref="F428:F431"/>
    <mergeCell ref="G456:G459"/>
    <mergeCell ref="G468:G470"/>
    <mergeCell ref="G391:G392"/>
    <mergeCell ref="B396:B401"/>
    <mergeCell ref="G438:G439"/>
    <mergeCell ref="H353:H355"/>
    <mergeCell ref="H461:H462"/>
    <mergeCell ref="C406:C415"/>
    <mergeCell ref="G434:G436"/>
    <mergeCell ref="D428:D431"/>
    <mergeCell ref="F438:F439"/>
    <mergeCell ref="C452:C453"/>
    <mergeCell ref="A475:A487"/>
    <mergeCell ref="C380:C386"/>
    <mergeCell ref="C442:C450"/>
    <mergeCell ref="B417:B439"/>
    <mergeCell ref="F407:F411"/>
    <mergeCell ref="C388:C394"/>
    <mergeCell ref="D456:D459"/>
    <mergeCell ref="D468:D470"/>
    <mergeCell ref="B441:B462"/>
    <mergeCell ref="D419:D426"/>
    <mergeCell ref="G500:G503"/>
    <mergeCell ref="B498:B503"/>
    <mergeCell ref="D284:D285"/>
    <mergeCell ref="D391:D392"/>
    <mergeCell ref="D461:D462"/>
    <mergeCell ref="G480:G481"/>
    <mergeCell ref="G428:G431"/>
    <mergeCell ref="A463:G463"/>
    <mergeCell ref="B466:B472"/>
    <mergeCell ref="C455:C462"/>
    <mergeCell ref="D522:D525"/>
    <mergeCell ref="D561:D562"/>
    <mergeCell ref="D518:D520"/>
    <mergeCell ref="G515:G516"/>
    <mergeCell ref="H561:H562"/>
    <mergeCell ref="B374:B394"/>
    <mergeCell ref="F540:F541"/>
    <mergeCell ref="G540:G541"/>
    <mergeCell ref="D534:D542"/>
    <mergeCell ref="F456:F459"/>
    <mergeCell ref="F544:F546"/>
    <mergeCell ref="G522:G525"/>
    <mergeCell ref="H574:H575"/>
    <mergeCell ref="G482:G483"/>
    <mergeCell ref="G535:G538"/>
    <mergeCell ref="H535:H538"/>
    <mergeCell ref="F535:F538"/>
    <mergeCell ref="G493:G494"/>
    <mergeCell ref="H515:H516"/>
    <mergeCell ref="H493:H494"/>
    <mergeCell ref="Q561:Q562"/>
    <mergeCell ref="V535:V538"/>
    <mergeCell ref="A569:G569"/>
    <mergeCell ref="A568:G568"/>
    <mergeCell ref="B513:B567"/>
    <mergeCell ref="C564:C567"/>
    <mergeCell ref="C533:C556"/>
    <mergeCell ref="V561:V562"/>
    <mergeCell ref="H540:H541"/>
    <mergeCell ref="U561:U562"/>
    <mergeCell ref="E6:E8"/>
    <mergeCell ref="D6:D8"/>
    <mergeCell ref="V574:V575"/>
    <mergeCell ref="L574:L575"/>
    <mergeCell ref="P574:P575"/>
    <mergeCell ref="Q574:Q575"/>
    <mergeCell ref="Q535:Q538"/>
    <mergeCell ref="U535:U538"/>
    <mergeCell ref="L561:L562"/>
    <mergeCell ref="P561:P562"/>
    <mergeCell ref="H5:Y5"/>
    <mergeCell ref="W6:W8"/>
    <mergeCell ref="X6:X8"/>
    <mergeCell ref="Y6:Y8"/>
    <mergeCell ref="F6:F8"/>
    <mergeCell ref="H6:P6"/>
    <mergeCell ref="V6:V8"/>
    <mergeCell ref="H7:K7"/>
    <mergeCell ref="X22:X30"/>
    <mergeCell ref="Y22:Y30"/>
    <mergeCell ref="X32:X35"/>
    <mergeCell ref="Y32:Y35"/>
    <mergeCell ref="X38:X41"/>
    <mergeCell ref="Y38:Y41"/>
    <mergeCell ref="X42:X47"/>
    <mergeCell ref="Y42:Y47"/>
    <mergeCell ref="X49:X50"/>
    <mergeCell ref="Y49:Y50"/>
    <mergeCell ref="X56:X60"/>
    <mergeCell ref="Y56:Y60"/>
    <mergeCell ref="X62:X66"/>
    <mergeCell ref="Y62:Y66"/>
    <mergeCell ref="X68:X71"/>
    <mergeCell ref="Y68:Y71"/>
    <mergeCell ref="X76:X81"/>
    <mergeCell ref="Y76:Y81"/>
    <mergeCell ref="X87:X90"/>
    <mergeCell ref="Y87:Y90"/>
    <mergeCell ref="X95:X97"/>
    <mergeCell ref="Y95:Y97"/>
    <mergeCell ref="X101:X103"/>
    <mergeCell ref="Y101:Y103"/>
    <mergeCell ref="X106:X107"/>
    <mergeCell ref="Y106:Y107"/>
    <mergeCell ref="X112:X114"/>
    <mergeCell ref="Y112:Y114"/>
    <mergeCell ref="X122:X125"/>
    <mergeCell ref="Y122:Y125"/>
    <mergeCell ref="X128:X130"/>
    <mergeCell ref="Y128:Y130"/>
    <mergeCell ref="X134:X135"/>
    <mergeCell ref="Y134:Y135"/>
    <mergeCell ref="X137:X140"/>
    <mergeCell ref="Y137:Y140"/>
    <mergeCell ref="X142:X143"/>
    <mergeCell ref="Y142:Y143"/>
    <mergeCell ref="X148:X150"/>
    <mergeCell ref="Y148:Y150"/>
    <mergeCell ref="X152:X155"/>
    <mergeCell ref="Y152:Y155"/>
    <mergeCell ref="X160:X163"/>
    <mergeCell ref="Y160:Y163"/>
    <mergeCell ref="X175:X176"/>
    <mergeCell ref="Y175:Y176"/>
    <mergeCell ref="X178:X179"/>
    <mergeCell ref="Y178:Y179"/>
    <mergeCell ref="X192:X195"/>
    <mergeCell ref="Y192:Y195"/>
    <mergeCell ref="X198:X200"/>
    <mergeCell ref="Y198:Y200"/>
    <mergeCell ref="X202:X203"/>
    <mergeCell ref="Y202:Y203"/>
    <mergeCell ref="X209:X213"/>
    <mergeCell ref="Y209:Y213"/>
    <mergeCell ref="X215:X220"/>
    <mergeCell ref="Y215:Y220"/>
    <mergeCell ref="X222:X224"/>
    <mergeCell ref="Y222:Y224"/>
    <mergeCell ref="X226:X227"/>
    <mergeCell ref="Y226:Y227"/>
    <mergeCell ref="X232:X235"/>
    <mergeCell ref="Y232:Y235"/>
    <mergeCell ref="X237:X238"/>
    <mergeCell ref="Y237:Y238"/>
    <mergeCell ref="X242:X243"/>
    <mergeCell ref="Y242:Y243"/>
    <mergeCell ref="X246:X247"/>
    <mergeCell ref="Y246:Y247"/>
    <mergeCell ref="X249:X250"/>
    <mergeCell ref="Y249:Y250"/>
    <mergeCell ref="X262:X265"/>
    <mergeCell ref="Y262:Y265"/>
    <mergeCell ref="X280:X281"/>
    <mergeCell ref="Y280:Y281"/>
    <mergeCell ref="X284:X285"/>
    <mergeCell ref="Y284:Y285"/>
    <mergeCell ref="X290:X291"/>
    <mergeCell ref="Y290:Y291"/>
    <mergeCell ref="X294:X295"/>
    <mergeCell ref="Y294:Y295"/>
    <mergeCell ref="X302:X308"/>
    <mergeCell ref="Y302:Y308"/>
    <mergeCell ref="X313:X315"/>
    <mergeCell ref="Y313:Y315"/>
    <mergeCell ref="X317:X322"/>
    <mergeCell ref="Y317:Y322"/>
    <mergeCell ref="X329:X330"/>
    <mergeCell ref="Y329:Y330"/>
    <mergeCell ref="X332:X334"/>
    <mergeCell ref="Y332:Y334"/>
    <mergeCell ref="X346:X351"/>
    <mergeCell ref="Y346:Y351"/>
    <mergeCell ref="X353:X355"/>
    <mergeCell ref="Y353:Y355"/>
    <mergeCell ref="X357:X359"/>
    <mergeCell ref="Y357:Y359"/>
    <mergeCell ref="X361:X363"/>
    <mergeCell ref="Y361:Y363"/>
    <mergeCell ref="X366:X368"/>
    <mergeCell ref="Y366:Y368"/>
    <mergeCell ref="X370:X371"/>
    <mergeCell ref="Y370:Y371"/>
    <mergeCell ref="X383:X384"/>
    <mergeCell ref="Y383:Y384"/>
    <mergeCell ref="X391:X392"/>
    <mergeCell ref="Y391:Y392"/>
    <mergeCell ref="X398:X401"/>
    <mergeCell ref="Y398:Y401"/>
    <mergeCell ref="X407:X411"/>
    <mergeCell ref="Y407:Y411"/>
    <mergeCell ref="X419:X426"/>
    <mergeCell ref="Y419:Y426"/>
    <mergeCell ref="X428:X431"/>
    <mergeCell ref="Y428:Y431"/>
    <mergeCell ref="X434:X436"/>
    <mergeCell ref="Y434:Y436"/>
    <mergeCell ref="X438:X439"/>
    <mergeCell ref="Y438:Y439"/>
    <mergeCell ref="X447:X448"/>
    <mergeCell ref="Y447:Y448"/>
    <mergeCell ref="X456:X459"/>
    <mergeCell ref="Y456:Y459"/>
    <mergeCell ref="X461:X462"/>
    <mergeCell ref="Y461:Y462"/>
    <mergeCell ref="X468:X470"/>
    <mergeCell ref="Y468:Y470"/>
    <mergeCell ref="X480:X481"/>
    <mergeCell ref="Y480:Y481"/>
    <mergeCell ref="X482:X483"/>
    <mergeCell ref="Y482:Y483"/>
    <mergeCell ref="Y540:Y541"/>
    <mergeCell ref="X544:X546"/>
    <mergeCell ref="Y544:Y546"/>
    <mergeCell ref="X493:X494"/>
    <mergeCell ref="Y493:Y494"/>
    <mergeCell ref="X500:X503"/>
    <mergeCell ref="Y500:Y503"/>
    <mergeCell ref="X522:X525"/>
    <mergeCell ref="Y522:Y525"/>
    <mergeCell ref="X515:X516"/>
    <mergeCell ref="X561:X562"/>
    <mergeCell ref="Y561:Y562"/>
    <mergeCell ref="X574:X575"/>
    <mergeCell ref="Y574:Y575"/>
    <mergeCell ref="W38:W41"/>
    <mergeCell ref="W32:W35"/>
    <mergeCell ref="W76:W81"/>
    <mergeCell ref="X535:X538"/>
    <mergeCell ref="Y535:Y538"/>
    <mergeCell ref="X540:X541"/>
    <mergeCell ref="I76:I81"/>
    <mergeCell ref="J76:J81"/>
    <mergeCell ref="K76:K81"/>
    <mergeCell ref="M76:M81"/>
    <mergeCell ref="N76:N81"/>
    <mergeCell ref="O76:O81"/>
    <mergeCell ref="I68:I71"/>
    <mergeCell ref="K68:K71"/>
    <mergeCell ref="R38:R41"/>
    <mergeCell ref="S38:S41"/>
    <mergeCell ref="T38:T41"/>
    <mergeCell ref="I49:I50"/>
    <mergeCell ref="R49:R50"/>
    <mergeCell ref="S49:S50"/>
    <mergeCell ref="T49:T50"/>
    <mergeCell ref="M68:M71"/>
    <mergeCell ref="W49:W50"/>
    <mergeCell ref="R22:R30"/>
    <mergeCell ref="S22:S30"/>
    <mergeCell ref="T22:T30"/>
    <mergeCell ref="W22:W30"/>
    <mergeCell ref="R32:R35"/>
    <mergeCell ref="S32:S35"/>
    <mergeCell ref="T32:T35"/>
    <mergeCell ref="W42:W47"/>
    <mergeCell ref="V49:V50"/>
    <mergeCell ref="V56:V60"/>
    <mergeCell ref="R62:R66"/>
    <mergeCell ref="S62:S66"/>
    <mergeCell ref="T62:T66"/>
    <mergeCell ref="J49:J50"/>
    <mergeCell ref="K49:K50"/>
    <mergeCell ref="M49:M50"/>
    <mergeCell ref="N49:N50"/>
    <mergeCell ref="O49:O50"/>
    <mergeCell ref="O56:O60"/>
    <mergeCell ref="W62:W66"/>
    <mergeCell ref="W56:W60"/>
    <mergeCell ref="R68:R71"/>
    <mergeCell ref="S68:S71"/>
    <mergeCell ref="T68:T71"/>
    <mergeCell ref="W68:W71"/>
    <mergeCell ref="V68:V71"/>
    <mergeCell ref="R56:R60"/>
    <mergeCell ref="S56:S60"/>
    <mergeCell ref="T56:T60"/>
    <mergeCell ref="O68:O71"/>
    <mergeCell ref="I192:I195"/>
    <mergeCell ref="J192:J195"/>
    <mergeCell ref="K192:K195"/>
    <mergeCell ref="I175:I176"/>
    <mergeCell ref="J175:J176"/>
    <mergeCell ref="K175:K176"/>
    <mergeCell ref="I178:I179"/>
    <mergeCell ref="J178:J179"/>
    <mergeCell ref="N68:N71"/>
    <mergeCell ref="J215:J220"/>
    <mergeCell ref="K215:K220"/>
    <mergeCell ref="D434:D436"/>
    <mergeCell ref="K178:K179"/>
    <mergeCell ref="I198:I200"/>
    <mergeCell ref="J198:J200"/>
    <mergeCell ref="K198:K200"/>
    <mergeCell ref="I202:I203"/>
    <mergeCell ref="J202:J203"/>
    <mergeCell ref="K202:K203"/>
    <mergeCell ref="A2:Z2"/>
    <mergeCell ref="A3:Z3"/>
    <mergeCell ref="Z568:Z583"/>
    <mergeCell ref="F561:F562"/>
    <mergeCell ref="D515:D516"/>
    <mergeCell ref="A488:G488"/>
    <mergeCell ref="I209:I213"/>
    <mergeCell ref="J209:J213"/>
    <mergeCell ref="K209:K213"/>
    <mergeCell ref="I215:I220"/>
  </mergeCells>
  <printOptions gridLines="1" horizontalCentered="1"/>
  <pageMargins left="1.1811023622047245" right="0.7086614173228347" top="0.7480314960629921" bottom="0.7480314960629921" header="0.31496062992125984" footer="0.31496062992125984"/>
  <pageSetup fitToHeight="13" fitToWidth="13" horizontalDpi="600" verticalDpi="600" orientation="landscape" pageOrder="overThenDown" paperSize="5" scale="45" r:id="rId2"/>
  <rowBreaks count="13" manualBreakCount="13">
    <brk id="47" max="12" man="1"/>
    <brk id="85" max="12" man="1"/>
    <brk id="130" max="12" man="1"/>
    <brk id="181" max="12" man="1"/>
    <brk id="227" max="12" man="1"/>
    <brk id="270" max="12" man="1"/>
    <brk id="315" max="12" man="1"/>
    <brk id="359" max="12" man="1"/>
    <brk id="401" max="12" man="1"/>
    <brk id="450" max="12" man="1"/>
    <brk id="487" max="12" man="1"/>
    <brk id="531" max="12" man="1"/>
    <brk id="567" max="12" man="1"/>
  </rowBreaks>
  <ignoredErrors>
    <ignoredError sqref="G110 G72:G74 G156:G158 G251:G252 G282 G395:G396 G454 G464:G466 G485 G489:G491 G496:G498 G505:G507 B72:B73 B156:B158 B251:B252 B395:B396 B484:B485 B465:B466 B490:B491 B497:B498 B506:B507 B12:B13 C405 C396 C387 C364 C327 C282 C273 C260 C252 C244 C196 C171 C158 C146 C167 C132 C110 C74 F20 F36 C85 B84:B85 G83:G85 C93 G93 C104 G104 C120 B119:B120 G118:G120 C126 G126 B131:B132 G132 B144:B146 G144:G146 B166:B167 G165:G167 B170:B171 G170:G171 C183 B182:B183 G182:G183 C188 G188 G196 C205 B204:B205 G204:G205 C228 G228 G244 B259:B260 G258:G260 B271:B273 G271:G273 C278 B276:B278 G276:G278 C300 B299:B300 G298:G300 C309 G309 C344 B343:B344 G342:G344 G364 C374 B372:B374 G372:G374 C379 G379 G387 B404:B405 G403:G405 C417 B416:B417 G416:G417 G441 G451 B476 G474:G476 B440 B571 B586" numberStoredAsText="1"/>
    <ignoredError sqref="H119 L132 H252 L165 L183 L251:L252 Q251:Q252 Q183 L299 H405 H403 Q403:Q406 H466 L146 Q132 Q146 H171 L282 H277 V327 Q299 H476 H474 L572 H146 H299 H165 H132 M37 I171:K171 M183:O183 I252:K252 M252:O252 I165:K165 M165:O165 I276:K277 I299:K299 M299:O299 W327:Y327 R299:T299 L403:L406 I407:O411 I403:K406 M403:O406 I466:K467 I474:K477 M572:O572 I132:K132 I146:K146 I565:O565 M99:P9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6"/>
  <sheetViews>
    <sheetView zoomScale="80" zoomScaleNormal="80" zoomScalePageLayoutView="0" workbookViewId="0" topLeftCell="A10">
      <selection activeCell="H45" sqref="H45"/>
    </sheetView>
  </sheetViews>
  <sheetFormatPr defaultColWidth="11.421875" defaultRowHeight="15"/>
  <cols>
    <col min="1" max="1" width="14.00390625" style="64" customWidth="1"/>
    <col min="2" max="2" width="23.8515625" style="1" customWidth="1"/>
    <col min="3" max="3" width="19.140625" style="82" customWidth="1"/>
    <col min="4" max="4" width="16.57421875" style="21" customWidth="1"/>
    <col min="5" max="5" width="15.8515625" style="80" customWidth="1"/>
    <col min="6" max="6" width="18.57421875" style="80" customWidth="1"/>
    <col min="7" max="7" width="14.00390625" style="80" customWidth="1"/>
    <col min="8" max="8" width="10.57421875" style="80" bestFit="1" customWidth="1"/>
    <col min="9" max="10" width="15.421875" style="1" customWidth="1"/>
    <col min="11" max="11" width="11.57421875" style="1" customWidth="1"/>
    <col min="12" max="12" width="21.140625" style="1" customWidth="1"/>
    <col min="13" max="13" width="22.57421875" style="1" customWidth="1"/>
    <col min="14" max="16384" width="11.57421875" style="1" customWidth="1"/>
  </cols>
  <sheetData>
    <row r="1" ht="12.75"/>
    <row r="2" ht="13.5" thickBot="1"/>
    <row r="3" spans="1:10" ht="16.5" thickBot="1">
      <c r="A3" s="389" t="s">
        <v>1095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0" ht="13.5" thickBot="1">
      <c r="A4" s="619"/>
      <c r="B4" s="619"/>
      <c r="C4" s="619"/>
      <c r="D4" s="619"/>
      <c r="E4" s="619"/>
      <c r="F4" s="619"/>
      <c r="G4" s="619"/>
      <c r="H4" s="619"/>
      <c r="I4" s="619"/>
      <c r="J4" s="357"/>
    </row>
    <row r="5" spans="1:10" ht="15.75" customHeight="1">
      <c r="A5" s="623" t="s">
        <v>1009</v>
      </c>
      <c r="B5" s="603" t="s">
        <v>1012</v>
      </c>
      <c r="C5" s="620" t="s">
        <v>1091</v>
      </c>
      <c r="D5" s="620"/>
      <c r="E5" s="620"/>
      <c r="F5" s="620" t="s">
        <v>1094</v>
      </c>
      <c r="G5" s="620"/>
      <c r="H5" s="620"/>
      <c r="I5" s="596" t="s">
        <v>1041</v>
      </c>
      <c r="J5" s="465"/>
    </row>
    <row r="6" spans="1:10" ht="49.5" customHeight="1" thickBot="1">
      <c r="A6" s="624"/>
      <c r="B6" s="607"/>
      <c r="C6" s="329" t="s">
        <v>1092</v>
      </c>
      <c r="D6" s="329" t="s">
        <v>1010</v>
      </c>
      <c r="E6" s="329" t="s">
        <v>1011</v>
      </c>
      <c r="F6" s="329" t="s">
        <v>1098</v>
      </c>
      <c r="G6" s="329" t="s">
        <v>1010</v>
      </c>
      <c r="H6" s="329" t="s">
        <v>1011</v>
      </c>
      <c r="I6" s="597"/>
      <c r="J6" s="467"/>
    </row>
    <row r="7" spans="1:13" ht="12.75">
      <c r="A7" s="325">
        <v>1</v>
      </c>
      <c r="B7" s="84" t="s">
        <v>1013</v>
      </c>
      <c r="C7" s="108">
        <f>'POAI 2015 OCTUBRE 2015'!V10</f>
        <v>101633652672</v>
      </c>
      <c r="D7" s="321">
        <f aca="true" t="shared" si="0" ref="D7:D22">C7/C$23</f>
        <v>0.6112293988695505</v>
      </c>
      <c r="E7" s="598">
        <f>SUM(D7:D9)</f>
        <v>0.8916084518111546</v>
      </c>
      <c r="F7" s="86">
        <f>'POAI 2015 OCTUBRE 2015'!X10</f>
        <v>87219245307.84</v>
      </c>
      <c r="G7" s="321">
        <f aca="true" t="shared" si="1" ref="G7:G22">F7/$F$23</f>
        <v>0.41819577666502566</v>
      </c>
      <c r="H7" s="598">
        <f>SUM(G7:G9)</f>
        <v>0.8546636137873354</v>
      </c>
      <c r="I7" s="378">
        <v>11</v>
      </c>
      <c r="J7" s="375"/>
      <c r="M7" s="92"/>
    </row>
    <row r="8" spans="1:13" ht="12.75">
      <c r="A8" s="326">
        <v>2</v>
      </c>
      <c r="B8" s="81" t="s">
        <v>1014</v>
      </c>
      <c r="C8" s="83">
        <f>'POAI 2015 OCTUBRE 2015'!V510</f>
        <v>39588896557.76</v>
      </c>
      <c r="D8" s="321">
        <f t="shared" si="0"/>
        <v>0.23808942027304475</v>
      </c>
      <c r="E8" s="598"/>
      <c r="F8" s="320">
        <f>'POAI 2015 OCTUBRE 2015'!X510</f>
        <v>32659587375.15</v>
      </c>
      <c r="G8" s="321">
        <f t="shared" si="1"/>
        <v>0.15659504344143202</v>
      </c>
      <c r="H8" s="598"/>
      <c r="I8" s="372">
        <v>23</v>
      </c>
      <c r="J8" s="327"/>
      <c r="M8" s="92"/>
    </row>
    <row r="9" spans="1:13" ht="25.5">
      <c r="A9" s="326">
        <v>3</v>
      </c>
      <c r="B9" s="81" t="s">
        <v>1015</v>
      </c>
      <c r="C9" s="83">
        <f>'POAI 2015 OCTUBRE 2015'!V297</f>
        <v>7031811372.639999</v>
      </c>
      <c r="D9" s="321">
        <f t="shared" si="0"/>
        <v>0.04228963266855926</v>
      </c>
      <c r="E9" s="599"/>
      <c r="F9" s="320">
        <f>'POAI 2015 OCTUBRE 2015'!X297</f>
        <v>58370493460.520004</v>
      </c>
      <c r="G9" s="321">
        <f t="shared" si="1"/>
        <v>0.2798727936808777</v>
      </c>
      <c r="H9" s="599"/>
      <c r="I9" s="372">
        <v>11</v>
      </c>
      <c r="J9" s="327">
        <v>3</v>
      </c>
      <c r="M9" s="92"/>
    </row>
    <row r="10" spans="1:13" ht="12.75">
      <c r="A10" s="326">
        <v>4</v>
      </c>
      <c r="B10" s="81" t="s">
        <v>1016</v>
      </c>
      <c r="C10" s="83">
        <f>'POAI 2015 OCTUBRE 2015'!V164</f>
        <v>5416397000</v>
      </c>
      <c r="D10" s="321">
        <f t="shared" si="0"/>
        <v>0.032574457330912424</v>
      </c>
      <c r="E10" s="600">
        <f>SUM(D10:D20)</f>
        <v>0.09855745335901264</v>
      </c>
      <c r="F10" s="320">
        <f>'POAI 2015 OCTUBRE 2015'!X164</f>
        <v>6805667442.27</v>
      </c>
      <c r="G10" s="321">
        <f t="shared" si="1"/>
        <v>0.03263157542465172</v>
      </c>
      <c r="H10" s="600">
        <f>SUM(G10:G20)</f>
        <v>0.14293900375888968</v>
      </c>
      <c r="I10" s="372">
        <v>25</v>
      </c>
      <c r="J10" s="327"/>
      <c r="M10" s="92"/>
    </row>
    <row r="11" spans="1:13" ht="12.75">
      <c r="A11" s="326">
        <v>5</v>
      </c>
      <c r="B11" s="81" t="s">
        <v>1017</v>
      </c>
      <c r="C11" s="83">
        <f>'POAI 2015 OCTUBRE 2015'!V488</f>
        <v>2307467882</v>
      </c>
      <c r="D11" s="321">
        <f t="shared" si="0"/>
        <v>0.013877216545363986</v>
      </c>
      <c r="E11" s="598"/>
      <c r="F11" s="320">
        <f>'POAI 2015 OCTUBRE 2015'!X488</f>
        <v>2858255496.57</v>
      </c>
      <c r="G11" s="321">
        <f t="shared" si="1"/>
        <v>0.013704663151765717</v>
      </c>
      <c r="H11" s="598"/>
      <c r="I11" s="372">
        <v>1</v>
      </c>
      <c r="J11" s="327"/>
      <c r="M11" s="92"/>
    </row>
    <row r="12" spans="1:13" ht="12.75">
      <c r="A12" s="326">
        <v>6</v>
      </c>
      <c r="B12" s="81" t="s">
        <v>1018</v>
      </c>
      <c r="C12" s="83">
        <f>'POAI 2015 OCTUBRE 2015'!V341</f>
        <v>1919700678.7</v>
      </c>
      <c r="D12" s="321">
        <f t="shared" si="0"/>
        <v>0.011545166989501834</v>
      </c>
      <c r="E12" s="598"/>
      <c r="F12" s="320">
        <f>'POAI 2015 OCTUBRE 2015'!X341</f>
        <v>7268981901</v>
      </c>
      <c r="G12" s="321">
        <f t="shared" si="1"/>
        <v>0.03485305933253084</v>
      </c>
      <c r="H12" s="598"/>
      <c r="I12" s="372">
        <v>15</v>
      </c>
      <c r="J12" s="327"/>
      <c r="M12" s="92"/>
    </row>
    <row r="13" spans="1:13" ht="12.75">
      <c r="A13" s="326">
        <v>7</v>
      </c>
      <c r="B13" s="81" t="s">
        <v>1019</v>
      </c>
      <c r="C13" s="83">
        <f>'POAI 2015 OCTUBRE 2015'!V82</f>
        <v>1621434443.45</v>
      </c>
      <c r="D13" s="321">
        <f t="shared" si="0"/>
        <v>0.009751380316663227</v>
      </c>
      <c r="E13" s="598"/>
      <c r="F13" s="320">
        <f>'POAI 2015 OCTUBRE 2015'!X82</f>
        <v>2504550574</v>
      </c>
      <c r="G13" s="321">
        <f t="shared" si="1"/>
        <v>0.012008731201399394</v>
      </c>
      <c r="H13" s="598"/>
      <c r="I13" s="372">
        <v>9</v>
      </c>
      <c r="J13" s="327"/>
      <c r="M13" s="92"/>
    </row>
    <row r="14" spans="1:13" ht="12.75">
      <c r="A14" s="326">
        <v>8</v>
      </c>
      <c r="B14" s="81" t="s">
        <v>1020</v>
      </c>
      <c r="C14" s="83">
        <f>'POAI 2015 OCTUBRE 2015'!V402</f>
        <v>1435750000</v>
      </c>
      <c r="D14" s="321">
        <f t="shared" si="0"/>
        <v>0.008634665648189656</v>
      </c>
      <c r="E14" s="598"/>
      <c r="F14" s="320">
        <f>'POAI 2015 OCTUBRE 2015'!X402</f>
        <v>2450976659</v>
      </c>
      <c r="G14" s="321">
        <f t="shared" si="1"/>
        <v>0.011751856873797328</v>
      </c>
      <c r="H14" s="598"/>
      <c r="I14" s="372">
        <v>14</v>
      </c>
      <c r="J14" s="327">
        <v>3</v>
      </c>
      <c r="M14" s="92"/>
    </row>
    <row r="15" spans="1:13" ht="13.5">
      <c r="A15" s="326">
        <v>9</v>
      </c>
      <c r="B15" s="81" t="s">
        <v>1021</v>
      </c>
      <c r="C15" s="83">
        <f>'POAI 2015 OCTUBRE 2015'!V463</f>
        <v>1402763857.6</v>
      </c>
      <c r="D15" s="321">
        <f t="shared" si="0"/>
        <v>0.008436285491026102</v>
      </c>
      <c r="E15" s="598"/>
      <c r="F15" s="320">
        <f>'POAI 2015 OCTUBRE 2015'!X463</f>
        <v>1916821669</v>
      </c>
      <c r="G15" s="321">
        <f t="shared" si="1"/>
        <v>0.009190709272552609</v>
      </c>
      <c r="H15" s="598"/>
      <c r="I15" s="372">
        <v>2</v>
      </c>
      <c r="J15" s="327"/>
      <c r="M15" s="92"/>
    </row>
    <row r="16" spans="1:13" ht="13.5">
      <c r="A16" s="326">
        <v>10</v>
      </c>
      <c r="B16" s="81" t="s">
        <v>1022</v>
      </c>
      <c r="C16" s="83">
        <f>'POAI 2015 OCTUBRE 2015'!V257</f>
        <v>938050000</v>
      </c>
      <c r="D16" s="321">
        <f t="shared" si="0"/>
        <v>0.005641475264693927</v>
      </c>
      <c r="E16" s="598"/>
      <c r="F16" s="320">
        <f>'POAI 2015 OCTUBRE 2015'!X257</f>
        <v>1763602328</v>
      </c>
      <c r="G16" s="321">
        <f t="shared" si="1"/>
        <v>0.008456058553167873</v>
      </c>
      <c r="H16" s="598"/>
      <c r="I16" s="372">
        <v>10</v>
      </c>
      <c r="J16" s="327">
        <v>1</v>
      </c>
      <c r="M16" s="92"/>
    </row>
    <row r="17" spans="1:16" ht="13.5">
      <c r="A17" s="326">
        <v>11</v>
      </c>
      <c r="B17" s="81" t="s">
        <v>1023</v>
      </c>
      <c r="C17" s="83">
        <f>'POAI 2015 OCTUBRE 2015'!V117</f>
        <v>526216043</v>
      </c>
      <c r="D17" s="321">
        <f t="shared" si="0"/>
        <v>0.0031646871600337044</v>
      </c>
      <c r="E17" s="598"/>
      <c r="F17" s="320">
        <f>'POAI 2015 OCTUBRE 2015'!X117</f>
        <v>2514656367.33</v>
      </c>
      <c r="G17" s="321">
        <f t="shared" si="1"/>
        <v>0.01205718610462103</v>
      </c>
      <c r="H17" s="598"/>
      <c r="I17" s="372">
        <v>8</v>
      </c>
      <c r="J17" s="327">
        <v>1</v>
      </c>
      <c r="M17" s="92"/>
      <c r="P17" s="79"/>
    </row>
    <row r="18" spans="1:13" ht="13.5">
      <c r="A18" s="326">
        <v>12</v>
      </c>
      <c r="B18" s="81" t="s">
        <v>1024</v>
      </c>
      <c r="C18" s="83">
        <f>'POAI 2015 OCTUBRE 2015'!V473</f>
        <v>496100000</v>
      </c>
      <c r="D18" s="321">
        <f t="shared" si="0"/>
        <v>0.0029835679108945767</v>
      </c>
      <c r="E18" s="598"/>
      <c r="F18" s="320">
        <f>'POAI 2015 OCTUBRE 2015'!X473</f>
        <v>1172244248</v>
      </c>
      <c r="G18" s="321">
        <f t="shared" si="1"/>
        <v>0.005620635583387732</v>
      </c>
      <c r="H18" s="598"/>
      <c r="I18" s="372">
        <v>4</v>
      </c>
      <c r="J18" s="327"/>
      <c r="M18" s="92"/>
    </row>
    <row r="19" spans="1:13" ht="13.5">
      <c r="A19" s="326">
        <v>13</v>
      </c>
      <c r="B19" s="81" t="s">
        <v>1025</v>
      </c>
      <c r="C19" s="83">
        <f>'POAI 2015 OCTUBRE 2015'!V504</f>
        <v>174000000</v>
      </c>
      <c r="D19" s="321">
        <f t="shared" si="0"/>
        <v>0.0010464438953752394</v>
      </c>
      <c r="E19" s="598"/>
      <c r="F19" s="320">
        <f>'POAI 2015 OCTUBRE 2015'!X504</f>
        <v>280396151</v>
      </c>
      <c r="G19" s="321">
        <f t="shared" si="1"/>
        <v>0.001344433625026889</v>
      </c>
      <c r="H19" s="598"/>
      <c r="I19" s="372">
        <v>1</v>
      </c>
      <c r="J19" s="327"/>
      <c r="M19" s="92"/>
    </row>
    <row r="20" spans="1:13" ht="13.5">
      <c r="A20" s="328">
        <v>14</v>
      </c>
      <c r="B20" s="85" t="s">
        <v>1026</v>
      </c>
      <c r="C20" s="109">
        <f>'POAI 2015 OCTUBRE 2015'!V495</f>
        <v>150000000</v>
      </c>
      <c r="D20" s="321">
        <f t="shared" si="0"/>
        <v>0.0009021068063579651</v>
      </c>
      <c r="E20" s="598"/>
      <c r="F20" s="320">
        <f>'POAI 2015 OCTUBRE 2015'!X495</f>
        <v>275319992</v>
      </c>
      <c r="G20" s="321">
        <f t="shared" si="1"/>
        <v>0.001320094635988545</v>
      </c>
      <c r="H20" s="599"/>
      <c r="I20" s="373">
        <v>1</v>
      </c>
      <c r="J20" s="327"/>
      <c r="M20" s="92"/>
    </row>
    <row r="21" spans="1:13" ht="13.5">
      <c r="A21" s="326">
        <v>16</v>
      </c>
      <c r="B21" s="81" t="s">
        <v>1052</v>
      </c>
      <c r="C21" s="83">
        <f>'POAI 2015 OCTUBRE 2015'!V568</f>
        <v>1635188000</v>
      </c>
      <c r="D21" s="376">
        <f t="shared" si="0"/>
        <v>0.009834094829832454</v>
      </c>
      <c r="E21" s="324">
        <f>D21</f>
        <v>0.009834094829832454</v>
      </c>
      <c r="F21" s="320">
        <v>500000000</v>
      </c>
      <c r="G21" s="376">
        <f t="shared" si="1"/>
        <v>0.0023973824537749967</v>
      </c>
      <c r="H21" s="322">
        <f>G21</f>
        <v>0.0023973824537749967</v>
      </c>
      <c r="I21" s="372">
        <v>1</v>
      </c>
      <c r="J21" s="327"/>
      <c r="M21" s="92"/>
    </row>
    <row r="22" spans="1:13" ht="14.25" thickBot="1">
      <c r="A22" s="326">
        <v>16</v>
      </c>
      <c r="B22" s="81" t="s">
        <v>1100</v>
      </c>
      <c r="C22" s="83">
        <v>0</v>
      </c>
      <c r="D22" s="321">
        <f t="shared" si="0"/>
        <v>0</v>
      </c>
      <c r="E22" s="324">
        <f>D22</f>
        <v>0</v>
      </c>
      <c r="F22" s="320">
        <v>0</v>
      </c>
      <c r="G22" s="321">
        <f t="shared" si="1"/>
        <v>0</v>
      </c>
      <c r="H22" s="322">
        <f>G22</f>
        <v>0</v>
      </c>
      <c r="I22" s="372">
        <v>0</v>
      </c>
      <c r="J22" s="327">
        <v>6</v>
      </c>
      <c r="M22" s="92"/>
    </row>
    <row r="23" spans="1:13" ht="14.25" thickBot="1">
      <c r="A23" s="614" t="s">
        <v>1028</v>
      </c>
      <c r="B23" s="614"/>
      <c r="C23" s="359">
        <f aca="true" t="shared" si="2" ref="C23:I23">SUM(C7:C22)</f>
        <v>166277428507.15005</v>
      </c>
      <c r="D23" s="360">
        <f t="shared" si="2"/>
        <v>0.9999999999999998</v>
      </c>
      <c r="E23" s="360">
        <f t="shared" si="2"/>
        <v>0.9999999999999997</v>
      </c>
      <c r="F23" s="339">
        <f t="shared" si="2"/>
        <v>208560798971.68</v>
      </c>
      <c r="G23" s="360">
        <f t="shared" si="2"/>
        <v>1.0000000000000002</v>
      </c>
      <c r="H23" s="360">
        <f t="shared" si="2"/>
        <v>1</v>
      </c>
      <c r="I23" s="374">
        <f t="shared" si="2"/>
        <v>136</v>
      </c>
      <c r="J23" s="356">
        <v>14</v>
      </c>
      <c r="M23" s="92"/>
    </row>
    <row r="24" spans="1:13" ht="13.5">
      <c r="A24" s="87"/>
      <c r="B24" s="87"/>
      <c r="C24" s="105"/>
      <c r="D24" s="106"/>
      <c r="E24" s="106"/>
      <c r="F24" s="358"/>
      <c r="G24" s="106"/>
      <c r="H24" s="106"/>
      <c r="I24" s="87"/>
      <c r="J24" s="87"/>
      <c r="M24" s="92"/>
    </row>
    <row r="25" spans="1:13" s="65" customFormat="1" ht="14.25" customHeight="1" thickBot="1">
      <c r="A25" s="87"/>
      <c r="B25" s="87"/>
      <c r="C25" s="105"/>
      <c r="D25" s="106"/>
      <c r="E25" s="106"/>
      <c r="F25" s="106"/>
      <c r="G25" s="106"/>
      <c r="H25" s="106"/>
      <c r="I25" s="87"/>
      <c r="J25" s="87"/>
      <c r="M25" s="107"/>
    </row>
    <row r="26" spans="1:13" s="65" customFormat="1" ht="15.75" thickBot="1">
      <c r="A26" s="611" t="s">
        <v>1097</v>
      </c>
      <c r="B26" s="612"/>
      <c r="C26" s="612"/>
      <c r="D26" s="612"/>
      <c r="E26" s="612"/>
      <c r="F26" s="612"/>
      <c r="G26" s="613"/>
      <c r="H26" s="317"/>
      <c r="I26" s="89"/>
      <c r="J26" s="89"/>
      <c r="M26" s="107"/>
    </row>
    <row r="27" spans="1:13" s="65" customFormat="1" ht="14.25" thickBot="1">
      <c r="A27" s="87"/>
      <c r="B27" s="87"/>
      <c r="C27" s="87"/>
      <c r="D27" s="87"/>
      <c r="E27" s="87"/>
      <c r="F27" s="87"/>
      <c r="G27" s="87"/>
      <c r="H27" s="87"/>
      <c r="I27" s="89"/>
      <c r="J27" s="89"/>
      <c r="M27" s="107"/>
    </row>
    <row r="28" spans="1:13" s="65" customFormat="1" ht="15.75" customHeight="1">
      <c r="A28" s="601" t="s">
        <v>1031</v>
      </c>
      <c r="B28" s="603" t="s">
        <v>1032</v>
      </c>
      <c r="C28" s="603"/>
      <c r="D28" s="605" t="s">
        <v>1091</v>
      </c>
      <c r="E28" s="605"/>
      <c r="F28" s="605" t="s">
        <v>1096</v>
      </c>
      <c r="G28" s="606"/>
      <c r="H28" s="87"/>
      <c r="I28" s="89"/>
      <c r="J28" s="89"/>
      <c r="M28" s="107"/>
    </row>
    <row r="29" spans="1:10" ht="45" customHeight="1" thickBot="1">
      <c r="A29" s="602"/>
      <c r="B29" s="604"/>
      <c r="C29" s="604"/>
      <c r="D29" s="316" t="s">
        <v>1093</v>
      </c>
      <c r="E29" s="316" t="s">
        <v>1033</v>
      </c>
      <c r="F29" s="316" t="s">
        <v>1099</v>
      </c>
      <c r="G29" s="334" t="s">
        <v>1033</v>
      </c>
      <c r="H29" s="330"/>
      <c r="I29" s="87"/>
      <c r="J29" s="87"/>
    </row>
    <row r="30" spans="1:10" ht="13.5">
      <c r="A30" s="325">
        <v>20</v>
      </c>
      <c r="B30" s="621" t="s">
        <v>1029</v>
      </c>
      <c r="C30" s="622"/>
      <c r="D30" s="90">
        <f>'POAI 2015 OCTUBRE 2015'!H9</f>
        <v>15596391003.300001</v>
      </c>
      <c r="E30" s="331">
        <f>D30/$D$36</f>
        <v>0.09472897693361194</v>
      </c>
      <c r="F30" s="333">
        <f>'POAI 2015 OCTUBRE 2015'!J9</f>
        <v>27849077013.1</v>
      </c>
      <c r="G30" s="335">
        <f>F30/$F$36</f>
        <v>0.1338506684139507</v>
      </c>
      <c r="H30" s="318"/>
      <c r="I30" s="88"/>
      <c r="J30" s="88"/>
    </row>
    <row r="31" spans="1:10" ht="27">
      <c r="A31" s="336" t="s">
        <v>1030</v>
      </c>
      <c r="B31" s="608" t="s">
        <v>1034</v>
      </c>
      <c r="C31" s="609"/>
      <c r="D31" s="90">
        <f>'POAI 2015 OCTUBRE 2015'!L9</f>
        <v>33944729955.850002</v>
      </c>
      <c r="E31" s="331">
        <f>D31/$D$36</f>
        <v>0.20617266778737664</v>
      </c>
      <c r="F31" s="333">
        <f>'POAI 2015 OCTUBRE 2015'!N9</f>
        <v>88511330007.04001</v>
      </c>
      <c r="G31" s="335">
        <f>F31/$F$36</f>
        <v>0.42541089164560814</v>
      </c>
      <c r="H31" s="318"/>
      <c r="I31" s="88"/>
      <c r="J31" s="88"/>
    </row>
    <row r="32" spans="1:10" ht="13.5">
      <c r="A32" s="326"/>
      <c r="B32" s="608" t="s">
        <v>1035</v>
      </c>
      <c r="C32" s="609"/>
      <c r="D32" s="90">
        <f>SUM(D33:D35)</f>
        <v>115101119548</v>
      </c>
      <c r="E32" s="331">
        <f>D32/D36</f>
        <v>0.6990983552790114</v>
      </c>
      <c r="F32" s="333">
        <f>SUM(F33:F35)</f>
        <v>91700391951.54</v>
      </c>
      <c r="G32" s="335">
        <f>F32/$F$36</f>
        <v>0.4407384399404412</v>
      </c>
      <c r="H32" s="318"/>
      <c r="I32" s="88"/>
      <c r="J32" s="88"/>
    </row>
    <row r="33" spans="1:10" ht="13.5">
      <c r="A33" s="326" t="s">
        <v>1036</v>
      </c>
      <c r="B33" s="615" t="s">
        <v>1038</v>
      </c>
      <c r="C33" s="616"/>
      <c r="D33" s="86">
        <f>'POAI 2015 OCTUBRE 2015'!Q10</f>
        <v>96752885000</v>
      </c>
      <c r="E33" s="332">
        <f>D33/$D$32</f>
        <v>0.8405903033779933</v>
      </c>
      <c r="F33" s="320">
        <f>'POAI 2015 OCTUBRE 2015'!S10</f>
        <v>80419995864.84</v>
      </c>
      <c r="G33" s="337">
        <f>F33/$F$32</f>
        <v>0.8769863918066867</v>
      </c>
      <c r="H33" s="319"/>
      <c r="I33" s="88"/>
      <c r="J33" s="88"/>
    </row>
    <row r="34" spans="1:10" ht="13.5">
      <c r="A34" s="326">
        <v>27</v>
      </c>
      <c r="B34" s="615" t="s">
        <v>1039</v>
      </c>
      <c r="C34" s="616"/>
      <c r="D34" s="86">
        <f>'POAI 2015 OCTUBRE 2015'!Q297</f>
        <v>1957162500</v>
      </c>
      <c r="E34" s="332">
        <f>D34/$D$32</f>
        <v>0.01700385285291526</v>
      </c>
      <c r="F34" s="320">
        <f>'POAI 2015 OCTUBRE 2015'!S297</f>
        <v>1895949147</v>
      </c>
      <c r="G34" s="337">
        <f>F34/$F$32</f>
        <v>0.02067547484422895</v>
      </c>
      <c r="H34" s="319"/>
      <c r="I34" s="88"/>
      <c r="J34" s="88"/>
    </row>
    <row r="35" spans="1:10" ht="14.25" thickBot="1">
      <c r="A35" s="328" t="s">
        <v>1037</v>
      </c>
      <c r="B35" s="617" t="s">
        <v>1040</v>
      </c>
      <c r="C35" s="618"/>
      <c r="D35" s="91">
        <f>'POAI 2015 OCTUBRE 2015'!Q510</f>
        <v>16391072048</v>
      </c>
      <c r="E35" s="332">
        <f>D35/$D$32</f>
        <v>0.1424058437690914</v>
      </c>
      <c r="F35" s="323">
        <f>'POAI 2015 OCTUBRE 2015'!S510</f>
        <v>9384446939.7</v>
      </c>
      <c r="G35" s="338">
        <f>F35/$F$32</f>
        <v>0.10233813334908434</v>
      </c>
      <c r="H35" s="319"/>
      <c r="I35" s="88"/>
      <c r="J35" s="88"/>
    </row>
    <row r="36" spans="1:10" ht="14.25" thickBot="1">
      <c r="A36" s="614" t="s">
        <v>1028</v>
      </c>
      <c r="B36" s="614"/>
      <c r="C36" s="614"/>
      <c r="D36" s="339">
        <f>D30+D31+D32</f>
        <v>164642240507.15</v>
      </c>
      <c r="E36" s="346">
        <f>SUM(E30:E32)</f>
        <v>1</v>
      </c>
      <c r="F36" s="339">
        <f>SUM(F30:F32)</f>
        <v>208060798971.68</v>
      </c>
      <c r="G36" s="340">
        <f>SUM(G30:G32)</f>
        <v>1</v>
      </c>
      <c r="H36" s="106"/>
      <c r="I36" s="88"/>
      <c r="J36" s="88"/>
    </row>
    <row r="37" spans="9:10" ht="13.5">
      <c r="I37" s="21"/>
      <c r="J37" s="21"/>
    </row>
    <row r="38" spans="1:10" ht="14.25">
      <c r="A38" s="610"/>
      <c r="B38" s="610"/>
      <c r="C38" s="610"/>
      <c r="D38" s="610"/>
      <c r="E38" s="610"/>
      <c r="F38" s="610"/>
      <c r="G38" s="610"/>
      <c r="I38" s="21"/>
      <c r="J38" s="21"/>
    </row>
    <row r="39" spans="9:10" ht="13.5">
      <c r="I39" s="21"/>
      <c r="J39" s="21"/>
    </row>
    <row r="40" spans="9:10" ht="13.5">
      <c r="I40" s="21"/>
      <c r="J40" s="21"/>
    </row>
    <row r="41" spans="2:10" ht="13.5">
      <c r="B41" s="341"/>
      <c r="C41" s="342"/>
      <c r="D41" s="343"/>
      <c r="E41" s="344"/>
      <c r="F41" s="344"/>
      <c r="G41" s="344"/>
      <c r="H41" s="344"/>
      <c r="I41" s="21"/>
      <c r="J41" s="21"/>
    </row>
    <row r="42" spans="1:10" ht="13.5">
      <c r="A42" s="382"/>
      <c r="B42" s="383"/>
      <c r="C42" s="330"/>
      <c r="D42" s="330"/>
      <c r="E42" s="345"/>
      <c r="F42" s="345"/>
      <c r="G42" s="345"/>
      <c r="H42" s="345"/>
      <c r="I42" s="21"/>
      <c r="J42" s="21"/>
    </row>
    <row r="43" spans="1:10" ht="13.5">
      <c r="A43" s="88"/>
      <c r="B43" s="384"/>
      <c r="C43" s="385"/>
      <c r="D43" s="386"/>
      <c r="E43" s="345"/>
      <c r="F43" s="345"/>
      <c r="G43" s="345"/>
      <c r="H43" s="345"/>
      <c r="I43" s="21"/>
      <c r="J43" s="21"/>
    </row>
    <row r="44" spans="1:10" ht="13.5">
      <c r="A44" s="88"/>
      <c r="B44" s="387"/>
      <c r="C44" s="385"/>
      <c r="D44" s="386"/>
      <c r="E44" s="345"/>
      <c r="F44" s="345"/>
      <c r="G44" s="345"/>
      <c r="H44" s="345"/>
      <c r="I44" s="21"/>
      <c r="J44" s="21"/>
    </row>
    <row r="45" spans="1:10" ht="13.5">
      <c r="A45" s="88"/>
      <c r="B45" s="65"/>
      <c r="C45" s="388"/>
      <c r="D45" s="377"/>
      <c r="I45" s="21">
        <v>2</v>
      </c>
      <c r="J45" s="21"/>
    </row>
    <row r="46" spans="9:10" ht="13.5">
      <c r="I46" s="21">
        <v>1</v>
      </c>
      <c r="J46" s="21"/>
    </row>
  </sheetData>
  <sheetProtection/>
  <mergeCells count="26">
    <mergeCell ref="A4:I4"/>
    <mergeCell ref="E7:E9"/>
    <mergeCell ref="E10:E20"/>
    <mergeCell ref="A23:B23"/>
    <mergeCell ref="F5:H5"/>
    <mergeCell ref="B30:C30"/>
    <mergeCell ref="A5:A6"/>
    <mergeCell ref="C5:E5"/>
    <mergeCell ref="B32:C32"/>
    <mergeCell ref="A38:G38"/>
    <mergeCell ref="A26:G26"/>
    <mergeCell ref="A36:C36"/>
    <mergeCell ref="B33:C33"/>
    <mergeCell ref="B34:C34"/>
    <mergeCell ref="B35:C35"/>
    <mergeCell ref="B31:C31"/>
    <mergeCell ref="A3:J3"/>
    <mergeCell ref="J5:J6"/>
    <mergeCell ref="I5:I6"/>
    <mergeCell ref="H7:H9"/>
    <mergeCell ref="H10:H20"/>
    <mergeCell ref="A28:A29"/>
    <mergeCell ref="B28:C29"/>
    <mergeCell ref="D28:E28"/>
    <mergeCell ref="F28:G28"/>
    <mergeCell ref="B5:B6"/>
  </mergeCells>
  <printOptions/>
  <pageMargins left="0.7" right="0.7" top="0.75" bottom="0.75" header="0.3" footer="0.3"/>
  <pageSetup horizontalDpi="600" verticalDpi="600" orientation="portrait" paperSize="9" r:id="rId4"/>
  <ignoredErrors>
    <ignoredError sqref="E3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SYepez</dc:creator>
  <cp:keywords/>
  <dc:description/>
  <cp:lastModifiedBy>Maria Aleyda</cp:lastModifiedBy>
  <cp:lastPrinted>2014-10-13T22:10:45Z</cp:lastPrinted>
  <dcterms:created xsi:type="dcterms:W3CDTF">2012-08-03T14:10:28Z</dcterms:created>
  <dcterms:modified xsi:type="dcterms:W3CDTF">2015-12-13T16:14:16Z</dcterms:modified>
  <cp:category/>
  <cp:version/>
  <cp:contentType/>
  <cp:contentStatus/>
</cp:coreProperties>
</file>