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Gobernación 2024\Sgto PDD 2024\Sgto junio 2024\"/>
    </mc:Choice>
  </mc:AlternateContent>
  <bookViews>
    <workbookView xWindow="0" yWindow="0" windowWidth="24000" windowHeight="9345"/>
  </bookViews>
  <sheets>
    <sheet name="POAI 2024 JUNIO" sheetId="1" r:id="rId1"/>
    <sheet name="RESUMEN PROGRAMAS" sheetId="2" r:id="rId2"/>
    <sheet name="LÍNEA ESTRATEGICA" sheetId="3" r:id="rId3"/>
    <sheet name="FUENTES POR UNIDAD" sheetId="4" r:id="rId4"/>
    <sheet name="UNIDADES EJECUTORA" sheetId="5" r:id="rId5"/>
    <sheet name="CONSOLIDADO" sheetId="8" r:id="rId6"/>
    <sheet name="RELACIÓN PROYECTOS" sheetId="6" r:id="rId7"/>
  </sheets>
  <definedNames>
    <definedName name="_1._Apoyo_con_equipos_para_la_seguridad_vial_Licenciamiento_de_software_para_comunicaciones" localSheetId="3">#REF!</definedName>
    <definedName name="_1._Apoyo_con_equipos_para_la_seguridad_vial_Licenciamiento_de_software_para_comunicaciones">#REF!</definedName>
    <definedName name="_xlnm._FilterDatabase" localSheetId="3" hidden="1">'FUENTES POR UNIDAD'!$C$1:$C$82</definedName>
    <definedName name="_xlnm._FilterDatabase" localSheetId="0" hidden="1">'POAI 2024 JUNIO'!$A$6:$BC$260</definedName>
    <definedName name="_xlnm._FilterDatabase" localSheetId="6" hidden="1">'RELACIÓN PROYECTOS'!$A$2:$C$155</definedName>
    <definedName name="_xlnm._FilterDatabase" localSheetId="1" hidden="1">'RESUMEN PROGRAMAS'!$E$1:$E$185</definedName>
    <definedName name="aa" localSheetId="3">#REF!</definedName>
    <definedName name="aa">#REF!</definedName>
    <definedName name="_xlnm.Print_Area" localSheetId="0">'POAI 2024 JUNIO'!$A$1:$AI$70</definedName>
    <definedName name="CODIGO_DIVIPOLA" localSheetId="3">#REF!</definedName>
    <definedName name="CODIGO_DIVIPOLA">#REF!</definedName>
    <definedName name="DboREGISTRO_LEY_617" localSheetId="3">#REF!</definedName>
    <definedName name="DboREGISTRO_LEY_617">#REF!</definedName>
    <definedName name="ññ" localSheetId="3">#REF!</definedName>
    <definedName name="ññ">#REF!</definedName>
  </definedNames>
  <calcPr calcId="162913"/>
  <pivotCaches>
    <pivotCache cacheId="0" r:id="rId8"/>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41" i="1" l="1"/>
  <c r="C143" i="6" l="1"/>
  <c r="C142" i="6"/>
  <c r="C141" i="6"/>
  <c r="C140" i="6"/>
  <c r="C139" i="6"/>
  <c r="C138" i="6"/>
  <c r="C136" i="6"/>
  <c r="C135" i="6"/>
  <c r="C134" i="6"/>
  <c r="C133" i="6"/>
  <c r="C132" i="6"/>
  <c r="C131" i="6"/>
  <c r="C130" i="6"/>
  <c r="C129" i="6"/>
  <c r="C128" i="6"/>
  <c r="C127" i="6"/>
  <c r="C126" i="6"/>
  <c r="C125" i="6"/>
  <c r="C124" i="6"/>
  <c r="C123" i="6"/>
  <c r="C122" i="6"/>
  <c r="C121" i="6"/>
  <c r="C120" i="6"/>
  <c r="C119" i="6"/>
  <c r="C118" i="6"/>
  <c r="C117" i="6"/>
  <c r="C116" i="6"/>
  <c r="C115" i="6"/>
  <c r="C113" i="6"/>
  <c r="C112" i="6"/>
  <c r="C111" i="6"/>
  <c r="C110" i="6"/>
  <c r="C109" i="6"/>
  <c r="C108" i="6"/>
  <c r="C107" i="6"/>
  <c r="C106" i="6"/>
  <c r="C105" i="6"/>
  <c r="C104" i="6"/>
  <c r="C103" i="6"/>
  <c r="C102" i="6"/>
  <c r="C101" i="6"/>
  <c r="C100" i="6"/>
  <c r="C99" i="6"/>
  <c r="C98" i="6"/>
  <c r="C97" i="6"/>
  <c r="C96" i="6"/>
  <c r="C95" i="6"/>
  <c r="C94" i="6"/>
  <c r="C93" i="6"/>
  <c r="C92" i="6"/>
  <c r="C91" i="6"/>
  <c r="C90" i="6"/>
  <c r="C89" i="6"/>
  <c r="C87" i="6"/>
  <c r="C86" i="6"/>
  <c r="C85" i="6"/>
  <c r="C84" i="6"/>
  <c r="C83" i="6"/>
  <c r="C82" i="6"/>
  <c r="C81" i="6"/>
  <c r="C79" i="6"/>
  <c r="C78" i="6"/>
  <c r="C77" i="6"/>
  <c r="C75" i="6"/>
  <c r="C74" i="6"/>
  <c r="C73" i="6"/>
  <c r="C72" i="6"/>
  <c r="C71" i="6"/>
  <c r="C70" i="6"/>
  <c r="C69" i="6"/>
  <c r="C68" i="6"/>
  <c r="C67" i="6"/>
  <c r="C66" i="6"/>
  <c r="C65" i="6"/>
  <c r="C64" i="6"/>
  <c r="C63" i="6"/>
  <c r="C62" i="6"/>
  <c r="C61" i="6"/>
  <c r="C60" i="6"/>
  <c r="C59" i="6"/>
  <c r="C58" i="6"/>
  <c r="C57" i="6"/>
  <c r="C55" i="6"/>
  <c r="C54" i="6"/>
  <c r="C53" i="6"/>
  <c r="C52" i="6"/>
  <c r="C50" i="6"/>
  <c r="C49" i="6"/>
  <c r="C48" i="6"/>
  <c r="C47" i="6"/>
  <c r="C45" i="6"/>
  <c r="C44" i="6"/>
  <c r="C43" i="6"/>
  <c r="C42" i="6"/>
  <c r="C41" i="6"/>
  <c r="C40" i="6"/>
  <c r="C39" i="6"/>
  <c r="C38" i="6"/>
  <c r="C37" i="6"/>
  <c r="C36" i="6"/>
  <c r="C35" i="6"/>
  <c r="C34" i="6"/>
  <c r="C32" i="6"/>
  <c r="C31" i="6"/>
  <c r="C30" i="6"/>
  <c r="C29" i="6"/>
  <c r="C28" i="6"/>
  <c r="C27" i="6"/>
  <c r="C26" i="6"/>
  <c r="C25" i="6"/>
  <c r="C24" i="6"/>
  <c r="C23" i="6"/>
  <c r="C22" i="6"/>
  <c r="C21" i="6"/>
  <c r="C20" i="6"/>
  <c r="C18" i="6"/>
  <c r="C17" i="6"/>
  <c r="C15" i="6"/>
  <c r="C14" i="6"/>
  <c r="C13" i="6"/>
  <c r="C12" i="6"/>
  <c r="C11" i="6"/>
  <c r="C10" i="6"/>
  <c r="C9" i="6"/>
  <c r="C7" i="6"/>
  <c r="C5" i="6"/>
  <c r="C4" i="6"/>
  <c r="C153" i="6"/>
  <c r="D24" i="5"/>
  <c r="AH254" i="1"/>
  <c r="AA248" i="1"/>
  <c r="AA247" i="1"/>
  <c r="AG43" i="1"/>
  <c r="AB244" i="1"/>
  <c r="AA244" i="1"/>
  <c r="AD244" i="1"/>
  <c r="AG244" i="1"/>
  <c r="AD242" i="1"/>
  <c r="AD246" i="1"/>
  <c r="AB246" i="1"/>
  <c r="AA246" i="1"/>
  <c r="AA255" i="1"/>
  <c r="AJ255" i="1" s="1"/>
  <c r="E173" i="2" s="1"/>
  <c r="AA253" i="1"/>
  <c r="AA251" i="1"/>
  <c r="D5" i="5"/>
  <c r="D25" i="5"/>
  <c r="D17" i="5"/>
  <c r="D16" i="5"/>
  <c r="D15" i="5"/>
  <c r="D14" i="5"/>
  <c r="D13" i="5"/>
  <c r="D12" i="5"/>
  <c r="D11" i="5"/>
  <c r="D10" i="5"/>
  <c r="D9" i="5"/>
  <c r="D8" i="5"/>
  <c r="D7" i="5"/>
  <c r="D6" i="5"/>
  <c r="C15" i="4"/>
  <c r="C39" i="4"/>
  <c r="C42" i="4"/>
  <c r="C52" i="4"/>
  <c r="AH73" i="1"/>
  <c r="AG61" i="1"/>
  <c r="AG60"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4" i="1"/>
  <c r="W175" i="1"/>
  <c r="W176" i="1"/>
  <c r="W177" i="1"/>
  <c r="W178" i="1"/>
  <c r="W179" i="1"/>
  <c r="W180" i="1"/>
  <c r="W181" i="1"/>
  <c r="W182" i="1"/>
  <c r="W183" i="1"/>
  <c r="W184" i="1"/>
  <c r="W185" i="1"/>
  <c r="W186" i="1"/>
  <c r="W187" i="1"/>
  <c r="W188" i="1"/>
  <c r="W189" i="1"/>
  <c r="W190" i="1"/>
  <c r="W191" i="1"/>
  <c r="W192" i="1"/>
  <c r="W193" i="1"/>
  <c r="W194" i="1"/>
  <c r="W195" i="1"/>
  <c r="W196" i="1"/>
  <c r="W197" i="1"/>
  <c r="W198" i="1"/>
  <c r="W199" i="1"/>
  <c r="W200" i="1"/>
  <c r="W201" i="1"/>
  <c r="W202" i="1"/>
  <c r="W203" i="1"/>
  <c r="W204" i="1"/>
  <c r="W205" i="1"/>
  <c r="W206" i="1"/>
  <c r="W207" i="1"/>
  <c r="W208" i="1"/>
  <c r="W209" i="1"/>
  <c r="W210" i="1"/>
  <c r="W211" i="1"/>
  <c r="W212" i="1"/>
  <c r="W213" i="1"/>
  <c r="W214" i="1"/>
  <c r="W215" i="1"/>
  <c r="W216" i="1"/>
  <c r="W217" i="1"/>
  <c r="W218" i="1"/>
  <c r="W219" i="1"/>
  <c r="W220" i="1"/>
  <c r="W221" i="1"/>
  <c r="W222" i="1"/>
  <c r="W223" i="1"/>
  <c r="W224" i="1"/>
  <c r="W225" i="1"/>
  <c r="W226" i="1"/>
  <c r="W227" i="1"/>
  <c r="W228" i="1"/>
  <c r="W229" i="1"/>
  <c r="W230" i="1"/>
  <c r="W231" i="1"/>
  <c r="W232" i="1"/>
  <c r="W233" i="1"/>
  <c r="W234" i="1"/>
  <c r="W235" i="1"/>
  <c r="W236" i="1"/>
  <c r="W237" i="1"/>
  <c r="W238" i="1"/>
  <c r="W239" i="1"/>
  <c r="W240" i="1"/>
  <c r="W241" i="1"/>
  <c r="W242" i="1"/>
  <c r="W243" i="1"/>
  <c r="W244" i="1"/>
  <c r="W245" i="1"/>
  <c r="W246" i="1"/>
  <c r="W247" i="1"/>
  <c r="W248" i="1"/>
  <c r="W249" i="1"/>
  <c r="W250" i="1"/>
  <c r="W251" i="1"/>
  <c r="W252" i="1"/>
  <c r="W253" i="1"/>
  <c r="W254" i="1"/>
  <c r="W255" i="1"/>
  <c r="W256" i="1"/>
  <c r="W257" i="1"/>
  <c r="W258" i="1"/>
  <c r="W259" i="1"/>
  <c r="W7" i="1"/>
  <c r="AI125" i="1"/>
  <c r="AI260" i="1" s="1"/>
  <c r="AG243" i="1"/>
  <c r="AB243" i="1"/>
  <c r="AA243" i="1"/>
  <c r="AG62" i="1"/>
  <c r="AC201" i="1"/>
  <c r="AC214" i="1"/>
  <c r="AC200" i="1"/>
  <c r="AC198" i="1"/>
  <c r="AE134" i="1"/>
  <c r="AE127" i="1"/>
  <c r="AG220" i="1"/>
  <c r="AG222" i="1"/>
  <c r="AE123" i="1"/>
  <c r="AE122" i="1"/>
  <c r="AG109" i="1"/>
  <c r="AG108" i="1"/>
  <c r="AG46" i="1"/>
  <c r="AG55" i="1"/>
  <c r="AG58" i="1"/>
  <c r="AG57" i="1"/>
  <c r="AG56" i="1"/>
  <c r="AA160" i="1"/>
  <c r="AG132" i="1"/>
  <c r="AG130" i="1"/>
  <c r="AG129" i="1"/>
  <c r="AG124" i="1"/>
  <c r="AG135" i="1"/>
  <c r="AG242" i="1"/>
  <c r="AG40" i="1"/>
  <c r="AG27" i="1"/>
  <c r="AG25" i="1"/>
  <c r="AH77" i="1"/>
  <c r="AG120" i="1"/>
  <c r="AG164" i="1"/>
  <c r="AG165" i="1"/>
  <c r="AG159" i="1"/>
  <c r="AG151" i="1"/>
  <c r="AG150" i="1"/>
  <c r="AG149" i="1"/>
  <c r="AG144" i="1"/>
  <c r="AG143" i="1"/>
  <c r="AG155" i="1"/>
  <c r="AG154" i="1"/>
  <c r="AG153" i="1"/>
  <c r="AG157" i="1"/>
  <c r="AG156" i="1"/>
  <c r="AG78" i="1"/>
  <c r="AG24" i="1"/>
  <c r="AG23" i="1"/>
  <c r="AG65" i="1"/>
  <c r="AG54" i="1"/>
  <c r="AG59" i="1"/>
  <c r="AG52" i="1"/>
  <c r="AG49" i="1"/>
  <c r="AG48" i="1"/>
  <c r="AG51" i="1"/>
  <c r="AG47" i="1"/>
  <c r="AG125" i="1"/>
  <c r="AG133" i="1"/>
  <c r="AE133" i="1"/>
  <c r="AG45" i="1"/>
  <c r="AG44" i="1"/>
  <c r="AH30" i="1"/>
  <c r="AG30" i="1"/>
  <c r="AC208" i="1"/>
  <c r="AH173" i="1"/>
  <c r="AA65" i="1"/>
  <c r="AA71" i="1"/>
  <c r="AA69" i="1"/>
  <c r="AG126" i="1"/>
  <c r="AH53" i="1"/>
  <c r="AG158" i="1"/>
  <c r="AG128" i="1"/>
  <c r="AG28" i="1"/>
  <c r="AG219" i="1"/>
  <c r="AA36" i="1"/>
  <c r="AF36" i="1"/>
  <c r="AF260" i="1" s="1"/>
  <c r="AA29" i="1"/>
  <c r="AA26" i="1"/>
  <c r="AB133" i="1"/>
  <c r="AB260" i="1" s="1"/>
  <c r="AD206" i="1"/>
  <c r="AD260" i="1" s="1"/>
  <c r="AE260" i="1" l="1"/>
  <c r="AH260" i="1"/>
  <c r="AA260" i="1"/>
  <c r="AC260" i="1"/>
  <c r="C74" i="4"/>
  <c r="AG11" i="1"/>
  <c r="C58" i="4"/>
  <c r="C6" i="6"/>
  <c r="AJ9" i="1"/>
  <c r="AG7" i="1"/>
  <c r="AJ7" i="1" s="1"/>
  <c r="C148" i="6" l="1"/>
  <c r="C152" i="6"/>
  <c r="C151" i="6"/>
  <c r="C150" i="6"/>
  <c r="C149" i="6"/>
  <c r="D26" i="5"/>
  <c r="C147" i="6" l="1"/>
  <c r="AG64" i="1"/>
  <c r="C30" i="4" s="1"/>
  <c r="AG22" i="1"/>
  <c r="AJ22" i="1" s="1"/>
  <c r="AG14" i="1"/>
  <c r="AJ11" i="1"/>
  <c r="AG121" i="1"/>
  <c r="AJ121" i="1" s="1"/>
  <c r="E106" i="2" s="1"/>
  <c r="AJ42" i="1"/>
  <c r="E26" i="2" s="1"/>
  <c r="AJ66" i="1"/>
  <c r="AG41" i="1"/>
  <c r="E45" i="2" s="1"/>
  <c r="AJ28" i="1"/>
  <c r="E32" i="2" s="1"/>
  <c r="E31" i="2" s="1"/>
  <c r="AG12" i="1"/>
  <c r="AJ12" i="1" s="1"/>
  <c r="AG29" i="1"/>
  <c r="AJ29" i="1" s="1"/>
  <c r="E34" i="2" s="1"/>
  <c r="E33" i="2" s="1"/>
  <c r="AG26" i="1"/>
  <c r="AJ26" i="1" s="1"/>
  <c r="E28" i="2" s="1"/>
  <c r="E27" i="2" s="1"/>
  <c r="AJ120" i="1"/>
  <c r="C13" i="4"/>
  <c r="AG33" i="1"/>
  <c r="AG241" i="1"/>
  <c r="C62" i="4" s="1"/>
  <c r="C61" i="4" s="1"/>
  <c r="C155" i="6"/>
  <c r="C154" i="6" s="1"/>
  <c r="C146" i="6"/>
  <c r="C145" i="6"/>
  <c r="C78" i="4"/>
  <c r="C77" i="4" s="1"/>
  <c r="C75" i="4"/>
  <c r="C71" i="4"/>
  <c r="C70" i="4"/>
  <c r="C69" i="4"/>
  <c r="C68" i="4"/>
  <c r="C67" i="4"/>
  <c r="C59" i="4"/>
  <c r="C57" i="4"/>
  <c r="C56" i="4"/>
  <c r="C55" i="4"/>
  <c r="C54" i="4"/>
  <c r="C51" i="4"/>
  <c r="C45" i="4"/>
  <c r="C44" i="4"/>
  <c r="C38" i="4"/>
  <c r="C37" i="4" s="1"/>
  <c r="C35" i="4"/>
  <c r="C34" i="4"/>
  <c r="C31" i="4"/>
  <c r="C29" i="4"/>
  <c r="C25" i="4"/>
  <c r="C22" i="4"/>
  <c r="C21" i="4"/>
  <c r="C19" i="4"/>
  <c r="C18" i="4"/>
  <c r="C14" i="4"/>
  <c r="AJ259" i="1"/>
  <c r="AJ258" i="1"/>
  <c r="AJ257" i="1"/>
  <c r="AJ256" i="1"/>
  <c r="AJ254" i="1"/>
  <c r="E176" i="2" s="1"/>
  <c r="E175" i="2" s="1"/>
  <c r="E174" i="2" s="1"/>
  <c r="AJ253" i="1"/>
  <c r="AJ252" i="1"/>
  <c r="AJ251" i="1"/>
  <c r="AJ250" i="1"/>
  <c r="AJ249" i="1"/>
  <c r="E170" i="2" s="1"/>
  <c r="E169" i="2" s="1"/>
  <c r="AJ248" i="1"/>
  <c r="AJ247" i="1"/>
  <c r="E165" i="2" s="1"/>
  <c r="E164" i="2" s="1"/>
  <c r="AJ246" i="1"/>
  <c r="AJ245" i="1"/>
  <c r="AJ244" i="1"/>
  <c r="AJ243" i="1"/>
  <c r="AJ242" i="1"/>
  <c r="AJ240" i="1"/>
  <c r="AJ239" i="1"/>
  <c r="AJ238" i="1"/>
  <c r="AJ237" i="1"/>
  <c r="AJ236" i="1"/>
  <c r="AJ235" i="1"/>
  <c r="E149" i="2" s="1"/>
  <c r="AJ234" i="1"/>
  <c r="AJ233" i="1"/>
  <c r="AJ232" i="1"/>
  <c r="AJ231" i="1"/>
  <c r="AJ230" i="1"/>
  <c r="AJ229" i="1"/>
  <c r="AJ228" i="1"/>
  <c r="AJ227" i="1"/>
  <c r="AJ226" i="1"/>
  <c r="AJ225" i="1"/>
  <c r="AJ224" i="1"/>
  <c r="AJ223" i="1"/>
  <c r="AJ222" i="1"/>
  <c r="AJ221" i="1"/>
  <c r="AJ220" i="1"/>
  <c r="AJ219" i="1"/>
  <c r="AJ218" i="1"/>
  <c r="AJ217" i="1"/>
  <c r="AJ216" i="1"/>
  <c r="AJ215" i="1"/>
  <c r="AJ214" i="1"/>
  <c r="AJ213" i="1"/>
  <c r="AJ212" i="1"/>
  <c r="AJ211" i="1"/>
  <c r="AJ210" i="1"/>
  <c r="AJ209" i="1"/>
  <c r="AJ208" i="1"/>
  <c r="AJ207" i="1"/>
  <c r="AJ206" i="1"/>
  <c r="AJ205" i="1"/>
  <c r="AJ204" i="1"/>
  <c r="AJ203" i="1"/>
  <c r="AJ202" i="1"/>
  <c r="AJ201" i="1"/>
  <c r="AJ200" i="1"/>
  <c r="AJ199" i="1"/>
  <c r="AJ198" i="1"/>
  <c r="AJ197" i="1"/>
  <c r="AJ196" i="1"/>
  <c r="AJ195" i="1"/>
  <c r="AJ194" i="1"/>
  <c r="AJ193" i="1"/>
  <c r="AJ192" i="1"/>
  <c r="AJ191" i="1"/>
  <c r="AJ190" i="1"/>
  <c r="AJ189" i="1"/>
  <c r="AJ188" i="1"/>
  <c r="AJ187" i="1"/>
  <c r="AJ186" i="1"/>
  <c r="AJ185" i="1"/>
  <c r="AJ184" i="1"/>
  <c r="AJ183" i="1"/>
  <c r="AJ182" i="1"/>
  <c r="AJ181" i="1"/>
  <c r="AJ180" i="1"/>
  <c r="AJ179" i="1"/>
  <c r="AJ178" i="1"/>
  <c r="AJ177" i="1"/>
  <c r="AJ176" i="1"/>
  <c r="AJ175" i="1"/>
  <c r="AJ174" i="1"/>
  <c r="AJ173" i="1"/>
  <c r="AJ172" i="1"/>
  <c r="AJ171" i="1"/>
  <c r="AJ170" i="1"/>
  <c r="AJ169" i="1"/>
  <c r="AJ168" i="1"/>
  <c r="AJ167" i="1"/>
  <c r="AJ166" i="1"/>
  <c r="AJ165" i="1"/>
  <c r="AJ164" i="1"/>
  <c r="AJ163" i="1"/>
  <c r="AJ162" i="1"/>
  <c r="E129" i="2" s="1"/>
  <c r="E128" i="2" s="1"/>
  <c r="AJ161" i="1"/>
  <c r="E127" i="2" s="1"/>
  <c r="E126" i="2" s="1"/>
  <c r="AJ159" i="1"/>
  <c r="AJ158" i="1"/>
  <c r="AJ157" i="1"/>
  <c r="AJ156" i="1"/>
  <c r="AJ155" i="1"/>
  <c r="AJ154" i="1"/>
  <c r="AJ153" i="1"/>
  <c r="AJ152" i="1"/>
  <c r="AJ151" i="1"/>
  <c r="AJ150" i="1"/>
  <c r="AJ149" i="1"/>
  <c r="AJ148" i="1"/>
  <c r="AJ147" i="1"/>
  <c r="AJ146" i="1"/>
  <c r="AJ145" i="1"/>
  <c r="AJ144" i="1"/>
  <c r="AJ143" i="1"/>
  <c r="AJ142" i="1"/>
  <c r="AJ141" i="1"/>
  <c r="AJ140" i="1"/>
  <c r="AJ139" i="1"/>
  <c r="E120" i="2" s="1"/>
  <c r="E119" i="2" s="1"/>
  <c r="AJ138" i="1"/>
  <c r="AJ137" i="1"/>
  <c r="AJ136" i="1"/>
  <c r="E113" i="2" s="1"/>
  <c r="AJ135" i="1"/>
  <c r="AJ134" i="1"/>
  <c r="AJ132" i="1"/>
  <c r="AJ131" i="1"/>
  <c r="AJ130" i="1"/>
  <c r="AJ129" i="1"/>
  <c r="AJ128" i="1"/>
  <c r="AJ127" i="1"/>
  <c r="AJ126" i="1"/>
  <c r="AJ124" i="1"/>
  <c r="AJ123" i="1"/>
  <c r="AJ122" i="1"/>
  <c r="AJ118" i="1"/>
  <c r="AJ117" i="1"/>
  <c r="AJ116" i="1"/>
  <c r="AJ115" i="1"/>
  <c r="AJ114" i="1"/>
  <c r="AJ113" i="1"/>
  <c r="AJ112" i="1"/>
  <c r="E98" i="2" s="1"/>
  <c r="AJ111" i="1"/>
  <c r="AJ110" i="1"/>
  <c r="AJ109" i="1"/>
  <c r="AJ108" i="1"/>
  <c r="AJ107" i="1"/>
  <c r="AJ106" i="1"/>
  <c r="AJ105" i="1"/>
  <c r="AJ104" i="1"/>
  <c r="AJ103" i="1"/>
  <c r="AJ102" i="1"/>
  <c r="AJ101" i="1"/>
  <c r="AJ100" i="1"/>
  <c r="AJ99" i="1"/>
  <c r="AJ98" i="1"/>
  <c r="AJ97" i="1"/>
  <c r="E89" i="2" s="1"/>
  <c r="AJ96" i="1"/>
  <c r="E88" i="2" s="1"/>
  <c r="AJ95" i="1"/>
  <c r="AJ94" i="1"/>
  <c r="AJ93" i="1"/>
  <c r="E86" i="2" s="1"/>
  <c r="AJ92" i="1"/>
  <c r="AJ91" i="1"/>
  <c r="AJ90" i="1"/>
  <c r="AJ89" i="1"/>
  <c r="AJ88" i="1"/>
  <c r="AJ87" i="1"/>
  <c r="AJ86" i="1"/>
  <c r="AJ85" i="1"/>
  <c r="AJ84" i="1"/>
  <c r="AJ83" i="1"/>
  <c r="AJ82" i="1"/>
  <c r="AJ81" i="1"/>
  <c r="AJ80" i="1"/>
  <c r="AJ79" i="1"/>
  <c r="AJ78" i="1"/>
  <c r="AJ77" i="1"/>
  <c r="AJ76" i="1"/>
  <c r="AJ75" i="1"/>
  <c r="AJ74" i="1"/>
  <c r="AJ73" i="1"/>
  <c r="AJ72" i="1"/>
  <c r="AJ71" i="1"/>
  <c r="AJ70" i="1"/>
  <c r="AJ69" i="1"/>
  <c r="AJ68" i="1"/>
  <c r="AJ67" i="1"/>
  <c r="AJ65" i="1"/>
  <c r="AJ63" i="1"/>
  <c r="AJ62" i="1"/>
  <c r="AJ61" i="1"/>
  <c r="AJ60" i="1"/>
  <c r="AJ59" i="1"/>
  <c r="AJ58" i="1"/>
  <c r="AJ57" i="1"/>
  <c r="AJ56" i="1"/>
  <c r="AJ55" i="1"/>
  <c r="E62" i="2" s="1"/>
  <c r="E61" i="2" s="1"/>
  <c r="AJ54" i="1"/>
  <c r="AJ52" i="1"/>
  <c r="E57" i="2" s="1"/>
  <c r="AJ51" i="1"/>
  <c r="AJ50" i="1"/>
  <c r="AJ49" i="1"/>
  <c r="AJ48" i="1"/>
  <c r="AJ47" i="1"/>
  <c r="AJ46" i="1"/>
  <c r="E54" i="2" s="1"/>
  <c r="E53" i="2" s="1"/>
  <c r="AJ45" i="1"/>
  <c r="E52" i="2" s="1"/>
  <c r="AJ44" i="1"/>
  <c r="E51" i="2" s="1"/>
  <c r="AJ43" i="1"/>
  <c r="AJ40" i="1"/>
  <c r="AJ39" i="1"/>
  <c r="AJ38" i="1"/>
  <c r="AJ37" i="1"/>
  <c r="AJ36" i="1"/>
  <c r="AJ35" i="1"/>
  <c r="AJ34" i="1"/>
  <c r="AJ32" i="1"/>
  <c r="AJ31" i="1"/>
  <c r="AJ30" i="1"/>
  <c r="E37" i="2" s="1"/>
  <c r="AJ27" i="1"/>
  <c r="E30" i="2" s="1"/>
  <c r="E29" i="2" s="1"/>
  <c r="AJ25" i="1"/>
  <c r="E24" i="2" s="1"/>
  <c r="E23" i="2" s="1"/>
  <c r="AJ23" i="1"/>
  <c r="AJ21" i="1"/>
  <c r="AJ20" i="1"/>
  <c r="AJ19" i="1"/>
  <c r="AJ18" i="1"/>
  <c r="AJ17" i="1"/>
  <c r="AJ16" i="1"/>
  <c r="AJ15" i="1"/>
  <c r="AJ13" i="1"/>
  <c r="AJ10" i="1"/>
  <c r="E9" i="2" s="1"/>
  <c r="AJ8" i="1"/>
  <c r="AJ64" i="1" l="1"/>
  <c r="E72" i="2" s="1"/>
  <c r="E50" i="2"/>
  <c r="E49" i="2" s="1"/>
  <c r="C12" i="4"/>
  <c r="E167" i="2"/>
  <c r="E166" i="2" s="1"/>
  <c r="E163" i="2" s="1"/>
  <c r="E10" i="2"/>
  <c r="E8" i="2" s="1"/>
  <c r="E7" i="2" s="1"/>
  <c r="E78" i="2"/>
  <c r="E77" i="2" s="1"/>
  <c r="E138" i="2"/>
  <c r="C144" i="6"/>
  <c r="C3" i="6"/>
  <c r="C16" i="6"/>
  <c r="C7" i="4"/>
  <c r="C6" i="4" s="1"/>
  <c r="AJ241" i="1"/>
  <c r="E152" i="2" s="1"/>
  <c r="E151" i="2" s="1"/>
  <c r="E150" i="2" s="1"/>
  <c r="C51" i="6"/>
  <c r="C76" i="6"/>
  <c r="C8" i="6"/>
  <c r="C46" i="6"/>
  <c r="C56" i="6"/>
  <c r="C88" i="6"/>
  <c r="C33" i="6"/>
  <c r="AG260" i="1"/>
  <c r="C20" i="4"/>
  <c r="C17" i="4" s="1"/>
  <c r="C41" i="4"/>
  <c r="C40" i="4" s="1"/>
  <c r="AJ119" i="1"/>
  <c r="AJ33" i="1"/>
  <c r="E41" i="2" s="1"/>
  <c r="AJ24" i="1"/>
  <c r="E20" i="2" s="1"/>
  <c r="E19" i="2" s="1"/>
  <c r="E18" i="2" s="1"/>
  <c r="E17" i="2" s="1"/>
  <c r="C28" i="4"/>
  <c r="C66" i="4"/>
  <c r="E39" i="2"/>
  <c r="E38" i="2" s="1"/>
  <c r="E90" i="2"/>
  <c r="E172" i="2"/>
  <c r="E171" i="2" s="1"/>
  <c r="E93" i="2"/>
  <c r="E92" i="2" s="1"/>
  <c r="E160" i="2"/>
  <c r="C33" i="4"/>
  <c r="E100" i="2"/>
  <c r="E91" i="2"/>
  <c r="E14" i="2"/>
  <c r="E25" i="2"/>
  <c r="E22" i="2" s="1"/>
  <c r="E122" i="2"/>
  <c r="E148" i="2"/>
  <c r="E147" i="2" s="1"/>
  <c r="E146" i="2" s="1"/>
  <c r="E42" i="2"/>
  <c r="E123" i="2"/>
  <c r="E139" i="2"/>
  <c r="E36" i="2"/>
  <c r="E46" i="2"/>
  <c r="E44" i="2" s="1"/>
  <c r="E43" i="2" s="1"/>
  <c r="E64" i="2"/>
  <c r="E63" i="2" s="1"/>
  <c r="E60" i="2" s="1"/>
  <c r="E73" i="2"/>
  <c r="E80" i="2"/>
  <c r="E79" i="2" s="1"/>
  <c r="E97" i="2"/>
  <c r="E132" i="2"/>
  <c r="E131" i="2" s="1"/>
  <c r="E130" i="2" s="1"/>
  <c r="E67" i="2"/>
  <c r="E66" i="2" s="1"/>
  <c r="E65" i="2" s="1"/>
  <c r="E87" i="2"/>
  <c r="E181" i="2"/>
  <c r="E180" i="2" s="1"/>
  <c r="E179" i="2" s="1"/>
  <c r="E178" i="2" s="1"/>
  <c r="C53" i="4"/>
  <c r="E96" i="2"/>
  <c r="E99" i="2"/>
  <c r="E118" i="2"/>
  <c r="E117" i="2" s="1"/>
  <c r="E144" i="2"/>
  <c r="E56" i="2"/>
  <c r="E55" i="2" s="1"/>
  <c r="E85" i="2"/>
  <c r="E145" i="2"/>
  <c r="C73" i="4"/>
  <c r="AJ14" i="1"/>
  <c r="C46" i="4"/>
  <c r="AJ133" i="1"/>
  <c r="C50" i="4"/>
  <c r="C49" i="4" s="1"/>
  <c r="E137" i="2"/>
  <c r="D27" i="5"/>
  <c r="E24" i="5" s="1"/>
  <c r="C80" i="6"/>
  <c r="C114" i="6"/>
  <c r="C137" i="6"/>
  <c r="E125" i="2"/>
  <c r="D18" i="5"/>
  <c r="E9" i="5" s="1"/>
  <c r="C19" i="6"/>
  <c r="E159" i="2"/>
  <c r="C10" i="4"/>
  <c r="C9" i="4" s="1"/>
  <c r="C26" i="4"/>
  <c r="C24" i="4" s="1"/>
  <c r="AJ53" i="1"/>
  <c r="AJ160" i="1"/>
  <c r="E124" i="2" s="1"/>
  <c r="C47" i="4"/>
  <c r="AJ125" i="1"/>
  <c r="C156" i="6" l="1"/>
  <c r="AJ260" i="1"/>
  <c r="E15" i="2"/>
  <c r="E13" i="2" s="1"/>
  <c r="E12" i="2" s="1"/>
  <c r="E11" i="2" s="1"/>
  <c r="E168" i="2"/>
  <c r="E162" i="2" s="1"/>
  <c r="E107" i="2"/>
  <c r="E105" i="2" s="1"/>
  <c r="E104" i="2" s="1"/>
  <c r="E103" i="2" s="1"/>
  <c r="E26" i="5"/>
  <c r="E25" i="5"/>
  <c r="D29" i="5"/>
  <c r="E40" i="2"/>
  <c r="E35" i="2" s="1"/>
  <c r="E21" i="2" s="1"/>
  <c r="C80" i="4"/>
  <c r="E121" i="2"/>
  <c r="E116" i="2" s="1"/>
  <c r="E115" i="2" s="1"/>
  <c r="E84" i="2"/>
  <c r="E83" i="2" s="1"/>
  <c r="E158" i="2"/>
  <c r="E157" i="2" s="1"/>
  <c r="E156" i="2" s="1"/>
  <c r="E76" i="2"/>
  <c r="E112" i="2"/>
  <c r="E111" i="2" s="1"/>
  <c r="E110" i="2" s="1"/>
  <c r="E109" i="2" s="1"/>
  <c r="E95" i="2"/>
  <c r="E94" i="2" s="1"/>
  <c r="C43" i="4"/>
  <c r="C64" i="4" s="1"/>
  <c r="E136" i="2"/>
  <c r="E135" i="2" s="1"/>
  <c r="E134" i="2" s="1"/>
  <c r="E143" i="2"/>
  <c r="E142" i="2" s="1"/>
  <c r="E141" i="2" s="1"/>
  <c r="E71" i="2"/>
  <c r="E70" i="2" s="1"/>
  <c r="E69" i="2" s="1"/>
  <c r="E59" i="2"/>
  <c r="E58" i="2" s="1"/>
  <c r="E48" i="2" s="1"/>
  <c r="E6" i="2"/>
  <c r="E12" i="5"/>
  <c r="E5" i="5"/>
  <c r="E15" i="5"/>
  <c r="E10" i="5"/>
  <c r="E14" i="5"/>
  <c r="E8" i="5"/>
  <c r="E13" i="5"/>
  <c r="E17" i="5"/>
  <c r="E7" i="5"/>
  <c r="E6" i="5"/>
  <c r="E11" i="5"/>
  <c r="E16" i="5"/>
  <c r="E183" i="2" l="1"/>
  <c r="C82" i="4"/>
  <c r="E27" i="5"/>
  <c r="E75" i="2"/>
  <c r="C6" i="3"/>
  <c r="E82" i="2"/>
  <c r="C8" i="3"/>
  <c r="C7" i="3"/>
  <c r="E47" i="2"/>
  <c r="C5" i="3"/>
  <c r="E18" i="5"/>
  <c r="E154" i="2" l="1"/>
  <c r="E185" i="2" s="1"/>
  <c r="C9" i="3"/>
  <c r="D6" i="3" l="1"/>
  <c r="D8" i="3"/>
  <c r="D7" i="3"/>
  <c r="D5" i="3"/>
  <c r="D9" i="3" l="1"/>
</calcChain>
</file>

<file path=xl/sharedStrings.xml><?xml version="1.0" encoding="utf-8"?>
<sst xmlns="http://schemas.openxmlformats.org/spreadsheetml/2006/main" count="4404" uniqueCount="1438">
  <si>
    <t>FORMATO</t>
  </si>
  <si>
    <t xml:space="preserve">CODIGO:  </t>
  </si>
  <si>
    <t xml:space="preserve">F-PLA-42   </t>
  </si>
  <si>
    <t xml:space="preserve">VERSIÓN: </t>
  </si>
  <si>
    <t xml:space="preserve">FECHA: </t>
  </si>
  <si>
    <t>PÁGINA:</t>
  </si>
  <si>
    <t xml:space="preserve"> 1 de 1</t>
  </si>
  <si>
    <t>UNIDAD EJECUTORA</t>
  </si>
  <si>
    <t>LÍNEA ESTRATÉGICA</t>
  </si>
  <si>
    <t>SECTOR</t>
  </si>
  <si>
    <t>PROGRAMA</t>
  </si>
  <si>
    <t>PRODUCTO</t>
  </si>
  <si>
    <t>INDICADOR PRODUCTO</t>
  </si>
  <si>
    <t>META PRODUCTO</t>
  </si>
  <si>
    <t>PROYECTO</t>
  </si>
  <si>
    <t>FUENTES DE FINANCIACIÓN</t>
  </si>
  <si>
    <t>CÓDIGO</t>
  </si>
  <si>
    <t>NOMBRE</t>
  </si>
  <si>
    <t>CÓDIGO
PDD</t>
  </si>
  <si>
    <t>NOMBRE PDD</t>
  </si>
  <si>
    <t>CÓDIGO CATÁLOGO MGA</t>
  </si>
  <si>
    <t xml:space="preserve">PROGRAMA CATÁLOGO MGA </t>
  </si>
  <si>
    <t>INDICADOR DE RESULTADO Y/O BIENESTAR</t>
  </si>
  <si>
    <t>CÓDIGO PDD</t>
  </si>
  <si>
    <t>PRODUCTO PDD</t>
  </si>
  <si>
    <t>CÓDIGO CATÁLOGO DE PRODUCTOS MGA</t>
  </si>
  <si>
    <t xml:space="preserve">PRODUCTO CATÁLOGO MGA </t>
  </si>
  <si>
    <t>INDICADOR PDD</t>
  </si>
  <si>
    <t>CÓDIGO CATALOGO DE INDICADORES MGA</t>
  </si>
  <si>
    <t xml:space="preserve">INDICADOR CATÁLOGO MGA </t>
  </si>
  <si>
    <t>A=ACUMULADA
NA=NO ACUMULADA</t>
  </si>
  <si>
    <t>PROGRAMADA VIGENCIA 2024</t>
  </si>
  <si>
    <t>REPROGRAMADA  2024</t>
  </si>
  <si>
    <t>TOTAL PROGRAMA DA 2024</t>
  </si>
  <si>
    <t>CÓDIGO BPIN</t>
  </si>
  <si>
    <t>NOMBRE DEL PROYECTO</t>
  </si>
  <si>
    <t>OBJETIVO DEL PROYECTO</t>
  </si>
  <si>
    <t xml:space="preserve"> ESTAMPILLAS 
PRO - CULTURA
PRO - ADULTO MAYOR
PRO - DESARROLLO
PRO - DEPORTE</t>
  </si>
  <si>
    <t>MONOPOLIO EDUCACIÓN, SALUD Y DEPORTE</t>
  </si>
  <si>
    <t>SGP SALÚD PUBLICA - PRESTACIÓN DE SERVICIOS</t>
  </si>
  <si>
    <t xml:space="preserve"> RENTAS CEDIDAS - SALUD - INDEPORTES</t>
  </si>
  <si>
    <t xml:space="preserve"> SGP EDUCACIÓN - CONECTIVIDAD -</t>
  </si>
  <si>
    <t xml:space="preserve"> SGP AGUA POTABLE Y SANEAMIENTO BÁSICO</t>
  </si>
  <si>
    <t xml:space="preserve"> RECURSO ORDINARIO</t>
  </si>
  <si>
    <t xml:space="preserve">NACIÓN- PAE - ANTICONTRABANDO </t>
  </si>
  <si>
    <t xml:space="preserve"> TOTAL PRESUPUESTO
2024</t>
  </si>
  <si>
    <t>RESPONSABLE</t>
  </si>
  <si>
    <t>Secretaría Administrativa</t>
  </si>
  <si>
    <t>Liderazgo, Gobernabilidad y Transparecia</t>
  </si>
  <si>
    <t>Gobierno territorial</t>
  </si>
  <si>
    <t>ND</t>
  </si>
  <si>
    <t>Fortalecimiento de la gestión y desempeño institucional. “Quindío con una administración al servicio de la ciudadanía"</t>
  </si>
  <si>
    <t xml:space="preserve">Fortalecimiento a la gestión y dirección de la administración pública territorial </t>
  </si>
  <si>
    <t>Índice de Gestión del Modelo Integrado de Planeación y de Gestión MIPG  de la Administración Departamental</t>
  </si>
  <si>
    <t>Implementación de  las Dimensiones y Políticas  del Modelo Integrado de Planeación y de Gestión MIPG</t>
  </si>
  <si>
    <t xml:space="preserve">Servicio de Implementación Sistemas de Gestión </t>
  </si>
  <si>
    <t>Número de Dimensiones y Políticas   de MIPG implementadas.</t>
  </si>
  <si>
    <t>Sistema de Gestión implementado</t>
  </si>
  <si>
    <t>A</t>
  </si>
  <si>
    <t>Implementación del Modelo Integrado de Planeación y de Gestión MIPG  de la Administración Departamental del Quindío (Dimensiones  de Talento humano,  Información y Comunicación y Gestión del Conocimiento).</t>
  </si>
  <si>
    <t xml:space="preserve">Incrementar en Índice de Gestión y Desempeño  de la Administración Departamental ,  a Implementar los procesos y procedimientos de depuración de los expedientes administrativos pensionales, que permitan la determinación de cuotas partes pensionales, bonos pensionales y otros, con el fin de contar con información depurada y real. </t>
  </si>
  <si>
    <t xml:space="preserve">  Secretario Administrativo</t>
  </si>
  <si>
    <t>Estrategias  de actualización, depuración, seguimiento y evaluación de las bases de datos  del Pasivo Pensional  de la Administración Departamental.</t>
  </si>
  <si>
    <t xml:space="preserve">Servicio de saneamiento fiscal y financiero </t>
  </si>
  <si>
    <t>Estrategias  de actualización, depuración, seguimiento y evaluación de las bases de datos  del Pasivo Pensional  de la Administración Departamental</t>
  </si>
  <si>
    <t xml:space="preserve">Programa de saneamiento fiscal y financiero ejecutado </t>
  </si>
  <si>
    <t xml:space="preserve">Actualización, depuración, seguimiento y evaluación del Pasivo Pensional de la Administración Departamental del Quindío </t>
  </si>
  <si>
    <t>Incrementar  Índice de Gestión y Desempeño de la Administración Departamental a través del proceso de modernización administrativa, contemplando una estructura orgánica qué corresponda a las competencias del territorio, la habilitación de la oficina para los alcaldes en la gobernación y la Casa Delegada en la ciudad de Bogotá, la  creación de la oficina de la Felicidad; con el propósito de mejorar la gestión de la administración departamental .</t>
  </si>
  <si>
    <t>Fortalecimiento del sistema de gestión documental mediante la modernización locativa y tecnológica para garantizar el acceso a la información oportuna y eficiente en el departamento del Quindío</t>
  </si>
  <si>
    <t xml:space="preserve">Optimizar los procesos y procedimiento s relacionados con la Gestión Documental de la Administración Central Departamental </t>
  </si>
  <si>
    <t>Participación ciudadana y política y respeto por los derechos humanos y diversidad de creencias. "Quindío integrado y participativo"</t>
  </si>
  <si>
    <t>Fortalecimiento del buen gobierno para el respeto y garantía de los derechos humanos</t>
  </si>
  <si>
    <t>Porcentaje promedio  de participación de ciudadanos en los eventos de elección popular.</t>
  </si>
  <si>
    <t>Implementación del Plan de Acción del Sistema Departamental de Servicio a la Ciudadanía SDSC</t>
  </si>
  <si>
    <t>Servicio de integración de la oferta pública</t>
  </si>
  <si>
    <t>Plan de Acción del Sistema Departamental de Servicio a la Ciudadanía SDSC implementado</t>
  </si>
  <si>
    <t xml:space="preserve">Espacios de integración de oferta pública generados </t>
  </si>
  <si>
    <t xml:space="preserve">Implementación del Sistema Departamental de Servicio a la Ciudadanía SDSC   en la Administración Departamental. </t>
  </si>
  <si>
    <t>Aumentar en porcentaje promedio  de participación de ciudadanos en los eventos de elección popular través del desarrollo de  actividades qué permitan la interacción de la Comunidad y Estado, facilitando el acceso de los servicios qué oferta la Administración Departamental.</t>
  </si>
  <si>
    <t>Secretaría de Planeación</t>
  </si>
  <si>
    <t>Porcentaje promedio  de participación de ciudadanos en los eventos de elección popular</t>
  </si>
  <si>
    <t>Fortalecimiento técnico y logístico del  Consejo Territorial de Planeación Departamental, como representantes de la sociedad civil en la planeación  del desarrollo integral  de la entidad territorial</t>
  </si>
  <si>
    <t>Servicio de promoción a la participación ciudadana</t>
  </si>
  <si>
    <t>Consejo Territorial de Planeación Departamental fortalecido</t>
  </si>
  <si>
    <t>Espacios de participación promovidos</t>
  </si>
  <si>
    <t xml:space="preserve">Fortalecimiento  del Consejo Territorial de Planeación del Departamento del Quindío. "TÚ y YO SOMOS QUINDIO" </t>
  </si>
  <si>
    <t>Incrementar la  participación de ciudadanos en los eventos de elección popular,  a través de los procesos de apoyo técnico y logístico al Consejo Territorial de Planeación Departamental, de conformidad con lo preceptuado en la Ley 152 de 1994.</t>
  </si>
  <si>
    <t xml:space="preserve"> Secretario de Planeación </t>
  </si>
  <si>
    <t>Instrumentos de planificación para el ordenamiento y la gestión territorial departamental (Plan de Desarrollo Departamental PDD, Ordenamiento Territorial, Sistema de Información Geográfica, Mecanismos de Integración, Catastro multipropósito etc.).</t>
  </si>
  <si>
    <t>Documentos de lineamientos técnicos</t>
  </si>
  <si>
    <t>Instrumentos de planificación de ordenamiento y gestión territorial departamental implementados</t>
  </si>
  <si>
    <t>Documentos de lineamientos técnicos realizados</t>
  </si>
  <si>
    <t xml:space="preserve"> A </t>
  </si>
  <si>
    <t xml:space="preserve">Implementación   de instrumentos de planificación para  en  Ordenamiento y la Gestión Territorial Departamental del Quindío  "TU Y YO SOMOS QUINDIO" </t>
  </si>
  <si>
    <t>Incrementar el  Índice de Gestión y Desempeño de la  Administración Departamental a través de la Implementación de los  instrumentos de planificación para el ordenamiento y la gestión territorial departamental (Plan de Desarrollo Departamental PDD, Ordenamiento Territorial, Sistema de Información Geográfica, mecanismos de integración, catastro multipropósito etc.) para orientar  los gastos de inversión  de acuerdo al Ordenamiento  Territorial.</t>
  </si>
  <si>
    <t>Observatorio económico del departamento, con procesos de fortalecimiento</t>
  </si>
  <si>
    <t>Servicios de información implementados</t>
  </si>
  <si>
    <t>Observatorio económico del Departamento del Quindío actualizado y dotado</t>
  </si>
  <si>
    <t>Sistemas de información implementados</t>
  </si>
  <si>
    <t>Implementación del Observatorio Económico  de la Administración Departamental del Quindío "TU Y YO SOMOS QUINDIO"</t>
  </si>
  <si>
    <t>Incrementar el  Índice de Gestión y Desempeño de la  Administración Departamental,  a través  de la implementación del  Observatorio Económico, con el objeto de proveer información  para la toma decisiones, facilitar en   seguimiento y monitoreo de dinámicas económicas y sociales del departamento.</t>
  </si>
  <si>
    <t xml:space="preserve">Banco de Programas y Proyectos del Departamento  con Procesos de fortalecimiento. </t>
  </si>
  <si>
    <t>Banco de Programas y Proyectos del Departamento fortalecido</t>
  </si>
  <si>
    <t>Fortalecimiento del Banco de Programas y Proyectos de la administración departamental  "TÚ Y YO SOMOS QUINDIO"</t>
  </si>
  <si>
    <t>Incrementar el  Índice de Gestión y Desempeño de la  Administración Departamental, a través de  procesos de fortalecimiento del Banco de Programas y Proyectos, con el propósito de generar una mayor inversión social, qué impacte de manera positiva en las problemáticas socioeconómicas de la comunidad quindiana.</t>
  </si>
  <si>
    <t>Índice de Gestión del Modelo Integrado de Planeación y de Gestión MIPG   Departamental (Entes Territoriales Municipales)</t>
  </si>
  <si>
    <t xml:space="preserve">Entes territoriales  con servicio de asistencia técnica de los Instrumentos de Planificación para  el Ordenamiento y la Gestión Territorial departamental. </t>
  </si>
  <si>
    <t>Servicio de asistencia técnica</t>
  </si>
  <si>
    <t>Entes territoriales con procesos de asistencia técnica realizadas.</t>
  </si>
  <si>
    <t>Entidades territoriales asistidas técnicamente</t>
  </si>
  <si>
    <t>Asistencia Técnica  en  Instrumentos de Planificación y gestión  territorial en los  municipios del Departamento del  Quindío.</t>
  </si>
  <si>
    <t>Incrementar en  Índice de Gestión y Desempeño de la  Administración Departamental,  a través de procesos de  asistencia técnica a los entes territoriales Municipales  en Instrumentos de Planificación  y  Gestión Territorial.</t>
  </si>
  <si>
    <t>Entes territoriales con servicio de asistencia  técnica del Modelo Integrado de Planeación y de Gestión MIPG</t>
  </si>
  <si>
    <t>Entes Territoriales con procesos de asistencia técnica realizadas</t>
  </si>
  <si>
    <t>Entes territoriales  con servicio de asistencia técnica en la Medición del Desempeño Municipal</t>
  </si>
  <si>
    <t>Entes Territoriales con procesos de asistencia técnica realizadas.</t>
  </si>
  <si>
    <t xml:space="preserve">Entes territoriales  con servicio de asistencia técnica en el Sistema de Identificación de Potenciales Beneficiarios de Programas Sociales (SISBEN). </t>
  </si>
  <si>
    <t>Entes territoriales con servicio de asistencia técnica en la formulación, preparación, seguimiento y evaluación de las políticas públicas</t>
  </si>
  <si>
    <t xml:space="preserve">Entes territoriales  con servicio de asistencia técnica en Banco de Programas y Proyectos de Inversión Nacional (BPIN).  </t>
  </si>
  <si>
    <t>Servicio de Implementación Sistemas de Gestión</t>
  </si>
  <si>
    <t>Número de Dimensiones y Políticas   de MIPG implementadas</t>
  </si>
  <si>
    <t>Implementación  del Modelo Integrado de Planeación y de Gestión MIPG en la Administración Departamental del   Quindío</t>
  </si>
  <si>
    <t xml:space="preserve"> Aumentar en Índice de Gestión y Desempeño de la Administración Departamental considerando las dimensiones y políticas qué conforman en Modelo Integrado de Gestión y Desempeño </t>
  </si>
  <si>
    <t>Documentos de lineamientos técnicos (Producto principal del proyecto)</t>
  </si>
  <si>
    <t xml:space="preserve">Documentos de lineamientos técnicos realizados  </t>
  </si>
  <si>
    <t>N,A</t>
  </si>
  <si>
    <t>Formulación  Plan de Desarrollo Departamental 2024-2027</t>
  </si>
  <si>
    <t>Fortalecer el desarrollo económico y social del Departamento del Quindío a través de la formulación integral del Plan de Desarrollo 2024 - 2027</t>
  </si>
  <si>
    <t>Secretaría de Hacienda y Finanzas Públicas</t>
  </si>
  <si>
    <t>Índice de Desempeño Fiscal Administración Departamental</t>
  </si>
  <si>
    <t>Estrategia para el mejoramiento del Índice de Desempeño Fiscal en la Administración Departamental.</t>
  </si>
  <si>
    <t>Estrategia  de fortalecimiento  del Índice de Desempeño  Fiscal implementadas.</t>
  </si>
  <si>
    <t xml:space="preserve">Estrategia para el mejoramiento del Índice de Desempeño Fiscal ejecutada </t>
  </si>
  <si>
    <t>Implementación de estrategias de fortalecimiento del desempeño fiscal de la Administración departamental del Quindío</t>
  </si>
  <si>
    <t>Incrementar en Índice de Desempeño Fiscal de la Administración Departamental, a través de estrategias de autofinanciación de los gastos de funcionamiento, respaldo del servicio y mejoramiento de la deuda,  transferencias de la nación , generación de recursos propios, magnitud de la inversión y capacidad de ahorro, con el propósito de generar una mayor inversión social.</t>
  </si>
  <si>
    <t>Secretaria de Hacienda</t>
  </si>
  <si>
    <t xml:space="preserve">Programa para el cumplimiento de las políticas y prácticas contables para la administración departamental         </t>
  </si>
  <si>
    <t>Servicio de saneamiento fiscal y financiero</t>
  </si>
  <si>
    <t>Programa para el cumplimiento de las políticas y prácticas contables implementado</t>
  </si>
  <si>
    <t>Programa de saneamiento fiscal y financiero ejecutado</t>
  </si>
  <si>
    <t xml:space="preserve">Implementación  de  un programa para el cumplimiento de las políticas y prácticas contables de la administración departamental del Quindío.    </t>
  </si>
  <si>
    <t>Incrementar el Índice de Desempeño Fiscal de la Administración Departamental,   a través de la implementación del programa para el cumplimiento de las políticas y prácticas contables para la administración departamental,  encaminado a la  generación de información  veraz, confiable y razonable.</t>
  </si>
  <si>
    <t>Secretaría de Aguas e Infraestructura</t>
  </si>
  <si>
    <t>Inclusión Social y Equidad</t>
  </si>
  <si>
    <t>Justicia y del derecho</t>
  </si>
  <si>
    <t>Promoción al acceso a la justicia. "Tú y yo con justicia"</t>
  </si>
  <si>
    <t>Promoción al acceso a la justicia</t>
  </si>
  <si>
    <t>Tasa de homicidio por cada 100.000 habitantes
Tasa de hurto a personas  por cada 100.000 habitantes
Tasa de hurto a residencias por cada 100.000 habitantes
Tasa de hurto a comercio por cada 100.000 habitantes
Tasa de violencia intrafamiliar x cada 100.000 habitantes
Tasa  de delitos sexuales x 100.000 habitantes</t>
  </si>
  <si>
    <t>Infraestructura de las Instituciones de Seguridad del Estado con procesos constructivos, mejorados, ampliados, mantenidos, y/o reforzados</t>
  </si>
  <si>
    <t>Servicio de promoción del acceso a la justicia</t>
  </si>
  <si>
    <t>Infraestructura de las Instituciones de Seguridad del Estado construida, mejorada, ampliada, mantenida, y/o reforzada</t>
  </si>
  <si>
    <t xml:space="preserve">Estrategias de acceso a la justicia desarrolladas </t>
  </si>
  <si>
    <t>N.A.</t>
  </si>
  <si>
    <t>Mantenimiento de las instituciones públicas y/o de seguridad y  justicia  del Estado en el Departamento Quindío</t>
  </si>
  <si>
    <t>Mantener y/o reforzar  las Instituciones de seguridad del departamento del Quindío, con el propósito de  brindar a la  comunidad mejores condiciones de equidad y justicia.</t>
  </si>
  <si>
    <t>Secretario de Aguas e Infraestructura</t>
  </si>
  <si>
    <t>Educación</t>
  </si>
  <si>
    <t>Calidad, cobertura y fortalecimiento de la educación inicial, prescolar, básica y media." Tú y yo con educación y  calidad"</t>
  </si>
  <si>
    <t>Calidad, cobertura y fortalecimiento de la educación inicial, prescolar, básica y media</t>
  </si>
  <si>
    <t>Tasa de cobertura bruta en transición
Tasa de cobertura bruta en educación básica
Tasa de cobertura en educación media
Tasa de deserción escolar intra-anual</t>
  </si>
  <si>
    <t>Infraestructura de Instituciones Educativas con procesos constructivos, mejorados, ampliados, mantenidos y/o reforzados.</t>
  </si>
  <si>
    <t>Infraestructura educativa mantenida</t>
  </si>
  <si>
    <t>Infraestructura de Instituciones Educativas construida, mejorada, ampliada, mantenida, y/o reforzada.</t>
  </si>
  <si>
    <t>Sedes mantenidas</t>
  </si>
  <si>
    <t xml:space="preserve">Mantenimiento de  la infraestructura  Educativa en el Departamento del Quindío. </t>
  </si>
  <si>
    <t xml:space="preserve"> Mantener de la infraestructura educativa, con el propósito de garantizar  la permanencia y calidad  de la prestación  del servicio educativo en Departamento del Quindío.  </t>
  </si>
  <si>
    <t>Cultura</t>
  </si>
  <si>
    <t>Promoción y acceso efectivo a procesos culturales y artísticos. "Tú y yo somos cultura Quindiana"</t>
  </si>
  <si>
    <t>Promoción y acceso efectivo a procesos culturales y artísticos</t>
  </si>
  <si>
    <t>Tasa de participación en procesos y actividades artísticas y culturales.
Tasa de consumo de sustancias sicoactivas por 100.000 habitantes en el departamento del Quindío.</t>
  </si>
  <si>
    <t>3301068</t>
  </si>
  <si>
    <t>Servicio de mantenimiento de infraestructura cultural</t>
  </si>
  <si>
    <t>330106800</t>
  </si>
  <si>
    <t>Infraestructura cultural intervenida</t>
  </si>
  <si>
    <t xml:space="preserve">Mantenimiento de la infraestructura cultural en el departamento del Quindío  </t>
  </si>
  <si>
    <t xml:space="preserve"> Realizar mantenimiento de la  infraestructura cultural, para fortalecer los espacios de los artistas y gestores culturales dedicados a la creación, promoción y divulgación de actividades en el Departamento del Quindío.</t>
  </si>
  <si>
    <t>Inclusión social y reconciliación</t>
  </si>
  <si>
    <t>Atención integral de población en situación permanente de desprotección social y/o familiar. "Tú y yo con atención integral"</t>
  </si>
  <si>
    <t>Atención integral de población en situación permanente de desprotección social y/o familiar</t>
  </si>
  <si>
    <t>Cobertura de municipios del departamento con procesos de implementación de proyectos productivos para las personas con discapacidad.</t>
  </si>
  <si>
    <t>Centros de atención integral para personas con discapacidad construidos y dotados</t>
  </si>
  <si>
    <t>Centros de atención integral para personas con discapacidad construidos y dotados.</t>
  </si>
  <si>
    <t>Centros de atención integral para personas con Discapacidad construidos y dotados</t>
  </si>
  <si>
    <t xml:space="preserve">Centros de atención integral para personas con discapacidad construidos y dotados </t>
  </si>
  <si>
    <t>NP</t>
  </si>
  <si>
    <t>Construcción y dotación de un centro de atención integral para personas con discapacidad en el departamento del Quindio</t>
  </si>
  <si>
    <t>Fortalecer infraestructura para la atención integral a personas con discapacidad en el departamento</t>
  </si>
  <si>
    <t>Deporte y recreación</t>
  </si>
  <si>
    <t>Fomento a la recreación, la actividad física y el deporte  "Tú y yo en la recreación y el deporte"</t>
  </si>
  <si>
    <t>Fomento a la recreación, la actividad física y el deporte para desarrollar entornos de convivencia y paz</t>
  </si>
  <si>
    <t>Cobertura de municipios qué participan en programas de recreación, actividad física y deporte social y comunitario en el Departamento del Quindío.
Cobertura de ligas apoyadas en el departamento del Quindío.
Porcentaje de medallería del departamento del Quindío en los Juegos Nacionales.</t>
  </si>
  <si>
    <t xml:space="preserve">Infraestructura  deportiva y/o recreativa con procesos   constructivos,  mejorados,  ampliados,  mantenidos y/o  reforzados </t>
  </si>
  <si>
    <t>Servicio de mantenimiento a la infraestructura deportiva</t>
  </si>
  <si>
    <t xml:space="preserve">Infraestructura  deportiva y/o recreativa con procesos   constructivos,  mejorados,  ampliados,  mantenidos y/o   reforzados </t>
  </si>
  <si>
    <t>Intervenciones realizadas a infraestructura deportiva</t>
  </si>
  <si>
    <t xml:space="preserve">Mantenimiento, mejoramiento y/o rehabilitación de  obras físicas de infraestructura deportiva y recreativa en el Departamento del Quindío  </t>
  </si>
  <si>
    <t>Mantener, mejorar y/o rehabilitar obras físicas de infraestructura deportiva y recreativa en el Departamento del Quindío con el propósito de generar espacios para la utilización del tiempo libre.</t>
  </si>
  <si>
    <t>Territorio, Ambiente y Desarrollo Sostenible</t>
  </si>
  <si>
    <t>Transporte</t>
  </si>
  <si>
    <t>Infraestructura red vial regional. "Tú y yo con movilidad vial"</t>
  </si>
  <si>
    <t xml:space="preserve">Infraestructura red vial regional </t>
  </si>
  <si>
    <t xml:space="preserve">Índice de competitividad  en el sector de infraestructura vial </t>
  </si>
  <si>
    <t>Infraestructura   vial  con procesos  de construcción, mejoramiento, ampliación, mantenimiento y/o  reforzamiento.</t>
  </si>
  <si>
    <t xml:space="preserve">Vía terciaria mejorada </t>
  </si>
  <si>
    <t xml:space="preserve">Infraestructura  vial    construida, mejorada, ampliada,  mantenida, y/o  reforzada </t>
  </si>
  <si>
    <t>Vía terciaria mejorada</t>
  </si>
  <si>
    <t>Mantenimiento, mejoramiento, rehabilitación y/o atención las vías  para  garantizar  la movilidad y competitividad en el departamento del Quindío.</t>
  </si>
  <si>
    <t>Mejorar y mantener la comunicación vehicular entre los municipios del departamento y en sector rural mediante la disposición de una infraestructura vial adecuada, mediante programas de mantenimiento y/o mejoramiento de las vías construidas y sus obras complementarias, garantizando condiciones de eficiencia, seguridad y confort a los usuarios. Para estos efectos se podrá implementar mecanismos de carácter social como “Las Camineras”, qué desde la población local contribuyan al mantenimiento vial.</t>
  </si>
  <si>
    <t>Ambiente y desarrollo sostenible</t>
  </si>
  <si>
    <t>Ordenamiento Ambiental Territorial. "Tú y yo planificamos con sentido ambiental"</t>
  </si>
  <si>
    <t xml:space="preserve">Ordenamiento ambiental territorial </t>
  </si>
  <si>
    <t xml:space="preserve">Porcentaje de Ecosistemas protegidos y/o en procesos de restauración en el Departamento </t>
  </si>
  <si>
    <t>Obras para estabilización de taludes</t>
  </si>
  <si>
    <t>320501000</t>
  </si>
  <si>
    <t>Obras para estabilización de taludes realizadas</t>
  </si>
  <si>
    <t>Construcción, mantenimiento y/o mejoramiento de obras  de estabilización de Taludes en el Departamento del Quindío</t>
  </si>
  <si>
    <t xml:space="preserve">Construir, mantener y/o mejorar de obras de infraestructura para la  estabilización de taludes qué presenten problemas de deslizamiento, con el propósito de establecer medidas de prevención y control para reducir los niveles de amenaza y riesgo. </t>
  </si>
  <si>
    <t>Cobertura  de municipios del departamento del Quindío  atendidos con estudios y/o construcción de obras   para mitigación y atención a desastres realizadas.
Porcentaje de Ecosistemas protegidos y/o en procesos de restauración en el Departamento.</t>
  </si>
  <si>
    <t>Obras de infraestructura para mitigación y atención a desastres</t>
  </si>
  <si>
    <t xml:space="preserve">Obras de infraestructura para mitigación y atención a desastres realizadas </t>
  </si>
  <si>
    <t xml:space="preserve">Construcción, mantenimiento y/o mejoramiento de obras de infraestructura  para la mitigación y atención de desastres en los municipios del departamento del Quindío </t>
  </si>
  <si>
    <t xml:space="preserve"> Construir, mantener y/o mejorar  obras de infraestructura para la  mitigación y atención de desastres en los municipios del departamento del Quindío, con el propósito de evitar pérdidas de vidas humanas, servicios, infraestructura y económicas, </t>
  </si>
  <si>
    <t>Vivienda, ciudad y territorio</t>
  </si>
  <si>
    <t>Acceso a soluciones de vivienda. "Tú y yo con vivienda digna"</t>
  </si>
  <si>
    <t>Acceso a soluciones de vivienda</t>
  </si>
  <si>
    <t>Déficit cualitativo de viviendas por hogares</t>
  </si>
  <si>
    <t>Viviendas de interés social urbanas mejoradas</t>
  </si>
  <si>
    <t>400101500</t>
  </si>
  <si>
    <t>Viviendas de Interés Social urbanas mejoradas</t>
  </si>
  <si>
    <t xml:space="preserve">Mejoramiento de Vivienda de Interés Social en el Departamento del Quindío </t>
  </si>
  <si>
    <t>Mejoramiento  de  vivienda de interés social VIS, con el propósito de reducir el déficit cualitativo de vivienda en el departamento, permitiendo  mejorar las condiciones de  calidad de vida de los quindianos.</t>
  </si>
  <si>
    <t>Acceso de la población a los servicios de agua potable y saneamiento básico. "Tú y yo con calidad del agua"</t>
  </si>
  <si>
    <t>Acceso de la población a los servicios de agua potable y saneamiento básico</t>
  </si>
  <si>
    <t xml:space="preserve">Cobertura de acueducto
Cobertura  de alcantarillado </t>
  </si>
  <si>
    <t xml:space="preserve">Adoptar e implementar la Política Pública de Producción Consumo Sostenible y Gestión Integral de Aseo  </t>
  </si>
  <si>
    <t>Documentos de planeación</t>
  </si>
  <si>
    <t>Política Pública de Producción Consumo Sostenible y Gestión Integral de Aseo  adoptada e implementada.</t>
  </si>
  <si>
    <t>Documentos de planeación elaborados</t>
  </si>
  <si>
    <t xml:space="preserve">Implementación del plan departamental para el manejo empresarial de los servicios de agua y saneamiento básico en el Departamento del Quindío  </t>
  </si>
  <si>
    <t xml:space="preserve">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</si>
  <si>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 xml:space="preserve">Cobertura  de alcantarillado </t>
  </si>
  <si>
    <t>Alcantarillados construidos</t>
  </si>
  <si>
    <t>Plantas de tratamiento de aguas residuales  construidas</t>
  </si>
  <si>
    <t>Servicios de apoyo financiero para la ejecución de proyectos de acueductos y alcantarillado</t>
  </si>
  <si>
    <t>Proyectos de acueducto y alcantarillado en área urbana financiados</t>
  </si>
  <si>
    <t>Servicios de educación informal en agua potable y saneamiento básico</t>
  </si>
  <si>
    <t>Eventos de educación informal en agua y saneamiento básico realizados</t>
  </si>
  <si>
    <t>Estudios de pre inversión e inversión</t>
  </si>
  <si>
    <t xml:space="preserve">Estudios o diseños realizados </t>
  </si>
  <si>
    <t>4003026</t>
  </si>
  <si>
    <t>Servicios de apoyo financiero para la ejecución de proyectos de acueductos y de manejo de aguas residuales</t>
  </si>
  <si>
    <t>Proyectos de acueducto y de manejo de aguas residuales en área rural financiados</t>
  </si>
  <si>
    <t xml:space="preserve">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</si>
  <si>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Infraestructura institucional o  de edificios públicos de atención  de servicios ciudadanos con procesos constructivos mejorados,  ampliados,  mantenidos, y/o  reforzados</t>
  </si>
  <si>
    <t>4599016</t>
  </si>
  <si>
    <t>Infraestructura Institucional o edificios públicos construida mejorada, ampliada, mantenida, y/o reforzada</t>
  </si>
  <si>
    <t>Mantenimiento  de la infraestructura institucional o de edificios públicos en el Departamento del Quindío</t>
  </si>
  <si>
    <t>Mantener  la  infraestructura institucional o de edificios públicos, con el propósito de propiciar un excelente servicio al ciudadano y bienestar al servidor público, con infraestructura moderna y amigable.</t>
  </si>
  <si>
    <t>Salones comunales adecuados</t>
  </si>
  <si>
    <t xml:space="preserve">Salón comunal adecuado </t>
  </si>
  <si>
    <t xml:space="preserve">Construcción y/o adecuación de casetas comunales en los diferentes barrios del departamento </t>
  </si>
  <si>
    <t>Realizar construcción y/o adecuación de casetas comunales en los diferentes barrios del departamento, qué permitan generar procesos de participación ciudadana y la implementación de buenas prácticas sociales en comunidad.</t>
  </si>
  <si>
    <t>Salud y protección social</t>
  </si>
  <si>
    <t xml:space="preserve">Inspección, vigilancia y control. "Tú y yo con salud certificada" </t>
  </si>
  <si>
    <t>Inspección, vigilancia y control</t>
  </si>
  <si>
    <t xml:space="preserve">Indice Departamental de Competitividad </t>
  </si>
  <si>
    <t>Infraestructura de laboratorios costruida y dotada</t>
  </si>
  <si>
    <t xml:space="preserve">laboratorios construidos </t>
  </si>
  <si>
    <t>Modernización del laboratorio de salud pública departamental</t>
  </si>
  <si>
    <t>Mejorar la capacidad instalada del laboratorio de salud publica en la realización de las actividades de inspección, vigilancia y control IVC</t>
  </si>
  <si>
    <t>Secretaría del Interior</t>
  </si>
  <si>
    <t>Servicio de asistencia técnica para la articulación de los operadores de los servicio de justicia</t>
  </si>
  <si>
    <t>Implementación  de acciones con los Entes Municipales, para la reducción de los delitos en el Departamento del Quindío</t>
  </si>
  <si>
    <t>Disminuir los índice delitos  en el departamento del Quindío a través de procesos de asistencia Técnica y articulación  de acciones  con las Administraciones municipales .</t>
  </si>
  <si>
    <t>Secretaria del Interior</t>
  </si>
  <si>
    <t>Promoción de los métodos de resolución de conflictos. "Tú y yo resolvemos los conflictos"</t>
  </si>
  <si>
    <t>Promoción de los métodos de resolución de conflictos</t>
  </si>
  <si>
    <t>Servicio de asistencia técnica para la implementación de los métodos de resolución de conflictos</t>
  </si>
  <si>
    <t>Instituciones públicas y privadas asistidas técnicamente en métodos de resolución de conflictos</t>
  </si>
  <si>
    <t xml:space="preserve">Implementación de  métodos  para la resolución de conflictos y el  fortalecimiento de la seguridad de los ciudadanos en el Departamento del Quindío  </t>
  </si>
  <si>
    <t>Coordinar con los organismos de seguridad métodos  de intervenciones  transformadoras en zonas de miedo e impunidad</t>
  </si>
  <si>
    <t>Sistema penitenciario y carcelario en el marco de los derechos humanos. "Quindío respeta derechos penitenciarios"</t>
  </si>
  <si>
    <t>Sistema penitenciario y carcelario en el marco de los derechos humanos</t>
  </si>
  <si>
    <t>Servicio de resocialización de personas privadas de la libertad</t>
  </si>
  <si>
    <t>Personas privadas de la libertad (PPL) que reciben servicio de resocialización</t>
  </si>
  <si>
    <t xml:space="preserve">Implementación de  acciones de apoyo para  la  resocialización de las personas privadas de la libertad  en las Instituciones Penitenciarias  del Departamento  del Quindío. </t>
  </si>
  <si>
    <t xml:space="preserve"> Disminuir los índices de delitos en el departamento del Quindío, a través de la implementación de  acciones de apoyo para  la  resocialización de las personas privadas de la libertad en las Instituciones  Penitenciarios del departamento del Quindío.</t>
  </si>
  <si>
    <t>Calidad, cobertura y fortalecimiento de la educación inicial, prescolar, básica y media." Tú y yo con educación y de calidad"</t>
  </si>
  <si>
    <t>Cobertura de Instituciones Educativas con Planes Escolares de Gestión del Riesgo de Desastres-PEGERD</t>
  </si>
  <si>
    <t>Servicio de gestión de riesgos y desastres en establecimientos educativos</t>
  </si>
  <si>
    <t>Establecimientos educativos con acciones de gestión del riesgo implementadas</t>
  </si>
  <si>
    <t xml:space="preserve">Implementación  y/o fortalecimiento  de  los planes para la gestión del riesgo y desastres en las Instituciones Educativas Oficiales  del Departamento </t>
  </si>
  <si>
    <t>Aumentar la cobertura de Instituciones Educativas con Planes Escolares de Gestión del Riesgo de Desastres-PEGERD, a través de procesos de acompañamiento  a la  comunidad educativa  en la implementación y fortalecimiento de los mismos.</t>
  </si>
  <si>
    <t xml:space="preserve">Inclusión social y Reconciliación </t>
  </si>
  <si>
    <t>Atención, asistencia y reparación integral a las víctimas. "Tú y yo con reparación integral"</t>
  </si>
  <si>
    <t>Atención, asistencia  y reparación integral a las víctimas</t>
  </si>
  <si>
    <t>Cobertura de la población víctima atendida con procesos de atención, prevención y asistencia humanitaria</t>
  </si>
  <si>
    <t>Servicio de orientación y comunicación a las víctimas</t>
  </si>
  <si>
    <t>Solicitudes tramitadas</t>
  </si>
  <si>
    <t xml:space="preserve">Asistencia técnica, garantías, atención, ayuda humanitaria y promoción de iniciativas de memoria histórica a la población víctima del conflicto armado en el Departamento del Quindío </t>
  </si>
  <si>
    <t>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t>
  </si>
  <si>
    <t>Servicio de ayuda y atención humanitaria</t>
  </si>
  <si>
    <t>Personas víctimas con ayuda humanitaria</t>
  </si>
  <si>
    <t>Servicio de asistencia técnica para la participación de las víctimas</t>
  </si>
  <si>
    <t>Eventos de participación realizados</t>
  </si>
  <si>
    <t>Cobertura de víctimas atendidas con la línea de emprendimiento y fortalecimiento.</t>
  </si>
  <si>
    <t>Servicio de apoyo para la generación de ingresos</t>
  </si>
  <si>
    <t>Hogares con asistencia técnica para la generación de ingresos</t>
  </si>
  <si>
    <t>Cobertura de Personas víctimas del conflicto beneficiadas con medidas de satisfacción (Construcción de memoria, Reparación simbólica y Construcción de lugares de memoria)</t>
  </si>
  <si>
    <t>Servicio de asistencia técnica para la realización de iniciativas de memoria histórica</t>
  </si>
  <si>
    <t>Iniciativas de memoria histórica asistidas técnicamente</t>
  </si>
  <si>
    <t>Inclusión social y productiva para la población en situación de vulnerabilidad. "Tú y yo, población vulnerable incluida"</t>
  </si>
  <si>
    <t xml:space="preserve">Inclusión social y productiva para la población en situación de vulnerabilidad </t>
  </si>
  <si>
    <t>Cobertura de la población excombatiente atendida con procesos de atención y asistencia humanitaria</t>
  </si>
  <si>
    <t>Servicio de atención y asistencia para la población excombatiente del Departamento del Quindío</t>
  </si>
  <si>
    <t>Servicio de gestión de oferta social para la población vulnerable</t>
  </si>
  <si>
    <t>Población excombatiente beneficiada</t>
  </si>
  <si>
    <t>Beneficiarios de la oferta social atendidos</t>
  </si>
  <si>
    <t xml:space="preserve">Asistencia, atención y capacitación  a la población  excombatiente en el  Departamento del Quindío. </t>
  </si>
  <si>
    <t xml:space="preserve"> Aumentar la cobertura de la población excombatiente atendida con procesos de atención y asistencia en el departamento del Quindío. </t>
  </si>
  <si>
    <t>Fortalecimiento de la convivencia y la seguridad ciudadana. "Tú y yo seguros"</t>
  </si>
  <si>
    <t>Fortalecimiento de la convivencia y la seguridad ciudadana</t>
  </si>
  <si>
    <t>Fortalecimiento institucional a organismos de seguridad</t>
  </si>
  <si>
    <t xml:space="preserve">Servicio de apoyo financiero para proyectos de convivencia y seguridad ciudadana </t>
  </si>
  <si>
    <t>Organismos de seguridad fortalecidos</t>
  </si>
  <si>
    <t>Proyectos de convivencia y seguridad ciudadana apoyados financieramente</t>
  </si>
  <si>
    <t xml:space="preserve">Fortalecimiento de los organismos de seguridad del Departamento del Quindío,  para mejorar la convivencia, preservación del orden público y la seguridad ciudadana. </t>
  </si>
  <si>
    <t xml:space="preserve">Disminuir los índices  de delitos en el departamento del Quindío, a través de fortalecimiento de los organismos de seguridad, para el mejoramiento de la   convivencia, preservación del orden público y la seguridad ciudadana. </t>
  </si>
  <si>
    <t>Instancias territoriales asistidas técnicamente</t>
  </si>
  <si>
    <t xml:space="preserve">Fortalecimiento institucional de la entidades municipales para la consolidación de la convivencia, el orden público  y la seguridad ciudadana  en el departamento del Quindío  </t>
  </si>
  <si>
    <t xml:space="preserve"> Disminuir los índices de violencia intrafamiliar   a través de la implementación de acciones y gestiones para impulsar y adoptar políticas y planes qué promuevan la paz, la reconciliación, la legalidad y la convivencia en el territorio.  </t>
  </si>
  <si>
    <t>Cobertura  de municipios del departamento del Quindío  atendidos con estudios y/o construcción de obras para mitigación y atención a desastres realizadas.</t>
  </si>
  <si>
    <t>Documentos de estudios técnicos para el ordenamiento ambiental territorial</t>
  </si>
  <si>
    <t>Documentos de estudios técnicos para el conocimiento y reducción del riesgo de desastres elaborados</t>
  </si>
  <si>
    <t>Fortalecimiento de los procesos de planificación del territorio para el conocimiento  y reducción del riesgo en el Departamento del Quindío.</t>
  </si>
  <si>
    <t>Aumentar la cobertura  de municipios del departamento del Quindío  atendidos con estudios   para mitigación y atención a desastres en la   planificación del  territorio  y priorización  de  acciones de intervención.</t>
  </si>
  <si>
    <t>Prevención y atención de desastres y emergencias. "Tú y yo preparados en gestión del riesgo"</t>
  </si>
  <si>
    <t>Gestión del riesgo de desastres y emergencias</t>
  </si>
  <si>
    <t>Cobertura de   personas capacitadas en Gestión del Riesgo de Desastres  en el Departamento del Quindío, bajo en marco de Ciudades resilientes</t>
  </si>
  <si>
    <t>Servicio de educación informal</t>
  </si>
  <si>
    <t>Personas capacitadas</t>
  </si>
  <si>
    <t>Fortalecimiento de la gestión del Riesgo mediante los procesos de conocimiento, reducción del riesgo y manejo de desastres, en el Departamento del Quindío</t>
  </si>
  <si>
    <t xml:space="preserve">Aumentar cobertura de atención del Sistema Departamental de Gestión del Riesgo de Desastres del Departamento del Quindío,  a través del fortalecimiento  de los procesos de conocimiento, reducción del riesgo y manejo de desastres, con el propósito de contribuir a la seguridad, bienestar y calidad de vida de las personas. </t>
  </si>
  <si>
    <t>Cobertura de atención  del Sistema Departamental de Gestión del Riesgo de Desastres del Quindío.</t>
  </si>
  <si>
    <t>Instancias territoriales asistidas</t>
  </si>
  <si>
    <t>Servicio de atención a emergencias y desastres</t>
  </si>
  <si>
    <t>Servicio de fortalecimiento a las salas de crisis territorial</t>
  </si>
  <si>
    <t>Centro de reserva  para la atención a emergencias y desastres dotado</t>
  </si>
  <si>
    <t>Organismos de atención de emergencias fortalecidos</t>
  </si>
  <si>
    <t>Cobertura de asistencia a los municipios del departamento del Quindío en los procesos de la garantía y prevención de derechos humanos.</t>
  </si>
  <si>
    <t>Servicio de apoyo para la implementación de medidas en derechos humanos y derecho internacional humanitario</t>
  </si>
  <si>
    <t>Medidas implementadas en cumplimiento de las obligaciones internacionales en materia de Derechos Humanos y Derecho Internacional Humanitario</t>
  </si>
  <si>
    <t xml:space="preserve">Implementación del Plan Integral de prevención de vulneraciones de los Derechos Humanos DDHH e infracciones  al Derecho Internacional Humanitario DIH en el Departamento del Quindío </t>
  </si>
  <si>
    <t>Aumentar la cobertura de asistencia a los municipios del departamento del Quindío en los procesos de la garantía y prevención de derechos humanos a través de la actualización, implementación y socialización en Plan Integral para la prevención a la vulneración de los DDHH.</t>
  </si>
  <si>
    <t>Iniciativas para la promoción de la participación ciudadana implementada.</t>
  </si>
  <si>
    <t xml:space="preserve">Fortalecimiento de la participación ciudadana, veedurías y organizaciones comunales para el cumplimiento, protección y restablecimiento de los derechos contemplados en la Constitución Política.    </t>
  </si>
  <si>
    <t xml:space="preserve">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t>
  </si>
  <si>
    <t>Implementar la Política de Libertad Religiosa</t>
  </si>
  <si>
    <t>Política de Libertad Religiosa Implementado</t>
  </si>
  <si>
    <t>Estrategia de acompañamiento sobre capacidades democráticas y organizativas  implementada</t>
  </si>
  <si>
    <t>Fortalecimiento de los organismos  de acción comunal (OAC)  de los doce municipios del Departamento en lo relacionado a sus procesos formativos, participativos, de organización y  gestión.</t>
  </si>
  <si>
    <t>Municipios con organismos de Acción Comunal fortalecidos.</t>
  </si>
  <si>
    <t xml:space="preserve">Iniciativas organizativas de participación ciudadana promovidas </t>
  </si>
  <si>
    <t xml:space="preserve">Formulación de la  Política Pública Departamental para la  Acción Comunal </t>
  </si>
  <si>
    <t xml:space="preserve">Documentos de planeación </t>
  </si>
  <si>
    <t>Una Política Pública formulada.</t>
  </si>
  <si>
    <t xml:space="preserve">Planes estratégicos elaborados </t>
  </si>
  <si>
    <t>Secretaría de Cultura</t>
  </si>
  <si>
    <t>.Cobertura en formación artística y cultural
.Tasa de consumo de sustancias psicoactivas por 100.000 habitantes en el departamento del Quindío.</t>
  </si>
  <si>
    <t>Servicio de educación informal en áreas artísticas y culturales</t>
  </si>
  <si>
    <t xml:space="preserve">Implementación de la "Ruta de la felicidad y la identidad quindiana", para el fortalecimiento y visibilización de los procesos artísticos y culturales en el Departamento del Quindío  </t>
  </si>
  <si>
    <t>Fortalecer en sector cultural del departamento del Quindío incrementando las   tasas de  participación en formación y actividades  artísticos culturales, a través de la implementación de la " Ruta de  la felicidad e  identidad  quindiana en  los municipios",    con la consiguiente disminución de las tasas de consumo de sustancias psicoactivas.</t>
  </si>
  <si>
    <t>Secretario de Cultura</t>
  </si>
  <si>
    <t>Tasa de participación en procesos y actividades artísticas y culturales.
Tasa de consumo de sustancias psicoactivas por 100.000 habitantes en el departamento del Quindío.</t>
  </si>
  <si>
    <t>Servicio de circulación artística y cultural</t>
  </si>
  <si>
    <t>Producciones artísticas en circulación</t>
  </si>
  <si>
    <t>Formulación e implementación del Plan de Cultura</t>
  </si>
  <si>
    <t xml:space="preserve">Documentos de lineamientos técnicos </t>
  </si>
  <si>
    <t>Plan Decenal de cultura formulado e implementado</t>
  </si>
  <si>
    <t xml:space="preserve">Servicio de información para el sector artístico y cultural </t>
  </si>
  <si>
    <t>Sistema de información del sector artístico cultural en operación</t>
  </si>
  <si>
    <t>Servicio de educación formal al sector artístico y cultural</t>
  </si>
  <si>
    <t>Cupos de educación formal ofertados</t>
  </si>
  <si>
    <t>Tasa de lectura
Tasa de consumo de sustancias psicoactivas por 100.000 habitantes en el departamento del Quindío.</t>
  </si>
  <si>
    <t>Servicios bibliotecarios</t>
  </si>
  <si>
    <t>330108500</t>
  </si>
  <si>
    <t>Usuarios atendidos</t>
  </si>
  <si>
    <t xml:space="preserve">Implementación del programa "Tú y Yo Somos Cultura", para el fortalecimiento a la lectura,  escritura  y bibliotecas en el Departamento del Quindío   </t>
  </si>
  <si>
    <t xml:space="preserve">Incrementar la tasa de lectura  en el departamento del Quindío, a través del fortalecimiento del Plan Departamental de Lectura y Bibliotecas, con procesos de formación, producción y circulación de contenidos literarios con el fin de lograr  mayor acceso de las población a los servicios bibliotecarios físicos y virtuales..    </t>
  </si>
  <si>
    <t>Servicio de divulgación y publicaciones</t>
  </si>
  <si>
    <t>330110000</t>
  </si>
  <si>
    <t>Publicaciones realizadas</t>
  </si>
  <si>
    <t>Servicio de asistencia técnica en gestión artística y cultural</t>
  </si>
  <si>
    <t>330109500</t>
  </si>
  <si>
    <t>Personas asistidas técnicamente</t>
  </si>
  <si>
    <t xml:space="preserve">Apoyo artistas y gestores culturales  del departamento del Quindío con el  beneficio de la Seguridad Social.  </t>
  </si>
  <si>
    <t xml:space="preserve">Aumentar la tasa de participación en procesos y actividades artísticas y culturales de los artistas y gestores del departamento del Quindío con la  implementación de los beneficios de la seguridad Social.  </t>
  </si>
  <si>
    <t>Gestión, protección y salvaguardia del patrimonio cultural colombiano. "Tú y yo protectores del patrimonio cultural"</t>
  </si>
  <si>
    <t>Gestión, protección y salvaguardia del patrimonio cultural colombiano</t>
  </si>
  <si>
    <t>Tasa de cumplimiento al Plan de Biocultura en patrimonio y del PCC.
Tasa de consumo de sustancias psicoactivas por 100.000 habitantes en el departamento del Quindío.</t>
  </si>
  <si>
    <t>Servicio de asistencia técnica en el manejo y gestión del patrimonio arqueológico, antropológico e histórico.</t>
  </si>
  <si>
    <t>330204200</t>
  </si>
  <si>
    <t xml:space="preserve">Asistencias técnicas realizadas a entidades territoriales </t>
  </si>
  <si>
    <t xml:space="preserve">Apoyo al Paisaje, Café y Tradición mediante procesos de manejo, gestión, asistencia técnica, divulgación y publicación del patrimonio, arqueológico, antropológico e histórico en el Departamento del Quindío </t>
  </si>
  <si>
    <t>Aumentar la tasa de cumplimiento del  Plan de Biocultura en patrimonio y PCC,   a través de la implementación del programa de asistencia técnica en el manejo y gestión del patrimonio arqueológico, antropológico e histórico, qué permita  la apropiación, divulgación y publicación del Patrimonio cultural y del Paisaje Cultural Cafetero</t>
  </si>
  <si>
    <t>Servicio de divulgación y publicación del Patrimonio cultural</t>
  </si>
  <si>
    <t>330207000</t>
  </si>
  <si>
    <t>Secretaría de Turismo Industria y Comercio</t>
  </si>
  <si>
    <t>Productividad y Competitividad</t>
  </si>
  <si>
    <t>Comercio, Industria y Turismo</t>
  </si>
  <si>
    <t xml:space="preserve">Productividad y competitividad de las empresas "Tú y yo con empresas competitivas" </t>
  </si>
  <si>
    <t xml:space="preserve">Productividad y competitividad de las empresas colombianas </t>
  </si>
  <si>
    <t>Índice Departamental de Competitividad
Tasa de desempleo</t>
  </si>
  <si>
    <t>Servicio de apoyo y consolidación de las Comisiones Regionales de Competitividad - CRC</t>
  </si>
  <si>
    <t>350200600</t>
  </si>
  <si>
    <t xml:space="preserve">Planes de trabajo concertados con las CRC para su consolidación </t>
  </si>
  <si>
    <t xml:space="preserve">Fortalecimiento de la competitividad y productividad en el  departamento del Quindío </t>
  </si>
  <si>
    <t>Incrementar en índice de competitividad en el Departamento del Quindío, a través  de la consolidación de la Comisión Regional de Competitividad e Innovación y en apoyo a  las iniciativas clúster,  vinculando en sector público,  privado y la academia.</t>
  </si>
  <si>
    <t>Secretario de Turismo, Industria y Comercio</t>
  </si>
  <si>
    <t>Servicio de asistencia técnica para el desarrollo de iniciativas Clústeres</t>
  </si>
  <si>
    <t>350200700</t>
  </si>
  <si>
    <t>Clústeres asistidos en la implementación de los planes de acción</t>
  </si>
  <si>
    <t>Índice Departamental de Competitividad Turística
Tasa de desempleo</t>
  </si>
  <si>
    <t>Servicio de asistencia técnica a los entes territoriales para el desarrollo turístico</t>
  </si>
  <si>
    <t>350203900</t>
  </si>
  <si>
    <t>Mejoramiento de la competitividad del  departamento como destino turístico  sostenible y de calidad .</t>
  </si>
  <si>
    <t>Incrementar en índice de competitividad   turística en el Departamento del Quindío, a  través de la Formulación e implementación  del Plan Estratégico de Turismo, de procesos de asistencia técnica y apoyo a los municipios  en la certificación  de las  normas técnicas sectoriales de turismo,  con el propósito de ofrecer  un destino turístico sostenible,  competitivo y de calidad a nivel nacional e internacional.</t>
  </si>
  <si>
    <t>Servicio de promoción turística</t>
  </si>
  <si>
    <t>350204600</t>
  </si>
  <si>
    <t>Campañas realizadas</t>
  </si>
  <si>
    <t xml:space="preserve">Fortalecimiento de la promoción turística del destino Quindío a nivel  nacional e internacional </t>
  </si>
  <si>
    <t>Incrementar en índice de competitividad   turística,  a través de la promoción del departamento como destino turístico y en  fortalecimiento de las  Agencias de Inversión   con la articulación de  instituciones,  gremios y demás actores del sector.</t>
  </si>
  <si>
    <t>Trabajo</t>
  </si>
  <si>
    <t>Generación y formalización del empleo. "Tú y yo con empleo de calidad"</t>
  </si>
  <si>
    <t>Generación y formalización del empleo</t>
  </si>
  <si>
    <t>Servicios de apoyo financiero para la creación de empresas</t>
  </si>
  <si>
    <t>360201800</t>
  </si>
  <si>
    <t>Planes de negocio financiados</t>
  </si>
  <si>
    <t>Apoyo a la generación y formalización del empleo en el departamento del Quindío</t>
  </si>
  <si>
    <t>Incrementar en índice de competitividad  en el departamento del Quindío a través de la  formalización laboral y  generación de empleo con la  implementación  y promoción  del Ecosistemas de Emprendimientos  y la articulación con las entidades del sector trabajo.</t>
  </si>
  <si>
    <t>Servicio de asesoría técnica para el emprendimiento.</t>
  </si>
  <si>
    <t>360203201</t>
  </si>
  <si>
    <t>Emprendimientos fortalecidos</t>
  </si>
  <si>
    <t>Servicio de asistencia técnica para la generación y formalización del empleo</t>
  </si>
  <si>
    <t>360202904</t>
  </si>
  <si>
    <t>Talleres de oferta institucional realizados</t>
  </si>
  <si>
    <t>Servicio de información y monitoreo del mercado de trabajo</t>
  </si>
  <si>
    <t>360203000</t>
  </si>
  <si>
    <t>Reportes realizados</t>
  </si>
  <si>
    <t>Secretaría de Agricultura Desarrollo Rural y Medio Ambiente</t>
  </si>
  <si>
    <t>Agricultura y desarrollo rural</t>
  </si>
  <si>
    <t>Inclusión productiva de pequeños productores rurales. "Tú y yo con oportunidades para el pequeño campesino"</t>
  </si>
  <si>
    <t>Inclusión productiva de pequeños productores rurales</t>
  </si>
  <si>
    <t>Crecimiento económico del sector agropecuario (PIB)</t>
  </si>
  <si>
    <t>Servicio de asesoría para el fortalecimiento de la asociatividad</t>
  </si>
  <si>
    <t>170201100</t>
  </si>
  <si>
    <t>Asociaciones fortalecidas</t>
  </si>
  <si>
    <t xml:space="preserve">Fortalecimiento e implementación de procesos de asociatividad y emprendimiento rural en el Departamento del Quindío.  </t>
  </si>
  <si>
    <t>Aumentar en crecimiento económico del sector agropecuario (PIB), a través del  fortalecimiento de las organizaciones de  productores, mediante acciones de capacitación, acompañamiento, asesoría y seguimiento,  para el fomento de la cultura de la asociatividad.</t>
  </si>
  <si>
    <t>Secretario de Agricultura, Desarrollo Rural y Medio Ambiente</t>
  </si>
  <si>
    <t>Servicio de apoyo financiero para proyectos productivos</t>
  </si>
  <si>
    <t>170200700</t>
  </si>
  <si>
    <t>Proyectos productivos cofinanciados</t>
  </si>
  <si>
    <t>Servicio de apoyo financiero para el acceso a activos productivos y de comercialización</t>
  </si>
  <si>
    <t>170200900</t>
  </si>
  <si>
    <t>Productores apoyados con activos productivos y de comercialización</t>
  </si>
  <si>
    <t>Servicio de apoyo para el fomento organizativo de la agricultura campesina, familiar y comunitaria</t>
  </si>
  <si>
    <t>170201700</t>
  </si>
  <si>
    <t>Productores agropecuarios apoyados</t>
  </si>
  <si>
    <t xml:space="preserve">Implementación de procesos productivos agropecuarios familiares campesinos en busca de la soberanía y seguridad alimentaria en el Departamento del Quindío </t>
  </si>
  <si>
    <t>Aumentar en crecimiento económico del sector agropecuario (PIB), a través  del  acompañamiento técnico a los productores en la producción primaria ( Transferencia  de  Tecnología, financiación, Insumos, reconversión productiva, seguridad,  soberanía alimentaria, normalización de la  calidad  de  los  productos e  infraestructura  productiva  y  de  servicios),  con el propósito de consolidar en liderazgo  empresarial, la  asociatividad,  las  alianzas  estratégicas,  las  cadenas productivas y la cooperación  técnica.</t>
  </si>
  <si>
    <t>Servicio de apoyo para el acceso a maquinaria y equipos</t>
  </si>
  <si>
    <t>170201400</t>
  </si>
  <si>
    <t>Productores beneficiados con acceso a maquinaria y equipo</t>
  </si>
  <si>
    <t>Servicio de acompañamiento productivo y empresarial</t>
  </si>
  <si>
    <t>170202100</t>
  </si>
  <si>
    <t>Unidades productivas beneficiadas</t>
  </si>
  <si>
    <t>Servicio de apoyo a la comercialización</t>
  </si>
  <si>
    <t>170203800</t>
  </si>
  <si>
    <t>Organizaciones de productores formales apoyadas</t>
  </si>
  <si>
    <t xml:space="preserve">Fortalecimiento e implementación  de procesos de mercadeo y comercialización agropecuaria  en el Departamento del Quindío.                </t>
  </si>
  <si>
    <t>Aumentar en crecimiento económico del sector agropecuario (PIB), a través de la Formulación  e implementación de  programas y proyectos  integrales sostenibles,  mejoramiento de la  gestión de la calidad,   desarrollo de nuevos productos, inteligencia de mercados, estrategias de mercadeo y comercialización, sistemas de información, infraestructura y equipamiento.</t>
  </si>
  <si>
    <t>170203801</t>
  </si>
  <si>
    <t>Productores apoyados para la participación en mercados campesinos</t>
  </si>
  <si>
    <t>170202301</t>
  </si>
  <si>
    <t>Planes de Desarrollo Agropecuario y Rural elaborados</t>
  </si>
  <si>
    <t>Implementación de procesos de extensión agropecuaria e inocuidad (estatus sanitario, BPA, BPG) alimentaria; en el Departamento del Quindío</t>
  </si>
  <si>
    <t>Aumentar en crecimiento económico del sector agropecuario (PIB),  a través del desarrollo de  lineamientos para el fortalecimiento de habilidades, competencias técnicas, humanas,  financieras y estratégicas de los productores, para fortalecer la competitividad y sostenibilidad territorial del sector agropecuario.</t>
  </si>
  <si>
    <t>Servicios de acompañamiento en la implementación de planes de desarrollo agropecuario y rural</t>
  </si>
  <si>
    <t>170202400</t>
  </si>
  <si>
    <t>Planes de Desarrollo Agropecuario y Rural acompañados</t>
  </si>
  <si>
    <t>Servicio de apoyo en la formulación y estructuración de proyectos</t>
  </si>
  <si>
    <t>170202500</t>
  </si>
  <si>
    <t>Proyectos estructurados</t>
  </si>
  <si>
    <t xml:space="preserve">Servicio de apoyo en la formulación y estructuración de proyectos de Desarrollo Rural e inclusión productiva  campesina en el Departamento del Quindío  </t>
  </si>
  <si>
    <t>Aumentar en crecimiento económico del sector agropecuario (PIB),  a través de la Formulación  e implementación de  programas y proyectos qué permitan  en ajuste, fortalecimiento  y la  articulación  interinstitucional  pública, privada y académica, en cuanto a la  operativización de las competencias de investigación, educación,  extensión  y  asistencia  técnica  agropecuaria sostenible.</t>
  </si>
  <si>
    <t>Servicios financieros y gestión del riesgo para las actividades agropecuarias y rurales. "Tú y yo con un campo protegido"</t>
  </si>
  <si>
    <t>Servicios financieros y gestión del riesgo para las actividades agropecuarias y rurales</t>
  </si>
  <si>
    <t>Servicio de apoyo a la implementación de mecanismos y herramientas para el conocimiento, reducción y manejo de riesgos agropecuarios</t>
  </si>
  <si>
    <t>170301300</t>
  </si>
  <si>
    <t>Personas beneficiadas</t>
  </si>
  <si>
    <t xml:space="preserve">Apoyo a la Implementación de procesos para la prevención y mitigación de riesgos naturales del sector agropecuario en el Departamento del Quindío.  </t>
  </si>
  <si>
    <t>Aumentar en crecimiento económico del sector agropecuario (PIB), a través  del acompañamiento técnico, económico a los productores en la prevención y mitigación de riesgos naturales , gestionando en desarrollo y fortalecimiento de capacidades y habilidades técnicas, mediante transferencia de innovaciones tecnológicas y provisión de bienes y servicios.</t>
  </si>
  <si>
    <t>Ordenamiento social y uso productivo del territorio rural. "Tú y yo con un campo planificado"</t>
  </si>
  <si>
    <t>Ordenamiento social y uso productivo del territorio rural</t>
  </si>
  <si>
    <t>170400203</t>
  </si>
  <si>
    <t>Documentos de lineamientos para el ordenamiento social y productivo elaborados</t>
  </si>
  <si>
    <t>Implementación de procesos de ordenamiento productivo y social territorial en el Departamento del Quindío</t>
  </si>
  <si>
    <t>Aumentar en crecimiento económico del sector agropecuario (PIB), a través de la formulación  e implementación  de programas y proyectos agropecuarios, sostenibles, de reconversión productiva, para ajustar en uso de la tierra acorde con su aptitud, aunando esfuerzos para mejorar la formalización de la propiedad rural, siguiendo los lineamientos del Plan de Ordenamiento Productivo y Social de la Propiedad Rural (POPSPR).</t>
  </si>
  <si>
    <t>Servicio de apoyo para el fomento de la formalidad</t>
  </si>
  <si>
    <t>170401700</t>
  </si>
  <si>
    <t xml:space="preserve">Personas sensibilizadas en la formalización </t>
  </si>
  <si>
    <t>Aprovechamiento de mercados externos. "Tú y yo a los mercados internacionales"</t>
  </si>
  <si>
    <t>Aprovechamiento de mercados externos</t>
  </si>
  <si>
    <t>Servicio de apoyo financiero para la participación en ferias nacionales e internacionales</t>
  </si>
  <si>
    <t>170600400</t>
  </si>
  <si>
    <t>Participaciones en ferias nacionales e internacionales</t>
  </si>
  <si>
    <t xml:space="preserve"> Fortalecimiento de eventos y  ferias para la competitividad productiva y empresarial del sector rural en el Departamento del Quindío </t>
  </si>
  <si>
    <t xml:space="preserve"> Aumentar en crecimiento económico del sector agropecuario (PIB),  a través del comercio interior  y exterior, inteligencia de mercados,  sistemas de información, acompañamiento  y  financiación  en mercadeo y  comercialización.</t>
  </si>
  <si>
    <t>Sanidad agropecuaria e inocuidad agroalimentaria. "Tú y yo con un agro saludable"</t>
  </si>
  <si>
    <t xml:space="preserve">Sanidad agropecuaria e inocuidad agroalimentaria </t>
  </si>
  <si>
    <t>Servicio de divulgación y socialización</t>
  </si>
  <si>
    <t>170706900</t>
  </si>
  <si>
    <t>Eventos realizados</t>
  </si>
  <si>
    <t xml:space="preserve">Implementación de procesos de  sanidad e inocuidad alimentaria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</si>
  <si>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t>
  </si>
  <si>
    <t>Ciencia, tecnología e innovación agropecuaria. "Tú y yo con un agro interconectado"</t>
  </si>
  <si>
    <t>Ciencia, tecnología e innovación agropecuaria</t>
  </si>
  <si>
    <t>170801600</t>
  </si>
  <si>
    <t>Documentos de lineamientos técnicos elaborados</t>
  </si>
  <si>
    <t xml:space="preserve"> Implementación de procesos de innovación, ciencia y tecnología agropecuario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</si>
  <si>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 mediante la implementación de  sistemas de información y  metodologías del SNCCTI y SNIA, en el marco de la adopción e implementación de las Agendas de Competitividad, PEDCTI,  PECTIA, POPSPR y PDEA, entre otras.</t>
  </si>
  <si>
    <t>Servicio de información actualizado</t>
  </si>
  <si>
    <t>170805100</t>
  </si>
  <si>
    <t>Sistemas de información actualizados</t>
  </si>
  <si>
    <t>Infraestructura productiva y comercialización. "Tú y yo con agro competitivo"</t>
  </si>
  <si>
    <t>Infraestructura productiva y comercialización</t>
  </si>
  <si>
    <t>Centros logísticos agropecuarios adecuados</t>
  </si>
  <si>
    <t xml:space="preserve">Implementación de procesos de agro industrialización con calidad e inocuidad en el Departamento del Quindío </t>
  </si>
  <si>
    <t xml:space="preserve"> Aumentar en crecimiento económico del sector agropecuario (PIB), a través del   fortalecimiento  y la  articulación  interinstitucional  pública, privada y académica, en cuanto a la  operativización de las competencias de investigación, educación,  extensión  y  asistencia  técnica agroindustrial, así  como  en  fomento  al  crédito, a la  infraestructura  productiva y en mejoramiento  continuo   de  la  calidad  de  vida  de  los  empresarios rurales.</t>
  </si>
  <si>
    <t>Infraestructura de pos cosecha adecuada</t>
  </si>
  <si>
    <t>170903400</t>
  </si>
  <si>
    <t>Servicio de procesamiento de caña panelera</t>
  </si>
  <si>
    <t>170909300</t>
  </si>
  <si>
    <t>Trapiches paneleros con servicio de procesamiento de caña.</t>
  </si>
  <si>
    <t>Crecimiento económico del sector agropecuario (PIB)
Tasa desempleo</t>
  </si>
  <si>
    <t>Servicio de asistencia técnica para emprendedores y/o empresas en edad temprana</t>
  </si>
  <si>
    <t>350201701</t>
  </si>
  <si>
    <t xml:space="preserve">Necesidades empresariales atendidas a partir de emprendimientos </t>
  </si>
  <si>
    <t xml:space="preserve">Fortalecimiento  de nuevos emprendimientos e iniciativas clúster de las cadenas promisorias agropecuarias en el Departamento del Quindío.                     </t>
  </si>
  <si>
    <t xml:space="preserve"> Aumentar en crecimiento económico del sector agropecuario (PIB),  a través de acciones de capacitación, acompañamiento, asesoría, y seguimiento en competencias administrativas, organizacionales, mercados, extensión, planes de negocio y coordinación interinstitucional para el fomento de la cultura de asociatividad mediante alianzas Clúster</t>
  </si>
  <si>
    <t>Servicio de asistencia técnica para el desarrollo de iniciativas clústeres</t>
  </si>
  <si>
    <t>3201</t>
  </si>
  <si>
    <t>Fortalecimiento del desempeño ambiental de los sectores productivos. "Tú y yo guardianes de la biodiversidad.</t>
  </si>
  <si>
    <t>Fortalecimiento del desempeño ambiental de los sectores productivos</t>
  </si>
  <si>
    <t>Documentos de lineamientos técnicos para mejorar la calidad ambiental de las áreas urbanas</t>
  </si>
  <si>
    <t>320101300</t>
  </si>
  <si>
    <t>Documentos de lineamientos técnicos para  mejorar la calidad ambiental de las áreas urbanas elaborados</t>
  </si>
  <si>
    <t xml:space="preserve">Fortalecimiento  de los procesos de Gestión Ambiental Urbana y Rural para la protección del Paisaje y la Biodiversidad en el  departamento del   Quindío  </t>
  </si>
  <si>
    <t>Incrementar en porcentaje de ecosistemas protegidos y/o en procesos de restauración en el Departamento, a través del apoyo a los entes territoriales en la generación de lineamientos técnicos qué permitan mejorar la gestión y manejo de los relictos boscosos, los humedales y la silvicultura en áreas urbanas mejorando la calidad ambiental del Departamento. Además,   de la realización de campañas de monitoreo de calidad del aire .</t>
  </si>
  <si>
    <t>Servicio de vigilancia de la calidad del aire</t>
  </si>
  <si>
    <t>320100805</t>
  </si>
  <si>
    <t>Campaña de monitoreo de calidad del aire realizadas</t>
  </si>
  <si>
    <t>Conservación de la biodiversidad y sus servicios ecosistémicos. "Tú y yo en territorios biodiversos"</t>
  </si>
  <si>
    <t>Conservación de la biodiversidad y sus servicios ecosistémicos</t>
  </si>
  <si>
    <t>Servicio de recuperación de cuerpos de agua lénticos y lóticos</t>
  </si>
  <si>
    <t>320203704</t>
  </si>
  <si>
    <t>Bosque ripario recuperado</t>
  </si>
  <si>
    <t xml:space="preserve">Generación y desarrollo de acciones para la conservación de las áreas de importancia estratégica hídrica en el Departamento del Quindío </t>
  </si>
  <si>
    <t xml:space="preserve">Incrementar en porcentaje de ecosistemas protegidos y/o en procesos de restauración en el Departamento, a través de la  Adquisición y Mantenimiento de áreas estratégicas  de protección, en cumplimiento de las disposiciones de la Ley 99 de 1993, los instrumentos de Planeación Ambiental (POMCA del Río La Vieja) ;   promoción y recuperación de los cuerpos hídricos  mediante en enriquecimiento de especies nativas en los bosques riparios y la  promoción y desarrollo de esquemas de pago por servicios ambientales qué incentiven  la preservación de áreas de importancia estratégica para la conservación del recurso hídrico en el departamento. </t>
  </si>
  <si>
    <t>Adquisición, mantenimiento y administración de áreas de importancia estratégica para la conservación y regulación del recurso hídrico.</t>
  </si>
  <si>
    <t xml:space="preserve">Número de Hectáreas intervenidas </t>
  </si>
  <si>
    <t>Extensión de cuerpos de agua recuperados</t>
  </si>
  <si>
    <t>Servicio apoyo financiero para la implementación de esquemas de pago por servicios ambientales</t>
  </si>
  <si>
    <t>Servicio apoyo financiero para la implementación de esquemas de pago por Servicios ambientales</t>
  </si>
  <si>
    <t>320201700</t>
  </si>
  <si>
    <t xml:space="preserve">Esquemas de pago por Servicio ambientales implementados </t>
  </si>
  <si>
    <t xml:space="preserve">Áreas con esquemas de pago por Servicios Ambientales implementados </t>
  </si>
  <si>
    <t xml:space="preserve">Estrategia  departamental para la protección y bienestar de los animales domésticos y silvestres del Departamento </t>
  </si>
  <si>
    <t>Servicio de educación informal en el marco de la conservación de la biodiversidad y los Servicio ecosistémicos</t>
  </si>
  <si>
    <t>Estrategia  para la protección y bienestar de los animales domésticos y silvestres adoptada</t>
  </si>
  <si>
    <t>Talleres realizados</t>
  </si>
  <si>
    <t xml:space="preserve">Apoyo a la generación de entornos  amigables para los animales  domésticos y silvestres en el departamento del Quindío </t>
  </si>
  <si>
    <t>Incrementar en porcentaje de ecosistemas protegidos y/o en procesos de restauración en el Departamento, a través de la implementación de  la estrategia “Quindío libre de maltrato animal”, en asocio con los diferentes sectores e instituciones del departamento, para  la protección de la fauna silvestre y doméstica,  qué generen en la  comunidad   concientización de la  tenencia responsable de mascotas y un departamento sin tráfico de fauna.</t>
  </si>
  <si>
    <t>Realizar  campaña  de sensibilización y apropiación del patrimonio ambiental en el Departamento</t>
  </si>
  <si>
    <t>Campaña  de sensibilización y apropiación del patrimonio ambiental realizada</t>
  </si>
  <si>
    <t xml:space="preserve">Realización de campañas de sensibilización y apropiación del patrimonio ambiental  del paisaje, la biodiversidad y sus servicios ecosistémicos en el Departamento del Quindío </t>
  </si>
  <si>
    <t>Incrementar en porcentaje de ecosistemas protegidos y/o en procesos de restauración en el Departamento,  a través de la realización de  campañas educativas ambientales qué permitan la apropiación y sensibilización del patrimonio ambiental y en Paisaje Cultural Cafetero,    en  los sectores institucionales, educativos y sociales, articulados con el Comité Interinstitucional de Educación Ambiental CIDEA y los Proyectos Educativos Ambientales PRAES.</t>
  </si>
  <si>
    <t>3204</t>
  </si>
  <si>
    <t>Gestión de la información y en conocimiento ambiental. "Tú y yo conscientes con la naturaleza"</t>
  </si>
  <si>
    <t xml:space="preserve">Gestión de la información y el conocimiento ambiental </t>
  </si>
  <si>
    <t>Servicio de apoyo financiero a emprendimientos</t>
  </si>
  <si>
    <t>320401200</t>
  </si>
  <si>
    <t xml:space="preserve">Emprendimientos apoyados </t>
  </si>
  <si>
    <t xml:space="preserve">Apoyo a nuevos modelos de vida sostenibles, sustentables y eficientes en el suelo rural y urbano en el Departamento del Quindío  </t>
  </si>
  <si>
    <t xml:space="preserve"> Incrementar en porcentaje de ecosistemas protegidos y/o en procesos de restauración en el Departamento, a través del apoyo a iniciativas de emprendimientos verdes qué incorporen conceptos de eficiencia ambiental como economía circular, carbono neutral, agricultura regenerativa  entre otros.</t>
  </si>
  <si>
    <t>3205009</t>
  </si>
  <si>
    <t>Barreras rompe vientos recuperadas</t>
  </si>
  <si>
    <t>320500900</t>
  </si>
  <si>
    <t>Barreras rompe vientos</t>
  </si>
  <si>
    <t>Implementación de un programa  de protección del  patrimonio ambiental  en paisaje la biodiversidad y sus servicios ecosistémicos en el Departamento de  Quindio</t>
  </si>
  <si>
    <t xml:space="preserve">Aumentar en porcentaje de ecosistemas protegidos y/o en procesos de restauración en el Departamento, a través de la implementación de  estrategias que permitan en desarrollo de acciones de adaptación y mitigación de los efectos del cambio climático con la  intervención de obras  de estabilización de taludes, control erosión  y barreras rompe vientos. </t>
  </si>
  <si>
    <t>3205014</t>
  </si>
  <si>
    <t>Obras para el control de erosión</t>
  </si>
  <si>
    <t>320501400</t>
  </si>
  <si>
    <t xml:space="preserve">Área reforestada </t>
  </si>
  <si>
    <t>3206</t>
  </si>
  <si>
    <t>Gestión del cambio climático para un desarrollo bajo en carbono y resiliente al clima. "Tú y yo preparados para el cambio climático"</t>
  </si>
  <si>
    <t>Gestión del cambio climático para un desarrollo bajo en carbono y resiliente al clima</t>
  </si>
  <si>
    <t>3206005</t>
  </si>
  <si>
    <t>Servicio de divulgación de la información en gestión del cambio climático para un desarrollo bajo en carbono y resiliente al clima</t>
  </si>
  <si>
    <t>320600500</t>
  </si>
  <si>
    <t xml:space="preserve">Campañas de información en gestión de cambio climático realizadas </t>
  </si>
  <si>
    <t>Implementación  de acciones de Gestión del Cambio Climático en el marco del PIGCC en el Departamento del Quindío  Quindio</t>
  </si>
  <si>
    <t xml:space="preserve">Aumentar en porcentaje de ecosistemas protegidos y/o en procesos de restauración en el Departamento,  a través   de  la realización de campañas educativas ambientales,  Servicios de producción de Plántulas  en viveros  e instalación de estufas ecoeficientes,   qué permitan la protección de patrimonio ambiental,  en paisaje, la biodiversidad y sus servicios ecosistémicos. </t>
  </si>
  <si>
    <t>Servicio de producción de plántulas en viveros</t>
  </si>
  <si>
    <t>320601400</t>
  </si>
  <si>
    <t>Plántulas producidas</t>
  </si>
  <si>
    <t>3206015</t>
  </si>
  <si>
    <t>Estufas ecoeficientes</t>
  </si>
  <si>
    <t>320601500</t>
  </si>
  <si>
    <t>Estufas ecoeficientes instaladas y en operación</t>
  </si>
  <si>
    <t>Secretaría Privada</t>
  </si>
  <si>
    <t>Desarrollo de  la Política  de Transparencia, Acceso a la Información Pública y Lucha Contra la Corrupción del Modelo Integrado de Planificación y Gestión MIPG, articulada con el "Pacto por la Integridad , Transparencia y Legalidad" del Gobierno Nacional</t>
  </si>
  <si>
    <t xml:space="preserve">Política de Transparencia, Acceso a la Información Pública y Lucha Contra la Corrupción  articulada   con el "Pacto por la Integridad , Transparencia y Legalidad" del Gobierno Nacional desarrollada.                                                                                   </t>
  </si>
  <si>
    <t>Herramientas implementada</t>
  </si>
  <si>
    <t>Implementación de la Política de Transparencia, Acceso a la Información Pública y Lucha Contra la Corrupción del Modelo Integrado de Planificación y Gestión MIPG, articulada con el "Pacto por la Integridad, Transparencia y Legalidad"  en el Departamento del Quindío</t>
  </si>
  <si>
    <t>Aumentar Índice de Gestión del Modelo Integrado de Planeación y de Gestión MIPG  del Departamento del Quindío, a través de desarrollo de la Política de Transparencia, Acceso a la Información Pública y Lucha Contra la Corrupción del Modelo Integrado de Planificación y Gestión MIPG, articulada con el "Pacto por la Integridad, Transparencia y Legalidad" del Gobierno Nacional, basado en la generación de cambios culturales en la institucionalidad y la ciudadanía.</t>
  </si>
  <si>
    <t>Secretario Privada</t>
  </si>
  <si>
    <t>Desarrollo e implementación de la estrategia de comunicaciones para la Administración Departamental</t>
  </si>
  <si>
    <t>Estrategia de comunicaciones desarrollada e implementada</t>
  </si>
  <si>
    <t>Desarrollo e implementación de  una estrategia  de comunicaciones  de la gestión institucional  de la Administración Departamental del Quindío "Hacia un  gobierno abierto".</t>
  </si>
  <si>
    <t>Aumentar Índice de Gestión del Modelo Integrado de Planeación y de Gestión MIPG  del Departamento del Quindío, a través del desarrollo e implementación de la estrategia de comunicaciones para la administración departamental,  conducente a la divulgación de la  oferta institucional a nivel departamental, nacional e internacional, con el propósito de acercar a la comunidad y en Estado, incrementado de esta forma, la participación de los diferentes actores de la gestión territorial.</t>
  </si>
  <si>
    <t>Director Oficina Privada</t>
  </si>
  <si>
    <t xml:space="preserve">Encuentros ciudadanos en el Departamento del Quindío en aplicación de la Política de Transparencia, Acceso a la Información Pública y Lucha contra la Corrupción.  </t>
  </si>
  <si>
    <t>Encuentros  ciudadanos realizados.</t>
  </si>
  <si>
    <t>Fortalecimiento de  las capacidades institucionales de la administración departamental del Quindío, para generar condiciones de gobernanza territorial, participación, administración eficiente y transparente.</t>
  </si>
  <si>
    <t xml:space="preserve">Incrementar en porcentaje promedio  de participación de ciudadanos en los eventos de elección popular,  a través de la realización de  encuentros ciudadanos como un mecanismo de gobernabilidad para identificar los problemas y necesidades más sentidas de la comunidad, enmarcado en la generación de soluciones adecuadas, a través de la ejecución de proyectos qué propicien en desarrollo territorial participativo e incluyente </t>
  </si>
  <si>
    <t>Secretaría de Educación</t>
  </si>
  <si>
    <t>Tasa de cobertura bruta en educación básica
Tasa de cobertura en educación media
Tasa de Analfabetismo
Tasa de deserción escolar intra-anual
Tasa de repitencia</t>
  </si>
  <si>
    <t>Servicio educación formal por modelos educativos flexibles</t>
  </si>
  <si>
    <t>Beneficiarios atendidos con modelos educativos flexibles</t>
  </si>
  <si>
    <t>Fortalecimiento de Estrategias de Acceso, Bienestar y Permanencia en el Sector Educativo del Departamento del Quindío</t>
  </si>
  <si>
    <t>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t>
  </si>
  <si>
    <t>Secretaria de Educación</t>
  </si>
  <si>
    <t xml:space="preserve">Tasa de cobertura bruta en educación básica
Tasa de cobertura en educación media
</t>
  </si>
  <si>
    <t>Servicio de apoyo para la implementación de la estrategia educativa del sistema de responsabilidad penal para adolescentes</t>
  </si>
  <si>
    <t>Entidades Territoriales certificadas con asistencia técnica para el fortalecimiento de la estrategia educativa del sistema de responsabilidad penal para adolescentes</t>
  </si>
  <si>
    <t>Tasa de cobertura bruta en transición
Tasa de cobertura bruta en educación básica
Tasa de cobertura en educación media
Tasa de deserción escolar intra-anual
Tasa de repitencia</t>
  </si>
  <si>
    <t>Servicio de apoyo para el fortalecimiento de escuelas de padres</t>
  </si>
  <si>
    <t>Escuelas de padres apoyadas</t>
  </si>
  <si>
    <t>Servicio de apoyo a la permanencia con alimentación escolar</t>
  </si>
  <si>
    <t>Beneficiarios de la alimentación escolar</t>
  </si>
  <si>
    <t>Servicio de apoyo a la permanencia con transporte escolar</t>
  </si>
  <si>
    <t>Beneficiarios de transporte escolar</t>
  </si>
  <si>
    <t xml:space="preserve">Tasa de cobertura bruta en transición
Tasa de cobertura bruta en educación básica
Tasa de cobertura en educación media 
Tasa de deserción escolar intra-anual </t>
  </si>
  <si>
    <t>Infraestructura educativa dotada</t>
  </si>
  <si>
    <t>Sedes dotadas</t>
  </si>
  <si>
    <t>Tasa de cobertura bruta en transición</t>
  </si>
  <si>
    <t>Servicio de atención integral para la primera infancia</t>
  </si>
  <si>
    <t>Instituciones educativas oficiales que implementan en nivel preescolar en el marco de la atención integral</t>
  </si>
  <si>
    <t>Fortalecimiento para la gestión de la educación inicial y preescolar en el marco de la atención integral a la primera infancia en el Departamento del Quindío.</t>
  </si>
  <si>
    <t>Aumentar las coberturas de asistencia técnica en educación inicial y transición en el departamento del Quindío, a través de estrategias de mejoramiento de la calidad de la educación inicial en el nivel de preescolar en los Establecimientos Educativos Oficiales del departamento con la  apropiación de  políticas  y  lineamientos pedagógicos expedidos por el Ministerio de Educación Nacional.</t>
  </si>
  <si>
    <t>Porcentaje de pruebas SABER 5 Lenguaje (nivel Insuficiente) 
Porcentaje de pruebas SABER 5 Matemáticas (nivel Insuficiente) 
Porcentaje de pruebas SABER 9 Lenguaje (nivel Insuficiente)  
Porcentaje de pruebas SABER 9 Matemáticas (nivel Insuficiente) 
Porcentaje de Colegios pruebas SABER 11 con resultado A+ - A</t>
  </si>
  <si>
    <t>Servicio de evaluación de la calidad de la educación preescolar, básica o media.</t>
  </si>
  <si>
    <t>Estudiantes evaluados con pruebas de calidad educativa</t>
  </si>
  <si>
    <t>Fortalecimiento de la Calidad Educativa con inclusión y equidad para el Desarrollo Integral de niños, niñas, adolescentes y jóvenes en el Departamento del Quindío.</t>
  </si>
  <si>
    <t>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t>
  </si>
  <si>
    <t>Tasa de cobertura bruta en transición
Tasa de cobertura bruta en educación básica
Tasa de cobertura en educación media 
Tasa de deserción escolar intra-anual 
Cobertura de Instituciones Educativas con Planes Escolares de Gestión del Riesgo de Desastres-PEGERD</t>
  </si>
  <si>
    <t>Servicio de acondicionamiento de ambientes de aprendizaje</t>
  </si>
  <si>
    <t>Ambientes de aprendizaje en funcionamiento</t>
  </si>
  <si>
    <t>Tasa de cobertura bruta en transición
Tasa de cobertura bruta en educación básica
Tasa de cobertura en educación media
Tasa de Analfabetismo
Tasa de deserción escolar intra-anual
Tasa de repitencia</t>
  </si>
  <si>
    <t>Servicio de asistencia técnica en educación inicial, preescolar, básica y media</t>
  </si>
  <si>
    <t>Entidades y organizaciones asistidas técnicamente</t>
  </si>
  <si>
    <t>Fortalecimiento territorial para una gestión educativa integral en la Secretaría de Educación Departamental del Quindío</t>
  </si>
  <si>
    <t>Aumentar las tasas de cobertura bruta y disminuir las tasas  repitencia y deserción escolar, a través del fortalecimiento  del seguimiento y evaluación de la gestión institucional, buscando potenciar en los diferentes equipos de trabajo, las capacidades para ejecutar procesos de gestión integrales y articulados en la prestación del servicio educativo de calidad</t>
  </si>
  <si>
    <t>Servicio educativo</t>
  </si>
  <si>
    <t>Establecimientos educativos en operación</t>
  </si>
  <si>
    <t>Servicio de accesibilidad a contenidos web para fines pedagógicos</t>
  </si>
  <si>
    <t>Establecimientos educativos conectados a internet</t>
  </si>
  <si>
    <t>Fortalecimiento de las  Tecnologías de Información y Comunicación TIC,  para una innovación educativa de calidad en el departamento del Quindío.</t>
  </si>
  <si>
    <t>Aumentar las tasas de cobertura bruta y disminuir las tasas  repitencia y deserción escolar a través de la implementación de  estrategias basadas en las Tecnologías de la Información para los Establecimientos  Educativos y la  Secretaria de Educación Departamental, permitiendo dar una respuesta pertinente a las necesidades en los diferentes recursos tecnológicos, propiciando una Gestión Educativa Integral.</t>
  </si>
  <si>
    <t>Servicios de información en materia educativa</t>
  </si>
  <si>
    <t>Observatorio implementado</t>
  </si>
  <si>
    <t>Implementación del observatorio de educación, con el fin de recopilar y producir información del sector educativo con enfoque territorial.</t>
  </si>
  <si>
    <t>Aumentar las tasas de cobertura bruta y disminuir las tasas  repitencia y deserción escolar, a través del diseño e implementación en   Observatorio de Investigación, Innovación y Documentación Educativa del Departamento del Quindío.</t>
  </si>
  <si>
    <t>Fortalecimiento de la educación media para la articulación con la educación superior o terciaria. "Tú y yo preparados para la educación superior"</t>
  </si>
  <si>
    <t xml:space="preserve">Calidad y fomento de la educación superior </t>
  </si>
  <si>
    <t>Tasa de cobertura en educación superior</t>
  </si>
  <si>
    <t>Servicio de apoyo para el acceso y la permanencia a la educación superior o terciaria</t>
  </si>
  <si>
    <t>Estrategias o programas de  fomento para  acceso y  permanencia a la educación superior o terciaria implementados</t>
  </si>
  <si>
    <t>Estrategias y programas de  fomento para acceso y  permanencia a la educación superior o postsecundaria implementados</t>
  </si>
  <si>
    <t>Fortalecimiento de estrategias para el acceso y la permanencia  de los estudiantes egresados de los Establecimientos Educativos Oficiales a la educación superior o terciaria en el Departamento del Quindío.</t>
  </si>
  <si>
    <t>Aumentar la tasa de cobertura en educación superior,  a través del fortalecimiento del acceso y la permanencia de los estudiantes egresados de los Establecimientos Educativos Oficiales   adscritos a la Secretaría de Educación Departamental a la educación técnica, tecnológica o superior.</t>
  </si>
  <si>
    <t>Secretaría de Familia</t>
  </si>
  <si>
    <t>Salud Pública, "Tú y yo con salud de calidad"</t>
  </si>
  <si>
    <t xml:space="preserve">Salud pública </t>
  </si>
  <si>
    <t>Razón de mortalidad materna (por 100.000 nacidos vivos)
Porcentaje de atención institucional del parto.
Tasa  de mujeres de 10 a 14 años qué han sido madres o están en embarazo.
Tasa de mujeres de 15 a 19 años qué han sido madres o están en embarazo.
Prevalencia de VIH/SIDA en población de 15 a 49 años de edad.
Tasa de mortalidad asociada a VIH/SIDA.
Porcentaje transmisión materno -infantil del VIH.
Cobertura de tratamiento antirretroviral</t>
  </si>
  <si>
    <t xml:space="preserve">Servicio de gestión del riesgo en temas de salud sexual y reproductiva </t>
  </si>
  <si>
    <t>Campañas de gestión del riesgo en temas de salud sexual y reproductiva implementadas.</t>
  </si>
  <si>
    <t xml:space="preserve">Diseño e implementación de campañas para la promoción de la vida y prevención del consumo de sustancias psicoactivas en el Departamento del Quindío. "TU Y YO UNIDOS POR LA VIDA".  </t>
  </si>
  <si>
    <t xml:space="preserve">Disminuir las tasas  de mortalidad materna, embarazos, violencia y suicidios en el Departamento del Quindío, a través del fomento de  hábitos de vida saludables y derechos sexuales y reproductivos. </t>
  </si>
  <si>
    <t>Secretaria de Familia</t>
  </si>
  <si>
    <t>Tasa de violencia de género.
Tasa de Suicidio  x 100.000 Habitantes en el Departamento del Quindío.
Tasa de suicidios en niños y niñas ( 6 a 11 años)
Tasa de suicidios en adolescentes (12 a 17 años)
Tasa de suicidios (18 - 28 años)Tasa de Consumo de Sustancias Psicoactivas  x 100.000 Habitantes en el Departamento del Quindío.</t>
  </si>
  <si>
    <t xml:space="preserve">Servicio de gestión del riesgo en temas de trastornos mentales </t>
  </si>
  <si>
    <t>Campañas de gestión del riesgo en temas de trastornos mentales implementadas</t>
  </si>
  <si>
    <t>Cobertura  de municipios   con  jóvenes en riesgo psicosocial impactados en los  barrios vulnerables del Departamento del Quindío</t>
  </si>
  <si>
    <t>Servicio de educación informal al sector artístico y cultural</t>
  </si>
  <si>
    <t>Capacitaciones de educación informal realizadas</t>
  </si>
  <si>
    <t xml:space="preserve">Implementación acciones de fortalecimiento  de los entornos protectores de los jóvenes en barrios vulnerables de los municipios, del Departamento del Quindío. </t>
  </si>
  <si>
    <t>Aumentar la cobertura  de municipios con jóvenes en riesgo psicosocial impactados en los barrios vulnerables del Departamento del Quindío, a través de la implementación de acciones que permitan fortalecer los entornos protectores de los jóvenes en riesgo psicosocial por consumo de sustancias psicoactivas, comportamiento suicida, Violencia Intrafamiliar, en barrios vulnerables, de los municipios, del Departamento del Quindío.</t>
  </si>
  <si>
    <t>Inclusión social y Reconciliación</t>
  </si>
  <si>
    <t>Desarrollo Integral de Niños, Niñas, Adolescentes y sus Familias. "Tú y yo niños, niñas y adolescentes con desarrollo integral"</t>
  </si>
  <si>
    <t>Desarrollo integral de la primera infancia a la juventud, y fortalecimiento de las capacidades de las familias de niñas, niños y adolescentes</t>
  </si>
  <si>
    <t xml:space="preserve">Cobertura en la  implementación del  Modelo de entornos protectores y atención integral de   la primera infancia </t>
  </si>
  <si>
    <t xml:space="preserve">Diseñar e implementar un modelo de atención integral en entornos protectores para la primera infancia </t>
  </si>
  <si>
    <t>Modelo de atención integral de entornos protectores implementado</t>
  </si>
  <si>
    <t xml:space="preserve">Diseño e implementación de un  Modelo de  atención integral a la primera infancia  a través de las Rutas Integrales de Atención  RIA en el Departamento del  Quindío </t>
  </si>
  <si>
    <t>Aumentar la cobertura en la implementación del Modelo de Entornos Protectores y Atención Integral de la Primera Infancia, a través de la atención integral a los niños y niñas, promoviendo la aplicabilidad de las rutas integrales de atención y  entornos protectores seguros en el departamento Quindío.</t>
  </si>
  <si>
    <t xml:space="preserve">Cobertura  en la  implementación y seguimiento de las   Rutas integrales de atención  a la primera infancia </t>
  </si>
  <si>
    <t xml:space="preserve">Implementar y realizar seguimiento a las rutas integrales de atención </t>
  </si>
  <si>
    <t xml:space="preserve">Servicio de atención integral a la primera infancia </t>
  </si>
  <si>
    <t xml:space="preserve">Número de rutas integrales de atención  a la  primera infancia implementadas y con seguimiento </t>
  </si>
  <si>
    <t>Niños y niñas atendidos en servicio integrales</t>
  </si>
  <si>
    <t>Tasa de Violencia Intrafamiliar x 100.000 Habitantes en el Departamento del Quindío.
Tasa de violencia de pareja cuando la víctima está entre los 18 y 28 años 
Tasa de violencia de Género
Tasa de Suicidio  x 100.000 Habitantes en el Departamento del Quindío.
Tasa  de Niños, Niñas y Adolescentes qué participan en una actividad remunerada  o no  x cada 100.000 habitantes  en el departamento del Quindío
Tasa  de mujeres de 12 a 14 años qué han sido madres o están en embarazo X 100.000 habitantes en el Departamento del Quindío
Cobertura a los grupos de adulto mayor del departamento del Quindío en articulación con los Municipios, en el marco de garantizar estimulación física, cognitiva, emocional y social en bienestar de una vejez activa y saludable</t>
  </si>
  <si>
    <t xml:space="preserve">Implementar la  política pública para la protección, en fortalecimiento y en desarrollo integral de la familia Quindiana </t>
  </si>
  <si>
    <t>4102043</t>
  </si>
  <si>
    <t xml:space="preserve">Servicio de promoción de temas de dinámica relacional y desarrollo autónomo </t>
  </si>
  <si>
    <t>Política Pública de Familia  implementada</t>
  </si>
  <si>
    <t>410204300</t>
  </si>
  <si>
    <t>Familias atendidas</t>
  </si>
  <si>
    <t xml:space="preserve"> Implementación de la  política pública  de Familia para la  promoción  del desarrollo integral de la población del Departamento del Quindío. </t>
  </si>
  <si>
    <t xml:space="preserve">Disminuir las tasas de violencia intrafamiliar, suicidio y embarazos en el departamento del Quindío a través del Desarrollo de  estrategias,  programas y proyectos en el marco de la implementación y seguimiento de la Política Pública de Familia para promover en desarrollo integral de la población. </t>
  </si>
  <si>
    <t>.- Tasa de violencia contra niños y niñas o a 5 años       
.- Tasa de violencia contra niños y niñas de 6 a 11 años
.- Tasa de violencia contra niños y niñas de 12 a 17 años
-Tasa de niños, niñas y adolescentes víctimas de violencia sexual  x 100 mil habitantes   en el Departamento del Quindío
-Tasa de suicidios en adolescentes (12 a 17 años)
-Tasa  de Niños, Niñas y Adolescentes qué participan en una actividad remunerada  o no  x cada 100.000 habitantes  en el departamento del Quindío
-Tasa  de mujeres de 12 a 14 años qué han sido madres o están en embarazo X 100.000 habitantes en el Departamento del Quindío
-Tasa de Consumo de Sustancias Psicoactivas  x 100.000 Habitantes en el Departamento del Quindío.</t>
  </si>
  <si>
    <t>Implementar  la política pública de primera infancia, infancia y adolescencia</t>
  </si>
  <si>
    <t>Servicio de promoción de temas de dinámica relacional y desarrollo autónomo</t>
  </si>
  <si>
    <t xml:space="preserve">Política Pública de Primera Infancia, Infancia y Adolescencia implementada. </t>
  </si>
  <si>
    <t>Niños, niñas y adolescentes atendidos</t>
  </si>
  <si>
    <t xml:space="preserve">Revisión, ajuste  e implementación de  la política pública de primera infancia, infancia y adolescencia en el Departamento del Quindío  </t>
  </si>
  <si>
    <t xml:space="preserve">Disminuir las tasa de violencia  contra niños, niñas y adolescentes, embarazos a temprana edad y consumo de sustancias psicoactivas en el Departamento del Quindío, a través del desarrollo de estrategias, proyectos y programas en el marco de la implementación y seguimiento de la Política Pública de Primera Infancia, Infancia y Adolescencia, al igual que su ajuste, para promover en desarrollo integral de la población. </t>
  </si>
  <si>
    <t>Tasa de Suicidio  x 100.000 Habitantes en el Departamento del Quindío.
Tasa de violencia de pareja cuando la víctima está entre los 18 y 28 años 
Tasa de violencia de Género
Tasa de Violencia Intrafamiliar x 100.000 Habitantes en el Departamento del Quindío.
Tasa de Consumo de Sustancias Psicoactivas  x 100.000 Habitantes en el Departamento del Quindío.
Cobertura de adolescentes y jóvenes atendidos en Post egreso, en los servicios de restablecimiento en la administración de justicia.
Cobertura  de municipios   con  jóvenes en riesgo psicosocial impactados en los  Barrios vulnerables del Departamento del Quindío</t>
  </si>
  <si>
    <t xml:space="preserve">Implementar  la política pública de juventud </t>
  </si>
  <si>
    <t>Servicio dirigidos a la atención de niños, niñas, adolescentes y jóvenes, con enfoque pedagógico y restaurativo encaminados a la inclusión social</t>
  </si>
  <si>
    <t>Política Pública de Juventud implementada</t>
  </si>
  <si>
    <t>Niños, niñas, adolescentes y jóvenes atendidos en los servicios de restablecimiento en la administración de justicia</t>
  </si>
  <si>
    <t xml:space="preserve">Implementación de  la política pública de juventud en el Departamento del Quindío  </t>
  </si>
  <si>
    <t xml:space="preserve"> Disminuir las tasa de violencia intrafamiliar,  consumo de sustancias psicoactivas y suicidio en el Departamento del Quindío a través de la revisión, ajuste e implementación la política pública de juventud con el propósito de desarrollar estrategias, programas y acciones acordes  con la normatividad y las nuevas dinámicas sociales. </t>
  </si>
  <si>
    <t>Tasa de Violencia Intrafamiliar x 100.000 Habitantes en el Departamento del Quindío.
Tasa de violencia de Género</t>
  </si>
  <si>
    <t>Rutas integrales de atención en violencia intrafamiliar y  violencia de género</t>
  </si>
  <si>
    <t>Servicio de asistencia técnica a comunidades en temas de fortalecimiento del tejido social y construcción de escenarios comunitarios protectores de derechos</t>
  </si>
  <si>
    <t>Capacitación en activación de las Rutas Integrales de Atención en Violencia Intrafamiliar y de Género, a trabajadores de Supermercados y Tenderos de los Municipios realizadas</t>
  </si>
  <si>
    <t>Acciones ejecutadas con las comunidades</t>
  </si>
  <si>
    <t xml:space="preserve">Diseño e implementación del programa de acompañamiento familiar y comunitario con enfoque preventivo en los tipos de violencia en el Departamento del Quindío "TU Y YO COMPROMETIDOS CON LA FAMILIA" </t>
  </si>
  <si>
    <t xml:space="preserve"> Disminuir las tasa de violencia   intrafamiliar y de género en el Departamento del Quindío , a través de la  articulación de acciones  con aliados estratégicos para capacitar a trabajadores de Supermercados y “tenderos” de los barrios, en la activación de Rutas Integrales de Atención en Violencia Intrafamiliar y Violencia de género. </t>
  </si>
  <si>
    <t>Cobertura de atención de niños y niñas en Hogar Infantil Nocturno, hijos de trabajadoras sexuales en el Departamento del Quindío</t>
  </si>
  <si>
    <t xml:space="preserve">Atención integral a niños y niñas en primera infancia en espacios socialmente no convencionales: tiempos no convencionales </t>
  </si>
  <si>
    <t>Servicio de atención integral a la primera infancia</t>
  </si>
  <si>
    <t xml:space="preserve">Atención integral a niños y niñas en primera infancia en espacios socialmente no convencionales implementados </t>
  </si>
  <si>
    <t>Niños y niñas atendidos en servicios integrales</t>
  </si>
  <si>
    <t xml:space="preserve">Diseño e implementación del programa comunitario para la prevención de los derechos de niños, niñas y adolescentes y su desarrollo integral. "TU Y YO COMPROMETIDOS CON LOS SUEÑOS". </t>
  </si>
  <si>
    <t xml:space="preserve"> Disminución de la Tasa de Violencia Intrafamiliar y  aumento de la cobertura de atención de niños y niñas en Hogar Infantil Nocturno, hijos de trabajadoras sexuales en el Departamento del Quindío, a través del diseño e implementación   de un programa comunitario para la   prevención y garantía de los derechos de los niños, niñas y adolescentes  buscando disminuir la violencia intrafamiliar en el departamento del Quindío en espacios socialmente no convencionales. </t>
  </si>
  <si>
    <t>Tasa de Violencia Intrafamiliar x 100.000 Habitantes en el Departamento del Quindío.
Tasa de violencia contra niños y niñas o a 5 años       
Tasa de violencia contra niños y niñas de 6 a 11 años
Tasa de violencia contra niños y niñas de 12 a 17 años
Tasa de niños, niñas y adolescentes víctimas de violencia sexual  x 100 mil habitantes   en el Departamento del Quindío
Tasa de violencia de pareja cuando la víctima está entre los 18 y 28 años 
Tasa de violencia de Género</t>
  </si>
  <si>
    <t>Servicio de divulgación para la promoción y prevención de los derechos de los niños, niñas y adolescentes</t>
  </si>
  <si>
    <t xml:space="preserve">Servicios de promoción de los derechos de los niños, niñas, adolescentes y jóvenes </t>
  </si>
  <si>
    <t>410202200</t>
  </si>
  <si>
    <t xml:space="preserve">Eventos de divulgación realizados </t>
  </si>
  <si>
    <t xml:space="preserve">Campañas de promoción realizadas </t>
  </si>
  <si>
    <t>Cobertura de adolescentes y jóvenes atendidos en Post egreso, en los servicios de restablecimiento en la administración de justicia.</t>
  </si>
  <si>
    <t>Servicios dirigidos a la atención de niños, niñas, adolescentes y jóvenes, con enfoque pedagógico y restaurativo encaminados a la inclusión social</t>
  </si>
  <si>
    <t>Servicio de atención Post egreso de adolescentes y jóvenes, en los servicios de restablecimiento en la administración de justicia, con enfoque pedagógico y restaurativo encaminados a la inclusión social en el  Departamento del   Quindío.</t>
  </si>
  <si>
    <t xml:space="preserve">Aumentar la cobertura de adolescentes y jóvenes atendidos en Post egreso, en los servicios de restablecimiento en la administración de justicia,  a través del desarrollo  de acciones encaminadas a reconocer, garantizar y permitir en goce efectivo de los derechos de los adolescentes y jóvenes del departamento del Quindío, promoviendo su integralidad, realización, protección y sostenibilidad. </t>
  </si>
  <si>
    <t xml:space="preserve">Cobertura de municipios del departamento apoyados con  emprendimientos juveniles </t>
  </si>
  <si>
    <t>Servicio de asistencia técnica para fortalecimiento de unidades productivas colectivas para la generación de ingresos</t>
  </si>
  <si>
    <t>Unidades productivas colectivas con asistencia técnica</t>
  </si>
  <si>
    <t xml:space="preserve">Fortalecimiento  de unidades productivas colectivas  juveniles para la generación de ingresos  en el departamento del Quindío  </t>
  </si>
  <si>
    <t>Aumentar la cobertura de municipios del departamento apoyados con  emprendimientos juveniles,   a través del fortalecimiento de los procesos de asistencia técnica en temas de formalización y comercialización.</t>
  </si>
  <si>
    <t>Cobertura para la atención al ciudadano migrante a través del plan de atención y de repatriación.</t>
  </si>
  <si>
    <t xml:space="preserve">Mecanismos de articulación implementados para la gestión de oferta social </t>
  </si>
  <si>
    <t xml:space="preserve">mecanismos de articulación implementados para la gestión de oferta social </t>
  </si>
  <si>
    <t xml:space="preserve">Formulación  e Implementación del  programa departamental para atención al ciudadano migrante y de repatriación.  </t>
  </si>
  <si>
    <t xml:space="preserve">Aumentar la cobertura para la atención al ciudadano migrante a través del plan de atención y de repatriación </t>
  </si>
  <si>
    <t>Servicio de acompañamiento familiar y comunitario para la superación de la pobreza</t>
  </si>
  <si>
    <t>Comunidades con acompañamiento familiar.</t>
  </si>
  <si>
    <t xml:space="preserve">Desarrollo de un  programa  de acompañamiento  familiar y comunitario  en procesos de Inclusión social y productivos para el emprendimiento de  alternativas de generación de ingresos  en el departamento del Quindío  </t>
  </si>
  <si>
    <t>Disminuir  la tasa de violencia intrafamiliar en el departamento del Quindío, a través de  procesos de acompañamiento familiar y comunitario a hogares de los doce municipios en condiciones de vulnerabilidad por “violencia intrafamiliar,” a través del desarrollo de programas de Inclusión social y productivos qué les permita emprender alternativas de generación de ingresos y   mejorar   las relaciones de convivencia en el entorno familiar y social.</t>
  </si>
  <si>
    <t xml:space="preserve">Cobertura de municipios del departamento con procesos de implementación de proyectos  productivos  para las personas con discapacidad </t>
  </si>
  <si>
    <t>Servicio de apoyo para el fortalecimiento de unidades productivas colectivas para la generación de ingresos</t>
  </si>
  <si>
    <t>Unidades productivas colectivas fortalecidas</t>
  </si>
  <si>
    <t xml:space="preserve">Formulación e implementación   de proyectos productivos  dirigidos a  la población en condición  de  discapacidad y sus familias para la generación de  ingresos  y fortalecimiento del entorno familiar.  </t>
  </si>
  <si>
    <t>Aumentar la cobertura de municipios del departamento con procesos de implementación de proyectos  productivos  para las personas con discapacidad, a través de la  formulación e implementación  de proyectos productivos qué garanticen a las personas con discapacidad y sus familias, ingresos económicos para satisfacer sus necesidades básicas.</t>
  </si>
  <si>
    <t xml:space="preserve">Tasa planes de vida de los cabildos  indígenas construidos e implementados </t>
  </si>
  <si>
    <t xml:space="preserve">Apoyar la construcción e Implementación de los  Planes de vida de los cabildos Indígenas asentados en el Departamento del Quindío </t>
  </si>
  <si>
    <t>Documento de lineamientos técnicos</t>
  </si>
  <si>
    <t xml:space="preserve">Planes de vida de los cabildos indígenas  construidos  e implementados </t>
  </si>
  <si>
    <t xml:space="preserve">Documentos de lineamientos técnicos elaborados </t>
  </si>
  <si>
    <t xml:space="preserve">Apoyo en la construcción e Implementación de los Planes de Vida de los Cabildos y Resguardos indígenas  asentados en el Departamento del Quindío "TU Y YO UNIDOS CON DIGNIDAD".  </t>
  </si>
  <si>
    <t>Incrementar la tasa planes de vida de los cabildos y resguardos   indígenas construidos e implementados, por medio del apoyo en  la construcción e implementación de los  mismos, como instrumentos de planeación organización y preservación de la historia y la cultura.</t>
  </si>
  <si>
    <t>Tasa de  planes de vida de los resguardos  indígenas construidos e implementados</t>
  </si>
  <si>
    <t xml:space="preserve">Apoyar la construcción e Implementación de los  Planes de vida de los resguardos indígenas  asentados en el Departamento del Quindío </t>
  </si>
  <si>
    <t xml:space="preserve">Planes de vida de los resguardos indígenas  construidos  e implementados </t>
  </si>
  <si>
    <t>Cobertura  de población diferencial,  comunidades negras, afros raizales y Palenqueras asentadas en el departamento del Quindío con una  política pública .</t>
  </si>
  <si>
    <t>Formular e implementar la política pública para la comunidad negra, afrocolombiana, raizal y palenquera residente en el Departamento del Quindío</t>
  </si>
  <si>
    <t xml:space="preserve">Política Pública para la comunidad negra, afrocolombiana, raizal y palenquera residente en el departamento del Quindío formulada e implementada </t>
  </si>
  <si>
    <t xml:space="preserve">Formulación e implementación de la política pública para la comunidad negra, afrocolombiana, raizal y palenquera residente en el Departamento del Quindío   </t>
  </si>
  <si>
    <t>Aumentar la cobertura  de población diferencial,  comunidades negras, afros raizales y Palenquearas asentadas en el departamento del Quindío con una  política publicación en propósito de garantizar la protección de derechos y la atención integral  con enfoque diferencial de las comunidades.</t>
  </si>
  <si>
    <t>Atención integral de población en situación permanente de desprotección social y/o familiar "Tú y yo con atención integral"</t>
  </si>
  <si>
    <t>Cobertura de municipios atendidos  con el Banco de ayudas técnicas NO POS tipo Estándar, para las personas con discapacidad .</t>
  </si>
  <si>
    <t>Servicios de atención integral a población en condición de discapacidad</t>
  </si>
  <si>
    <t>Servicio de atención integral a población en condición de discapacidad</t>
  </si>
  <si>
    <t xml:space="preserve">Personas atendidas con servicios integrales de atención </t>
  </si>
  <si>
    <t>Personas con discapacidad atendidas con servicios integrales</t>
  </si>
  <si>
    <t xml:space="preserve">Servicio de atención integral a población en condición de discapacidad en los municipios del Departamento del Quindío "TU Y YO JUNTOS EN LA INCLUSIÓN". </t>
  </si>
  <si>
    <t xml:space="preserve">Incrementar  la cobertura  de municipios del Departamento del Quindío  con programas  y banco de ayudas  para la Rehabilitación Basada en la Comunidad  RBC, a través del fortalecimiento de la capacidad  de atención integral  a población con discapacidad del departamento del Quindío. </t>
  </si>
  <si>
    <t>Cobertura  de municipios del Departamento del Quindío  con el   Programas  de Rehabilitación Basada en la Comunidad  RBC</t>
  </si>
  <si>
    <t xml:space="preserve">Estrategia de rehabilitación basada en la comunidad implementada en los municipios  </t>
  </si>
  <si>
    <t>Cobertura de municipios del departamento del Quindío, con programas de atención a la población habitante de calle.</t>
  </si>
  <si>
    <t>Servicio de articulación de oferta social para la población habitante de calle</t>
  </si>
  <si>
    <t xml:space="preserve">Servicio de atención integral al habitante de la calle </t>
  </si>
  <si>
    <t xml:space="preserve">Servicio de articulación habitante de calle implementado en los municipios </t>
  </si>
  <si>
    <t>Personas atendidas con servicios integrales</t>
  </si>
  <si>
    <t xml:space="preserve">Apoyo en  la articulación de la  oferta social para la población habitante de calle del departamento del Quindío  </t>
  </si>
  <si>
    <t xml:space="preserve">Aumentar la cobertura de municipios del departamento del Quindío, con programas de atención a la población habitante de calle a través de la coordinación y articulación  de la oferta social para la población en condición de calle en el departamento del Quindío. </t>
  </si>
  <si>
    <t xml:space="preserve">Cobertura a los grupos de adulto mayor del departamento del Quindío en articulación con los Municipios, en el marco de garantizar estimulación física, cognitiva, emocional y social en bienestar de una vejez activa y saludable </t>
  </si>
  <si>
    <t>Servicios de atención y protección integral al adulto mayor</t>
  </si>
  <si>
    <t>Centros de protección social de día para el adulto mayor construidos y dotados</t>
  </si>
  <si>
    <t xml:space="preserve">Adultos mayores atendidos con servicios integrales </t>
  </si>
  <si>
    <t>Centros de día para el adulto mayor construidos y dotados</t>
  </si>
  <si>
    <t xml:space="preserve">Servicio  de atención integral e inclusión para el bienestar de los adultos mayores del departamento del Quindío </t>
  </si>
  <si>
    <t>Disminuir Tasa de Suicidio  y Violencia Intrafamiliar , además del aumento de la Cobertura a los grupos de adulto mayor en programas  de estimulación física, cognitiva, emocional y social en bienestar de una vejez activa y saludable  y  en apoyo  a los   centros vida y de bienestar  con  recursos  de la  Estampilla Pro adulto Mayor  en el Departamento del Quindío.</t>
  </si>
  <si>
    <t>Cobertura  de  centros vida y centros de bienestar del adulto mayor (Legalmente constituidos)  apoyados con los recursos de la  Estampilla Pro adulto Mayor .</t>
  </si>
  <si>
    <t>Transferencia estampilla para el bienestar del adulto mayor</t>
  </si>
  <si>
    <t>Servicio de atención y protección integral al adulto mayor</t>
  </si>
  <si>
    <t>Municipios con recursos transferidos con la estampilla Departamental para el bienestar del adulto mayor</t>
  </si>
  <si>
    <t>Adultos mayores atendidos con servicios integrales</t>
  </si>
  <si>
    <t xml:space="preserve">Cobertura de Asociaciones de mujeres fortalecidas  </t>
  </si>
  <si>
    <t>Servicio de asesoría para el fortalecimiento de la Asociatividad</t>
  </si>
  <si>
    <t>170201102</t>
  </si>
  <si>
    <t>Asociaciones de mujeres fortalecidas</t>
  </si>
  <si>
    <t>Implementación de  estrategias de acompañamiento y asesoría a las asociaciones de mujeres del departamento del Quindío</t>
  </si>
  <si>
    <t xml:space="preserve">Aumentar la cobertura de Asociaciones de mujeres fortalecidas a través de la Implementación de  estrategias de acompañamiento y asesoría a las asociaciones de mujeres del departamento del Quindío con el propósito de brindar fortalecimiento  </t>
  </si>
  <si>
    <t>Derechos fundamentales del trabajo y fortalecimiento del diálogo social. "Tú y yo con una niñez protegida"</t>
  </si>
  <si>
    <t>Derechos fundamentales del trabajo y fortalecimiento del diálogo social</t>
  </si>
  <si>
    <t>Tasa  de Niños, Niñas y Adolescentes qué participan en una actividad remunerada  o no  x cada 100.000 habitantes  en el departamento del Quindío</t>
  </si>
  <si>
    <t>Servicio de educación informal para la prevención integral del trabajo infantil</t>
  </si>
  <si>
    <t>Desarrollo de jornadas de capacitación, sensibilización y prevención del  trabajo infantil  y protección del adolescente en el departamento del Quindío.</t>
  </si>
  <si>
    <t xml:space="preserve">Disminuir la Tasa  de Niños, Niñas y Adolescentes qué participan en una actividad remunerada  o no  x cada 100.000 habitantes  en el departamento del Quindío a través de jornadas de capacitación, sensibilización y prevención del  trabajo infantil  y protección del adolescente en el departamento del Quindío. </t>
  </si>
  <si>
    <t>Gobierno Territorial</t>
  </si>
  <si>
    <t>Tasa de participación femenina en cargos de elección popular en el departamento del Quindío</t>
  </si>
  <si>
    <t>Iniciativas para la promoción de la participación femenina en escenarios sociales y políticos implementada.</t>
  </si>
  <si>
    <t>Estrategias para el fomento de a la participación de las mujeres en los espacios de participación política y de toma de decisión implementadas</t>
  </si>
  <si>
    <t>Implementación del  programa de liderazgo  para la participación femenina en escenarios sociales y políticos del departamento del Quindío</t>
  </si>
  <si>
    <t xml:space="preserve">Aumentar la tasa de participación femenina en cargos de elección popular en el departamento del Quindío a través de la Implementación de un programa de liderazgo enfocado a las mujeres , con el propósito de incrementar la participación femenina en escenarios sociales y políticas </t>
  </si>
  <si>
    <t>Tasa de Suicidio  x 100.000 Habitantes en el Departamento del Quindío.
Tasa de Violencia Intrafamiliar x 100.000 Habitantes en el Departamento del Quindío.
Tasa de Consumo de Sustancias Psicoactivas  x 100.000 Habitantes en el Departamento del Quindío.
Tasa de violencia de Género</t>
  </si>
  <si>
    <t xml:space="preserve"> Implementar la política pública de equidad de género para la mujer </t>
  </si>
  <si>
    <t>Servicio de promoción de la garantía de derechos</t>
  </si>
  <si>
    <t>Política pública de la mujer y equidad de género   implementada.</t>
  </si>
  <si>
    <t>Estrategias de promoción de la garantía de derechos implementadas</t>
  </si>
  <si>
    <t xml:space="preserve">Implementación de la política pública de equidad de género para la mujer en el Departamento del Quindío  </t>
  </si>
  <si>
    <t>Disminuir la tasa de violencia  intrafamiliar, de género y embarazos a temprana edad, así  como en  aumento de la tasas de participación femenina en cargos de elección popular y fortalecimiento de las  asociaciones de mujeres a través de acciones encaminadas a la garantía de derechos de las mujeres,  promoción de su participación en el ámbito económico, social y cultural del departamento  Quindío.</t>
  </si>
  <si>
    <t>Implementar  la política  pública de diversidad sexual e identidad de género</t>
  </si>
  <si>
    <t>Política pública de diversidad sexual e identidad de género implementada.</t>
  </si>
  <si>
    <t xml:space="preserve">Implementación de la política pública  de diversidad sexual en el Departamento del Quindío 2019-2029  </t>
  </si>
  <si>
    <t xml:space="preserve">Disminuir  las tasa de suicidio, violencia intrafamiliar  consumo de sustancias psicoactivas  y violencia de género en el departamento del Quindío, a través de la implementación en la política pública de diversidad sexual e identidad de género con la participación de los diferente actores qué contribuyen  de manera integral a garantizar la visibilización, inclusión y mejoramiento de las condiciones de calidad de vida de la personas sexualmente diversas. </t>
  </si>
  <si>
    <t xml:space="preserve">Tasa de participación femenina en cargos de elección popular en el departamento del Quindío </t>
  </si>
  <si>
    <t>Casa de la Mujer Empoderada implementada</t>
  </si>
  <si>
    <t>Espacios generados para el fortalecimiento de capacidades institucionales del Estado</t>
  </si>
  <si>
    <t xml:space="preserve">Implementación de la Casa  de la Mujer Empoderada para la promoción a la participación ciudadana  de Mujeres en escenarios sociales, políticos y en fortalecimiento de la asociatividad  en el departamento del Quindío " TU Y YO CON LAS MUJERES EMPODERADAS." </t>
  </si>
  <si>
    <t>Mejorar las condiciones de calidad de vida de la población, en acceso incluyente y equitativo a la oferta de servicios del Estado y la ampliación de oportunidades para los Quindianos a través de la Implementación de la Casa de la Mujer Empoderada, para la  participación  y promoción de la  mujeres en escenarios sociales, políticos y productivos en el departamento del Quindío.</t>
  </si>
  <si>
    <t>Tasa de violencia de Género</t>
  </si>
  <si>
    <t>Casa Refugio de la Mujer implementada</t>
  </si>
  <si>
    <t>Implementación de la Casa Refugio de la Mujer del Departamento del Quindío</t>
  </si>
  <si>
    <t xml:space="preserve">Mejorar las condiciones de calidad de vida de la población, en acceso incluyente y equitativo a la oferta de servicios del Estado y la ampliación de oportunidades para los Quindianos a través de la implementación de la  Casa Refugia para la protección de la mujer víctima del departamento del Quindío. </t>
  </si>
  <si>
    <t>Secretaría de Salud</t>
  </si>
  <si>
    <t>Mortalidad por diarreica aguda (EDA) menores 5 años (número de muertes anual)</t>
  </si>
  <si>
    <t>Servicio de concepto sanitario</t>
  </si>
  <si>
    <t>Servicio de registro sanitario</t>
  </si>
  <si>
    <t>Conceptos sanitarios expedidos</t>
  </si>
  <si>
    <t>Registros sanitarios expedidos</t>
  </si>
  <si>
    <t xml:space="preserve">Fortalecimiento de la autoridad sanitaria en el Departamento del Quindío                                                                                           </t>
  </si>
  <si>
    <t>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t>
  </si>
  <si>
    <t xml:space="preserve"> Secretario de Salud</t>
  </si>
  <si>
    <t>Realizar la vigilancia epidemiológica de plaguicidas en el marco del programa veo (vigilancia epidemiológica de organofosforados y carba matos) en los municipios de competencia departamental.</t>
  </si>
  <si>
    <t>Municipios con procesos de vigilancia epidemiológica de plaguicidas organofosforados y carbamatos realizados.</t>
  </si>
  <si>
    <t>Entidades territoriales con vigilancia y control realizados</t>
  </si>
  <si>
    <t>Tasa de mortalidad en menores de 1 año (por 1000 nacidos vivos).</t>
  </si>
  <si>
    <t>Servicio de información de vigilancia epidemiológica</t>
  </si>
  <si>
    <t>Informes de evento generados en la vigencia</t>
  </si>
  <si>
    <t>Prevalencia de niños menores de 5 años con desnutrición aguda</t>
  </si>
  <si>
    <t>Servicio de asistencia técnica en inspección, vigilancia y control</t>
  </si>
  <si>
    <t>Asistencias técnica en Inspección, Vigilancia y Control realizadas</t>
  </si>
  <si>
    <t>Mortalidad por infección respiratoria aguda (IRA) menores 5 años (número de muertes anual)</t>
  </si>
  <si>
    <t>Realizar la vigilancia epidemiológica de plaguicidas en el marco del programa VEO (vigilancia epidemiológica de organofosforados y carba matos) en los municipios de competencia departamental.</t>
  </si>
  <si>
    <t>Servicio de asistencia técnica en inspección vigilancia y control</t>
  </si>
  <si>
    <t>Asistencias técnicas en inspección vigilacia y control realizadas</t>
  </si>
  <si>
    <t xml:space="preserve">Implementación del Modelo Operativo de Inspección, Vigilancia y Control IVC sanitario en los municipios de competencia departamental. </t>
  </si>
  <si>
    <t>Servicio de promoción, prevención, vigilancia y control de vectores y zoonosis</t>
  </si>
  <si>
    <t xml:space="preserve">Modelo de IVC sanitario operando </t>
  </si>
  <si>
    <t xml:space="preserve">Municipios categorías 4,5 y 6 que formulen y ejecuten real y efectivamente acciones de promoción, prevención, vigilancia  y control de vectores y zoonosis  realizados </t>
  </si>
  <si>
    <t>Mortalidad por dengue (casos)</t>
  </si>
  <si>
    <t>Municipios categorías 4, 5 y 6 qué formulen y ejecuten real y efectivamente acciones de promoción, prevención, vigilancia y control de vectores y zoonosis realizados</t>
  </si>
  <si>
    <t>Servicio de evaluación, aprobación y seguimiento de planes de gestión integral del riesgo</t>
  </si>
  <si>
    <t>Informes de evaluación, aprobación y seguimiento de Planes de Gestión Integral de Riesgo realizados</t>
  </si>
  <si>
    <t>Porcentaje de atención institucional del parto por personal calificado.</t>
  </si>
  <si>
    <t>Servicio de inspección, vigilancia y control</t>
  </si>
  <si>
    <t>visitas realizadas</t>
  </si>
  <si>
    <t>Visitas realizadas</t>
  </si>
  <si>
    <t>Porcentaje de población asegurada al SGSSS
Oportunidad en la presunción diagnóstica y tratamiento oncológico en menores de 18 años (alta y media)</t>
  </si>
  <si>
    <t>Documentos técnicos publicados y/o socializados</t>
  </si>
  <si>
    <t xml:space="preserve"> Implementación de programas de promoción social en poblaciones  especiales en el Departamento del Quindío </t>
  </si>
  <si>
    <t>Fortalecer la gestión intersectorial en salud de los grupos con alta vulnerabilidad</t>
  </si>
  <si>
    <t>Mortalidad por diarreica aguda (EDA) menores 5 años (número de muertes anual)
Prevalencia de niños menores de 5 años con desnutrición aguda
Índice de riesgo de la calidad de agua para consumo humano IRCA</t>
  </si>
  <si>
    <t>Servicio de análisis de laboratorio</t>
  </si>
  <si>
    <t>Análisis realizados</t>
  </si>
  <si>
    <t xml:space="preserve"> Fortalecimiento de las actividades de vigilancia y control del laboratorio de salud pública en el Departamento del Quindío</t>
  </si>
  <si>
    <t>Mejorar la capacidad analítica del LSP Departamental  para dar respuesta  a las necesidades del Sistema de Vigilancia en Salud Pública</t>
  </si>
  <si>
    <t>Tasa ajustada por edad de mortalidad asociada a cáncer de cuello uterino (por 100.000 mujeres).</t>
  </si>
  <si>
    <t>Servicio de auditoría y visitas inspectivas</t>
  </si>
  <si>
    <t>Auditorías y visitas inspectivas realizadas</t>
  </si>
  <si>
    <t>Tasa mortalidad en menores de 5 años (por 1.000 nacidos vivos).</t>
  </si>
  <si>
    <t xml:space="preserve">Informes de los resultados obtenidos en la vigilancia sanitaria </t>
  </si>
  <si>
    <t>Asistencias técnicas realizadas</t>
  </si>
  <si>
    <t xml:space="preserve"> Asistencia técnica para el fortalecimiento de la gestión de las entidades territoriales del Departamento del Quindío  </t>
  </si>
  <si>
    <t xml:space="preserve">Fortalecer los procesos de articulación y competencias territoriales en el sistema general de seguridad social en salud </t>
  </si>
  <si>
    <t>Oportunidad en la presunción diagnóstica y tratamiento oncológico en menores de 18 años (alta y media)</t>
  </si>
  <si>
    <t>Servicio de información para la gestión de la inspección, vigilancia y control sanitario</t>
  </si>
  <si>
    <t>Usuarios del sistema</t>
  </si>
  <si>
    <t>Asesoría y apoyo al proceso del sistema obligatorio de garantía de calidad de los prestadores de salud en el Departamento del Quindío</t>
  </si>
  <si>
    <t>Asegurar la implementación y cumplimiento de la totalidad de los estándares de Habilitación de acuerdo al nivel de complejidad.</t>
  </si>
  <si>
    <t>Porcentaje transmisión materno -infantil del VIH.</t>
  </si>
  <si>
    <t>Servicio de Gestión de Peticiones, Quejas, Reclamos y Denuncias</t>
  </si>
  <si>
    <t>Preguntas Quejas Reclamos y Denuncias Gestionadas</t>
  </si>
  <si>
    <t xml:space="preserve">Apoyo operativo a la inversión social en salud en el Departamento del Quindío </t>
  </si>
  <si>
    <t xml:space="preserve">Fortalecer los procesos estratégicos, administrativos y misionales del sector salud en el departamento del Quindío  </t>
  </si>
  <si>
    <t>Tasa de violencia de género</t>
  </si>
  <si>
    <t>Servicio de implementación de estrategias para el fortalecimiento del control social en salud</t>
  </si>
  <si>
    <t>Estrategias para el fortalecimiento del control social en salud implementadas</t>
  </si>
  <si>
    <t>Salud pública</t>
  </si>
  <si>
    <t>Servicio de gestión del riesgo para temas de consumo, aprovechamiento biológico, calidad e inocuidad de los alimentos.</t>
  </si>
  <si>
    <t>Campañas de gestión del riesgo para temas de consumo, aprovechamiento biológico, calidad e inocuidad de los alimentos implementadas</t>
  </si>
  <si>
    <t xml:space="preserve">Aprovechamiento biológico y consumo de  alimentos inocuos  en el Departamento del Quindío </t>
  </si>
  <si>
    <t>Disminuir o mantener la proporción de niños menores de 5 años en riesgo de desnutrición moderada o severa aguda</t>
  </si>
  <si>
    <t>Servicios de promoción de la salud y prevención de riesgos asociados a condiciones no transmisibles</t>
  </si>
  <si>
    <t>Campañas de promoción de la salud y prevención de riesgos asociados a condiciones no transmisibles implementadas</t>
  </si>
  <si>
    <t>Tasa de mortalidad por malaria.</t>
  </si>
  <si>
    <t xml:space="preserve">Servicio de educación informal en temas de salud pública </t>
  </si>
  <si>
    <t>Control en Salud Ambiental para la consecución de un estado de vida saludable de la población  del  Departamento del Quindío.</t>
  </si>
  <si>
    <t>Disminuir  los factores de riesgo sanitarios y ambientales asociados a eventos de interés en salud pública relacionados con la salud ambiental como en aumento de la carga contaminante del agua, entre otros.</t>
  </si>
  <si>
    <t>Tasa  de mujeres de 10 a 14 años qué han sido madres o están en embarazo.
Tasa de mujeres de 15 a 19 años qué han sido madres o están en embarazo.</t>
  </si>
  <si>
    <t xml:space="preserve">Realizar seguimiento y monitoreo a las Entidades Administradoras de Planes Básicos EAPB en la implementación de la Ruta Integral de Atención para la Promoción y Mantenimiento de la Salud y Materno Perinatal en el Departamento  </t>
  </si>
  <si>
    <t>Servicio de promoción de la salud y prevención de riesgos asociados a condiciones no transmisibles (1905031)</t>
  </si>
  <si>
    <t>DNP</t>
  </si>
  <si>
    <t>Entidades Administradoras de Planes Básicos EAPB con Rutas de obligatorio cumplimiento Implementadas</t>
  </si>
  <si>
    <t>Campañas de promoción de la salud  y prevención de riesgos asociados a condiciones no transmisibles implementadas (190503100)</t>
  </si>
  <si>
    <t>Mortalidad por dengue (casos)
Letalidad por dengue.</t>
  </si>
  <si>
    <t>Formular en Plan de Fortalecimiento de Capacidades en Salud Ambiental en coordinación con el Consejo Territorial de Salud Ambiental COTSA</t>
  </si>
  <si>
    <t xml:space="preserve">Plan de Fortalecimiento de Capacidades en Salud Ambiental Formulado </t>
  </si>
  <si>
    <t>Implementar el protocolo de vigilancia sanitaria y ambiental de los efectos en salud relacionados con la contaminación del aire en los 11 municipios de competencia departamental.</t>
  </si>
  <si>
    <t>Servicio de gestión del riesgo para abordar situaciones de salud relacionadas con condiciones ambientales</t>
  </si>
  <si>
    <t>Protocolo implementado</t>
  </si>
  <si>
    <t>Campañas de gestión del riesgo para abordar situaciones de salud relacionadas con condiciones ambientales implementadas</t>
  </si>
  <si>
    <t>Implementar la estrategia de entornos saludables en articulación intersectorial y sectorial en los entornos de vivienda, educativo, institucional y comunitario con énfasis en la Atención Primaria en Salud Ambiental APSA.</t>
  </si>
  <si>
    <t xml:space="preserve">Estrategia de entornos saludables en articulación intersectorial y sectorial implementada </t>
  </si>
  <si>
    <t xml:space="preserve">Implementación de la estrategia de movilidad saludable, segura y sostenible </t>
  </si>
  <si>
    <t xml:space="preserve">Estrategia de movilidad saludable, segura y sostenible   implementada </t>
  </si>
  <si>
    <t>Personas atendidas con campañas de gestión del riesgo para abordar situaciones de salud relacionadas con condiciones ambientales</t>
  </si>
  <si>
    <t xml:space="preserve">Fortalecimiento de acciones propias a los derechos sexuales y reproductivos en el Departamento del Quindío. </t>
  </si>
  <si>
    <t xml:space="preserve">Disminuir de los eventos de interés en salud pública relacionados con la salud sexual y reproductiva en especial de la mortalidad materna  </t>
  </si>
  <si>
    <t xml:space="preserve">Realizar seguimiento y Monitoreo a las Entidades Administradoras de Planes Básicos EAPB en la implementación de la Ruta Integral de Atención para la Promoción y Mantenimiento de la Salud y Materno Perinatal en el Departamento  </t>
  </si>
  <si>
    <t>Servicio de gestión del riesgo en temas de salud sexual y reproductiva (1905021)</t>
  </si>
  <si>
    <t>Campañas de gestión del riesgo en temas de salud sexual y reproductiva implementadas (190502100)</t>
  </si>
  <si>
    <t>Servicio de gestión del riesgo en temas de consumo de sustancias psicoactivas</t>
  </si>
  <si>
    <t>Campañas de gestión del riesgo en temas de consumo de sustancias psicoactivas implementadas</t>
  </si>
  <si>
    <t>Consolidación de acciones de promoción de la salud y prevención primaria en salud mental en el Departamento del Quindío.</t>
  </si>
  <si>
    <t>Disminuir la morbimortalidad asociada a la salud mental principalmente de la violencia intrafamiliar</t>
  </si>
  <si>
    <t>Generación de estilos de vida saludable y control y vigilancia en la gestión del riesgo de condiciones no transmisibles en el  Departamento del Quindío.</t>
  </si>
  <si>
    <t>Disminuir la carga de la enfermedad asociada a las enfermedades crónicas no trasmisibles</t>
  </si>
  <si>
    <t>Cobertura de vacunación con DPT en menores de 1 año
Cobertura de vacunación con Triple Viral en niños de 1 año
Cobertura útil con esquema completo de vacunación para la edad (triple viral a los 5 años)</t>
  </si>
  <si>
    <t>Cuartos fríos adecuados</t>
  </si>
  <si>
    <t xml:space="preserve">Fortalecimiento de acciones de promoción, prevención y protección específica para la población infantil en el Departamento del Quindío.  </t>
  </si>
  <si>
    <t>Reducir la exposición a condiciones y factores de riesgo ambientales, sanitarios y biológicos, de las contingencias y daños producidos por las enfermedades transmisibles</t>
  </si>
  <si>
    <t>Cobertura útil con esquema completo de vacunación para la edad (triple viral a los 5 años)
Mortalidad por infección respiratoria aguda (IRA) menores 5 años (número de muertes anual)
Mortalidad por diarreica aguda (EDA) menores 5 años (número de muertes anual)
Tasa de mortalidad por malaria.</t>
  </si>
  <si>
    <t>Servicio de gestión del riesgo para enfermedades emergentes, reemergentes y desatendidas</t>
  </si>
  <si>
    <t>Campañas de gestión del riesgo para enfermedades emergentes, reemergentes y desatendidas implementadas.</t>
  </si>
  <si>
    <t>Servicio de gestión del riesgo para enfermedades inmunoprevenibles</t>
  </si>
  <si>
    <t>Campañas de gestión del riesgo para enfermedades inmunoprevenibles  implementadas</t>
  </si>
  <si>
    <t>Mortalidad por dengue (casos) 
Letalidad por dengue.</t>
  </si>
  <si>
    <t>Formulación e implementación del Plan Departamental en Salud Ambiental de adaptación al cambio climático.</t>
  </si>
  <si>
    <t>Plan Departamental en Salud Ambiental de adaptación al cambio climático implementado</t>
  </si>
  <si>
    <t xml:space="preserve">
190501500</t>
  </si>
  <si>
    <t xml:space="preserve">Difusión de la estrategia de gestión integral y de control en vectores, zoonosis y cambio climático del Departamento del Quindío.   </t>
  </si>
  <si>
    <t xml:space="preserve">Disminuir en índice de enfermedades trasmisión vectorial y zoonosis en la población   </t>
  </si>
  <si>
    <t xml:space="preserve">Fortalecimiento de la inclusión social para la disminución del riesgo de contraer enfermedades transmisibles en el Departamento del Quindío.  </t>
  </si>
  <si>
    <t xml:space="preserve">Aumentar la adherencia al tratamiento de los pacientes con diagnóstico de tuberculosis  </t>
  </si>
  <si>
    <t xml:space="preserve">Documentos de planeación en epidemiología y demografía elaborados </t>
  </si>
  <si>
    <t xml:space="preserve">Fortalecimiento del sistema de vigilancia en salud pública en el Departamento del Quindío. </t>
  </si>
  <si>
    <t xml:space="preserve"> Aumentar los índices de cumplimiento en los indicadores de calidad, cobertura y  oportunidad del sistema de vigilancia en salud pública departamental </t>
  </si>
  <si>
    <t>Porcentaje de atención institucional del parto.</t>
  </si>
  <si>
    <t>Centros reguladores de urgencias, emergencias y desastres funcionando y dotados</t>
  </si>
  <si>
    <t xml:space="preserve">Centros reguladores de urgencias, emergencias y desastres dotados </t>
  </si>
  <si>
    <t>Centros reguladores de urgencias, emergencias y desastres dotados y funcionando.</t>
  </si>
  <si>
    <t xml:space="preserve">190500900
</t>
  </si>
  <si>
    <t>Centros reguladores de urgencias, emergencias y desastres dotados</t>
  </si>
  <si>
    <t xml:space="preserve">Fortalecimiento de la red de urgencias y emergencias en el Departamento del Quindío. </t>
  </si>
  <si>
    <t>Fortalecer en la integración de la red hospitalaria del departamento del Quindío.</t>
  </si>
  <si>
    <t>Fortalecimiento de las intervenciones colectivas y prioridades en salud pública del Departamento del Quindío- PIC</t>
  </si>
  <si>
    <t>Disminuir la morbimortalidad asociada  a la carga de la enfermedad por los determinantes sociales fortaleciendo  las acciones de complementariedad  a los municipios</t>
  </si>
  <si>
    <t>Prestación de servicios de salud. "Tú y yo con servicios de salud"</t>
  </si>
  <si>
    <t>Aseguramiento y prestación integral de servicios de salud</t>
  </si>
  <si>
    <t>Cobertura de tratamiento antirretroviral</t>
  </si>
  <si>
    <t xml:space="preserve">Servicio de cofinanciación para la continuidad del  régimen subsidiado en salud  </t>
  </si>
  <si>
    <t xml:space="preserve">Servicio de tecnologías en salud financiadas con la unidad de pago por capitación - UPC </t>
  </si>
  <si>
    <t>Personas afiliadas</t>
  </si>
  <si>
    <t>Pacientes atendidos con tecnologías en salud financiados con cargo a los recursos de la UPC del Régimen Subsidiado</t>
  </si>
  <si>
    <t xml:space="preserve">Subsidio y cofinanciación al régimen subsidiado del Sistema General de Seguridad Social en Salud en el Departamento del Quindío.  </t>
  </si>
  <si>
    <t>Aumentar la cobertura universal en aseguramiento al sistema de atención integral y para la población del Departamento del Quindío</t>
  </si>
  <si>
    <t>Servicio de apoyo con tecnologías para prestación de servicios en salud</t>
  </si>
  <si>
    <t>Población inimputable atendida</t>
  </si>
  <si>
    <t>Pacientes atendidos con medicamentos en salud financiados con cargo a los recursos de la UPC del Régimen Subsidiado</t>
  </si>
  <si>
    <t>Prestación de Servicios a la Población no Afiliada al Sistema General de Seguridad Social en Salud y en el NO POS a la Población del Régimen Subsidiado.</t>
  </si>
  <si>
    <t xml:space="preserve">Mejoramiento en la prestación de los servicios de salud para la atención de la población no afiliada </t>
  </si>
  <si>
    <t>Servicios de reconocimientos para el cumplimiento de metas de calidad, financiera, producción y transferencias especiales.</t>
  </si>
  <si>
    <t xml:space="preserve">Servicio de apoyo financiero para el fortalecimiento patrimonial de las empresas prestadoras de salud con participación financiera de las entidades territoriales </t>
  </si>
  <si>
    <t>Porcentaje de recursos transferidos</t>
  </si>
  <si>
    <t>Empresas prestadoras de salud capitalizadas</t>
  </si>
  <si>
    <t>Tasa de mujeres de 15 a 19 años qué han sido madres o están en embarazo.</t>
  </si>
  <si>
    <t>Servicio de asistencia técnica a Instituciones prestadoras de servicios de salud</t>
  </si>
  <si>
    <t>Instituciones Prestadoras de Servicios de salud asistidas técnicamente</t>
  </si>
  <si>
    <t xml:space="preserve">Fortalecimiento de la red de prestación de servicios pública del Departamento del Quindío.   </t>
  </si>
  <si>
    <t>Aumento en la calidad del proceso de reporte, vigilancia y control del manejo de los recursos de salud en el Departamento del Quindío</t>
  </si>
  <si>
    <t>Servicio de tecnologías en salud financiadas con la unidad de pago por capitación - UPC (1906023)</t>
  </si>
  <si>
    <t>Pacientes atendidos</t>
  </si>
  <si>
    <t>Servicio de adopción y seguimiento de acciones y medidas especiales</t>
  </si>
  <si>
    <t>Acciones y medidas especiales ejecutadas</t>
  </si>
  <si>
    <t>Adaptar e implementar la política pública de salud mental para el Departamento del Quindío</t>
  </si>
  <si>
    <t xml:space="preserve">Política pública en Salud Mental adaptada e Implementada  </t>
  </si>
  <si>
    <t xml:space="preserve">
190501501</t>
  </si>
  <si>
    <t>Planes de salud pública elaborados</t>
  </si>
  <si>
    <t>Tasa ajustada por edad de mortalidad asociada a cáncer de cuello uterino (por 100.000 mujeres).
Oportunidad en la presunción diagnóstica y tratamiento oncológico en menores de 18 años (alta y media)</t>
  </si>
  <si>
    <t>Servicio de gestión del riesgo para abordar condiciones crónicas prevalentes</t>
  </si>
  <si>
    <t>Campañas de gestión del riesgo para abordar condiciones crónicas prevalentes implementadas</t>
  </si>
  <si>
    <t>Servicio de gestión del riesgo para enfermedades emergentes, reemergentes y desatendidas.</t>
  </si>
  <si>
    <t>Servicios de atención en salud pública en situaciones de emergencias y desastres</t>
  </si>
  <si>
    <t xml:space="preserve">Servicio de atención en salud pública en situaciones de emergencias y desastres </t>
  </si>
  <si>
    <t>Personas en capacidad de ser atendidas</t>
  </si>
  <si>
    <t xml:space="preserve">Prevención, preparación, contingencia, mitigación y superación de emergencias y contingencias por eventos relacionados con la salud pública en el Departamento del Quindío.  </t>
  </si>
  <si>
    <t>Coordinar acciones  para la gestión integral  del riesgo en  situaciones de emergencias y desastres  en las IPS y autoridad sanitaria del departamento</t>
  </si>
  <si>
    <t>Porcentaje de población asegurada al SGSSS</t>
  </si>
  <si>
    <t>Servicio de gestión del riesgo para abordar situaciones prevalentes de origen laboral</t>
  </si>
  <si>
    <t>Campañas de gestión del riesgo para abordar situaciones prevalentes de origen laboral implementadas</t>
  </si>
  <si>
    <t xml:space="preserve">Prevención vigilancia y control de eventos en el ámbito laboral en el Departamento del Quindío.  </t>
  </si>
  <si>
    <t xml:space="preserve">Disminuir los eventos de origen laboral en los trabajadores del sector formal del Departamento del Quindío </t>
  </si>
  <si>
    <t>Secretaría Tecnologías de la Información y las Comunicaciones</t>
  </si>
  <si>
    <t>Tecnologías de la información y las comunicaciones</t>
  </si>
  <si>
    <t>Facilitar el acceso y uso de las Tecnologías de la Información y las Comunicaciones en todo el departamento del Quindío. "Tú y yo somos ciudadanos TIC"</t>
  </si>
  <si>
    <t>Facilitar el acceso y uso de las Tecnologías de la Información y las Comunicaciones en todo el territorio nacional</t>
  </si>
  <si>
    <t>Tasa de crecimiento de puntos de acceso a internet gratis 
Índice Departamental de Competitividad
Tasa de Desempleo</t>
  </si>
  <si>
    <t>Servicio de acceso y uso de tecnologías de la información y las comunicaciones</t>
  </si>
  <si>
    <t>Centros de acceso comunitario en zonas urbanas funcionando</t>
  </si>
  <si>
    <t>Fortalecimiento  y apoyo a las tecnologías de la información y las comunicaciones en el departamento del Quindío.</t>
  </si>
  <si>
    <t xml:space="preserve"> Incrementar  la Tasa de crecimiento de puntos de acceso a internet gratis  y del Índice de competitividad en el departamento del Quindío, mediante en mejoramiento de los servicio de acceso a las tecnologías de la información  y las comunicaciones </t>
  </si>
  <si>
    <t>Secretario Tecnologías de la Información y las Comunicaciones</t>
  </si>
  <si>
    <t>Soluciones de conectividad en instituciones públicas instaladas</t>
  </si>
  <si>
    <t>Servicio de acceso Zonas Wifi</t>
  </si>
  <si>
    <t>Servicio de acceso zonas digitales</t>
  </si>
  <si>
    <t>Zonas Wifi en áreas rurales instaladas</t>
  </si>
  <si>
    <t>Zonas digitales en áreas rurales con redes terrestres instaladas</t>
  </si>
  <si>
    <t>Servicio de apoyo en tecnologías de la información y las comunicaciones para la educación básica, primaria y secundaria</t>
  </si>
  <si>
    <t>Relación de estudiantes por terminal de cómputo en sedes educativas oficiales</t>
  </si>
  <si>
    <t>Nivel de avance alto en el Índice de Gobierno digital
Índice Departamental de Competitividad
Tasa de Desempleo</t>
  </si>
  <si>
    <t>Servicio de educación informal en tecnologías de la información y las comunicaciones.</t>
  </si>
  <si>
    <t>Personas capacitadas en tecnologías de la información y las comunicaciones</t>
  </si>
  <si>
    <t>Asistencia y apropiación tecnológica y generacional en el departamento del Quindio</t>
  </si>
  <si>
    <t>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t>
  </si>
  <si>
    <t>Servicio de asistencia técnica para proyectos en Tecnologías de la Información y las Comunicaciones</t>
  </si>
  <si>
    <t>Municipios asistidos en diseño, implementación, ejecución y/ o liquidación  de proyectos</t>
  </si>
  <si>
    <t>Servicio de educación para el trabajo en temas de uso pedagógico de tecnologías de la información y las comunicaciones.</t>
  </si>
  <si>
    <t>Docentes formados en uso pedagógico de tecnologías de la información y las comunicaciones.</t>
  </si>
  <si>
    <t>Servicio de telecomunicaciones para el envío de alertas tempranas a la población.</t>
  </si>
  <si>
    <t xml:space="preserve">Disponibilidad del servicio  de telecomunicaciones para el envío de alertas tempranas a la población. </t>
  </si>
  <si>
    <t>Fomento del desarrollo de aplicaciones, software y contenidos para impulsar la apropiación de las Tecnologías de la Información y las Comunicaciones (TIC) "Quindío paraíso empresarial TIC-Quindío TIC"</t>
  </si>
  <si>
    <t>Fomento del desarrollo de aplicaciones, software y contenidos para impulsar la apropiación de las Tecnologías de la Información y las Comunicaciones (TIC)</t>
  </si>
  <si>
    <t>Servicio de asistencia técnica a empresas de la industria de Tecnologías de la Información para mejorar sus capacidades de comercialización e innovación</t>
  </si>
  <si>
    <t>Empresas beneficiadas con actividades de fortalecimiento  de la industria TI</t>
  </si>
  <si>
    <t xml:space="preserve">Fortalecimiento del sector empresarial del departamento del Quindío </t>
  </si>
  <si>
    <t xml:space="preserve">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t>
  </si>
  <si>
    <t>Servicio de asistencia técnica a emprendedores y empresas</t>
  </si>
  <si>
    <t>Emprendedores y empresas asistidas técnicamente</t>
  </si>
  <si>
    <t xml:space="preserve">Tasa de crecimiento de puntos de acceso a internet gratis </t>
  </si>
  <si>
    <t>Servicio de educación informal en Teletrabajo</t>
  </si>
  <si>
    <t xml:space="preserve">Personas y/o entidades (públicas y privadas) de la comunidad capacitadas en teletrabajo </t>
  </si>
  <si>
    <t>Servicio de educación informal para aumentar la calidad y cantidad de talento humano para la industria TI</t>
  </si>
  <si>
    <t>Personas capacitadas en programas informales de Tecnologías de la Información</t>
  </si>
  <si>
    <t>Servicio de Investigación, Desarrollo e Innovación para la industria de las Tecnologías de la Información
Indicador principal : Modelos para el desarrollo de actividades I+D+i en la industria TIC nacional desarrollados</t>
  </si>
  <si>
    <t>Modelos para el desarrollo de actividades I+D+i en la industria TIC nacional desarrollados</t>
  </si>
  <si>
    <t>Ciencia, Tecnología e Innovación</t>
  </si>
  <si>
    <t>3903</t>
  </si>
  <si>
    <t xml:space="preserve">Desarrollo tecnológico e innovación para el crecimiento empresarial </t>
  </si>
  <si>
    <t>Desarrollo tecnológico e innovación para crecimiento empresarial</t>
  </si>
  <si>
    <t>Tasa de crecimiento de empresas en el sector productivo transformadas digitalmente</t>
  </si>
  <si>
    <t>Servicio de apoyo para la transferencia de conocimiento y tecnología</t>
  </si>
  <si>
    <t>390300501</t>
  </si>
  <si>
    <t>Nuevas tecnologías adoptadas</t>
  </si>
  <si>
    <t xml:space="preserve">Implementación de la transformación digital del sector empresarial en el Departamento del Quindío  </t>
  </si>
  <si>
    <t xml:space="preserve">Incrementar la tasa de crecimiento de empresas en el sector productivo transformadas digitalmente,  a través de  la apropiación de herramientas digitales, qué les  permitan ser competitivos en los diferentes sectores </t>
  </si>
  <si>
    <t>390300507</t>
  </si>
  <si>
    <t>Start up generadas</t>
  </si>
  <si>
    <t>390300511</t>
  </si>
  <si>
    <t>Conocimiento tecnológico adquirido</t>
  </si>
  <si>
    <t>Generación de una cultura qué valora y gestiona en conocimiento y la innovación.</t>
  </si>
  <si>
    <t>Generación de una cultura que valora y gestiona el conocimiento y la innovación</t>
  </si>
  <si>
    <t>Incremento de emprendimientos y/o empresas de base tecnológica</t>
  </si>
  <si>
    <t>Servicios de comunicación con enfoque en ciencia tecnología y sociedad</t>
  </si>
  <si>
    <t>Juguetes, juegos o videojuegos para la comunicación de la ciencia, tecnología e innovación producidos</t>
  </si>
  <si>
    <t xml:space="preserve">Implementación  y  divulgación de la estrategia    "Quindío innovador y competitivo"   </t>
  </si>
  <si>
    <t xml:space="preserve"> Incrementar  los  emprendimientos y/o empresas de base tecnológica a través de la implementación de una estrategia de  promoción de la  cultura  de la innovación  y gestión del  conocimiento. </t>
  </si>
  <si>
    <t>Nivel de avance alto en el Índice de Gobierno digital</t>
  </si>
  <si>
    <t>Desarrollos digitales</t>
  </si>
  <si>
    <t>Productos digitales desarrollados</t>
  </si>
  <si>
    <t xml:space="preserve">Fortalecimiento de la estrategia de gobierno digital  en la Administración Departamental y  Entes Territoriales del departamento del  Quindío  </t>
  </si>
  <si>
    <t xml:space="preserve">Incrementar  Índice de Gobierno digital de la Administración departamental  y los Entes territoriales del Quindío generando condiciones de gobernanza, participación comunitaria y administraciones  eficientes </t>
  </si>
  <si>
    <t>Servicio de educación informal para la implementación de la estrategia de gobierno digital</t>
  </si>
  <si>
    <t>Personas capacitadas para la implementación de la Estrategia de Gobierno digital</t>
  </si>
  <si>
    <t>Servicio de educación informal en Gestión TI y en Seguridad y Privacidad de la Información</t>
  </si>
  <si>
    <t>Personas capacitadas en Gestión TI y en Seguridad y Privacidad de la Información</t>
  </si>
  <si>
    <t>Documentos de evaluación</t>
  </si>
  <si>
    <t>Documentos de evaluación de programas enfocados en generar competencias TIC</t>
  </si>
  <si>
    <t>Documentos metodológicos</t>
  </si>
  <si>
    <t>Documento metodológico del modelo de acompañamiento para la implementación de la Estrategia de Gobierno digital elaborado</t>
  </si>
  <si>
    <t>Instituto Departamental de Deporte y Recreación del Quindío</t>
  </si>
  <si>
    <t>Cobertura de municipios qué participan en programas de recreación, actividad física y deporte social y comunitario en el Departamento del Quindío.
Tasa de consumo de sustancias psicoactivas X100.000 habitantes en el Departamento del Quindío</t>
  </si>
  <si>
    <t>Servicio de Escuelas Deportivas</t>
  </si>
  <si>
    <t>Municipios con Escuelas Deportivas</t>
  </si>
  <si>
    <t>Fortalecimiento, hábitos y estilos de vida saludable como instrumento SALVAVIDAS en el departamento del Quindío</t>
  </si>
  <si>
    <t xml:space="preserve">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t>
  </si>
  <si>
    <t>Gerente INDEPORTES QUINDÍO</t>
  </si>
  <si>
    <t>Servicio de promoción de la actividad física, la recreación y el deporte</t>
  </si>
  <si>
    <t>Municipios vinculados al programa Supérate-Intercolegiados</t>
  </si>
  <si>
    <t>430103704</t>
  </si>
  <si>
    <t>Municipios implementando  programas de recreación, actividad física y deporte social comunitario</t>
  </si>
  <si>
    <t>Formular e  implementar una  política pública para el desarrollo y acceso al deporte, la recreación, la actividad física, la educación física y en uso adecuado del tiempo libre, como ejes de transformación humana y social en el departamento del Quindío</t>
  </si>
  <si>
    <t>Documentos normativos</t>
  </si>
  <si>
    <t>Política pública formulada e implementada</t>
  </si>
  <si>
    <t>Documentos normativos realizados</t>
  </si>
  <si>
    <t>Formación y preparación de deportistas. "Tú y yo campeones"</t>
  </si>
  <si>
    <t>Formación y preparación de deportistas</t>
  </si>
  <si>
    <t>Cobertura de ligas apoyadas en el departamento del Quindío.
Porcentaje de medallería del departamento del Quindío en los Juegos Nacionales.</t>
  </si>
  <si>
    <t>Servicio de asistencia técnica para la promoción del deporte</t>
  </si>
  <si>
    <t xml:space="preserve">Organismos deportivos asistidos </t>
  </si>
  <si>
    <t>Fortalecimiento al deporte competitivo y de altos logros "TU Y    YO SOMOS SALVAVIDAS POR UN QUINDIO GANADOR" en el Departamento del Quindío</t>
  </si>
  <si>
    <t xml:space="preserve">Incrementar la cobertura de municipios qué participan en programas de recreación, actividad física , deporte social y comunitario, además de la  disminución de las tasas de sustancias psicoactivas en el Departamento del Quindío, a través  de  la definición de  nuevas metodologías para el desarrollo del deporte formativo y competitivo  </t>
  </si>
  <si>
    <t>Proyecta Empresa para el Desarrollo Territorial</t>
  </si>
  <si>
    <t xml:space="preserve">Infraestructura  deportiva y/o recreativa con procesos   constructivos, mejorados,  ampliados, mantenidos y/o  reforzados </t>
  </si>
  <si>
    <t xml:space="preserve">Infraestructura   deportiva y/o recreativa construida, mejorada, ampliada, mantenida, y/o  reforzada </t>
  </si>
  <si>
    <t>Mantenimiento de obras complementarias de la infraestructura  deportiva y recreativa en el Departamento del Quindío.</t>
  </si>
  <si>
    <t>Incrementar la cobertura de municipios qué participan en programas de recreación, actividad física y deporte social y comunitario en el Departamento del Quindío, a través del   mantenimiento de obras complementarias de infraestructura deportiva y recreativa en el Departamento del Quindío con el propósito de generar espacio para la utilización del tiempo libre.</t>
  </si>
  <si>
    <t>Gerente General Proyecta para el Desarrollo Territorial</t>
  </si>
  <si>
    <t>Infraestructura de Instituciones Educativas con procesos constructivos, mejorados, ampliados, mantenidos, y/o reforzados.</t>
  </si>
  <si>
    <t>Mantenimiento de obras complementarias en la Infraestructura educativa en el Departamento del Quindío.</t>
  </si>
  <si>
    <t>Incrementar las tasas de cobertura bruta en preescolar, educación básica y media, a través de esfuerzos interinstitucionales para realizar  obras complementarias en  Infraestructura educativa  mantenida, en el Departamento del Quindío.</t>
  </si>
  <si>
    <t xml:space="preserve">índice de competitividad  en el sector de infraestructura vial </t>
  </si>
  <si>
    <t xml:space="preserve"> Mantenimiento de obras complementarias a la infraestructura vial en el Departamento del Quindío</t>
  </si>
  <si>
    <t>Incrementar en índice de competitividad  en el sector de infraestructura vial,    a través de obras físicas complementarias, garantizando condiciones de eficiencia, seguridad y confort a los a sus usuarios</t>
  </si>
  <si>
    <t xml:space="preserve">Servicio de asistencia técnica y jurídica en saneamiento y titulación de predios </t>
  </si>
  <si>
    <t>400100100</t>
  </si>
  <si>
    <t>Entidades territoriales asistidas técnica y jurídicamente</t>
  </si>
  <si>
    <t xml:space="preserve">Apoyo en la formulación y ejecución de proyectos de vivienda en el Departamento del Quindío  </t>
  </si>
  <si>
    <t>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t>
  </si>
  <si>
    <t xml:space="preserve">Viviendas de Interés Prioritario urbanas mejoradas </t>
  </si>
  <si>
    <t>400101800</t>
  </si>
  <si>
    <t>Viviendas de Interés Prioritario urbanas mejoradas</t>
  </si>
  <si>
    <t>Estudios de preinversión e inversión</t>
  </si>
  <si>
    <t>400103000</t>
  </si>
  <si>
    <t>4001015</t>
  </si>
  <si>
    <t xml:space="preserve">Fortalecimiento de la gestión y desempeño institucional. “Quindío con una administración al servicio de la ciudadanía”. </t>
  </si>
  <si>
    <t>Infraestructura institucional o edificios públicos construida, mejorada, ampliada, mantenida, y/o reforzada</t>
  </si>
  <si>
    <t>Mantenimiento de los edificios públicos y/o equipamientos colectivos y comunitarios en el Departamento del Quindío.</t>
  </si>
  <si>
    <t xml:space="preserve"> Territorio, Ambiente y Desarrollo Sostenible </t>
  </si>
  <si>
    <t xml:space="preserve"> Vivienda, ciudad y territorio </t>
  </si>
  <si>
    <t xml:space="preserve"> Acceso de la población a los servicios de agua potable y saneamiento básico. "Tú y yo con calidad del agua" </t>
  </si>
  <si>
    <t xml:space="preserve"> Acceso de la población a los servicios de agua potable y saneamiento básico </t>
  </si>
  <si>
    <t xml:space="preserve"> Cobertura de acueducto
Cobertura  de alcantarillado  </t>
  </si>
  <si>
    <t xml:space="preserve"> Servicios de apoyo financiero para la ejecución de proyectos de acueductos y alcantarillado </t>
  </si>
  <si>
    <t xml:space="preserve"> Proyectos de acueducto y alcantarillado en área urbana financiados </t>
  </si>
  <si>
    <t xml:space="preserve"> N.A. </t>
  </si>
  <si>
    <t> 2023003630001</t>
  </si>
  <si>
    <t>Construcción y/o mejoramiento de las redes de acueducto y alcantarillado en los municipios del departamento del Quindío</t>
  </si>
  <si>
    <t>Realizar mantenimiento preventivo y correctivo a las redes de acueducto y alcantarillado</t>
  </si>
  <si>
    <t xml:space="preserve">Instituto Departamental de Tránsito del Quindío </t>
  </si>
  <si>
    <t>Seguridad de Transporte. "Tú y yo seguros en la vía"</t>
  </si>
  <si>
    <t>Seguridad de transporte</t>
  </si>
  <si>
    <t>Tasa de lesionados por siniestros viales por cada 100 habitantes.
Tasa de fallecidos por siniestros viales por cada 100 habitantes.</t>
  </si>
  <si>
    <t>Formular e Implementar una estrategia de movilidad saludable, segura y sostenible.</t>
  </si>
  <si>
    <t>Servicio de promoción y difusión para la seguridad de transporte</t>
  </si>
  <si>
    <t xml:space="preserve">Estrategia de movilidad saludable, segura y sostenible  formulada e implementada </t>
  </si>
  <si>
    <t xml:space="preserve">Estrategias implementadas </t>
  </si>
  <si>
    <t>Implementación del programa de seguridad vial en el Departamento del Quindío  "TU Y YO POR LA SEGURIDAD VIAL"</t>
  </si>
  <si>
    <t>Disminuir las tasa de lesionados por siniestros viales y fallecidos por siniestros viales  a través de acciones de fortalecimiento de la seguridad vial en el Departamento del Quindío.</t>
  </si>
  <si>
    <t>Director IDTQ</t>
  </si>
  <si>
    <t>Formular e Implementar un programa de formación en normas de tránsito y fomento de cultura  de la seguridad en la vía.</t>
  </si>
  <si>
    <t xml:space="preserve">Servicio de educación informal en seguridad vial </t>
  </si>
  <si>
    <t>Programa de formación cultural  de la seguridad en la vía formulado e implementado.</t>
  </si>
  <si>
    <t>Estrategias de promoción de la cultura ciudadana implementadas</t>
  </si>
  <si>
    <t>Formular e Implementar un programa de control, prevención y atención del tránsito y el transporte en los municipios y vías de jurisdicción del IDTQ.</t>
  </si>
  <si>
    <t>Programa de control y atención del tránsito y en transporte formulado e implementado</t>
  </si>
  <si>
    <t>Documentos de planeación realizados</t>
  </si>
  <si>
    <t>Diseñar e Implementar un programa de señalización y demarcación en los municipios y vías de jurisdicción del IDTQ.</t>
  </si>
  <si>
    <t>Vías con dispositivos de control y señalización</t>
  </si>
  <si>
    <t>Programa de Señalización y demarcación en los municipios y vías de jurisdicción del IDTQ diseñado e Implementado</t>
  </si>
  <si>
    <t xml:space="preserve">Demarcación horizontal longitudinal realizada </t>
  </si>
  <si>
    <t xml:space="preserve"> TOTALES:</t>
  </si>
  <si>
    <t>PROGRAMA MGA</t>
  </si>
  <si>
    <t>PRESUPUESTO 2024</t>
  </si>
  <si>
    <t>304 SECRETARÍA ADMINISTRATIVA</t>
  </si>
  <si>
    <t xml:space="preserve">LIDERAZGO, GOBERNABILIDAD Y TRANSPARENCIA </t>
  </si>
  <si>
    <t xml:space="preserve">305 SECRETARÍA DE PLANEACIÓN </t>
  </si>
  <si>
    <t>307 SECRETARÍA DE HACIENDA</t>
  </si>
  <si>
    <t xml:space="preserve">308 SECRETARÍA DE AGUAS E INFRAESTRUCTURA </t>
  </si>
  <si>
    <t xml:space="preserve">INCLUSIÓN SOCIAL Y EQUIDAD </t>
  </si>
  <si>
    <t>SALUD Y PROTECCIÓN SOCIAL</t>
  </si>
  <si>
    <t xml:space="preserve">Promoción al acceso a la justicia. </t>
  </si>
  <si>
    <t>Inspección, vigilancia y control.</t>
  </si>
  <si>
    <t xml:space="preserve">TERRITORIO, AMBIENTE Y DESARROLLO SOSTENIBLE </t>
  </si>
  <si>
    <t>Vivienda, Ciudad y Territorio</t>
  </si>
  <si>
    <t xml:space="preserve">Acceso a soluciones de vivienda. </t>
  </si>
  <si>
    <t xml:space="preserve">Acceso de la población a los servicios de agua potable y saneamiento básico. </t>
  </si>
  <si>
    <t xml:space="preserve">309  SECRETARÍA DEL INTERIOR </t>
  </si>
  <si>
    <t>Promoción de los métodos de resolución de conflictos.</t>
  </si>
  <si>
    <t xml:space="preserve">Sistema penitenciario y carcelario en el marco de los derechos humanos. </t>
  </si>
  <si>
    <t xml:space="preserve">Atención, asistencia y reparación integral a las víctimas. </t>
  </si>
  <si>
    <t>Inclusión social y productiva para la población en situación de vulnerabilidad.</t>
  </si>
  <si>
    <t>Fortalecimiento de la convivencia y la seguridad ciudadana.</t>
  </si>
  <si>
    <t>Ordenamiento Ambiental Territorial.</t>
  </si>
  <si>
    <t xml:space="preserve">Gestión del riesgo de desastres y emergencias. </t>
  </si>
  <si>
    <t xml:space="preserve">310 SECRETARÍA DE CULTURA </t>
  </si>
  <si>
    <t xml:space="preserve">Promoción y acceso efectivo a procesos culturales y artísticos. </t>
  </si>
  <si>
    <t>Gestión, protección y salvaguardia del patrimonio cultural colombiano.</t>
  </si>
  <si>
    <t xml:space="preserve">311 SECRETARÍA DE TURISMO INDUSTRIA Y COMERCIO </t>
  </si>
  <si>
    <t>PRODUCTIVIDAD Y COMPETITIVIDAD</t>
  </si>
  <si>
    <t xml:space="preserve">Productividad y competitividad de las empresas colombianas. </t>
  </si>
  <si>
    <t xml:space="preserve">Generación y formalización del empleo. </t>
  </si>
  <si>
    <t xml:space="preserve">312 SECRETARÍA DE AGRICULTURA, DESARROLLO RURAL Y MEDIO AMBIENTE </t>
  </si>
  <si>
    <t xml:space="preserve">Inclusión productiva de pequeños productores rurales. </t>
  </si>
  <si>
    <t xml:space="preserve">Servicios financieros y gestión del riesgo para las actividades agropecuarias y rurales. </t>
  </si>
  <si>
    <t>Ordenamiento social y uso productivo del territorio rural.</t>
  </si>
  <si>
    <t xml:space="preserve">Aprovechamiento de mercados externos. </t>
  </si>
  <si>
    <t xml:space="preserve">Sanidad agropecuaria e inocuidad agroalimentaria. </t>
  </si>
  <si>
    <t xml:space="preserve">Ciencia, tecnología e innovación agropecuaria. </t>
  </si>
  <si>
    <t xml:space="preserve">Infraestructura productiva y comercialización. </t>
  </si>
  <si>
    <t>Productividad y competitividad de las empresas colombianas.</t>
  </si>
  <si>
    <t>Fortalecimiento del desempeño ambiental de los sectores productivos.</t>
  </si>
  <si>
    <t xml:space="preserve">Conservación de la biodiversidad y sus servicios ecosistémicos. </t>
  </si>
  <si>
    <t xml:space="preserve">Gestión de la información y en conocimiento ambiental. </t>
  </si>
  <si>
    <t xml:space="preserve">Ordenamiento Ambiental Territorial. </t>
  </si>
  <si>
    <t xml:space="preserve">Gestión del cambio climático para un desarrollo bajo en carbono y resiliente al clima. </t>
  </si>
  <si>
    <t xml:space="preserve">313 SECRETARÍA PRIVADA </t>
  </si>
  <si>
    <t xml:space="preserve">Fortalecimiento del buen gobierno para el respeto y garantía de los derechos humanos. </t>
  </si>
  <si>
    <t xml:space="preserve">314 SECRETARÍA DE EDUCACIÓN </t>
  </si>
  <si>
    <t>316 SECRETARÍA DE FAMILIA</t>
  </si>
  <si>
    <t xml:space="preserve">Salud Pública, </t>
  </si>
  <si>
    <t xml:space="preserve">Derechos fundamentales del trabajo y fortalecimiento del diálogo social. </t>
  </si>
  <si>
    <t xml:space="preserve">318 SECRETARIA DE SALUD </t>
  </si>
  <si>
    <t>324  SECRETARÍA TECNOLÓGIAS DE LA INFORMACIÓN Y COMUNICACIÓN</t>
  </si>
  <si>
    <t xml:space="preserve">Fomento del desarrollo de aplicaciones, software y contenidos para impulsar la apropiación de las Tecnologías de la Información y las Comunicaciones (TIC) </t>
  </si>
  <si>
    <t>TOTAL ADMINISTRACIÓN CENTRAL:</t>
  </si>
  <si>
    <t xml:space="preserve">319 INDEPORTES QUINDÍO </t>
  </si>
  <si>
    <t xml:space="preserve">Formación y preparación de deportistas. </t>
  </si>
  <si>
    <t>320 PROYECTA EMPRESA PARA EL DESARROLLO TERRITORIAL</t>
  </si>
  <si>
    <t>Calidad, cobertura y fortalecimiento de la educación inicial, prescolar, básica y media.</t>
  </si>
  <si>
    <t xml:space="preserve">Infraestructura red vial regional. </t>
  </si>
  <si>
    <t>321 INSTITUTO DEPARTAMENTAL DE TRANSITO</t>
  </si>
  <si>
    <t xml:space="preserve">Seguridad de Transporte. </t>
  </si>
  <si>
    <t>TOTAL ENTES DESCENTRALIZADOS</t>
  </si>
  <si>
    <t>TOTAL POAI:</t>
  </si>
  <si>
    <t>Línea Estratégica</t>
  </si>
  <si>
    <t>Valor</t>
  </si>
  <si>
    <t>% Participación</t>
  </si>
  <si>
    <t>1.  Inclusión Social y Equidad</t>
  </si>
  <si>
    <t>2.  Productividad y Competitividad</t>
  </si>
  <si>
    <t>3.  Territorio, Ambiente y Desarrollo Sostenible</t>
  </si>
  <si>
    <t>4.  Liderazgo, Gobernabilidad y Transparecia</t>
  </si>
  <si>
    <t>Total Inversión</t>
  </si>
  <si>
    <t>UNIDAD
EJECUTORA</t>
  </si>
  <si>
    <t>FUENTE DE FINANCIACIÓN</t>
  </si>
  <si>
    <t>PRESUPUESTO</t>
  </si>
  <si>
    <t>Recurso Ordinario</t>
  </si>
  <si>
    <t>Convenio Anticontrabando</t>
  </si>
  <si>
    <t>FONPET</t>
  </si>
  <si>
    <t>Estampilla Prodesarrollo</t>
  </si>
  <si>
    <t>SGP Agua Potable Saneamiento Básico</t>
  </si>
  <si>
    <t>Sobretasa al ACPM</t>
  </si>
  <si>
    <t>Nación</t>
  </si>
  <si>
    <t>Fondo de Seguridad 5%</t>
  </si>
  <si>
    <t>Estampilla Pro Cultura</t>
  </si>
  <si>
    <t>Iva Telefonía Móvil</t>
  </si>
  <si>
    <t>Impuesto al Registro 4%</t>
  </si>
  <si>
    <t xml:space="preserve">313 SECRETARÍA  PRIVADA </t>
  </si>
  <si>
    <t>314 SECRETARÍA DE EDUCACIÓN</t>
  </si>
  <si>
    <t>Monopolio</t>
  </si>
  <si>
    <t>SGP Educación</t>
  </si>
  <si>
    <t>Programa Alimentación Escolar</t>
  </si>
  <si>
    <t>Estampilla Pro Adulto Mayor</t>
  </si>
  <si>
    <t>SGP Salud</t>
  </si>
  <si>
    <t>Rentas Cedidas</t>
  </si>
  <si>
    <t>Oros Recursos (fondo de Estupefacientes)</t>
  </si>
  <si>
    <t>Otros recursos  Nación</t>
  </si>
  <si>
    <t>324  SECRETARÍA TECNOLÓGIAS DE LA INFORMACIÓN Y LASCOMUNICACIÓN</t>
  </si>
  <si>
    <t>Estampilla Pro Deporte</t>
  </si>
  <si>
    <t>Impuesto Monopolio</t>
  </si>
  <si>
    <t>Ordinario</t>
  </si>
  <si>
    <t>Estampilla Pro Desarrollo</t>
  </si>
  <si>
    <t>Impuesto al Registro</t>
  </si>
  <si>
    <t>Recursos Propios</t>
  </si>
  <si>
    <t xml:space="preserve">Unidad </t>
  </si>
  <si>
    <t>Nombre</t>
  </si>
  <si>
    <t xml:space="preserve">Administrativa </t>
  </si>
  <si>
    <t>Planeación</t>
  </si>
  <si>
    <t>Hacienda y Finanzas Públicas</t>
  </si>
  <si>
    <t>Aguas e Infraestructura</t>
  </si>
  <si>
    <t>Interior</t>
  </si>
  <si>
    <t>Turismo Industria y Comercio</t>
  </si>
  <si>
    <t>Agricultura Desarrollo Rural y Medio Ambiente</t>
  </si>
  <si>
    <t>Privada</t>
  </si>
  <si>
    <t>Familia</t>
  </si>
  <si>
    <t>Salud</t>
  </si>
  <si>
    <t>Tecnologías de la Información y Comunicación</t>
  </si>
  <si>
    <t xml:space="preserve">Indeportes </t>
  </si>
  <si>
    <t>Proyecta</t>
  </si>
  <si>
    <t xml:space="preserve">Instituto Departamental de Tránsito </t>
  </si>
  <si>
    <t>TOTAL POAI 2024</t>
  </si>
  <si>
    <t>Suma de  TOTAL PRESUPUESTO
2024</t>
  </si>
  <si>
    <t>Total Instituto Departamental de Deporte y Recreación del Quindío</t>
  </si>
  <si>
    <t xml:space="preserve">Total Instituto Departamental de Tránsito del Quindío </t>
  </si>
  <si>
    <t>Total Proyecta Empresa para el Desarrollo Territorial</t>
  </si>
  <si>
    <t>Total Secretaría Administrativa</t>
  </si>
  <si>
    <t>Total Secretaría de Agricultura Desarrollo Rural y Medio Ambiente</t>
  </si>
  <si>
    <t>Total Secretaría de Aguas e Infraestructura</t>
  </si>
  <si>
    <t>Total Secretaría de Cultura</t>
  </si>
  <si>
    <t>Total Secretaría de Educación</t>
  </si>
  <si>
    <t>Total Secretaría de Familia</t>
  </si>
  <si>
    <t>Total Secretaría de Hacienda y Finanzas Públicas</t>
  </si>
  <si>
    <t>Total Secretaría de Planeación</t>
  </si>
  <si>
    <t>Total Secretaría de Salud</t>
  </si>
  <si>
    <t>Total Secretaría de Turismo Industria y Comercio</t>
  </si>
  <si>
    <t>Total Secretaría del Interior</t>
  </si>
  <si>
    <t>Total Secretaría Privada</t>
  </si>
  <si>
    <t>Total Secretaría Tecnologías de la Información y las Comunicaciones</t>
  </si>
  <si>
    <t>Total general</t>
  </si>
  <si>
    <t>305 SECRETARÍA DE PLANEACIÓN</t>
  </si>
  <si>
    <t xml:space="preserve"> Implementación  del Modelo Integrado de Planeación y de Gestión MIPG en la Administración Departamental del   Quindío</t>
  </si>
  <si>
    <t xml:space="preserve">Fortalecimiento del Consejo Territorial de Planeación del Departamento del Quindío. "TÚ y YO SOMOS QUINDIO" </t>
  </si>
  <si>
    <t xml:space="preserve"> Implementación   de instrumentos de planificación para  en  Ordenamiento y la Gestión Territorial Departamental del Quindío  "TU Y YO SOMOS QUINDIO" </t>
  </si>
  <si>
    <t xml:space="preserve">  Implementación del Observatorio Económico  de la Administración Departamental del Quindío "TU Y YO SOMOS QUINDIO"</t>
  </si>
  <si>
    <t>Formulación del  Plan de Desarrollo Departamental 2024-2027</t>
  </si>
  <si>
    <t>307 SECRETARÍA DE HACIENDA Y FINANZAS PÚBLICAS</t>
  </si>
  <si>
    <t xml:space="preserve">Implementación de un programa para el cumplimiento de las políticas y prácticas contables de la administración departamental del Quindío.    </t>
  </si>
  <si>
    <t>308 SECRETARÍA DE AGUAS E INFRAESTRUCTURA</t>
  </si>
  <si>
    <t xml:space="preserve"> Mantenimiento de la infraestructura Educativa en el Departamento del Quindío. </t>
  </si>
  <si>
    <t xml:space="preserve"> Mantenimiento de la infraestructura cultural en el departamento del Quindío  </t>
  </si>
  <si>
    <t xml:space="preserve"> Construcción, mantenimiento y/o mejoramiento de obras de infraestructura  para la mitigación y atención de desastres en los municipios del departamento del Quindío </t>
  </si>
  <si>
    <t>309 SECRETARÍA DE INTERIOR</t>
  </si>
  <si>
    <t xml:space="preserve"> Implementación  de acciones con los Entes Municipales, para la reducción de los delitos en el Departamento del Quindío</t>
  </si>
  <si>
    <t xml:space="preserve">  Implementación de  métodos  para la resolución de conflictos y el  fortalecimiento de la seguridad de los ciudadanos en el Departamento del Quindío  </t>
  </si>
  <si>
    <t xml:space="preserve">Implementación de acciones de apoyo para la resocialización de las personas privadas de la libertad en las Instituciones Penitenciarias  del Departamento  del Quindío. </t>
  </si>
  <si>
    <t xml:space="preserve"> Implementación  y/o fortalecimiento  de  los planes para la gestión del riesgo y desastres en las Instituciones Educativas Oficiales  del Departamento </t>
  </si>
  <si>
    <t xml:space="preserve">Asistencia, atención y capacitación a la población excombatiente en el Departamento del Quindío. </t>
  </si>
  <si>
    <t xml:space="preserve"> Fortalecimiento de los organismos de seguridad del Departamento del Quindío, para mejorar la convivencia, preservación del orden público y la seguridad ciudadana. </t>
  </si>
  <si>
    <t xml:space="preserve"> Implementación del Plan Integral de prevención de vulneraciones de los Derechos Humanos DDHH e infracciones  al Derecho Internacional Humanitario DIH en el Departamento del Quindío </t>
  </si>
  <si>
    <t xml:space="preserve"> Fortalecimiento de la participación ciudadana, veedurías y organizaciones comunales para el cumplimiento, protección y restablecimiento de los derechos contemplados en la Constitución Política.    </t>
  </si>
  <si>
    <t>310 SECRETARÍA DE CULTURA</t>
  </si>
  <si>
    <t xml:space="preserve"> Apoyo artistas y gestores culturales  del departamento del Quindío con el  beneficio de la Seguridad Social.  </t>
  </si>
  <si>
    <t xml:space="preserve"> Apoyo al Paisaje, Café y Tradición mediante procesos de manejo, gestión, asistencia técnica, divulgación y publicación del patrimonio, arqueológico, antropológico e histórico en el Departamento del Quindío </t>
  </si>
  <si>
    <t>311 SECRETARÍA DE TURISMO INDUSTRIA Y COMERCIO</t>
  </si>
  <si>
    <t>Mejoramiento  de la competitividad turística del Destino  Quindio</t>
  </si>
  <si>
    <t xml:space="preserve"> Fortalecimiento de la promoción turística  nacional e internacional  del destino Quindio </t>
  </si>
  <si>
    <t>312 SECRETARÍA DE AGRICULTURA DESARROLLO RUAL Y MEDIO AMBIENTE</t>
  </si>
  <si>
    <t xml:space="preserve"> Fortalecimiento e implementación de procesos de mercadeo y comercialización agropecuaria en el Departamento del Quindío.                </t>
  </si>
  <si>
    <t xml:space="preserve"> Servicio de apoyo en la formulación y estructuración de proyectos de Desarrollo Rural e inclusión productiva  campesina en el Departamento del Quindío  </t>
  </si>
  <si>
    <t xml:space="preserve"> Apoyo a la Implementación de procesos para la prevención y mitigación de riesgos naturales del sector agropecuario en el Departamento del Quindío.  </t>
  </si>
  <si>
    <t xml:space="preserve">Implementación de procesos de sanidad e inocuidad alimentaria en el departamento del Quindío. </t>
  </si>
  <si>
    <t xml:space="preserve"> Fortalecimiento de nuevos emprendimientos e iniciativas clúster de las cadenas promisorias agropecuarias en el Departamento del Quindío.                     </t>
  </si>
  <si>
    <t xml:space="preserve"> Generación y desarrollo de acciones para la conservación de las áreas de importancia estratégica hídrica en el Departamento del Quindío </t>
  </si>
  <si>
    <t>313 SECRETARÍA PRIVADA</t>
  </si>
  <si>
    <t>Fortalecimiento de Estrategias de Acceso Bienestar y Permanencia en el Sector Educativo del Departamento del Quindío</t>
  </si>
  <si>
    <t>Fortalecimiento para la gestión de la educación inicial y preescolar en el marco de la atención integral a la primera infancia en el Departamento del Quindío</t>
  </si>
  <si>
    <t>Fortalecimiento de la Calidad Educativa con inclusión y equidad para el Desarrollo Integral de niños niñas adolescentes y jóvenes en el Departamento del Quindío</t>
  </si>
  <si>
    <t>Fortalecimiento de las  Tecnologías de Información y Comunicación TIC  para una innovación educativa de calidad en el departamento del Quindío</t>
  </si>
  <si>
    <t>Implementación del observatorio de educación con el fin de recopilar y producir información del sector educativo con enfoque territorial</t>
  </si>
  <si>
    <t>Fortalecimiento de estrategias para el acceso y la permanencia  de los estudiantes egresados de los Establecimientos Educativos Oficiales a la educación superior o terciaria en el Departamento del Quindío</t>
  </si>
  <si>
    <t xml:space="preserve">  Diseño e implementación de campañas para la promoción de la vida y prevención del consumo de sustancias psicoactivas en el Departamento del Quindío. "TU Y YO UNIDOS POR LA VIDA".  </t>
  </si>
  <si>
    <t xml:space="preserve"> Diseño e implementación del programa comunitario para la prevención de los derechos de niños, niñas y adolescentes y su desarrollo integral. "TU Y YO COMPROMETIDOS CON LOS SUEÑOS". </t>
  </si>
  <si>
    <t xml:space="preserve"> Servicio de atención Post egreso de adolescentes y jóvenes, en los servicios de restablecimiento en la administración de justicia, con enfoque pedagógico y restaurativo encaminados a la inclusión social en el  Departamento del   Quindío.</t>
  </si>
  <si>
    <t xml:space="preserve">Apoyo en la construcción e Implementación de los Planes de Vida de los Cabildos y Resguardos indígenas asentados en el Departamento del Quindío "TU Y YO UNIDOS CON DIGNIDAD".  </t>
  </si>
  <si>
    <t xml:space="preserve">Implementación acciones de fortalecimiento de los entornos protectores de los jóvenes en barrios vulnerables de los municipios, del Departamento del Quindío. </t>
  </si>
  <si>
    <t xml:space="preserve"> Diseño e implementación de un  Modelo de  atención integral a la primera infancia  a través de las Rutas Integrales de Atención  RIA en el Departamento del  Quindío </t>
  </si>
  <si>
    <t xml:space="preserve"> Implementación de la política pública de Familia para la promoción del desarrollo integral de la población del Departamento del Quindío. </t>
  </si>
  <si>
    <t xml:space="preserve">Formulación e Implementación del programa departamental para atención al ciudadano migrante y de repatriación.  </t>
  </si>
  <si>
    <t xml:space="preserve">Formulación e implementación   de proyectos productivos dirigidos a la población en condición de discapacidad y sus familias para la generación de  ingresos  y fortalecimiento del entorno familiar.  </t>
  </si>
  <si>
    <t xml:space="preserve"> Servicio  de atención integral e inclusión para el bienestar de los adultos mayores del departamento del Quindío </t>
  </si>
  <si>
    <t xml:space="preserve">Implementación de la Casa  de la Mujer Empoderada para la promoción a la participación ciudadana  de Mujeres en escenarios sociales, políticos y en fortalecimiento de la asociatividad  en el departamento del Quindío </t>
  </si>
  <si>
    <t xml:space="preserve"> Implementación de  estrategias de acompañamiento y asesoría a las asociaciones de mujeres del departamento del Quindío</t>
  </si>
  <si>
    <t xml:space="preserve"> Implementación del  programa de liderazgo  para la participación femenina en escenarios sociales y políticos del departamento del Quindío</t>
  </si>
  <si>
    <t xml:space="preserve">    Implementación de la política pública  de diversidad sexual en el Departamento del Quindío 20192029  </t>
  </si>
  <si>
    <t xml:space="preserve">  Implementación de la política pública de equidad de género para la mujer en el Departamento del Quindío  </t>
  </si>
  <si>
    <t xml:space="preserve"> Diseño e implementación del programa de acompañamiento familiar y comunitario con enfoque preventivo en los tipos de violencias en el Departamento del Quindío "TU Y YO COMPROMETIDOS CON LA FAMILIA" </t>
  </si>
  <si>
    <t>318 SECRETARÍA DE SALUD</t>
  </si>
  <si>
    <t xml:space="preserve"> Apoyo operativo a la inversión social en salud en el Departamento del Quindío </t>
  </si>
  <si>
    <t xml:space="preserve"> Aprovechamiento biológico y consumo de  alimentos inocuos  en el Departamento del Quindío </t>
  </si>
  <si>
    <t xml:space="preserve"> Fortalecimiento de la inclusión social para la disminución del riesgo de contraer enfermedades transmisibles en el Departamento del Quindío.  </t>
  </si>
  <si>
    <t xml:space="preserve"> Prevención vigilancia y control de eventos en el ámbito laboral en el Departamento del Quindío.  </t>
  </si>
  <si>
    <t xml:space="preserve"> Fortalecimiento del sistema de vigilancia en salud pública en el Departamento del Quindío. </t>
  </si>
  <si>
    <t>Fortalecimiento de las intervenciones colectivas y prioridades en salud pública del Departamento del Quindío PIC</t>
  </si>
  <si>
    <t>324 SECRETARÍA DE TECNOLOGÍA DE LA INFORMACIÓN Y COMUNICACÓN</t>
  </si>
  <si>
    <t xml:space="preserve"> Fortalecimiento  y apoyo a las tecnologías de la información y las comunicaciones en el departamento del Quindío.</t>
  </si>
  <si>
    <t xml:space="preserve"> Fortalecimiento del sector empresarial del departamento del Quindío </t>
  </si>
  <si>
    <t xml:space="preserve">  Implementación  y  divulgación de la estrategia    "Quindío innovador y competitivo"   </t>
  </si>
  <si>
    <t>Asistencia y apropiación tecnológica generacional en el departamento del Quindio</t>
  </si>
  <si>
    <t xml:space="preserve">   Implementación de la transformación digital del sector empresarial en el Departamento del Quindío  </t>
  </si>
  <si>
    <t xml:space="preserve"> Fortalecimiento de la estrategia de gobierno digital  en la Administración Departamental y  Entes Territoriales del departamento del  Quindío  </t>
  </si>
  <si>
    <t>319 INDEPORTES</t>
  </si>
  <si>
    <t xml:space="preserve">  Mantenimiento de obras complementarias a la infraestructura vial en el Departamento del Quindío </t>
  </si>
  <si>
    <t xml:space="preserve"> Apoyo en la formulación y ejecución de proyectos de vivienda en el Departamento del Quindío   </t>
  </si>
  <si>
    <t xml:space="preserve"> Construcción y/o mejoramiento de las redes de acueducto y alcantarillado en los municipios del departamento del Quindío </t>
  </si>
  <si>
    <t>321 INSTITUTO DEPARTAMENTAL DE TRÁNSITO DEL QUINDÍO</t>
  </si>
  <si>
    <t>TOTAL PROYECTOS INVERSION DEPARTAMENTAL 2024</t>
  </si>
  <si>
    <t>Total No Proyectos:  137</t>
  </si>
  <si>
    <t>LUIS ALBERTO RINCÓN QUINTERO</t>
  </si>
  <si>
    <t>Secretario de Planeación Departamental</t>
  </si>
  <si>
    <t>Elaboró: Leisy Soranny Toro Gualteros, contratista de apoyo Banco de Programas y Proyectos</t>
  </si>
  <si>
    <t xml:space="preserve">Revisó: Norma Consuelo Mantilla Quintero,  Profesional Universitaria </t>
  </si>
  <si>
    <t xml:space="preserve">Aprobó: Jairo Andres Pimentel Ruiz,  Jefe del Banco de Programas y Proyectos </t>
  </si>
  <si>
    <t>PLAN OPERATIVO ANUAL DE INVERSIÓN - POAI  AJUSTADO JUNIO  - 2024</t>
  </si>
  <si>
    <t>OTROS (FDO. SEGURIDAD - ACPM- IVA TELEFONIA MÓVIL  - IMP. REGISTRO- R.O. IDTQ, iPOCONSUMO, CIGARRILLOS, ESTUPEFACIENTES, FONPET 01)</t>
  </si>
  <si>
    <t xml:space="preserve">PLAN OPERATIVO ANUAL DE INVERSIÓN POAI  2024 JUNIO
REPORTE UNIDADES EJECUTORAS POR PROGRAMAS
</t>
  </si>
  <si>
    <t>PLAN OPERATIVO ANUAL DE INVERSIÓN POAI  JUNIO 2024
PARTICIPACIÓN DE RECURSOS POR LÍNEA ESTRATÉGICA</t>
  </si>
  <si>
    <t>REPORTE UNIDADES EJECUTORAS POR FUENTES DE FINANCIACION JUNIO 2024</t>
  </si>
  <si>
    <t>PLAN OPERATIVO ANUAL DE INVERSIÓN POAI JUNIO 2024
PARTICIPACIÓN POR UNIDAD EJECUTORA
SECTOR CENTRAL</t>
  </si>
  <si>
    <t>PLAN OPERATIVO ANUAL DE INVERSIÓN POAI  JUNIO 2024
PARTICIPACIÓN POR UNIDAD EJECUTORA
ENTES DESCENTRALIZADOS</t>
  </si>
  <si>
    <t>PLAN OPERATIVO ANUAL DE INVERSIONES POAI  JUNIO 2024
RELACIÓN PROYECTOS DE INVERSION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</si>
</sst>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2" formatCode="_-&quot;$&quot;* #,##0_-;\-&quot;$&quot;* #,##0_-;_-&quot;$&quot;* &quot;-&quot;_-;_-@_-"/>
    <numFmt numFmtId="41" formatCode="_-* #,##0_-;\-* #,##0_-;_-* &quot;-&quot;_-;_-@_-"/>
    <numFmt numFmtId="43" formatCode="_-* #,##0.00_-;\-* #,##0.00_-;_-* &quot;-&quot;??_-;_-@_-"/>
    <numFmt numFmtId="164" formatCode="_([$$-240A]\ * #,##0.00_);_([$$-240A]\ * \(#,##0.00\);_([$$-240A]\ * &quot;-&quot;??_);_(@_)"/>
    <numFmt numFmtId="165" formatCode="00"/>
    <numFmt numFmtId="166" formatCode="_([$$-240A]\ * #,##0.0_);_([$$-240A]\ * \(#,##0.0\);_([$$-240A]\ * &quot;-&quot;??_);_(@_)"/>
    <numFmt numFmtId="167" formatCode="_(* #,##0.00_);_(* \(#,##0.00\);_(* &quot;-&quot;??_);_(@_)"/>
    <numFmt numFmtId="168" formatCode="_(* #,##0_);_(* \(#,##0\);_(* &quot;-&quot;??_);_(@_)"/>
    <numFmt numFmtId="169" formatCode="_-* #,##0.0_-;\-* #,##0.0_-;_-* &quot;-&quot;??_-;_-@_-"/>
    <numFmt numFmtId="170" formatCode="&quot;$&quot;\ #,##0.00"/>
    <numFmt numFmtId="171" formatCode="_(&quot;$&quot;\ * #,##0.00_);_(&quot;$&quot;\ * \(#,##0.00\);_(&quot;$&quot;\ * &quot;-&quot;??_);_(@_)"/>
    <numFmt numFmtId="172" formatCode="_-&quot;$&quot;\ * #,##0.00_-;\-&quot;$&quot;\ * #,##0.00_-;_-&quot;$&quot;\ * &quot;-&quot;_-;_-@_-"/>
    <numFmt numFmtId="173" formatCode="_-* #,##0_-;\-* #,##0_-;_-* &quot;-&quot;??_-;_-@_-"/>
    <numFmt numFmtId="174" formatCode="_-[$$-409]* #,##0.00_ ;_-[$$-409]* \-#,##0.00\ ;_-[$$-409]* &quot;-&quot;??_ ;_-@_ "/>
  </numFmts>
  <fonts count="22">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b/>
      <sz val="12"/>
      <name val="Arial"/>
      <family val="2"/>
    </font>
    <font>
      <b/>
      <sz val="10"/>
      <name val="Arial"/>
      <family val="2"/>
    </font>
    <font>
      <b/>
      <sz val="10"/>
      <color theme="1"/>
      <name val="Arial"/>
      <family val="2"/>
    </font>
    <font>
      <b/>
      <sz val="14"/>
      <name val="Arial"/>
      <family val="2"/>
    </font>
    <font>
      <sz val="10"/>
      <name val="Arial"/>
      <family val="2"/>
    </font>
    <font>
      <sz val="10"/>
      <color theme="1"/>
      <name val="Arial"/>
      <family val="2"/>
    </font>
    <font>
      <b/>
      <sz val="10"/>
      <color indexed="8"/>
      <name val="Arial"/>
      <family val="2"/>
    </font>
    <font>
      <sz val="11"/>
      <color indexed="8"/>
      <name val="Calibri"/>
      <family val="2"/>
    </font>
    <font>
      <sz val="12"/>
      <color rgb="FF000000"/>
      <name val="Arial"/>
      <family val="2"/>
    </font>
    <font>
      <b/>
      <sz val="11"/>
      <color rgb="FF6F6F6E"/>
      <name val="Calibri"/>
      <family val="2"/>
      <scheme val="minor"/>
    </font>
    <font>
      <b/>
      <sz val="10"/>
      <color rgb="FF000000"/>
      <name val="Arial"/>
      <family val="2"/>
    </font>
    <font>
      <sz val="10"/>
      <color rgb="FF000000"/>
      <name val="Arial"/>
      <family val="2"/>
    </font>
    <font>
      <sz val="10"/>
      <color rgb="FF000000"/>
      <name val="Arial Nova Cond Light"/>
      <family val="2"/>
    </font>
    <font>
      <sz val="12"/>
      <color theme="1"/>
      <name val="Arial"/>
      <family val="2"/>
    </font>
    <font>
      <b/>
      <sz val="12"/>
      <color theme="1"/>
      <name val="Calibri"/>
      <family val="2"/>
      <scheme val="minor"/>
    </font>
    <font>
      <sz val="8"/>
      <color rgb="FF000000"/>
      <name val="Arial"/>
      <family val="2"/>
    </font>
    <font>
      <sz val="8"/>
      <color theme="1"/>
      <name val="Arial"/>
      <family val="2"/>
    </font>
    <font>
      <sz val="9"/>
      <color rgb="FF000000"/>
      <name val="Arial"/>
      <family val="2"/>
    </font>
  </fonts>
  <fills count="17">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ECECEC"/>
        <bgColor indexed="64"/>
      </patternFill>
    </fill>
    <fill>
      <patternFill patternType="solid">
        <fgColor theme="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D6DCE4"/>
        <bgColor indexed="64"/>
      </patternFill>
    </fill>
    <fill>
      <patternFill patternType="solid">
        <fgColor rgb="FFFFFFFF"/>
        <bgColor indexed="64"/>
      </patternFill>
    </fill>
    <fill>
      <patternFill patternType="solid">
        <fgColor rgb="FFE2EFDA"/>
        <bgColor indexed="64"/>
      </patternFill>
    </fill>
    <fill>
      <patternFill patternType="solid">
        <fgColor theme="7" tint="0.79998168889431442"/>
        <bgColor indexed="64"/>
      </patternFill>
    </fill>
  </fills>
  <borders count="41">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522B57"/>
      </left>
      <right style="thin">
        <color rgb="FF522B57"/>
      </right>
      <top style="thin">
        <color rgb="FF522B57"/>
      </top>
      <bottom style="thin">
        <color rgb="FF522B57"/>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s>
  <cellStyleXfs count="12">
    <xf numFmtId="164" fontId="0" fillId="0" borderId="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167" fontId="11" fillId="0" borderId="0" applyFont="0" applyFill="0" applyBorder="0" applyAlignment="0" applyProtection="0"/>
    <xf numFmtId="0" fontId="1" fillId="0" borderId="0"/>
    <xf numFmtId="164" fontId="13" fillId="6" borderId="15">
      <alignment horizontal="center" vertical="center" wrapText="1"/>
    </xf>
    <xf numFmtId="0" fontId="13" fillId="6" borderId="15">
      <alignment horizontal="center" vertical="center" wrapText="1"/>
    </xf>
    <xf numFmtId="167"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cellStyleXfs>
  <cellXfs count="409">
    <xf numFmtId="164" fontId="0" fillId="0" borderId="0" xfId="0"/>
    <xf numFmtId="164" fontId="3" fillId="0" borderId="0" xfId="0" applyFont="1" applyAlignment="1">
      <alignment horizontal="justify" vertical="center" wrapText="1"/>
    </xf>
    <xf numFmtId="164" fontId="6" fillId="0" borderId="4" xfId="0" applyFont="1" applyBorder="1" applyAlignment="1">
      <alignment horizontal="center" vertical="center"/>
    </xf>
    <xf numFmtId="164" fontId="3" fillId="0" borderId="0" xfId="0" applyFont="1"/>
    <xf numFmtId="164" fontId="8" fillId="0" borderId="4" xfId="0" applyFont="1" applyBorder="1" applyAlignment="1">
      <alignment horizontal="left" vertical="center"/>
    </xf>
    <xf numFmtId="165" fontId="9" fillId="0" borderId="4" xfId="0" applyNumberFormat="1" applyFont="1" applyBorder="1" applyAlignment="1">
      <alignment horizontal="center" vertical="center"/>
    </xf>
    <xf numFmtId="164" fontId="7" fillId="0" borderId="9" xfId="0" applyFont="1" applyBorder="1" applyAlignment="1">
      <alignment horizontal="center" vertical="center" wrapText="1"/>
    </xf>
    <xf numFmtId="14" fontId="9" fillId="0" borderId="4" xfId="0" applyNumberFormat="1" applyFont="1" applyBorder="1" applyAlignment="1">
      <alignment horizontal="center" vertical="center"/>
    </xf>
    <xf numFmtId="3" fontId="10" fillId="2" borderId="4" xfId="0" applyNumberFormat="1" applyFont="1" applyFill="1" applyBorder="1" applyAlignment="1">
      <alignment horizontal="center" vertical="center" wrapText="1"/>
    </xf>
    <xf numFmtId="164" fontId="5" fillId="0" borderId="0" xfId="0" applyFont="1" applyAlignment="1">
      <alignment horizontal="center" vertical="center"/>
    </xf>
    <xf numFmtId="0" fontId="5" fillId="4" borderId="7" xfId="0" applyNumberFormat="1" applyFont="1" applyFill="1" applyBorder="1" applyAlignment="1">
      <alignment horizontal="center" vertical="center" wrapText="1"/>
    </xf>
    <xf numFmtId="0" fontId="5" fillId="4" borderId="6" xfId="0" applyNumberFormat="1" applyFont="1" applyFill="1" applyBorder="1" applyAlignment="1">
      <alignment horizontal="center" vertical="center" wrapText="1"/>
    </xf>
    <xf numFmtId="0" fontId="5" fillId="5" borderId="5" xfId="0" applyNumberFormat="1" applyFont="1" applyFill="1" applyBorder="1" applyAlignment="1">
      <alignment horizontal="center" vertical="center" wrapText="1"/>
    </xf>
    <xf numFmtId="0" fontId="5" fillId="5" borderId="13" xfId="0" applyNumberFormat="1" applyFont="1" applyFill="1" applyBorder="1" applyAlignment="1">
      <alignment horizontal="center" vertical="center" wrapText="1"/>
    </xf>
    <xf numFmtId="0" fontId="5" fillId="4" borderId="5" xfId="0" applyNumberFormat="1" applyFont="1" applyFill="1" applyBorder="1" applyAlignment="1">
      <alignment horizontal="center" vertical="center" wrapText="1"/>
    </xf>
    <xf numFmtId="0" fontId="5" fillId="4" borderId="13" xfId="0" applyNumberFormat="1" applyFont="1" applyFill="1" applyBorder="1" applyAlignment="1">
      <alignment horizontal="center" vertical="center" wrapText="1"/>
    </xf>
    <xf numFmtId="164" fontId="5" fillId="4" borderId="5" xfId="0" applyFont="1" applyFill="1" applyBorder="1" applyAlignment="1">
      <alignment horizontal="center" vertical="center" wrapText="1"/>
    </xf>
    <xf numFmtId="0" fontId="12" fillId="0" borderId="4" xfId="0" applyNumberFormat="1" applyFont="1" applyBorder="1" applyAlignment="1">
      <alignment horizontal="center" vertical="center" wrapText="1"/>
    </xf>
    <xf numFmtId="0" fontId="3" fillId="0" borderId="4" xfId="0" applyNumberFormat="1" applyFont="1" applyBorder="1" applyAlignment="1">
      <alignment horizontal="center" vertical="center" wrapText="1"/>
    </xf>
    <xf numFmtId="0" fontId="3" fillId="0" borderId="13" xfId="0" applyNumberFormat="1" applyFont="1" applyBorder="1" applyAlignment="1">
      <alignment horizontal="center" vertical="center" wrapText="1"/>
    </xf>
    <xf numFmtId="164" fontId="3" fillId="0" borderId="0" xfId="0" applyFont="1" applyAlignment="1">
      <alignment horizontal="center" vertical="center" wrapText="1"/>
    </xf>
    <xf numFmtId="0" fontId="3" fillId="0" borderId="0" xfId="0" applyNumberFormat="1" applyFont="1" applyAlignment="1">
      <alignment horizontal="left" vertical="center"/>
    </xf>
    <xf numFmtId="0" fontId="3" fillId="0" borderId="0" xfId="0" applyNumberFormat="1" applyFont="1" applyAlignment="1">
      <alignment horizontal="justify" vertical="center" wrapText="1"/>
    </xf>
    <xf numFmtId="0" fontId="3" fillId="0" borderId="0" xfId="0" applyNumberFormat="1" applyFont="1" applyAlignment="1">
      <alignment horizontal="center" vertical="center" wrapText="1"/>
    </xf>
    <xf numFmtId="0" fontId="3" fillId="0" borderId="0" xfId="0" applyNumberFormat="1" applyFont="1" applyAlignment="1">
      <alignment horizontal="center" vertical="center"/>
    </xf>
    <xf numFmtId="164" fontId="3" fillId="0" borderId="0" xfId="0" applyFont="1" applyAlignment="1">
      <alignment horizontal="center"/>
    </xf>
    <xf numFmtId="166" fontId="3" fillId="0" borderId="0" xfId="1" applyNumberFormat="1" applyFont="1" applyFill="1" applyAlignment="1">
      <alignment horizontal="center" vertical="center"/>
    </xf>
    <xf numFmtId="164" fontId="3" fillId="7" borderId="0" xfId="0" applyFont="1" applyFill="1"/>
    <xf numFmtId="173" fontId="3" fillId="0" borderId="0" xfId="9" applyNumberFormat="1" applyFont="1" applyAlignment="1">
      <alignment horizontal="center"/>
    </xf>
    <xf numFmtId="164" fontId="3" fillId="7" borderId="0" xfId="0" applyFont="1" applyFill="1" applyAlignment="1">
      <alignment horizontal="center" vertical="center"/>
    </xf>
    <xf numFmtId="164" fontId="4" fillId="0" borderId="0" xfId="0" applyFont="1" applyAlignment="1">
      <alignment vertical="center" wrapText="1"/>
    </xf>
    <xf numFmtId="0" fontId="5" fillId="3" borderId="6" xfId="0" applyNumberFormat="1" applyFont="1" applyFill="1" applyBorder="1" applyAlignment="1">
      <alignment horizontal="center" vertical="center" wrapText="1"/>
    </xf>
    <xf numFmtId="168" fontId="5" fillId="3" borderId="4" xfId="5" applyNumberFormat="1" applyFont="1" applyFill="1" applyBorder="1" applyAlignment="1">
      <alignment horizontal="center" vertical="center" wrapText="1"/>
    </xf>
    <xf numFmtId="164" fontId="5" fillId="7" borderId="0" xfId="0" applyFont="1" applyFill="1" applyAlignment="1">
      <alignment horizontal="center" vertical="center"/>
    </xf>
    <xf numFmtId="0" fontId="4" fillId="9" borderId="16" xfId="0" applyNumberFormat="1" applyFont="1" applyFill="1" applyBorder="1" applyAlignment="1">
      <alignment horizontal="left" vertical="center"/>
    </xf>
    <xf numFmtId="0" fontId="4" fillId="9" borderId="16" xfId="0" applyNumberFormat="1" applyFont="1" applyFill="1" applyBorder="1" applyAlignment="1">
      <alignment horizontal="center" vertical="center"/>
    </xf>
    <xf numFmtId="164" fontId="4" fillId="9" borderId="16" xfId="0" applyFont="1" applyFill="1" applyBorder="1" applyAlignment="1">
      <alignment horizontal="center" vertical="center"/>
    </xf>
    <xf numFmtId="43" fontId="4" fillId="9" borderId="16" xfId="1" applyFont="1" applyFill="1" applyBorder="1" applyAlignment="1">
      <alignment horizontal="center" vertical="center"/>
    </xf>
    <xf numFmtId="164" fontId="4" fillId="7" borderId="0" xfId="0" applyFont="1" applyFill="1" applyAlignment="1">
      <alignment vertical="center"/>
    </xf>
    <xf numFmtId="164" fontId="4" fillId="0" borderId="0" xfId="0" applyFont="1" applyAlignment="1">
      <alignment vertical="center"/>
    </xf>
    <xf numFmtId="0" fontId="4" fillId="10" borderId="23" xfId="0" applyNumberFormat="1" applyFont="1" applyFill="1" applyBorder="1" applyAlignment="1">
      <alignment horizontal="center" vertical="center" wrapText="1"/>
    </xf>
    <xf numFmtId="0" fontId="4" fillId="10" borderId="16" xfId="0" applyNumberFormat="1" applyFont="1" applyFill="1" applyBorder="1" applyAlignment="1">
      <alignment vertical="center"/>
    </xf>
    <xf numFmtId="43" fontId="4" fillId="10" borderId="16" xfId="1" applyFont="1" applyFill="1" applyBorder="1" applyAlignment="1">
      <alignment vertical="center"/>
    </xf>
    <xf numFmtId="0" fontId="4" fillId="0" borderId="13" xfId="0" applyNumberFormat="1" applyFont="1" applyBorder="1" applyAlignment="1">
      <alignment horizontal="center" vertical="center" wrapText="1"/>
    </xf>
    <xf numFmtId="0" fontId="4" fillId="11" borderId="24" xfId="0" applyNumberFormat="1" applyFont="1" applyFill="1" applyBorder="1" applyAlignment="1">
      <alignment horizontal="center" vertical="center" wrapText="1"/>
    </xf>
    <xf numFmtId="0" fontId="4" fillId="11" borderId="16" xfId="0" applyNumberFormat="1" applyFont="1" applyFill="1" applyBorder="1" applyAlignment="1">
      <alignment horizontal="left" vertical="center"/>
    </xf>
    <xf numFmtId="0" fontId="4" fillId="11" borderId="16" xfId="0" applyNumberFormat="1" applyFont="1" applyFill="1" applyBorder="1" applyAlignment="1">
      <alignment vertical="center"/>
    </xf>
    <xf numFmtId="43" fontId="4" fillId="11" borderId="16" xfId="1" applyFont="1" applyFill="1" applyBorder="1" applyAlignment="1">
      <alignment vertical="center"/>
    </xf>
    <xf numFmtId="0" fontId="3" fillId="0" borderId="8" xfId="0" applyNumberFormat="1" applyFont="1" applyBorder="1" applyAlignment="1">
      <alignment horizontal="center" vertical="center" wrapText="1"/>
    </xf>
    <xf numFmtId="0" fontId="3" fillId="0" borderId="25" xfId="0" applyNumberFormat="1" applyFont="1" applyBorder="1" applyAlignment="1">
      <alignment horizontal="center" vertical="center"/>
    </xf>
    <xf numFmtId="164" fontId="3" fillId="0" borderId="16" xfId="0" applyFont="1" applyBorder="1" applyAlignment="1">
      <alignment horizontal="justify" vertical="center" wrapText="1"/>
    </xf>
    <xf numFmtId="43" fontId="3" fillId="0" borderId="16" xfId="1" applyFont="1" applyFill="1" applyBorder="1" applyAlignment="1">
      <alignment horizontal="left" vertical="center"/>
    </xf>
    <xf numFmtId="0" fontId="3" fillId="0" borderId="1" xfId="0" applyNumberFormat="1" applyFont="1" applyBorder="1" applyAlignment="1">
      <alignment horizontal="center" vertical="center" wrapText="1"/>
    </xf>
    <xf numFmtId="0" fontId="3" fillId="0" borderId="20" xfId="0" applyNumberFormat="1" applyFont="1" applyBorder="1" applyAlignment="1">
      <alignment horizontal="center" vertical="center" wrapText="1"/>
    </xf>
    <xf numFmtId="0" fontId="3" fillId="0" borderId="26" xfId="0" applyNumberFormat="1" applyFont="1" applyBorder="1" applyAlignment="1">
      <alignment horizontal="center" vertical="center"/>
    </xf>
    <xf numFmtId="164" fontId="3" fillId="0" borderId="27" xfId="0" applyFont="1" applyBorder="1" applyAlignment="1">
      <alignment horizontal="justify" vertical="center" wrapText="1"/>
    </xf>
    <xf numFmtId="43" fontId="3" fillId="0" borderId="27" xfId="1" applyFont="1" applyFill="1" applyBorder="1" applyAlignment="1">
      <alignment vertical="center"/>
    </xf>
    <xf numFmtId="0" fontId="4" fillId="9" borderId="28" xfId="0" applyNumberFormat="1" applyFont="1" applyFill="1" applyBorder="1" applyAlignment="1">
      <alignment horizontal="left" vertical="center"/>
    </xf>
    <xf numFmtId="0" fontId="4" fillId="9" borderId="29" xfId="0" applyNumberFormat="1" applyFont="1" applyFill="1" applyBorder="1" applyAlignment="1">
      <alignment horizontal="center" vertical="center"/>
    </xf>
    <xf numFmtId="164" fontId="4" fillId="9" borderId="29" xfId="0" applyFont="1" applyFill="1" applyBorder="1" applyAlignment="1">
      <alignment horizontal="center" vertical="center"/>
    </xf>
    <xf numFmtId="43" fontId="4" fillId="9" borderId="30" xfId="1" applyFont="1" applyFill="1" applyBorder="1" applyAlignment="1">
      <alignment horizontal="center" vertical="center"/>
    </xf>
    <xf numFmtId="0" fontId="4" fillId="10" borderId="31" xfId="0" applyNumberFormat="1" applyFont="1" applyFill="1" applyBorder="1" applyAlignment="1">
      <alignment horizontal="center" vertical="center" wrapText="1"/>
    </xf>
    <xf numFmtId="0" fontId="4" fillId="10" borderId="19" xfId="0" applyNumberFormat="1" applyFont="1" applyFill="1" applyBorder="1" applyAlignment="1">
      <alignment vertical="center"/>
    </xf>
    <xf numFmtId="43" fontId="4" fillId="10" borderId="19" xfId="1" applyFont="1" applyFill="1" applyBorder="1" applyAlignment="1">
      <alignment vertical="center"/>
    </xf>
    <xf numFmtId="0" fontId="3" fillId="0" borderId="14" xfId="0" applyNumberFormat="1" applyFont="1" applyBorder="1" applyAlignment="1">
      <alignment horizontal="center" vertical="center" wrapText="1"/>
    </xf>
    <xf numFmtId="0" fontId="3" fillId="0" borderId="7"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3" fillId="0" borderId="25" xfId="0" applyNumberFormat="1" applyFont="1" applyBorder="1" applyAlignment="1">
      <alignment horizontal="center" vertical="center" wrapText="1"/>
    </xf>
    <xf numFmtId="0" fontId="3" fillId="0" borderId="16" xfId="0" applyNumberFormat="1" applyFont="1" applyBorder="1" applyAlignment="1">
      <alignment horizontal="center" vertical="center"/>
    </xf>
    <xf numFmtId="43" fontId="3" fillId="0" borderId="0" xfId="1" applyFont="1" applyBorder="1" applyAlignment="1">
      <alignment horizontal="center"/>
    </xf>
    <xf numFmtId="164" fontId="17" fillId="7" borderId="0" xfId="0" applyFont="1" applyFill="1"/>
    <xf numFmtId="164" fontId="17" fillId="0" borderId="0" xfId="0" applyFont="1"/>
    <xf numFmtId="0" fontId="3" fillId="0" borderId="16" xfId="0" applyNumberFormat="1" applyFont="1" applyBorder="1" applyAlignment="1">
      <alignment horizontal="center" vertical="center" wrapText="1"/>
    </xf>
    <xf numFmtId="0" fontId="4" fillId="11" borderId="23" xfId="0" applyNumberFormat="1" applyFont="1" applyFill="1" applyBorder="1" applyAlignment="1">
      <alignment horizontal="left" vertical="center"/>
    </xf>
    <xf numFmtId="0" fontId="4" fillId="11" borderId="23" xfId="0" applyNumberFormat="1" applyFont="1" applyFill="1" applyBorder="1" applyAlignment="1">
      <alignment vertical="center"/>
    </xf>
    <xf numFmtId="0" fontId="3" fillId="0" borderId="22" xfId="0" applyNumberFormat="1" applyFont="1" applyBorder="1" applyAlignment="1">
      <alignment horizontal="center" vertical="center" wrapText="1"/>
    </xf>
    <xf numFmtId="43" fontId="3" fillId="0" borderId="25" xfId="1" applyFont="1" applyFill="1" applyBorder="1" applyAlignment="1">
      <alignment horizontal="left" vertical="center"/>
    </xf>
    <xf numFmtId="0" fontId="4" fillId="0" borderId="14" xfId="0" applyNumberFormat="1" applyFont="1" applyBorder="1" applyAlignment="1">
      <alignment horizontal="center" vertical="center" wrapText="1"/>
    </xf>
    <xf numFmtId="0" fontId="4" fillId="11" borderId="25" xfId="0" applyNumberFormat="1" applyFont="1" applyFill="1" applyBorder="1" applyAlignment="1">
      <alignment horizontal="center" vertical="center" wrapText="1"/>
    </xf>
    <xf numFmtId="0" fontId="4" fillId="11" borderId="32" xfId="0" applyNumberFormat="1" applyFont="1" applyFill="1" applyBorder="1" applyAlignment="1">
      <alignment horizontal="center" vertical="center" wrapText="1"/>
    </xf>
    <xf numFmtId="0" fontId="4" fillId="11" borderId="17" xfId="0" applyNumberFormat="1" applyFont="1" applyFill="1" applyBorder="1" applyAlignment="1">
      <alignment vertical="center"/>
    </xf>
    <xf numFmtId="0" fontId="4" fillId="11" borderId="21" xfId="0" applyNumberFormat="1" applyFont="1" applyFill="1" applyBorder="1" applyAlignment="1">
      <alignment horizontal="center" vertical="center" wrapText="1"/>
    </xf>
    <xf numFmtId="0" fontId="4" fillId="11" borderId="25" xfId="0" applyNumberFormat="1" applyFont="1" applyFill="1" applyBorder="1" applyAlignment="1">
      <alignment vertical="center"/>
    </xf>
    <xf numFmtId="0" fontId="4" fillId="0" borderId="16" xfId="0" applyNumberFormat="1" applyFont="1" applyBorder="1" applyAlignment="1">
      <alignment horizontal="center" vertical="center" wrapText="1"/>
    </xf>
    <xf numFmtId="0" fontId="4" fillId="11" borderId="33" xfId="0" applyNumberFormat="1" applyFont="1" applyFill="1" applyBorder="1" applyAlignment="1">
      <alignment horizontal="center" vertical="center" wrapText="1"/>
    </xf>
    <xf numFmtId="0" fontId="3" fillId="0" borderId="23" xfId="0" applyNumberFormat="1" applyFont="1" applyBorder="1" applyAlignment="1">
      <alignment horizontal="center" vertical="center" wrapText="1"/>
    </xf>
    <xf numFmtId="43" fontId="3" fillId="0" borderId="23" xfId="1" applyFont="1" applyFill="1" applyBorder="1" applyAlignment="1">
      <alignment horizontal="left" vertical="center"/>
    </xf>
    <xf numFmtId="0" fontId="4" fillId="9" borderId="23" xfId="0" applyNumberFormat="1" applyFont="1" applyFill="1" applyBorder="1" applyAlignment="1">
      <alignment horizontal="left" vertical="center"/>
    </xf>
    <xf numFmtId="0" fontId="4" fillId="11" borderId="17" xfId="0" applyNumberFormat="1" applyFont="1" applyFill="1" applyBorder="1" applyAlignment="1">
      <alignment horizontal="center" vertical="center" wrapText="1"/>
    </xf>
    <xf numFmtId="0" fontId="3" fillId="0" borderId="9" xfId="0" applyNumberFormat="1" applyFont="1" applyBorder="1" applyAlignment="1">
      <alignment horizontal="center" vertical="center" wrapText="1"/>
    </xf>
    <xf numFmtId="43" fontId="3" fillId="0" borderId="16" xfId="1" applyFont="1" applyFill="1" applyBorder="1" applyAlignment="1">
      <alignment vertical="center"/>
    </xf>
    <xf numFmtId="0" fontId="4" fillId="11" borderId="34" xfId="0" applyNumberFormat="1" applyFont="1" applyFill="1" applyBorder="1" applyAlignment="1">
      <alignment horizontal="left" vertical="center" wrapText="1"/>
    </xf>
    <xf numFmtId="172" fontId="3" fillId="7" borderId="0" xfId="3" applyNumberFormat="1" applyFont="1" applyFill="1" applyBorder="1"/>
    <xf numFmtId="172" fontId="3" fillId="0" borderId="0" xfId="3" applyNumberFormat="1" applyFont="1" applyFill="1" applyBorder="1"/>
    <xf numFmtId="164" fontId="3" fillId="0" borderId="0" xfId="0" applyFont="1" applyAlignment="1">
      <alignment vertical="center"/>
    </xf>
    <xf numFmtId="0" fontId="3" fillId="0" borderId="18" xfId="0" applyNumberFormat="1" applyFont="1" applyBorder="1" applyAlignment="1">
      <alignment horizontal="center" vertical="center"/>
    </xf>
    <xf numFmtId="164" fontId="3" fillId="0" borderId="22" xfId="0" applyFont="1" applyBorder="1" applyAlignment="1">
      <alignment horizontal="justify" vertical="center" wrapText="1"/>
    </xf>
    <xf numFmtId="43" fontId="3" fillId="0" borderId="18" xfId="1" applyFont="1" applyBorder="1" applyAlignment="1">
      <alignment horizontal="center"/>
    </xf>
    <xf numFmtId="0" fontId="3" fillId="0" borderId="16" xfId="6" applyFont="1" applyBorder="1" applyAlignment="1">
      <alignment horizontal="justify" vertical="center" wrapText="1"/>
    </xf>
    <xf numFmtId="0" fontId="4" fillId="11" borderId="35" xfId="0" applyNumberFormat="1" applyFont="1" applyFill="1" applyBorder="1" applyAlignment="1">
      <alignment horizontal="center" vertical="center" wrapText="1"/>
    </xf>
    <xf numFmtId="0" fontId="3" fillId="7" borderId="11" xfId="0" applyNumberFormat="1" applyFont="1" applyFill="1" applyBorder="1" applyAlignment="1">
      <alignment horizontal="center" vertical="center" wrapText="1"/>
    </xf>
    <xf numFmtId="164" fontId="3" fillId="0" borderId="4" xfId="0" applyFont="1" applyBorder="1" applyAlignment="1">
      <alignment horizontal="justify" vertical="center" wrapText="1"/>
    </xf>
    <xf numFmtId="43" fontId="3" fillId="0" borderId="4" xfId="1" applyFont="1" applyFill="1" applyBorder="1" applyAlignment="1">
      <alignment horizontal="left" vertical="center"/>
    </xf>
    <xf numFmtId="0" fontId="3" fillId="0" borderId="4" xfId="0" applyNumberFormat="1" applyFont="1" applyBorder="1" applyAlignment="1">
      <alignment horizontal="center" vertical="center"/>
    </xf>
    <xf numFmtId="164" fontId="3" fillId="0" borderId="25" xfId="0" applyFont="1" applyBorder="1" applyAlignment="1">
      <alignment horizontal="justify" vertical="center" wrapText="1"/>
    </xf>
    <xf numFmtId="0" fontId="4" fillId="4" borderId="16" xfId="0" applyNumberFormat="1" applyFont="1" applyFill="1" applyBorder="1" applyAlignment="1">
      <alignment horizontal="left" vertical="center"/>
    </xf>
    <xf numFmtId="0" fontId="4" fillId="4" borderId="16" xfId="0" applyNumberFormat="1" applyFont="1" applyFill="1" applyBorder="1" applyAlignment="1">
      <alignment horizontal="center" vertical="center"/>
    </xf>
    <xf numFmtId="0" fontId="4" fillId="4" borderId="16" xfId="0" applyNumberFormat="1" applyFont="1" applyFill="1" applyBorder="1" applyAlignment="1">
      <alignment horizontal="left" vertical="center" wrapText="1"/>
    </xf>
    <xf numFmtId="43" fontId="4" fillId="4" borderId="16" xfId="1" applyFont="1" applyFill="1" applyBorder="1" applyAlignment="1">
      <alignment horizontal="left" vertical="center" wrapText="1"/>
    </xf>
    <xf numFmtId="164" fontId="4" fillId="7" borderId="0" xfId="0" applyFont="1" applyFill="1"/>
    <xf numFmtId="164" fontId="4" fillId="0" borderId="0" xfId="0" applyFont="1"/>
    <xf numFmtId="164" fontId="3" fillId="0" borderId="16" xfId="0" applyFont="1" applyBorder="1" applyAlignment="1">
      <alignment horizontal="justify" vertical="center"/>
    </xf>
    <xf numFmtId="0" fontId="3" fillId="0" borderId="14" xfId="0" applyNumberFormat="1" applyFont="1" applyBorder="1" applyAlignment="1">
      <alignment horizontal="center" vertical="center"/>
    </xf>
    <xf numFmtId="0" fontId="3" fillId="0" borderId="20" xfId="0" applyNumberFormat="1" applyFont="1" applyBorder="1" applyAlignment="1">
      <alignment horizontal="center" vertical="center"/>
    </xf>
    <xf numFmtId="0" fontId="3" fillId="0" borderId="16" xfId="0" applyNumberFormat="1" applyFont="1" applyBorder="1" applyAlignment="1">
      <alignment horizontal="justify" vertical="center" wrapText="1"/>
    </xf>
    <xf numFmtId="43" fontId="3" fillId="0" borderId="16" xfId="1" applyFont="1" applyBorder="1" applyAlignment="1">
      <alignment horizontal="left" vertical="center"/>
    </xf>
    <xf numFmtId="0" fontId="4" fillId="11" borderId="25" xfId="0" applyNumberFormat="1" applyFont="1" applyFill="1" applyBorder="1" applyAlignment="1">
      <alignment horizontal="left" vertical="center"/>
    </xf>
    <xf numFmtId="0" fontId="3" fillId="0" borderId="16" xfId="0" applyNumberFormat="1" applyFont="1" applyBorder="1" applyAlignment="1">
      <alignment horizontal="justify" vertical="center"/>
    </xf>
    <xf numFmtId="43" fontId="3" fillId="0" borderId="0" xfId="1" applyFont="1" applyAlignment="1">
      <alignment horizontal="center"/>
    </xf>
    <xf numFmtId="43" fontId="4" fillId="4" borderId="16" xfId="1" applyFont="1" applyFill="1" applyBorder="1" applyAlignment="1">
      <alignment horizontal="left" vertical="center"/>
    </xf>
    <xf numFmtId="0" fontId="4" fillId="0" borderId="0" xfId="0" applyNumberFormat="1" applyFont="1" applyAlignment="1">
      <alignment horizontal="center" vertical="center"/>
    </xf>
    <xf numFmtId="164" fontId="4" fillId="0" borderId="0" xfId="0" applyFont="1" applyAlignment="1">
      <alignment horizontal="center"/>
    </xf>
    <xf numFmtId="43" fontId="4" fillId="0" borderId="0" xfId="1" applyFont="1" applyFill="1" applyAlignment="1">
      <alignment horizontal="center"/>
    </xf>
    <xf numFmtId="0" fontId="4" fillId="3" borderId="36" xfId="0" applyNumberFormat="1" applyFont="1" applyFill="1" applyBorder="1" applyAlignment="1">
      <alignment horizontal="left" vertical="center"/>
    </xf>
    <xf numFmtId="0" fontId="4" fillId="3" borderId="37" xfId="0" applyNumberFormat="1" applyFont="1" applyFill="1" applyBorder="1" applyAlignment="1">
      <alignment horizontal="center" vertical="center"/>
    </xf>
    <xf numFmtId="164" fontId="4" fillId="3" borderId="37" xfId="0" applyFont="1" applyFill="1" applyBorder="1" applyAlignment="1">
      <alignment horizontal="center"/>
    </xf>
    <xf numFmtId="43" fontId="4" fillId="3" borderId="38" xfId="1" applyFont="1" applyFill="1" applyBorder="1" applyAlignment="1">
      <alignment horizontal="center" vertical="center"/>
    </xf>
    <xf numFmtId="0" fontId="4" fillId="4" borderId="4" xfId="0" applyNumberFormat="1" applyFont="1" applyFill="1" applyBorder="1" applyAlignment="1">
      <alignment horizontal="center" vertical="center" wrapText="1"/>
    </xf>
    <xf numFmtId="43" fontId="4" fillId="4" borderId="4" xfId="1" applyFont="1" applyFill="1" applyBorder="1" applyAlignment="1">
      <alignment vertical="center"/>
    </xf>
    <xf numFmtId="0" fontId="3" fillId="0" borderId="4" xfId="0" applyNumberFormat="1" applyFont="1" applyBorder="1" applyAlignment="1">
      <alignment horizontal="left" vertical="center" wrapText="1"/>
    </xf>
    <xf numFmtId="10" fontId="3" fillId="0" borderId="4" xfId="4" applyNumberFormat="1" applyFont="1" applyFill="1" applyBorder="1" applyAlignment="1">
      <alignment horizontal="center" vertical="center"/>
    </xf>
    <xf numFmtId="43" fontId="3" fillId="0" borderId="4" xfId="1" applyFont="1" applyFill="1" applyBorder="1" applyAlignment="1">
      <alignment horizontal="center" vertical="center" wrapText="1"/>
    </xf>
    <xf numFmtId="0" fontId="4" fillId="4" borderId="4" xfId="0" applyNumberFormat="1" applyFont="1" applyFill="1" applyBorder="1" applyAlignment="1">
      <alignment horizontal="left" vertical="center" wrapText="1"/>
    </xf>
    <xf numFmtId="43" fontId="4" fillId="4" borderId="4" xfId="1" applyFont="1" applyFill="1" applyBorder="1" applyAlignment="1">
      <alignment horizontal="center" vertical="center" wrapText="1"/>
    </xf>
    <xf numFmtId="9" fontId="4" fillId="4" borderId="4" xfId="4" applyFont="1" applyFill="1" applyBorder="1" applyAlignment="1">
      <alignment horizontal="center" vertical="center"/>
    </xf>
    <xf numFmtId="164" fontId="2" fillId="0" borderId="0" xfId="0" applyFont="1"/>
    <xf numFmtId="164" fontId="4" fillId="9" borderId="19" xfId="0" applyFont="1" applyFill="1" applyBorder="1" applyAlignment="1">
      <alignment horizontal="center" vertical="center"/>
    </xf>
    <xf numFmtId="0" fontId="3" fillId="0" borderId="25" xfId="0" applyNumberFormat="1" applyFont="1" applyBorder="1" applyAlignment="1">
      <alignment vertical="center"/>
    </xf>
    <xf numFmtId="0" fontId="3" fillId="0" borderId="16" xfId="0" applyNumberFormat="1" applyFont="1" applyBorder="1" applyAlignment="1">
      <alignment vertical="center"/>
    </xf>
    <xf numFmtId="164" fontId="3" fillId="0" borderId="24" xfId="0" applyFont="1" applyBorder="1" applyAlignment="1">
      <alignment horizontal="justify" vertical="center" wrapText="1"/>
    </xf>
    <xf numFmtId="0" fontId="4" fillId="9" borderId="27" xfId="0" applyNumberFormat="1" applyFont="1" applyFill="1" applyBorder="1" applyAlignment="1">
      <alignment horizontal="left" vertical="center"/>
    </xf>
    <xf numFmtId="164" fontId="4" fillId="9" borderId="27" xfId="0" applyFont="1" applyFill="1" applyBorder="1" applyAlignment="1">
      <alignment horizontal="center" vertical="center"/>
    </xf>
    <xf numFmtId="43" fontId="4" fillId="9" borderId="27" xfId="1" applyFont="1" applyFill="1" applyBorder="1" applyAlignment="1">
      <alignment horizontal="center" vertical="center"/>
    </xf>
    <xf numFmtId="43" fontId="3" fillId="0" borderId="19" xfId="1" applyFont="1" applyFill="1" applyBorder="1" applyAlignment="1">
      <alignment horizontal="left" vertical="center"/>
    </xf>
    <xf numFmtId="0" fontId="3" fillId="0" borderId="31" xfId="0" applyNumberFormat="1" applyFont="1" applyBorder="1" applyAlignment="1">
      <alignment horizontal="center" vertical="center" wrapText="1"/>
    </xf>
    <xf numFmtId="0" fontId="3" fillId="0" borderId="23" xfId="0" applyNumberFormat="1" applyFont="1" applyBorder="1" applyAlignment="1">
      <alignment vertical="center"/>
    </xf>
    <xf numFmtId="43" fontId="3" fillId="0" borderId="23" xfId="1" applyFont="1" applyFill="1" applyBorder="1" applyAlignment="1">
      <alignment vertical="center"/>
    </xf>
    <xf numFmtId="0" fontId="3" fillId="0" borderId="4" xfId="0" applyNumberFormat="1" applyFont="1" applyBorder="1" applyAlignment="1">
      <alignment vertical="center"/>
    </xf>
    <xf numFmtId="43" fontId="3" fillId="0" borderId="4" xfId="1" applyFont="1" applyFill="1" applyBorder="1" applyAlignment="1">
      <alignment vertical="center"/>
    </xf>
    <xf numFmtId="164" fontId="3" fillId="0" borderId="25" xfId="0" applyFont="1" applyBorder="1" applyAlignment="1">
      <alignment horizontal="justify" vertical="center"/>
    </xf>
    <xf numFmtId="43" fontId="4" fillId="4" borderId="4" xfId="1" applyFont="1" applyFill="1" applyBorder="1" applyAlignment="1">
      <alignment horizontal="center" vertical="center"/>
    </xf>
    <xf numFmtId="164" fontId="18" fillId="12" borderId="4" xfId="0" applyFont="1" applyFill="1" applyBorder="1" applyAlignment="1">
      <alignment vertical="center"/>
    </xf>
    <xf numFmtId="164" fontId="0" fillId="0" borderId="0" xfId="0" applyAlignment="1">
      <alignment vertical="center"/>
    </xf>
    <xf numFmtId="164" fontId="9" fillId="0" borderId="0" xfId="0" applyFont="1"/>
    <xf numFmtId="1" fontId="15" fillId="0" borderId="16" xfId="1" applyNumberFormat="1" applyFont="1" applyBorder="1" applyAlignment="1">
      <alignment horizontal="center" vertical="center" wrapText="1"/>
    </xf>
    <xf numFmtId="164" fontId="15" fillId="0" borderId="16" xfId="0" applyFont="1" applyBorder="1" applyAlignment="1">
      <alignment horizontal="justify" vertical="center" wrapText="1"/>
    </xf>
    <xf numFmtId="43" fontId="15" fillId="0" borderId="16" xfId="1" applyFont="1" applyBorder="1" applyAlignment="1">
      <alignment vertical="center"/>
    </xf>
    <xf numFmtId="164" fontId="15" fillId="14" borderId="16" xfId="0" applyFont="1" applyFill="1" applyBorder="1" applyAlignment="1">
      <alignment horizontal="justify" vertical="center" wrapText="1"/>
    </xf>
    <xf numFmtId="49" fontId="15" fillId="14" borderId="16" xfId="0" applyNumberFormat="1" applyFont="1" applyFill="1" applyBorder="1" applyAlignment="1">
      <alignment horizontal="justify" vertical="center" wrapText="1"/>
    </xf>
    <xf numFmtId="164" fontId="6" fillId="0" borderId="0" xfId="0" applyFont="1" applyAlignment="1">
      <alignment horizontal="center"/>
    </xf>
    <xf numFmtId="164" fontId="9" fillId="0" borderId="0" xfId="0" applyFont="1" applyAlignment="1">
      <alignment horizontal="center" vertical="top"/>
    </xf>
    <xf numFmtId="1" fontId="0" fillId="0" borderId="0" xfId="0" applyNumberFormat="1"/>
    <xf numFmtId="164" fontId="0" fillId="0" borderId="0" xfId="0" pivotButton="1"/>
    <xf numFmtId="168" fontId="4" fillId="3" borderId="4" xfId="5" applyNumberFormat="1" applyFont="1" applyFill="1" applyBorder="1" applyAlignment="1">
      <alignment horizontal="center" vertical="center" wrapText="1"/>
    </xf>
    <xf numFmtId="0" fontId="4" fillId="3" borderId="4" xfId="0" applyNumberFormat="1" applyFont="1" applyFill="1" applyBorder="1" applyAlignment="1">
      <alignment horizontal="center" vertical="center" wrapText="1"/>
    </xf>
    <xf numFmtId="0" fontId="4" fillId="9" borderId="19" xfId="0" applyNumberFormat="1" applyFont="1" applyFill="1" applyBorder="1" applyAlignment="1">
      <alignment horizontal="left" vertical="center"/>
    </xf>
    <xf numFmtId="0" fontId="4" fillId="9" borderId="19" xfId="0" applyNumberFormat="1" applyFont="1" applyFill="1" applyBorder="1" applyAlignment="1">
      <alignment horizontal="center" vertical="center"/>
    </xf>
    <xf numFmtId="43" fontId="4" fillId="9" borderId="19" xfId="1" applyFont="1" applyFill="1" applyBorder="1" applyAlignment="1">
      <alignment horizontal="center" vertical="center"/>
    </xf>
    <xf numFmtId="0" fontId="4" fillId="9" borderId="4" xfId="0" applyNumberFormat="1" applyFont="1" applyFill="1" applyBorder="1" applyAlignment="1">
      <alignment horizontal="left" vertical="center"/>
    </xf>
    <xf numFmtId="0" fontId="4" fillId="9" borderId="4" xfId="0" applyNumberFormat="1" applyFont="1" applyFill="1" applyBorder="1" applyAlignment="1">
      <alignment horizontal="center" vertical="center"/>
    </xf>
    <xf numFmtId="164" fontId="4" fillId="9" borderId="4" xfId="0" applyFont="1" applyFill="1" applyBorder="1" applyAlignment="1">
      <alignment horizontal="center" vertical="center"/>
    </xf>
    <xf numFmtId="43" fontId="4" fillId="9" borderId="4" xfId="1" applyFont="1" applyFill="1" applyBorder="1" applyAlignment="1">
      <alignment horizontal="center" vertical="center"/>
    </xf>
    <xf numFmtId="0" fontId="4" fillId="10" borderId="4" xfId="0" applyNumberFormat="1" applyFont="1" applyFill="1" applyBorder="1" applyAlignment="1">
      <alignment horizontal="center" vertical="center" wrapText="1"/>
    </xf>
    <xf numFmtId="0" fontId="4" fillId="10" borderId="4" xfId="0" applyNumberFormat="1" applyFont="1" applyFill="1" applyBorder="1" applyAlignment="1">
      <alignment vertical="center"/>
    </xf>
    <xf numFmtId="43" fontId="4" fillId="10" borderId="4" xfId="1" applyFont="1" applyFill="1" applyBorder="1" applyAlignment="1">
      <alignment vertical="center"/>
    </xf>
    <xf numFmtId="0" fontId="4" fillId="0" borderId="4" xfId="0" applyNumberFormat="1" applyFont="1" applyBorder="1" applyAlignment="1">
      <alignment horizontal="center" vertical="center" wrapText="1"/>
    </xf>
    <xf numFmtId="0" fontId="4" fillId="11" borderId="4" xfId="0" applyNumberFormat="1" applyFont="1" applyFill="1" applyBorder="1" applyAlignment="1">
      <alignment horizontal="center" vertical="center" wrapText="1"/>
    </xf>
    <xf numFmtId="0" fontId="4" fillId="11" borderId="4" xfId="0" applyNumberFormat="1" applyFont="1" applyFill="1" applyBorder="1" applyAlignment="1">
      <alignment horizontal="left" vertical="center"/>
    </xf>
    <xf numFmtId="0" fontId="4" fillId="11" borderId="4" xfId="0" applyNumberFormat="1" applyFont="1" applyFill="1" applyBorder="1" applyAlignment="1">
      <alignment vertical="center"/>
    </xf>
    <xf numFmtId="43" fontId="4" fillId="11" borderId="4" xfId="1" applyFont="1" applyFill="1" applyBorder="1" applyAlignment="1">
      <alignment vertical="center"/>
    </xf>
    <xf numFmtId="0" fontId="4" fillId="11" borderId="4" xfId="0" applyNumberFormat="1" applyFont="1" applyFill="1" applyBorder="1" applyAlignment="1">
      <alignment horizontal="left" vertical="center" wrapText="1"/>
    </xf>
    <xf numFmtId="0" fontId="4" fillId="10" borderId="23" xfId="0" applyNumberFormat="1" applyFont="1" applyFill="1" applyBorder="1" applyAlignment="1">
      <alignment vertical="center"/>
    </xf>
    <xf numFmtId="0" fontId="4" fillId="10" borderId="24" xfId="0" applyNumberFormat="1" applyFont="1" applyFill="1" applyBorder="1" applyAlignment="1">
      <alignment vertical="center"/>
    </xf>
    <xf numFmtId="0" fontId="4" fillId="11" borderId="11" xfId="0" applyNumberFormat="1" applyFont="1" applyFill="1" applyBorder="1" applyAlignment="1">
      <alignment horizontal="center" vertical="center" wrapText="1"/>
    </xf>
    <xf numFmtId="0" fontId="3" fillId="0" borderId="11" xfId="0" applyNumberFormat="1" applyFont="1" applyBorder="1" applyAlignment="1">
      <alignment horizontal="center" vertical="center" wrapText="1"/>
    </xf>
    <xf numFmtId="168" fontId="4" fillId="0" borderId="4" xfId="5" applyNumberFormat="1" applyFont="1" applyFill="1" applyBorder="1" applyAlignment="1">
      <alignment horizontal="center" vertical="center" wrapText="1"/>
    </xf>
    <xf numFmtId="0" fontId="5" fillId="5" borderId="4" xfId="0" applyNumberFormat="1" applyFont="1" applyFill="1" applyBorder="1" applyAlignment="1">
      <alignment horizontal="center" vertical="center" wrapText="1"/>
    </xf>
    <xf numFmtId="164" fontId="5" fillId="16" borderId="4" xfId="0" applyFont="1" applyFill="1" applyBorder="1" applyAlignment="1">
      <alignment horizontal="center" vertical="center" wrapText="1"/>
    </xf>
    <xf numFmtId="164" fontId="14" fillId="3" borderId="16" xfId="0" applyFont="1" applyFill="1" applyBorder="1" applyAlignment="1">
      <alignment horizontal="center" vertical="center" wrapText="1"/>
    </xf>
    <xf numFmtId="43" fontId="14" fillId="13" borderId="16" xfId="1" applyFont="1" applyFill="1" applyBorder="1" applyAlignment="1">
      <alignment vertical="center" wrapText="1"/>
    </xf>
    <xf numFmtId="1" fontId="15" fillId="14" borderId="16" xfId="1" applyNumberFormat="1" applyFont="1" applyFill="1" applyBorder="1" applyAlignment="1">
      <alignment horizontal="center" vertical="center" wrapText="1"/>
    </xf>
    <xf numFmtId="43" fontId="14" fillId="13" borderId="16" xfId="1" applyFont="1" applyFill="1" applyBorder="1" applyAlignment="1">
      <alignment vertical="center"/>
    </xf>
    <xf numFmtId="43" fontId="15" fillId="0" borderId="16" xfId="1" applyFont="1" applyBorder="1" applyAlignment="1">
      <alignment vertical="center" wrapText="1"/>
    </xf>
    <xf numFmtId="43" fontId="14" fillId="15" borderId="16" xfId="1" applyFont="1" applyFill="1" applyBorder="1" applyAlignment="1">
      <alignment vertical="center"/>
    </xf>
    <xf numFmtId="0" fontId="12" fillId="0" borderId="4" xfId="0" applyNumberFormat="1" applyFont="1" applyBorder="1" applyAlignment="1">
      <alignment horizontal="left" vertical="top" wrapText="1"/>
    </xf>
    <xf numFmtId="0" fontId="12" fillId="0" borderId="4" xfId="0" applyNumberFormat="1" applyFont="1" applyBorder="1" applyAlignment="1">
      <alignment horizontal="justify" vertical="center" wrapText="1"/>
    </xf>
    <xf numFmtId="164" fontId="5" fillId="0" borderId="4" xfId="0" applyFont="1" applyBorder="1" applyAlignment="1">
      <alignment horizontal="left" vertical="center"/>
    </xf>
    <xf numFmtId="168" fontId="5" fillId="3" borderId="4" xfId="5" applyNumberFormat="1" applyFont="1" applyFill="1" applyBorder="1" applyAlignment="1">
      <alignment horizontal="left" vertical="center" wrapText="1"/>
    </xf>
    <xf numFmtId="164" fontId="3" fillId="7" borderId="0" xfId="0" applyFont="1" applyFill="1" applyAlignment="1">
      <alignment horizontal="left"/>
    </xf>
    <xf numFmtId="164" fontId="21" fillId="0" borderId="0" xfId="0" applyFont="1" applyAlignment="1">
      <alignment horizontal="center" vertical="center" wrapText="1"/>
    </xf>
    <xf numFmtId="164" fontId="12" fillId="0" borderId="11" xfId="0" applyFont="1" applyBorder="1" applyAlignment="1">
      <alignment wrapText="1"/>
    </xf>
    <xf numFmtId="164" fontId="3" fillId="0" borderId="16" xfId="0" applyFont="1" applyBorder="1" applyAlignment="1">
      <alignment horizontal="center"/>
    </xf>
    <xf numFmtId="43" fontId="3" fillId="0" borderId="16" xfId="1" applyFont="1" applyBorder="1" applyAlignment="1">
      <alignment horizontal="center"/>
    </xf>
    <xf numFmtId="0" fontId="3" fillId="0" borderId="24" xfId="0" applyNumberFormat="1" applyFont="1" applyBorder="1" applyAlignment="1">
      <alignment vertical="center"/>
    </xf>
    <xf numFmtId="0" fontId="4" fillId="9" borderId="31" xfId="0" applyNumberFormat="1" applyFont="1" applyFill="1" applyBorder="1" applyAlignment="1">
      <alignment horizontal="left" vertical="center"/>
    </xf>
    <xf numFmtId="164" fontId="4" fillId="9" borderId="23" xfId="0" applyFont="1" applyFill="1" applyBorder="1" applyAlignment="1">
      <alignment horizontal="center" vertical="center"/>
    </xf>
    <xf numFmtId="43" fontId="4" fillId="9" borderId="23" xfId="1" applyFont="1" applyFill="1" applyBorder="1" applyAlignment="1">
      <alignment horizontal="center" vertical="center"/>
    </xf>
    <xf numFmtId="164" fontId="3" fillId="0" borderId="23" xfId="0" applyFont="1" applyBorder="1" applyAlignment="1">
      <alignment horizontal="justify" vertical="center" wrapText="1"/>
    </xf>
    <xf numFmtId="0" fontId="4" fillId="3" borderId="0" xfId="0" applyNumberFormat="1" applyFont="1" applyFill="1" applyAlignment="1">
      <alignment horizontal="center" vertical="center" wrapText="1"/>
    </xf>
    <xf numFmtId="164" fontId="4" fillId="3" borderId="20" xfId="0" applyFont="1" applyFill="1" applyBorder="1" applyAlignment="1">
      <alignment horizontal="center" vertical="center" wrapText="1"/>
    </xf>
    <xf numFmtId="168" fontId="4" fillId="3" borderId="20" xfId="5" applyNumberFormat="1" applyFont="1" applyFill="1" applyBorder="1" applyAlignment="1">
      <alignment horizontal="center" vertical="center" wrapText="1"/>
    </xf>
    <xf numFmtId="164" fontId="3" fillId="0" borderId="16" xfId="0" applyFont="1" applyBorder="1" applyAlignment="1">
      <alignment horizontal="left"/>
    </xf>
    <xf numFmtId="174" fontId="0" fillId="0" borderId="0" xfId="0" applyNumberFormat="1"/>
    <xf numFmtId="0" fontId="3" fillId="7" borderId="4" xfId="0" applyNumberFormat="1" applyFont="1" applyFill="1" applyBorder="1" applyAlignment="1">
      <alignment horizontal="left" vertical="center" wrapText="1"/>
    </xf>
    <xf numFmtId="43" fontId="3" fillId="7" borderId="4" xfId="1" applyFont="1" applyFill="1" applyBorder="1" applyAlignment="1">
      <alignment horizontal="center" vertical="center" wrapText="1"/>
    </xf>
    <xf numFmtId="10" fontId="3" fillId="7" borderId="4" xfId="4" applyNumberFormat="1" applyFont="1" applyFill="1" applyBorder="1" applyAlignment="1">
      <alignment horizontal="center" vertical="center"/>
    </xf>
    <xf numFmtId="164" fontId="5" fillId="3" borderId="4" xfId="0" applyFont="1" applyFill="1" applyBorder="1" applyAlignment="1">
      <alignment horizontal="center" vertical="center" wrapText="1"/>
    </xf>
    <xf numFmtId="164" fontId="4" fillId="0" borderId="1" xfId="0" applyFont="1" applyBorder="1" applyAlignment="1">
      <alignment horizontal="center" vertical="center" wrapText="1"/>
    </xf>
    <xf numFmtId="164" fontId="4" fillId="0" borderId="2" xfId="0" applyFont="1" applyBorder="1" applyAlignment="1">
      <alignment horizontal="center" vertical="center" wrapText="1"/>
    </xf>
    <xf numFmtId="164" fontId="9" fillId="0" borderId="0" xfId="0" applyFont="1" applyAlignment="1">
      <alignment horizontal="center"/>
    </xf>
    <xf numFmtId="164" fontId="7" fillId="0" borderId="0" xfId="0" applyFont="1" applyAlignment="1">
      <alignment horizontal="center" vertical="center" wrapText="1"/>
    </xf>
    <xf numFmtId="3" fontId="16" fillId="0" borderId="0" xfId="0" applyNumberFormat="1" applyFont="1" applyFill="1" applyAlignment="1">
      <alignment horizontal="center" vertical="center"/>
    </xf>
    <xf numFmtId="1" fontId="15" fillId="0" borderId="17" xfId="0" applyNumberFormat="1" applyFont="1" applyFill="1" applyBorder="1" applyAlignment="1">
      <alignment horizontal="center" vertical="center" wrapText="1"/>
    </xf>
    <xf numFmtId="164" fontId="15" fillId="0" borderId="17" xfId="0" applyFont="1" applyFill="1" applyBorder="1" applyAlignment="1">
      <alignment horizontal="justify" vertical="center" wrapText="1"/>
    </xf>
    <xf numFmtId="164" fontId="15" fillId="0" borderId="0" xfId="0" applyFont="1" applyFill="1" applyAlignment="1">
      <alignment horizontal="center" vertical="center"/>
    </xf>
    <xf numFmtId="164" fontId="5" fillId="4" borderId="4" xfId="0" applyFont="1" applyFill="1" applyBorder="1" applyAlignment="1">
      <alignment horizontal="center" vertical="center" wrapText="1"/>
    </xf>
    <xf numFmtId="164" fontId="5" fillId="5" borderId="4" xfId="0" applyFont="1" applyFill="1" applyBorder="1" applyAlignment="1">
      <alignment horizontal="center" vertical="center" wrapText="1"/>
    </xf>
    <xf numFmtId="166" fontId="5" fillId="4" borderId="4" xfId="0" applyNumberFormat="1" applyFont="1" applyFill="1" applyBorder="1" applyAlignment="1">
      <alignment horizontal="center" vertical="center" wrapText="1"/>
    </xf>
    <xf numFmtId="0" fontId="15" fillId="0" borderId="4" xfId="0" applyNumberFormat="1" applyFont="1" applyFill="1" applyBorder="1" applyAlignment="1">
      <alignment horizontal="center" vertical="center" wrapText="1"/>
    </xf>
    <xf numFmtId="0" fontId="15" fillId="0" borderId="4" xfId="0" applyNumberFormat="1" applyFont="1" applyFill="1" applyBorder="1" applyAlignment="1">
      <alignment horizontal="justify" vertical="center" wrapText="1"/>
    </xf>
    <xf numFmtId="0" fontId="15" fillId="0" borderId="4" xfId="6" applyFont="1" applyFill="1" applyBorder="1" applyAlignment="1">
      <alignment horizontal="justify" vertical="center" wrapText="1"/>
    </xf>
    <xf numFmtId="1" fontId="15" fillId="0" borderId="4" xfId="0" applyNumberFormat="1" applyFont="1" applyFill="1" applyBorder="1" applyAlignment="1">
      <alignment horizontal="center" vertical="center" wrapText="1"/>
    </xf>
    <xf numFmtId="164" fontId="15" fillId="0" borderId="4" xfId="0" applyFont="1" applyFill="1" applyBorder="1" applyAlignment="1">
      <alignment horizontal="center" vertical="center" wrapText="1"/>
    </xf>
    <xf numFmtId="0" fontId="15" fillId="0" borderId="4" xfId="7" applyNumberFormat="1" applyFont="1" applyFill="1" applyBorder="1">
      <alignment horizontal="center" vertical="center" wrapText="1"/>
    </xf>
    <xf numFmtId="43" fontId="15" fillId="0" borderId="4" xfId="1" applyFont="1" applyFill="1" applyBorder="1" applyAlignment="1">
      <alignment horizontal="justify" vertical="center"/>
    </xf>
    <xf numFmtId="164" fontId="15" fillId="0" borderId="18" xfId="0" applyFont="1" applyFill="1" applyBorder="1" applyAlignment="1">
      <alignment horizontal="center" vertical="center"/>
    </xf>
    <xf numFmtId="43" fontId="15" fillId="0" borderId="4" xfId="1" applyFont="1" applyFill="1" applyBorder="1" applyAlignment="1">
      <alignment horizontal="left" vertical="center"/>
    </xf>
    <xf numFmtId="4" fontId="15" fillId="0" borderId="4" xfId="0" applyNumberFormat="1" applyFont="1" applyFill="1" applyBorder="1" applyAlignment="1">
      <alignment horizontal="justify" vertical="center" wrapText="1"/>
    </xf>
    <xf numFmtId="43" fontId="15" fillId="0" borderId="20" xfId="1" applyFont="1" applyFill="1" applyBorder="1" applyAlignment="1">
      <alignment horizontal="justify" vertical="center"/>
    </xf>
    <xf numFmtId="1" fontId="8" fillId="0" borderId="4" xfId="0" applyNumberFormat="1" applyFont="1" applyFill="1" applyBorder="1" applyAlignment="1">
      <alignment horizontal="center" vertical="center" wrapText="1"/>
    </xf>
    <xf numFmtId="164" fontId="8" fillId="0" borderId="4" xfId="0" applyFont="1" applyFill="1" applyBorder="1" applyAlignment="1">
      <alignment horizontal="justify" vertical="center" wrapText="1"/>
    </xf>
    <xf numFmtId="164" fontId="8" fillId="0" borderId="4" xfId="0" applyFont="1" applyFill="1" applyBorder="1" applyAlignment="1">
      <alignment horizontal="center" vertical="center" wrapText="1"/>
    </xf>
    <xf numFmtId="0" fontId="8" fillId="0" borderId="4" xfId="6" applyFont="1" applyFill="1" applyBorder="1" applyAlignment="1">
      <alignment horizontal="justify" vertical="center" wrapText="1"/>
    </xf>
    <xf numFmtId="43" fontId="8" fillId="0" borderId="4" xfId="1" applyFont="1" applyFill="1" applyBorder="1" applyAlignment="1">
      <alignment horizontal="justify" vertical="center"/>
    </xf>
    <xf numFmtId="1" fontId="15" fillId="0" borderId="4" xfId="6" applyNumberFormat="1" applyFont="1" applyFill="1" applyBorder="1" applyAlignment="1">
      <alignment horizontal="center" vertical="center" wrapText="1"/>
    </xf>
    <xf numFmtId="1" fontId="15" fillId="0" borderId="4" xfId="0" applyNumberFormat="1" applyFont="1" applyFill="1" applyBorder="1" applyAlignment="1">
      <alignment horizontal="justify" vertical="center" wrapText="1"/>
    </xf>
    <xf numFmtId="0" fontId="15" fillId="0" borderId="4" xfId="2" applyNumberFormat="1" applyFont="1" applyFill="1" applyBorder="1" applyAlignment="1">
      <alignment horizontal="center" vertical="center" wrapText="1"/>
    </xf>
    <xf numFmtId="43" fontId="15" fillId="0" borderId="4" xfId="1" applyFont="1" applyFill="1" applyBorder="1" applyAlignment="1">
      <alignment horizontal="justify" vertical="center" wrapText="1"/>
    </xf>
    <xf numFmtId="0" fontId="15" fillId="0" borderId="4" xfId="0" applyNumberFormat="1" applyFont="1" applyFill="1" applyBorder="1" applyAlignment="1" applyProtection="1">
      <alignment horizontal="justify" vertical="center" wrapText="1"/>
      <protection locked="0"/>
    </xf>
    <xf numFmtId="0" fontId="15" fillId="0" borderId="4" xfId="0" applyNumberFormat="1" applyFont="1" applyFill="1" applyBorder="1" applyAlignment="1" applyProtection="1">
      <alignment horizontal="center" vertical="center" wrapText="1"/>
      <protection locked="0"/>
    </xf>
    <xf numFmtId="43" fontId="14" fillId="0" borderId="4" xfId="1" applyFont="1" applyFill="1" applyBorder="1" applyAlignment="1">
      <alignment horizontal="justify" vertical="center"/>
    </xf>
    <xf numFmtId="164" fontId="15" fillId="0" borderId="4" xfId="0" applyFont="1" applyFill="1" applyBorder="1" applyAlignment="1">
      <alignment horizontal="justify" vertical="center" wrapText="1"/>
    </xf>
    <xf numFmtId="0" fontId="15" fillId="0" borderId="4" xfId="7" applyNumberFormat="1" applyFont="1" applyFill="1" applyBorder="1" applyAlignment="1">
      <alignment horizontal="justify" vertical="center" wrapText="1"/>
    </xf>
    <xf numFmtId="0" fontId="15" fillId="0" borderId="4" xfId="6" applyFont="1" applyFill="1" applyBorder="1" applyAlignment="1">
      <alignment horizontal="center" vertical="center" wrapText="1"/>
    </xf>
    <xf numFmtId="43" fontId="15" fillId="0" borderId="4" xfId="1" applyFont="1" applyFill="1" applyBorder="1" applyAlignment="1">
      <alignment horizontal="center" vertical="center"/>
    </xf>
    <xf numFmtId="1" fontId="15" fillId="0" borderId="4" xfId="1" applyNumberFormat="1" applyFont="1" applyFill="1" applyBorder="1" applyAlignment="1">
      <alignment horizontal="center" vertical="center" wrapText="1"/>
    </xf>
    <xf numFmtId="0" fontId="8" fillId="0" borderId="4" xfId="8" applyFont="1" applyFill="1" applyBorder="1">
      <alignment horizontal="center" vertical="center" wrapText="1"/>
    </xf>
    <xf numFmtId="0" fontId="8" fillId="0" borderId="4" xfId="6" applyFont="1" applyFill="1" applyBorder="1" applyAlignment="1">
      <alignment horizontal="center" vertical="center" wrapText="1"/>
    </xf>
    <xf numFmtId="0" fontId="8" fillId="0" borderId="4" xfId="7" applyNumberFormat="1" applyFont="1" applyFill="1" applyBorder="1" applyAlignment="1">
      <alignment horizontal="justify" vertical="center" wrapText="1"/>
    </xf>
    <xf numFmtId="49" fontId="8" fillId="0" borderId="4" xfId="0" applyNumberFormat="1" applyFont="1" applyFill="1" applyBorder="1" applyAlignment="1">
      <alignment horizontal="justify" vertical="center" wrapText="1"/>
    </xf>
    <xf numFmtId="43" fontId="8" fillId="0" borderId="4" xfId="1" applyFont="1" applyFill="1" applyBorder="1" applyAlignment="1">
      <alignment horizontal="justify" vertical="center" wrapText="1"/>
    </xf>
    <xf numFmtId="169" fontId="8" fillId="0" borderId="4" xfId="1" applyNumberFormat="1" applyFont="1" applyFill="1" applyBorder="1" applyAlignment="1">
      <alignment horizontal="justify" vertical="center"/>
    </xf>
    <xf numFmtId="164" fontId="8" fillId="0" borderId="0" xfId="0" applyFont="1" applyFill="1" applyAlignment="1">
      <alignment horizontal="center" vertical="center"/>
    </xf>
    <xf numFmtId="0" fontId="15" fillId="0" borderId="4" xfId="9" applyNumberFormat="1" applyFont="1" applyFill="1" applyBorder="1" applyAlignment="1">
      <alignment horizontal="center" vertical="center" wrapText="1"/>
    </xf>
    <xf numFmtId="0" fontId="15" fillId="0" borderId="4" xfId="8" applyFont="1" applyFill="1" applyBorder="1">
      <alignment horizontal="center" vertical="center" wrapText="1"/>
    </xf>
    <xf numFmtId="43" fontId="15" fillId="0" borderId="4" xfId="1" applyFont="1" applyFill="1" applyBorder="1" applyAlignment="1">
      <alignment horizontal="center" vertical="center" wrapText="1"/>
    </xf>
    <xf numFmtId="0" fontId="15" fillId="0" borderId="4" xfId="8" applyFont="1" applyFill="1" applyBorder="1" applyAlignment="1">
      <alignment horizontal="justify" vertical="center" wrapText="1"/>
    </xf>
    <xf numFmtId="164" fontId="15" fillId="0" borderId="4" xfId="7" applyFont="1" applyFill="1" applyBorder="1" applyAlignment="1">
      <alignment horizontal="justify" vertical="center" wrapText="1"/>
    </xf>
    <xf numFmtId="1" fontId="15" fillId="0" borderId="16" xfId="0" applyNumberFormat="1" applyFont="1" applyFill="1" applyBorder="1" applyAlignment="1">
      <alignment horizontal="center" vertical="center" wrapText="1"/>
    </xf>
    <xf numFmtId="1" fontId="9" fillId="0" borderId="16" xfId="0" applyNumberFormat="1" applyFont="1" applyFill="1" applyBorder="1" applyAlignment="1" applyProtection="1">
      <alignment horizontal="center" vertical="center"/>
      <protection locked="0"/>
    </xf>
    <xf numFmtId="164" fontId="15" fillId="0" borderId="16" xfId="0" applyFont="1" applyFill="1" applyBorder="1" applyAlignment="1">
      <alignment horizontal="justify" vertical="center" wrapText="1"/>
    </xf>
    <xf numFmtId="0" fontId="8" fillId="0" borderId="4" xfId="7" applyNumberFormat="1" applyFont="1" applyFill="1" applyBorder="1">
      <alignment horizontal="center" vertical="center" wrapText="1"/>
    </xf>
    <xf numFmtId="2" fontId="8" fillId="0" borderId="4" xfId="6" applyNumberFormat="1" applyFont="1" applyFill="1" applyBorder="1" applyAlignment="1">
      <alignment horizontal="center" vertical="center" wrapText="1"/>
    </xf>
    <xf numFmtId="2" fontId="8" fillId="0" borderId="0" xfId="6" applyNumberFormat="1" applyFont="1" applyFill="1" applyAlignment="1">
      <alignment horizontal="center" vertical="center" wrapText="1"/>
    </xf>
    <xf numFmtId="170" fontId="15" fillId="0" borderId="4" xfId="0" applyNumberFormat="1" applyFont="1" applyFill="1" applyBorder="1" applyAlignment="1">
      <alignment horizontal="justify" vertical="center"/>
    </xf>
    <xf numFmtId="3" fontId="15" fillId="0" borderId="4" xfId="0" applyNumberFormat="1" applyFont="1" applyFill="1" applyBorder="1" applyAlignment="1">
      <alignment horizontal="center" vertical="center" wrapText="1"/>
    </xf>
    <xf numFmtId="49" fontId="15" fillId="0" borderId="4" xfId="0" applyNumberFormat="1" applyFont="1" applyFill="1" applyBorder="1" applyAlignment="1">
      <alignment horizontal="justify" vertical="center" wrapText="1"/>
    </xf>
    <xf numFmtId="43" fontId="15" fillId="0" borderId="4" xfId="1" applyFont="1" applyFill="1" applyBorder="1" applyAlignment="1">
      <alignment horizontal="left" vertical="center" wrapText="1"/>
    </xf>
    <xf numFmtId="43" fontId="9" fillId="0" borderId="4" xfId="1" applyFont="1" applyFill="1" applyBorder="1" applyAlignment="1">
      <alignment horizontal="justify" vertical="center" wrapText="1"/>
    </xf>
    <xf numFmtId="0" fontId="15" fillId="0" borderId="4" xfId="0" applyNumberFormat="1" applyFont="1" applyFill="1" applyBorder="1" applyAlignment="1">
      <alignment horizontal="center" vertical="center"/>
    </xf>
    <xf numFmtId="1" fontId="15" fillId="0" borderId="4" xfId="10" applyNumberFormat="1" applyFont="1" applyFill="1" applyBorder="1" applyAlignment="1">
      <alignment horizontal="center" vertical="center"/>
    </xf>
    <xf numFmtId="0" fontId="15" fillId="0" borderId="4" xfId="1" applyNumberFormat="1" applyFont="1" applyFill="1" applyBorder="1" applyAlignment="1">
      <alignment horizontal="center" vertical="center" wrapText="1"/>
    </xf>
    <xf numFmtId="3" fontId="15" fillId="0" borderId="4" xfId="6" applyNumberFormat="1" applyFont="1" applyFill="1" applyBorder="1" applyAlignment="1">
      <alignment horizontal="center" vertical="center" wrapText="1"/>
    </xf>
    <xf numFmtId="43" fontId="15" fillId="0" borderId="4" xfId="1" applyFont="1" applyFill="1" applyBorder="1" applyAlignment="1">
      <alignment horizontal="right" vertical="center"/>
    </xf>
    <xf numFmtId="172" fontId="15" fillId="0" borderId="4" xfId="3" applyNumberFormat="1" applyFont="1" applyFill="1" applyBorder="1" applyAlignment="1">
      <alignment horizontal="justify" vertical="center" wrapText="1"/>
    </xf>
    <xf numFmtId="164" fontId="15" fillId="0" borderId="4" xfId="0" applyFont="1" applyFill="1" applyBorder="1" applyAlignment="1">
      <alignment horizontal="center" vertical="center"/>
    </xf>
    <xf numFmtId="0" fontId="15" fillId="0" borderId="4" xfId="7" applyNumberFormat="1" applyFont="1" applyFill="1" applyBorder="1" applyAlignment="1">
      <alignment horizontal="center" vertical="center"/>
    </xf>
    <xf numFmtId="43" fontId="15" fillId="0" borderId="0" xfId="1" applyFont="1" applyFill="1" applyBorder="1" applyAlignment="1">
      <alignment horizontal="justify" vertical="center"/>
    </xf>
    <xf numFmtId="0" fontId="15" fillId="0" borderId="13" xfId="0" applyNumberFormat="1" applyFont="1" applyFill="1" applyBorder="1" applyAlignment="1">
      <alignment horizontal="center" vertical="center" wrapText="1"/>
    </xf>
    <xf numFmtId="0" fontId="15" fillId="0" borderId="13" xfId="0" applyNumberFormat="1" applyFont="1" applyFill="1" applyBorder="1" applyAlignment="1">
      <alignment horizontal="justify" vertical="center" wrapText="1"/>
    </xf>
    <xf numFmtId="0" fontId="15" fillId="0" borderId="13" xfId="7" applyNumberFormat="1" applyFont="1" applyFill="1" applyBorder="1">
      <alignment horizontal="center" vertical="center" wrapText="1"/>
    </xf>
    <xf numFmtId="0" fontId="15" fillId="0" borderId="13" xfId="8" applyFont="1" applyFill="1" applyBorder="1">
      <alignment horizontal="center" vertical="center" wrapText="1"/>
    </xf>
    <xf numFmtId="0" fontId="15" fillId="0" borderId="13" xfId="6" applyFont="1" applyFill="1" applyBorder="1" applyAlignment="1">
      <alignment horizontal="justify" vertical="center" wrapText="1"/>
    </xf>
    <xf numFmtId="0" fontId="15" fillId="0" borderId="13" xfId="6" applyFont="1" applyFill="1" applyBorder="1" applyAlignment="1">
      <alignment horizontal="center" vertical="center" wrapText="1"/>
    </xf>
    <xf numFmtId="1" fontId="15" fillId="0" borderId="13" xfId="0" applyNumberFormat="1" applyFont="1" applyFill="1" applyBorder="1" applyAlignment="1">
      <alignment horizontal="center" vertical="center" wrapText="1"/>
    </xf>
    <xf numFmtId="0" fontId="15" fillId="0" borderId="13" xfId="7" applyNumberFormat="1" applyFont="1" applyFill="1" applyBorder="1" applyAlignment="1">
      <alignment horizontal="justify" vertical="center" wrapText="1"/>
    </xf>
    <xf numFmtId="43" fontId="15" fillId="0" borderId="13" xfId="1" applyFont="1" applyFill="1" applyBorder="1" applyAlignment="1">
      <alignment horizontal="justify" vertical="center"/>
    </xf>
    <xf numFmtId="164" fontId="14" fillId="0" borderId="0" xfId="0" applyFont="1" applyFill="1" applyAlignment="1">
      <alignment horizontal="center" vertical="center"/>
    </xf>
    <xf numFmtId="0" fontId="15" fillId="0" borderId="4" xfId="6" applyFont="1" applyFill="1" applyBorder="1" applyAlignment="1">
      <alignment horizontal="center" vertical="center"/>
    </xf>
    <xf numFmtId="167" fontId="15" fillId="0" borderId="4" xfId="0" applyNumberFormat="1" applyFont="1" applyFill="1" applyBorder="1" applyAlignment="1">
      <alignment horizontal="justify" vertical="center" wrapText="1"/>
    </xf>
    <xf numFmtId="0" fontId="15" fillId="0" borderId="4" xfId="9" applyNumberFormat="1" applyFont="1" applyFill="1" applyBorder="1" applyAlignment="1">
      <alignment horizontal="justify" vertical="center" wrapText="1"/>
    </xf>
    <xf numFmtId="43" fontId="15" fillId="0" borderId="4" xfId="1" applyFont="1" applyFill="1" applyBorder="1" applyAlignment="1">
      <alignment horizontal="right" vertical="center" wrapText="1"/>
    </xf>
    <xf numFmtId="49" fontId="15" fillId="0" borderId="4" xfId="0" applyNumberFormat="1" applyFont="1" applyFill="1" applyBorder="1" applyAlignment="1">
      <alignment horizontal="center" vertical="center" wrapText="1"/>
    </xf>
    <xf numFmtId="49" fontId="15" fillId="0" borderId="4" xfId="6" applyNumberFormat="1" applyFont="1" applyFill="1" applyBorder="1" applyAlignment="1">
      <alignment horizontal="justify" vertical="center" wrapText="1"/>
    </xf>
    <xf numFmtId="49" fontId="15" fillId="0" borderId="4" xfId="8" applyNumberFormat="1" applyFont="1" applyFill="1" applyBorder="1" applyAlignment="1">
      <alignment horizontal="justify" vertical="center" wrapText="1"/>
    </xf>
    <xf numFmtId="164" fontId="15" fillId="0" borderId="0" xfId="0" applyFont="1" applyFill="1" applyAlignment="1">
      <alignment horizontal="center" vertical="center" wrapText="1"/>
    </xf>
    <xf numFmtId="3" fontId="15" fillId="0" borderId="4" xfId="0" applyNumberFormat="1" applyFont="1" applyFill="1" applyBorder="1" applyAlignment="1">
      <alignment horizontal="justify" vertical="center" wrapText="1"/>
    </xf>
    <xf numFmtId="0" fontId="15" fillId="0" borderId="11" xfId="0" applyNumberFormat="1" applyFont="1" applyFill="1" applyBorder="1" applyAlignment="1">
      <alignment horizontal="justify" vertical="center" wrapText="1"/>
    </xf>
    <xf numFmtId="0" fontId="15" fillId="0" borderId="11" xfId="0" applyNumberFormat="1" applyFont="1" applyFill="1" applyBorder="1" applyAlignment="1">
      <alignment horizontal="center" vertical="center" wrapText="1"/>
    </xf>
    <xf numFmtId="0" fontId="15" fillId="0" borderId="11" xfId="6" applyFont="1" applyFill="1" applyBorder="1" applyAlignment="1">
      <alignment horizontal="center" vertical="center" wrapText="1"/>
    </xf>
    <xf numFmtId="0" fontId="15" fillId="0" borderId="11" xfId="6" applyFont="1" applyFill="1" applyBorder="1" applyAlignment="1">
      <alignment horizontal="justify" vertical="center" wrapText="1"/>
    </xf>
    <xf numFmtId="164" fontId="15" fillId="0" borderId="11" xfId="0" applyFont="1" applyFill="1" applyBorder="1" applyAlignment="1">
      <alignment horizontal="center" vertical="center" wrapText="1"/>
    </xf>
    <xf numFmtId="1" fontId="15" fillId="0" borderId="11" xfId="0" applyNumberFormat="1" applyFont="1" applyFill="1" applyBorder="1" applyAlignment="1">
      <alignment horizontal="center" vertical="center" wrapText="1"/>
    </xf>
    <xf numFmtId="3" fontId="15" fillId="0" borderId="11" xfId="0" applyNumberFormat="1" applyFont="1" applyFill="1" applyBorder="1" applyAlignment="1">
      <alignment horizontal="justify" vertical="center" wrapText="1"/>
    </xf>
    <xf numFmtId="43" fontId="15" fillId="0" borderId="11" xfId="1" applyFont="1" applyFill="1" applyBorder="1" applyAlignment="1">
      <alignment horizontal="justify" vertical="center"/>
    </xf>
    <xf numFmtId="0" fontId="15" fillId="0" borderId="20" xfId="0" applyNumberFormat="1" applyFont="1" applyFill="1" applyBorder="1" applyAlignment="1">
      <alignment horizontal="center" vertical="center" wrapText="1"/>
    </xf>
    <xf numFmtId="0" fontId="15" fillId="0" borderId="3" xfId="0" applyNumberFormat="1" applyFont="1" applyFill="1" applyBorder="1" applyAlignment="1">
      <alignment horizontal="justify" vertical="center" wrapText="1"/>
    </xf>
    <xf numFmtId="0" fontId="15" fillId="0" borderId="3" xfId="0" applyNumberFormat="1" applyFont="1" applyFill="1" applyBorder="1" applyAlignment="1">
      <alignment horizontal="center" vertical="center" wrapText="1"/>
    </xf>
    <xf numFmtId="0" fontId="15" fillId="0" borderId="3" xfId="6" applyFont="1" applyFill="1" applyBorder="1" applyAlignment="1">
      <alignment horizontal="center" vertical="center" wrapText="1"/>
    </xf>
    <xf numFmtId="0" fontId="15" fillId="0" borderId="3" xfId="6" applyFont="1" applyFill="1" applyBorder="1" applyAlignment="1">
      <alignment horizontal="justify" vertical="center" wrapText="1"/>
    </xf>
    <xf numFmtId="164" fontId="15" fillId="0" borderId="3" xfId="0" applyFont="1" applyFill="1" applyBorder="1" applyAlignment="1">
      <alignment horizontal="center" vertical="center" wrapText="1"/>
    </xf>
    <xf numFmtId="1" fontId="15" fillId="0" borderId="3" xfId="0" applyNumberFormat="1" applyFont="1" applyFill="1" applyBorder="1" applyAlignment="1">
      <alignment horizontal="center" vertical="center" wrapText="1"/>
    </xf>
    <xf numFmtId="3" fontId="15" fillId="0" borderId="3" xfId="0" applyNumberFormat="1" applyFont="1" applyFill="1" applyBorder="1" applyAlignment="1">
      <alignment horizontal="justify" vertical="center" wrapText="1"/>
    </xf>
    <xf numFmtId="43" fontId="15" fillId="0" borderId="3" xfId="1" applyFont="1" applyFill="1" applyBorder="1" applyAlignment="1">
      <alignment horizontal="justify" vertical="center"/>
    </xf>
    <xf numFmtId="0" fontId="15" fillId="0" borderId="3" xfId="8" applyFont="1" applyFill="1" applyBorder="1">
      <alignment horizontal="center" vertical="center" wrapText="1"/>
    </xf>
    <xf numFmtId="164" fontId="15" fillId="0" borderId="3" xfId="0" applyFont="1" applyFill="1" applyBorder="1" applyAlignment="1">
      <alignment horizontal="justify" vertical="center" wrapText="1"/>
    </xf>
    <xf numFmtId="43" fontId="15" fillId="0" borderId="9" xfId="1" applyFont="1" applyFill="1" applyBorder="1" applyAlignment="1">
      <alignment horizontal="justify" vertical="center"/>
    </xf>
    <xf numFmtId="0" fontId="15" fillId="0" borderId="4" xfId="11" applyNumberFormat="1" applyFont="1" applyFill="1" applyBorder="1" applyAlignment="1">
      <alignment horizontal="center" vertical="center" wrapText="1"/>
    </xf>
    <xf numFmtId="0" fontId="15" fillId="0" borderId="4" xfId="0" applyNumberFormat="1" applyFont="1" applyFill="1" applyBorder="1" applyAlignment="1" applyProtection="1">
      <alignment horizontal="center" vertical="center"/>
      <protection locked="0"/>
    </xf>
    <xf numFmtId="0" fontId="8" fillId="0" borderId="4" xfId="0" applyNumberFormat="1" applyFont="1" applyFill="1" applyBorder="1" applyAlignment="1">
      <alignment horizontal="center" vertical="center" wrapText="1"/>
    </xf>
    <xf numFmtId="0" fontId="8" fillId="0" borderId="4" xfId="0" applyNumberFormat="1" applyFont="1" applyFill="1" applyBorder="1" applyAlignment="1">
      <alignment horizontal="justify" vertical="center" wrapText="1"/>
    </xf>
    <xf numFmtId="3" fontId="8" fillId="0" borderId="4" xfId="0" applyNumberFormat="1" applyFont="1" applyFill="1" applyBorder="1" applyAlignment="1">
      <alignment horizontal="justify" vertical="center" wrapText="1"/>
    </xf>
    <xf numFmtId="43" fontId="8" fillId="0" borderId="10" xfId="1" applyFont="1" applyFill="1" applyBorder="1" applyAlignment="1">
      <alignment horizontal="justify" vertical="center"/>
    </xf>
    <xf numFmtId="167" fontId="8" fillId="0" borderId="4" xfId="0" applyNumberFormat="1" applyFont="1" applyFill="1" applyBorder="1" applyAlignment="1">
      <alignment horizontal="justify" vertical="center" wrapText="1"/>
    </xf>
    <xf numFmtId="0" fontId="8" fillId="0" borderId="13" xfId="0" applyNumberFormat="1" applyFont="1" applyFill="1" applyBorder="1" applyAlignment="1">
      <alignment horizontal="center" vertical="center" wrapText="1"/>
    </xf>
    <xf numFmtId="0" fontId="8" fillId="0" borderId="13" xfId="0" applyNumberFormat="1" applyFont="1" applyFill="1" applyBorder="1" applyAlignment="1">
      <alignment horizontal="justify" vertical="center" wrapText="1"/>
    </xf>
    <xf numFmtId="0" fontId="8" fillId="0" borderId="13" xfId="6" applyFont="1" applyFill="1" applyBorder="1" applyAlignment="1">
      <alignment horizontal="justify" vertical="center" wrapText="1"/>
    </xf>
    <xf numFmtId="0" fontId="8" fillId="0" borderId="13" xfId="6" applyFont="1" applyFill="1" applyBorder="1" applyAlignment="1">
      <alignment horizontal="center" vertical="center" wrapText="1"/>
    </xf>
    <xf numFmtId="1" fontId="8" fillId="0" borderId="13" xfId="0" applyNumberFormat="1" applyFont="1" applyFill="1" applyBorder="1" applyAlignment="1">
      <alignment horizontal="center" vertical="center" wrapText="1"/>
    </xf>
    <xf numFmtId="3" fontId="8" fillId="0" borderId="13" xfId="0" applyNumberFormat="1" applyFont="1" applyFill="1" applyBorder="1" applyAlignment="1">
      <alignment horizontal="justify" vertical="center" wrapText="1"/>
    </xf>
    <xf numFmtId="43" fontId="8" fillId="0" borderId="13" xfId="1" applyFont="1" applyFill="1" applyBorder="1" applyAlignment="1">
      <alignment horizontal="justify" vertical="center"/>
    </xf>
    <xf numFmtId="43" fontId="8" fillId="0" borderId="5" xfId="1" applyFont="1" applyFill="1" applyBorder="1" applyAlignment="1">
      <alignment horizontal="justify" vertical="center"/>
    </xf>
    <xf numFmtId="43" fontId="15" fillId="0" borderId="13" xfId="1" applyFont="1" applyFill="1" applyBorder="1" applyAlignment="1">
      <alignment horizontal="left" vertical="center"/>
    </xf>
    <xf numFmtId="167" fontId="8" fillId="0" borderId="13" xfId="0" applyNumberFormat="1" applyFont="1" applyFill="1" applyBorder="1" applyAlignment="1">
      <alignment horizontal="justify" vertical="center" wrapText="1"/>
    </xf>
    <xf numFmtId="164" fontId="5" fillId="8" borderId="21" xfId="0" applyFont="1" applyFill="1" applyBorder="1" applyAlignment="1">
      <alignment horizontal="center" vertical="center"/>
    </xf>
    <xf numFmtId="164" fontId="15" fillId="8" borderId="36" xfId="0" applyFont="1" applyFill="1" applyBorder="1" applyAlignment="1">
      <alignment horizontal="center" vertical="center" wrapText="1"/>
    </xf>
    <xf numFmtId="0" fontId="15" fillId="8" borderId="37" xfId="0" applyNumberFormat="1" applyFont="1" applyFill="1" applyBorder="1" applyAlignment="1">
      <alignment horizontal="center" vertical="center"/>
    </xf>
    <xf numFmtId="0" fontId="15" fillId="8" borderId="37" xfId="0" applyNumberFormat="1" applyFont="1" applyFill="1" applyBorder="1" applyAlignment="1">
      <alignment horizontal="center" vertical="center" wrapText="1"/>
    </xf>
    <xf numFmtId="164" fontId="15" fillId="8" borderId="37" xfId="0" applyFont="1" applyFill="1" applyBorder="1" applyAlignment="1">
      <alignment horizontal="center" vertical="center" wrapText="1"/>
    </xf>
    <xf numFmtId="164" fontId="15" fillId="8" borderId="37" xfId="0" applyFont="1" applyFill="1" applyBorder="1" applyAlignment="1">
      <alignment horizontal="center" vertical="center"/>
    </xf>
    <xf numFmtId="166" fontId="15" fillId="8" borderId="37" xfId="1" applyNumberFormat="1" applyFont="1" applyFill="1" applyBorder="1" applyAlignment="1">
      <alignment horizontal="center" vertical="center"/>
    </xf>
    <xf numFmtId="43" fontId="5" fillId="8" borderId="39" xfId="1" applyFont="1" applyFill="1" applyBorder="1" applyAlignment="1">
      <alignment horizontal="center" vertical="center"/>
    </xf>
    <xf numFmtId="43" fontId="5" fillId="8" borderId="39" xfId="1" applyFont="1" applyFill="1" applyBorder="1" applyAlignment="1">
      <alignment horizontal="left" vertical="center"/>
    </xf>
    <xf numFmtId="43" fontId="5" fillId="8" borderId="40" xfId="1" applyFont="1" applyFill="1" applyBorder="1" applyAlignment="1">
      <alignment horizontal="left" vertical="center"/>
    </xf>
    <xf numFmtId="164" fontId="15" fillId="0" borderId="0" xfId="0" applyFont="1" applyAlignment="1">
      <alignment horizontal="center" vertical="center"/>
    </xf>
    <xf numFmtId="164" fontId="15" fillId="0" borderId="11" xfId="0" applyFont="1" applyFill="1" applyBorder="1" applyAlignment="1">
      <alignment vertical="center" wrapText="1"/>
    </xf>
    <xf numFmtId="0" fontId="15" fillId="0" borderId="4" xfId="7" applyNumberFormat="1" applyFont="1" applyFill="1" applyBorder="1" applyAlignment="1">
      <alignment horizontal="center" vertical="center" wrapText="1"/>
    </xf>
    <xf numFmtId="164" fontId="15" fillId="0" borderId="4" xfId="0" applyFont="1" applyFill="1" applyBorder="1" applyAlignment="1">
      <alignment vertical="center" wrapText="1"/>
    </xf>
    <xf numFmtId="164" fontId="15" fillId="0" borderId="11" xfId="0" applyFont="1" applyFill="1" applyBorder="1" applyAlignment="1">
      <alignment vertical="center"/>
    </xf>
    <xf numFmtId="164" fontId="15" fillId="0" borderId="0" xfId="0" applyFont="1" applyFill="1" applyAlignment="1">
      <alignment vertical="center"/>
    </xf>
    <xf numFmtId="164" fontId="7" fillId="0" borderId="8" xfId="0" applyFont="1" applyBorder="1" applyAlignment="1">
      <alignment vertical="center" wrapText="1"/>
    </xf>
    <xf numFmtId="164" fontId="7" fillId="0" borderId="0" xfId="0" applyFont="1" applyAlignment="1">
      <alignment vertical="center" wrapText="1"/>
    </xf>
    <xf numFmtId="164" fontId="4" fillId="0" borderId="1" xfId="0" applyFont="1" applyBorder="1" applyAlignment="1">
      <alignment vertical="center" wrapText="1"/>
    </xf>
    <xf numFmtId="164" fontId="4" fillId="0" borderId="2" xfId="0" applyFont="1" applyBorder="1" applyAlignment="1">
      <alignment vertical="center" wrapText="1"/>
    </xf>
    <xf numFmtId="164" fontId="4" fillId="0" borderId="3" xfId="0" applyFont="1" applyBorder="1" applyAlignment="1">
      <alignment vertical="center" wrapText="1"/>
    </xf>
    <xf numFmtId="0" fontId="5" fillId="3" borderId="10" xfId="0" applyNumberFormat="1" applyFont="1" applyFill="1" applyBorder="1" applyAlignment="1">
      <alignment horizontal="center" vertical="center" wrapText="1"/>
    </xf>
    <xf numFmtId="0" fontId="5" fillId="3" borderId="11" xfId="0" applyNumberFormat="1" applyFont="1" applyFill="1" applyBorder="1" applyAlignment="1">
      <alignment horizontal="center" vertical="center" wrapText="1"/>
    </xf>
    <xf numFmtId="164" fontId="5" fillId="3" borderId="4" xfId="0" applyFont="1" applyFill="1" applyBorder="1" applyAlignment="1">
      <alignment horizontal="center" vertical="center" wrapText="1"/>
    </xf>
    <xf numFmtId="164" fontId="5" fillId="3" borderId="10" xfId="0" applyFont="1" applyFill="1" applyBorder="1" applyAlignment="1">
      <alignment horizontal="center" vertical="center" wrapText="1"/>
    </xf>
    <xf numFmtId="164" fontId="5" fillId="3" borderId="12" xfId="0" applyFont="1" applyFill="1" applyBorder="1" applyAlignment="1">
      <alignment horizontal="center" vertical="center" wrapText="1"/>
    </xf>
    <xf numFmtId="164" fontId="5" fillId="3" borderId="11" xfId="0" applyFont="1" applyFill="1" applyBorder="1" applyAlignment="1">
      <alignment horizontal="center" vertical="center" wrapText="1"/>
    </xf>
    <xf numFmtId="168" fontId="5" fillId="3" borderId="10" xfId="5" applyNumberFormat="1" applyFont="1" applyFill="1" applyBorder="1" applyAlignment="1">
      <alignment horizontal="center" vertical="center" wrapText="1"/>
    </xf>
    <xf numFmtId="168" fontId="5" fillId="3" borderId="12" xfId="5" applyNumberFormat="1" applyFont="1" applyFill="1" applyBorder="1" applyAlignment="1">
      <alignment horizontal="center" vertical="center" wrapText="1"/>
    </xf>
    <xf numFmtId="168" fontId="5" fillId="3" borderId="11" xfId="5" applyNumberFormat="1" applyFont="1" applyFill="1" applyBorder="1" applyAlignment="1">
      <alignment horizontal="center" vertical="center" wrapText="1"/>
    </xf>
    <xf numFmtId="164" fontId="4" fillId="0" borderId="1" xfId="0" applyFont="1" applyBorder="1" applyAlignment="1">
      <alignment horizontal="center" vertical="center"/>
    </xf>
    <xf numFmtId="164" fontId="4" fillId="0" borderId="2" xfId="0" applyFont="1" applyBorder="1" applyAlignment="1">
      <alignment horizontal="center" vertical="center"/>
    </xf>
    <xf numFmtId="164" fontId="4" fillId="0" borderId="3" xfId="0" applyFont="1" applyBorder="1" applyAlignment="1">
      <alignment horizontal="center" vertical="center"/>
    </xf>
    <xf numFmtId="164" fontId="7" fillId="0" borderId="5" xfId="0" applyFont="1" applyBorder="1" applyAlignment="1">
      <alignment horizontal="center" vertical="center" wrapText="1"/>
    </xf>
    <xf numFmtId="164" fontId="7" fillId="0" borderId="6" xfId="0" applyFont="1" applyBorder="1" applyAlignment="1">
      <alignment horizontal="center" vertical="center" wrapText="1"/>
    </xf>
    <xf numFmtId="164" fontId="7" fillId="0" borderId="7" xfId="0" applyFont="1" applyBorder="1" applyAlignment="1">
      <alignment horizontal="center" vertical="center" wrapText="1"/>
    </xf>
    <xf numFmtId="164" fontId="4" fillId="0" borderId="4" xfId="0" applyFont="1" applyBorder="1" applyAlignment="1">
      <alignment horizontal="center" vertical="center" wrapText="1"/>
    </xf>
    <xf numFmtId="164" fontId="4" fillId="3" borderId="4" xfId="0" applyFont="1" applyFill="1" applyBorder="1" applyAlignment="1">
      <alignment horizontal="center" vertical="center" wrapText="1"/>
    </xf>
    <xf numFmtId="164" fontId="4" fillId="3" borderId="5" xfId="0" applyFont="1" applyFill="1" applyBorder="1" applyAlignment="1">
      <alignment horizontal="center" vertical="center" wrapText="1"/>
    </xf>
    <xf numFmtId="164" fontId="4" fillId="3" borderId="6" xfId="0" applyFont="1" applyFill="1" applyBorder="1" applyAlignment="1">
      <alignment horizontal="center" vertical="center" wrapText="1"/>
    </xf>
    <xf numFmtId="164" fontId="4" fillId="3" borderId="7" xfId="0" applyFont="1" applyFill="1" applyBorder="1" applyAlignment="1">
      <alignment horizontal="center" vertical="center" wrapText="1"/>
    </xf>
    <xf numFmtId="164" fontId="4" fillId="3" borderId="8" xfId="0" applyFont="1" applyFill="1" applyBorder="1" applyAlignment="1">
      <alignment horizontal="center" vertical="center" wrapText="1"/>
    </xf>
    <xf numFmtId="164" fontId="4" fillId="3" borderId="0" xfId="0" applyFont="1" applyFill="1" applyAlignment="1">
      <alignment horizontal="center" vertical="center" wrapText="1"/>
    </xf>
    <xf numFmtId="164" fontId="4" fillId="3" borderId="9" xfId="0" applyFont="1" applyFill="1" applyBorder="1" applyAlignment="1">
      <alignment horizontal="center" vertical="center" wrapText="1"/>
    </xf>
    <xf numFmtId="164" fontId="4" fillId="0" borderId="5" xfId="0" applyFont="1" applyBorder="1" applyAlignment="1">
      <alignment horizontal="center" vertical="center" wrapText="1"/>
    </xf>
    <xf numFmtId="164" fontId="4" fillId="0" borderId="6" xfId="0" applyFont="1" applyBorder="1" applyAlignment="1">
      <alignment horizontal="center" vertical="center" wrapText="1"/>
    </xf>
    <xf numFmtId="164" fontId="4" fillId="0" borderId="7" xfId="0" applyFont="1" applyBorder="1" applyAlignment="1">
      <alignment horizontal="center" vertical="center" wrapText="1"/>
    </xf>
    <xf numFmtId="164" fontId="4" fillId="0" borderId="8" xfId="0" applyFont="1" applyBorder="1" applyAlignment="1">
      <alignment horizontal="center" vertical="center" wrapText="1"/>
    </xf>
    <xf numFmtId="164" fontId="4" fillId="0" borderId="0" xfId="0" applyFont="1" applyAlignment="1">
      <alignment horizontal="center" vertical="center" wrapText="1"/>
    </xf>
    <xf numFmtId="164" fontId="4" fillId="0" borderId="9" xfId="0" applyFont="1" applyBorder="1" applyAlignment="1">
      <alignment horizontal="center" vertical="center" wrapText="1"/>
    </xf>
    <xf numFmtId="164" fontId="4" fillId="0" borderId="1" xfId="0" applyFont="1" applyBorder="1" applyAlignment="1">
      <alignment horizontal="center" vertical="center" wrapText="1"/>
    </xf>
    <xf numFmtId="164" fontId="4" fillId="0" borderId="2" xfId="0" applyFont="1" applyBorder="1" applyAlignment="1">
      <alignment horizontal="center" vertical="center" wrapText="1"/>
    </xf>
    <xf numFmtId="164" fontId="4" fillId="0" borderId="3" xfId="0" applyFont="1" applyBorder="1" applyAlignment="1">
      <alignment horizontal="center" vertical="center" wrapText="1"/>
    </xf>
    <xf numFmtId="0" fontId="4" fillId="4" borderId="10" xfId="0" applyNumberFormat="1" applyFont="1" applyFill="1" applyBorder="1" applyAlignment="1">
      <alignment horizontal="left" vertical="center" wrapText="1"/>
    </xf>
    <xf numFmtId="0" fontId="4" fillId="4" borderId="11" xfId="0" applyNumberFormat="1" applyFont="1" applyFill="1" applyBorder="1" applyAlignment="1">
      <alignment horizontal="left" vertical="center" wrapText="1"/>
    </xf>
    <xf numFmtId="164" fontId="18" fillId="12" borderId="10" xfId="0" applyFont="1" applyFill="1" applyBorder="1" applyAlignment="1">
      <alignment horizontal="center" vertical="center"/>
    </xf>
    <xf numFmtId="164" fontId="18" fillId="12" borderId="11" xfId="0" applyFont="1" applyFill="1" applyBorder="1" applyAlignment="1">
      <alignment horizontal="center" vertical="center"/>
    </xf>
    <xf numFmtId="164" fontId="14" fillId="13" borderId="16" xfId="0" applyFont="1" applyFill="1" applyBorder="1" applyAlignment="1">
      <alignment horizontal="center" vertical="center" wrapText="1"/>
    </xf>
    <xf numFmtId="164" fontId="14" fillId="0" borderId="16" xfId="0" applyFont="1" applyBorder="1" applyAlignment="1">
      <alignment horizontal="center" vertical="center" wrapText="1"/>
    </xf>
    <xf numFmtId="164" fontId="14" fillId="0" borderId="16" xfId="0" applyFont="1" applyBorder="1" applyAlignment="1">
      <alignment horizontal="center" vertical="center"/>
    </xf>
    <xf numFmtId="164" fontId="14" fillId="3" borderId="16" xfId="0" applyFont="1" applyFill="1" applyBorder="1" applyAlignment="1">
      <alignment horizontal="left" vertical="center" wrapText="1"/>
    </xf>
    <xf numFmtId="164" fontId="9" fillId="0" borderId="0" xfId="0" applyFont="1" applyAlignment="1">
      <alignment horizontal="center"/>
    </xf>
    <xf numFmtId="164" fontId="19" fillId="0" borderId="0" xfId="0" applyFont="1" applyAlignment="1">
      <alignment horizontal="left" vertical="center" wrapText="1"/>
    </xf>
    <xf numFmtId="164" fontId="20" fillId="0" borderId="0" xfId="0" applyFont="1" applyAlignment="1">
      <alignment horizontal="left" vertical="center"/>
    </xf>
    <xf numFmtId="164" fontId="20" fillId="0" borderId="0" xfId="0" applyFont="1" applyAlignment="1">
      <alignment horizontal="left" vertical="center" wrapText="1"/>
    </xf>
  </cellXfs>
  <cellStyles count="12">
    <cellStyle name="KPT04" xfId="7"/>
    <cellStyle name="KPT04 2" xfId="8"/>
    <cellStyle name="Millares" xfId="1" builtinId="3"/>
    <cellStyle name="Millares [0]" xfId="2" builtinId="6"/>
    <cellStyle name="Millares 2" xfId="5"/>
    <cellStyle name="Millares 2 2" xfId="9"/>
    <cellStyle name="Millares 2 2 2" xfId="11"/>
    <cellStyle name="Moneda [0]" xfId="3" builtinId="7"/>
    <cellStyle name="Moneda 3" xfId="10"/>
    <cellStyle name="Normal" xfId="0" builtinId="0"/>
    <cellStyle name="Normal 2" xfId="6"/>
    <cellStyle name="Porcentaje" xfId="4" builtinId="5"/>
  </cellStyles>
  <dxfs count="100">
    <dxf>
      <numFmt numFmtId="174" formatCode="_-[$$-409]* #,##0.00_ ;_-[$$-409]* \-#,##0.00\ ;_-[$$-409]* &quot;-&quot;??_ ;_-@_ "/>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406400</xdr:colOff>
      <xdr:row>0</xdr:row>
      <xdr:rowOff>95250</xdr:rowOff>
    </xdr:from>
    <xdr:ext cx="1093787" cy="1000125"/>
    <xdr:pic>
      <xdr:nvPicPr>
        <xdr:cNvPr id="2" name="Imagen 1" descr="C:\Users\AUXPLANEACION03\Desktop\Gobernacion_del_quindio.jpg">
          <a:extLst>
            <a:ext uri="{FF2B5EF4-FFF2-40B4-BE49-F238E27FC236}">
              <a16:creationId xmlns:a16="http://schemas.microsoft.com/office/drawing/2014/main" id="{AC4FED3A-2D77-4015-9DAE-7DC10C9D742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6400" y="95250"/>
          <a:ext cx="1093787" cy="1000125"/>
        </a:xfrm>
        <a:prstGeom prst="rect">
          <a:avLst/>
        </a:prstGeom>
        <a:noFill/>
        <a:ln>
          <a:noFill/>
        </a:ln>
      </xdr:spPr>
    </xdr:pic>
    <xdr:clientData/>
  </xdr:oneCellAnchor>
</xdr:wsDr>
</file>

<file path=xl/persons/person.xml><?xml version="1.0" encoding="utf-8"?>
<personList xmlns="http://schemas.microsoft.com/office/spreadsheetml/2018/threadedcomments" xmlns:x="http://schemas.openxmlformats.org/spreadsheetml/2006/main">
  <person displayName="Proyectos gobernación Quindío" id="{181DE6E3-275C-4A1F-A6B2-E5FC285624D9}" userId="1c0fbb59ec2923d2" providerId="Windows Liv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Excel Services" refreshedDate="45490.775339236112" createdVersion="8" refreshedVersion="8" minRefreshableVersion="3" recordCount="253">
  <cacheSource type="worksheet">
    <worksheetSource ref="A6:AK259" sheet="POAI 2024 JUNIO"/>
  </cacheSource>
  <cacheFields count="37">
    <cacheField name="CÓDIGO" numFmtId="0">
      <sharedItems containsSemiMixedTypes="0" containsString="0" containsNumber="1" containsInteger="1" minValue="304" maxValue="324"/>
    </cacheField>
    <cacheField name="NOMBRE" numFmtId="0">
      <sharedItems containsBlank="1" count="17">
        <s v="Secretaría Administrativa"/>
        <s v="Secretaría de Planeación"/>
        <s v="Secretaría de Hacienda y Finanzas Públicas"/>
        <s v="Secretaría de Aguas e Infraestructura"/>
        <s v="Secretaría del Interior"/>
        <s v="Secretaría de Cultura"/>
        <s v="Secretaría de Turismo Industria y Comercio"/>
        <s v="Secretaría de Agricultura Desarrollo Rural y Medio Ambiente"/>
        <s v="Secretaría Privada"/>
        <s v="Secretaría de Educación"/>
        <s v="Secretaría de Familia"/>
        <s v="Secretaría de Salud"/>
        <s v="Secretaría Tecnologías de la Información y las Comunicaciones"/>
        <s v="Instituto Departamental de Deporte y Recreación del Quindío"/>
        <s v="Proyecta Empresa para el Desarrollo Territorial"/>
        <s v="Instituto Departamental de Tránsito del Quindío "/>
        <m u="1"/>
      </sharedItems>
    </cacheField>
    <cacheField name="CÓDIGO2" numFmtId="0">
      <sharedItems containsSemiMixedTypes="0" containsString="0" containsNumber="1" containsInteger="1" minValue="1" maxValue="4"/>
    </cacheField>
    <cacheField name="NOMBRE2" numFmtId="0">
      <sharedItems/>
    </cacheField>
    <cacheField name="CÓDIGO3" numFmtId="0">
      <sharedItems containsSemiMixedTypes="0" containsString="0" containsNumber="1" containsInteger="1" minValue="12" maxValue="45"/>
    </cacheField>
    <cacheField name="NOMBRE3" numFmtId="0">
      <sharedItems/>
    </cacheField>
    <cacheField name="CÓDIGO_x000a_PDD" numFmtId="0">
      <sharedItems containsMixedTypes="1" containsNumber="1" containsInteger="1" minValue="1202" maxValue="4503"/>
    </cacheField>
    <cacheField name="NOMBRE PDD" numFmtId="0">
      <sharedItems/>
    </cacheField>
    <cacheField name="CÓDIGO CATÁLOGO MGA" numFmtId="0">
      <sharedItems containsMixedTypes="1" containsNumber="1" containsInteger="1" minValue="1202" maxValue="4599"/>
    </cacheField>
    <cacheField name="PROGRAMA CATÁLOGO MGA " numFmtId="0">
      <sharedItems/>
    </cacheField>
    <cacheField name="INDICADOR DE RESULTADO Y/O BIENESTAR" numFmtId="0">
      <sharedItems longText="1"/>
    </cacheField>
    <cacheField name="CÓDIGO PDD" numFmtId="0">
      <sharedItems containsMixedTypes="1" containsNumber="1" containsInteger="1" minValue="1202004" maxValue="4599018"/>
    </cacheField>
    <cacheField name="PRODUCTO PDD" numFmtId="0">
      <sharedItems/>
    </cacheField>
    <cacheField name="CÓDIGO CATÁLOGO DE PRODUCTOS MGA" numFmtId="0">
      <sharedItems containsMixedTypes="1" containsNumber="1" containsInteger="1" minValue="1202004" maxValue="4599031"/>
    </cacheField>
    <cacheField name="PRODUCTO CATÁLOGO MGA " numFmtId="0">
      <sharedItems/>
    </cacheField>
    <cacheField name="CÓDIGO PDD2" numFmtId="0">
      <sharedItems containsMixedTypes="1" containsNumber="1" containsInteger="1" minValue="120200400" maxValue="459901800"/>
    </cacheField>
    <cacheField name="INDICADOR PDD" numFmtId="0">
      <sharedItems longText="1"/>
    </cacheField>
    <cacheField name="CÓDIGO CATALOGO DE INDICADORES MGA" numFmtId="0">
      <sharedItems containsMixedTypes="1" containsNumber="1" containsInteger="1" minValue="120200400" maxValue="459903101"/>
    </cacheField>
    <cacheField name="INDICADOR CATÁLOGO MGA " numFmtId="0">
      <sharedItems/>
    </cacheField>
    <cacheField name="A=ACUMULADA_x000a_NA=NO ACUMULADA" numFmtId="0">
      <sharedItems containsBlank="1"/>
    </cacheField>
    <cacheField name="PROGRAMADA VIGENCIA 2024" numFmtId="0">
      <sharedItems containsMixedTypes="1" containsNumber="1" minValue="0.2" maxValue="115000"/>
    </cacheField>
    <cacheField name="REPROGRAMADA  2024" numFmtId="0">
      <sharedItems containsNonDate="0" containsString="0" containsBlank="1"/>
    </cacheField>
    <cacheField name="TOTAL PROGRAMA DA 2024" numFmtId="0">
      <sharedItems containsMixedTypes="1" containsNumber="1" minValue="0.2" maxValue="115000"/>
    </cacheField>
    <cacheField name="CÓDIGO BPIN" numFmtId="0">
      <sharedItems containsMixedTypes="1" containsNumber="1" containsInteger="1" minValue="2018000040059" maxValue="2023003630007" count="156">
        <n v="2020003630006"/>
        <n v="2020003630007"/>
        <n v="2022003630011"/>
        <n v="2020003630005"/>
        <n v="2020003630042"/>
        <n v="2020003630044"/>
        <n v="2020003630045"/>
        <n v="2020003630046"/>
        <n v="2020003630047"/>
        <n v="2020003630008"/>
        <n v="2023003630007"/>
        <n v="2020003630048"/>
        <n v="2020003630049"/>
        <n v="2020003630017"/>
        <n v="2020003630050"/>
        <n v="2021003630001"/>
        <n v="2022003630007"/>
        <n v="2020003630052"/>
        <n v="2020003630053"/>
        <n v="2021003630004"/>
        <n v="2021003630002"/>
        <n v="2020003630057"/>
        <n v="2020003630014"/>
        <n v="2021003630003"/>
        <n v="2021003630006"/>
        <n v="2023003630002"/>
        <n v="2020003630060"/>
        <n v="2020003630061"/>
        <n v="2020003630062"/>
        <n v="2020003630063"/>
        <n v="2020003630064"/>
        <n v="2020003630065"/>
        <n v="2020003630066"/>
        <n v="2020003630068"/>
        <n v="2020003630069"/>
        <n v="2020003630070"/>
        <n v="2020003630067"/>
        <n v="2020003630071"/>
        <n v="2020003630021"/>
        <n v="2020003630020"/>
        <n v="2020003630072"/>
        <n v="2020003630073"/>
        <n v="2020003630074"/>
        <n v="2020003630076"/>
        <n v="2020003630077"/>
        <n v="2020003630078"/>
        <n v="2020003630079"/>
        <n v="2020003630023"/>
        <n v="2020003630080"/>
        <n v="2020003630022"/>
        <n v="2020003630081"/>
        <n v="2020003630082"/>
        <n v="2020003630025"/>
        <n v="2020003630083"/>
        <n v="2020003630084"/>
        <n v="2020003630026"/>
        <n v="2020003630024"/>
        <n v="2020003630085"/>
        <n v="2020003630027"/>
        <n v="2020003630086"/>
        <n v="2020003630028"/>
        <n v="2020003630087"/>
        <n v="2020003630029"/>
        <n v="2020003630030"/>
        <n v="2020003630088"/>
        <n v="2021003630005"/>
        <n v="2020003630090"/>
        <n v="2020003630031"/>
        <n v="2020003630091"/>
        <n v="2020003630092"/>
        <n v="2020003630093"/>
        <n v="2020003630016"/>
        <n v="2020003630094"/>
        <n v="2020003630095"/>
        <n v="2020003630096"/>
        <n v="2020003630011"/>
        <n v="2020003630098"/>
        <n v="2020003630099"/>
        <n v="2020003630100"/>
        <n v="2020003630101"/>
        <n v="2020003630102"/>
        <n v="2021003630010"/>
        <n v="2020003630033"/>
        <n v="2020003630034"/>
        <n v="2020003630103"/>
        <n v="2020003630104"/>
        <n v="2020003630105"/>
        <n v="2020003630106"/>
        <n v="2020003630036"/>
        <n v="2020003630037"/>
        <n v="2020003630035"/>
        <n v="2020003630012"/>
        <n v="2020003630109"/>
        <n v="2020003630113"/>
        <n v="2020003630114"/>
        <n v="2020003630115"/>
        <n v="2021003630008"/>
        <n v="2021003630007"/>
        <n v="2020003630111"/>
        <n v="2020003630112"/>
        <n v="2020003630116"/>
        <n v="2020003630117"/>
        <n v="2020003630118"/>
        <n v="2020003630119"/>
        <n v="2020003630120"/>
        <n v="2020003630121"/>
        <n v="2020003630122"/>
        <n v="2020003630123"/>
        <n v="2020003630124"/>
        <n v="2020003630125"/>
        <n v="2020003630126"/>
        <n v="2020003630127"/>
        <n v="2020003630128"/>
        <n v="2020003630129"/>
        <n v="2020003630133"/>
        <n v="2020003630134"/>
        <n v="2020003630135"/>
        <n v="2020003630136"/>
        <n v="2020003630137"/>
        <n v="2020003630138"/>
        <n v="2020003630131"/>
        <n v="2020003630132"/>
        <n v="2020003630038"/>
        <n v="2020003630139"/>
        <n v="2020003630039"/>
        <n v="2020003630140"/>
        <n v="2020003630040"/>
        <n v="2020003630141"/>
        <n v="2020003630009"/>
        <n v="2020003630010"/>
        <n v="2020003630142"/>
        <n v="2020003630143"/>
        <n v="2020003630144"/>
        <n v="2020003630145"/>
        <n v="2022003630006"/>
        <s v=" 2023003630001"/>
        <n v="2020003630149"/>
        <n v="2020003630043" u="1"/>
        <n v="2020003630130" u="1"/>
        <n v="2020003630075" u="1"/>
        <n v="2022003630013" u="1"/>
        <n v="2020003630015" u="1"/>
        <n v="2022003630012" u="1"/>
        <n v="2020003630013" u="1"/>
        <n v="2022003630010" u="1"/>
        <n v="2022003630009" u="1"/>
        <n v="2022003630008" u="1"/>
        <n v="2018000040059" u="1"/>
        <n v="2020003630054" u="1"/>
        <n v="2022000040007" u="1"/>
        <n v="2023003630004" u="1"/>
        <n v="2023003630001" u="1"/>
        <n v="2021003630019" u="1"/>
        <n v="2021003630018" u="1"/>
        <n v="2021003630017" u="1"/>
        <n v="2020003630097" u="1"/>
      </sharedItems>
    </cacheField>
    <cacheField name="NOMBRE DEL PROYECTO" numFmtId="0">
      <sharedItems longText="1"/>
    </cacheField>
    <cacheField name="OBJETIVO DEL PROYECTO" numFmtId="0">
      <sharedItems longText="1"/>
    </cacheField>
    <cacheField name=" ESTAMPILLAS _x000a_PRO - CULTURA_x000a_PRO - ADULTO MAYOR_x000a_PRO - DESARROLLO_x000a_PRO - DEPORTE" numFmtId="0">
      <sharedItems containsString="0" containsBlank="1" containsNumber="1" minValue="0" maxValue="7749432426.1999998"/>
    </cacheField>
    <cacheField name="MONOPOLIO EDUCACIÓN, SALUD Y DEPORTE" numFmtId="0">
      <sharedItems containsString="0" containsBlank="1" containsNumber="1" minValue="50000000" maxValue="5695770029.1099997"/>
    </cacheField>
    <cacheField name="SGP SALÚD PUBLICA - PRESTACIÓN DE SERVICIOS" numFmtId="0">
      <sharedItems containsString="0" containsBlank="1" containsNumber="1" minValue="0" maxValue="2182563834.8400002"/>
    </cacheField>
    <cacheField name=" RENTAS CEDIDAS - SALUD - INDEPORTES" numFmtId="0">
      <sharedItems containsString="0" containsBlank="1" containsNumber="1" minValue="0" maxValue="43270329100"/>
    </cacheField>
    <cacheField name=" SGP EDUCACIÓN - CONECTIVIDAD -" numFmtId="0">
      <sharedItems containsString="0" containsBlank="1" containsNumber="1" minValue="1840201" maxValue="207025513291.97998"/>
    </cacheField>
    <cacheField name=" SGP AGUA POTABLE Y SANEAMIENTO BÁSICO" numFmtId="0">
      <sharedItems containsString="0" containsBlank="1" containsNumber="1" minValue="100000000" maxValue="1502617000"/>
    </cacheField>
    <cacheField name=" RECURSO ORDINARIO" numFmtId="0">
      <sharedItems containsString="0" containsBlank="1" containsNumber="1" minValue="0" maxValue="9859061370.2299995"/>
    </cacheField>
    <cacheField name="OTROS (FDO. SEGURIDAD - ACPM- IVA TELEFONIA MÓVIL  - IMP. REGISTRO- R.O. IDTQ, iPOCONSUMO, CIGARRILLOS, ESTUPEFACIENTES,FONPET 01)" numFmtId="0">
      <sharedItems containsString="0" containsBlank="1" containsNumber="1" minValue="6822431" maxValue="8328355658.2600002"/>
    </cacheField>
    <cacheField name="NACIÓN- PAE - ANTICONTRABANDO " numFmtId="0">
      <sharedItems containsString="0" containsBlank="1" containsNumber="1" minValue="200000000" maxValue="15958453039.040001"/>
    </cacheField>
    <cacheField name=" TOTAL PRESUPUESTO_x000a_2024" numFmtId="43">
      <sharedItems containsSemiMixedTypes="0" containsString="0" containsNumber="1" minValue="0" maxValue="215571256239.84998"/>
    </cacheField>
    <cacheField name="RESPONSABL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3">
  <r>
    <n v="304"/>
    <x v="0"/>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s v="ND"/>
    <s v="Implementación de  las Dimensiones y Políticas  del Modelo Integrado de Planeación y de Gestión MIPG"/>
    <n v="4599023"/>
    <s v="Servicio de Implementación Sistemas de Gestión "/>
    <s v="ND"/>
    <s v="Número de Dimensiones y Políticas   de MIPG implementadas."/>
    <n v="459902300"/>
    <s v="Sistema de Gestión implementado"/>
    <s v="A"/>
    <n v="5"/>
    <m/>
    <n v="5"/>
    <x v="0"/>
    <s v="Implementación del Modelo Integrado de Planeación y de Gestión MIPG  de la Administración Departamental del Quindío (Dimensiones  de Talento humano,  Información y Comunicación y Gestión del Conocimiento)."/>
    <s v="Incrementar en Índice de Gestión y Desempeño  de la Administración Departamental ,  a Implementar los procesos y procedimientos de depuración de los expedientes administrativos pensionales, que permitan la determinación de cuotas partes pensionales, bonos pensionales y otros, con el fin de contar con información depurada y real. "/>
    <m/>
    <m/>
    <m/>
    <m/>
    <m/>
    <m/>
    <n v="104040000"/>
    <m/>
    <m/>
    <n v="104040000"/>
    <s v="  Secretario Administrativo"/>
  </r>
  <r>
    <n v="304"/>
    <x v="0"/>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s v="ND"/>
    <s v="Estrategias  de actualización, depuración, seguimiento y evaluación de las bases de datos  del Pasivo Pensional  de la Administración Departamental."/>
    <n v="4599002"/>
    <s v="Servicio de saneamiento fiscal y financiero "/>
    <s v="ND"/>
    <s v="Estrategias  de actualización, depuración, seguimiento y evaluación de las bases de datos  del Pasivo Pensional  de la Administración Departamental"/>
    <n v="459900200"/>
    <s v="Programa de saneamiento fiscal y financiero ejecutado "/>
    <s v="A"/>
    <n v="4"/>
    <m/>
    <n v="4"/>
    <x v="1"/>
    <s v="Actualización, depuración, seguimiento y evaluación del Pasivo Pensional de la Administración Departamental del Quindío "/>
    <s v="Incrementar  Índice de Gestión y Desempeño de la Administración Departamental a través del proceso de modernización administrativa, contemplando una estructura orgánica qué corresponda a las competencias del territorio, la habilitación de la oficina para los alcaldes en la gobernación y la Casa Delegada en la ciudad de Bogotá, la  creación de la oficina de la Felicidad; con el propósito de mejorar la gestión de la administración departamental ."/>
    <m/>
    <m/>
    <m/>
    <m/>
    <m/>
    <m/>
    <n v="53750000"/>
    <m/>
    <m/>
    <n v="53750000"/>
    <s v="  Secretario Administrativo"/>
  </r>
  <r>
    <n v="304"/>
    <x v="0"/>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s v="ND"/>
    <s v="Implementación de  las Dimensiones y Políticas  del Modelo Integrado de Planeación y de Gestión MIPG"/>
    <n v="4599023"/>
    <s v="Servicio de Implementación Sistemas de Gestión "/>
    <s v="ND"/>
    <s v="Número de Dimensiones y Políticas   de MIPG implementadas."/>
    <n v="459902300"/>
    <s v="Sistema de Gestión implementado"/>
    <s v="A"/>
    <n v="1"/>
    <m/>
    <n v="1"/>
    <x v="2"/>
    <s v="Fortalecimiento del sistema de gestión documental mediante la modernización locativa y tecnológica para garantizar el acceso a la información oportuna y eficiente en el departamento del Quindío"/>
    <s v="Optimizar los procesos y procedimiento s relacionados con la Gestión Documental de la Administración Central Departamental "/>
    <m/>
    <m/>
    <m/>
    <m/>
    <m/>
    <m/>
    <n v="22354454.760000002"/>
    <m/>
    <m/>
    <n v="22354454.760000002"/>
    <s v="  Secretario Administrativo"/>
  </r>
  <r>
    <n v="304"/>
    <x v="0"/>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Porcentaje promedio  de participación de ciudadanos en los eventos de elección popular."/>
    <s v="ND"/>
    <s v="Implementación del Plan de Acción del Sistema Departamental de Servicio a la Ciudadanía SDSC"/>
    <n v="4502033"/>
    <s v="Servicio de integración de la oferta pública"/>
    <s v="ND"/>
    <s v="Plan de Acción del Sistema Departamental de Servicio a la Ciudadanía SDSC implementado"/>
    <n v="450203300"/>
    <s v="Espacios de integración de oferta pública generados "/>
    <s v="A"/>
    <n v="1"/>
    <m/>
    <n v="1"/>
    <x v="3"/>
    <s v="Implementación del Sistema Departamental de Servicio a la Ciudadanía SDSC   en la Administración Departamental. "/>
    <s v="Aumentar en porcentaje promedio  de participación de ciudadanos en los eventos de elección popular través del desarrollo de  actividades qué permitan la interacción de la Comunidad y Estado, facilitando el acceso de los servicios qué oferta la Administración Departamental."/>
    <m/>
    <m/>
    <m/>
    <m/>
    <m/>
    <m/>
    <n v="43500000"/>
    <m/>
    <m/>
    <n v="43500000"/>
    <s v="  Secretario Administrativo"/>
  </r>
  <r>
    <n v="305"/>
    <x v="1"/>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Porcentaje promedio  de participación de ciudadanos en los eventos de elección popular"/>
    <s v="ND"/>
    <s v="Fortalecimiento técnico y logístico del  Consejo Territorial de Planeación Departamental, como representantes de la sociedad civil en la planeación  del desarrollo integral  de la entidad territorial"/>
    <n v="4502001"/>
    <s v="Servicio de promoción a la participación ciudadana"/>
    <s v="ND"/>
    <s v="Consejo Territorial de Planeación Departamental fortalecido"/>
    <n v="450200100"/>
    <s v="Espacios de participación promovidos"/>
    <s v="A"/>
    <n v="1"/>
    <m/>
    <n v="1"/>
    <x v="4"/>
    <s v="Fortalecimiento  del Consejo Territorial de Planeación del Departamento del Quindío. &quot;TÚ y YO SOMOS QUINDIO&quot; "/>
    <s v="Incrementar la  participación de ciudadanos en los eventos de elección popular,  a través de los procesos de apoyo técnico y logístico al Consejo Territorial de Planeación Departamental, de conformidad con lo preceptuado en la Ley 152 de 1994."/>
    <m/>
    <m/>
    <m/>
    <m/>
    <m/>
    <m/>
    <n v="200000000"/>
    <m/>
    <m/>
    <n v="200000000"/>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s v="ND"/>
    <s v="Instrumentos de planificación para el ordenamiento y la gestión territorial departamental (Plan de Desarrollo Departamental PDD, Ordenamiento Territorial, Sistema de Información Geográfica, Mecanismos de Integración, Catastro multipropósito etc.)."/>
    <n v="4599018"/>
    <s v="Documentos de lineamientos técnicos"/>
    <s v="ND"/>
    <s v="Instrumentos de planificación de ordenamiento y gestión territorial departamental implementados"/>
    <n v="459901800"/>
    <s v="Documentos de lineamientos técnicos realizados"/>
    <s v=" A "/>
    <n v="5"/>
    <m/>
    <n v="5"/>
    <x v="5"/>
    <s v="Implementación   de instrumentos de planificación para  en  Ordenamiento y la Gestión Territorial Departamental del Quindío  &quot;TU Y YO SOMOS QUINDIO&quot; "/>
    <s v="Incrementar el  Índice de Gestión y Desempeño de la  Administración Departamental a través de la Implementación de los  instrumentos de planificación para el ordenamiento y la gestión territorial departamental (Plan de Desarrollo Departamental PDD, Ordenamiento Territorial, Sistema de Información Geográfica, mecanismos de integración, catastro multipropósito etc.) para orientar  los gastos de inversión  de acuerdo al Ordenamiento  Territorial."/>
    <m/>
    <m/>
    <m/>
    <m/>
    <m/>
    <m/>
    <n v="170000000"/>
    <m/>
    <m/>
    <n v="170000000"/>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s v="ND"/>
    <s v="Observatorio económico del departamento, con procesos de fortalecimiento"/>
    <n v="4599025"/>
    <s v="Servicios de información implementados"/>
    <s v="ND"/>
    <s v="Observatorio económico del Departamento del Quindío actualizado y dotado"/>
    <n v="459902500"/>
    <s v="Sistemas de información implementados"/>
    <s v=" A "/>
    <n v="1"/>
    <m/>
    <n v="1"/>
    <x v="6"/>
    <s v="Implementación del Observatorio Económico  de la Administración Departamental del Quindío &quot;TU Y YO SOMOS QUINDIO&quot;"/>
    <s v="Incrementar el  Índice de Gestión y Desempeño de la  Administración Departamental,  a través  de la implementación del  Observatorio Económico, con el objeto de proveer información  para la toma decisiones, facilitar en   seguimiento y monitoreo de dinámicas económicas y sociales del departamento."/>
    <m/>
    <m/>
    <m/>
    <m/>
    <m/>
    <m/>
    <n v="106000000"/>
    <m/>
    <m/>
    <n v="106000000"/>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s v="ND"/>
    <s v="Banco de Programas y Proyectos del Departamento  con Procesos de fortalecimiento. "/>
    <n v="4599025"/>
    <s v="Servicios de información implementados"/>
    <s v="ND"/>
    <s v="Banco de Programas y Proyectos del Departamento fortalecido"/>
    <n v="459902500"/>
    <s v="Sistemas de información implementados"/>
    <s v=" A "/>
    <n v="1"/>
    <m/>
    <n v="1"/>
    <x v="7"/>
    <s v="Fortalecimiento del Banco de Programas y Proyectos de la administración departamental  &quot;TÚ Y YO SOMOS QUINDIO&quot;"/>
    <s v="Incrementar el  Índice de Gestión y Desempeño de la  Administración Departamental, a través de  procesos de fortalecimiento del Banco de Programas y Proyectos, con el propósito de generar una mayor inversión social, qué impacte de manera positiva en las problemáticas socioeconómicas de la comunidad quindiana."/>
    <m/>
    <m/>
    <m/>
    <m/>
    <m/>
    <m/>
    <n v="375246787"/>
    <m/>
    <m/>
    <n v="375246787"/>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partamental (Entes Territoriales Municipales)"/>
    <s v="ND"/>
    <s v="Entes territoriales  con servicio de asistencia técnica de los Instrumentos de Planificación para  el Ordenamiento y la Gestión Territorial departamental. "/>
    <n v="4599031"/>
    <s v="Servicio de asistencia técnica"/>
    <s v="ND"/>
    <s v="Entes territoriales con procesos de asistencia técnica realizadas."/>
    <n v="459903101"/>
    <s v="Entidades territoriales asistidas técnicamente"/>
    <s v=" A "/>
    <n v="12"/>
    <m/>
    <n v="12"/>
    <x v="8"/>
    <s v="Asistencia Técnica  en  Instrumentos de Planificación y gestión  territorial en los  municipios del Departamento del  Quindío."/>
    <s v="Incrementar en  Índice de Gestión y Desempeño de la  Administración Departamental,  a través de procesos de  asistencia técnica a los entes territoriales Municipales  en Instrumentos de Planificación  y  Gestión Territorial."/>
    <m/>
    <m/>
    <m/>
    <m/>
    <m/>
    <m/>
    <n v="56000000"/>
    <m/>
    <m/>
    <n v="56000000"/>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partamental (Entes Territoriales Municipales)"/>
    <s v="ND"/>
    <s v="Entes territoriales con servicio de asistencia  técnica del Modelo Integrado de Planeación y de Gestión MIPG"/>
    <n v="4599031"/>
    <s v="Servicio de asistencia técnica"/>
    <s v="ND"/>
    <s v="Entes Territoriales con procesos de asistencia técnica realizadas"/>
    <n v="459903101"/>
    <s v="Entidades territoriales asistidas técnicamente"/>
    <s v=" A "/>
    <n v="12"/>
    <m/>
    <n v="12"/>
    <x v="8"/>
    <s v="Asistencia Técnica  en  Instrumentos de Planificación y gestión  territorial en los  municipios del Departamento del  Quindío."/>
    <s v="Incrementar en  Índice de Gestión y Desempeño de la  Administración Departamental,  a través de procesos de  asistencia técnica a los entes territoriales Municipales  en Instrumentos de Planificación  y  Gestión Territorial."/>
    <m/>
    <m/>
    <m/>
    <m/>
    <m/>
    <m/>
    <n v="46000000"/>
    <m/>
    <m/>
    <n v="46000000"/>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partamental (Entes Territoriales Municipales)"/>
    <s v="ND"/>
    <s v="Entes territoriales  con servicio de asistencia técnica en la Medición del Desempeño Municipal"/>
    <n v="4599031"/>
    <s v="Servicio de asistencia técnica"/>
    <s v="ND"/>
    <s v="Entes territoriales con procesos de asistencia técnica realizadas."/>
    <n v="459903101"/>
    <s v="Entidades territoriales asistidas técnicamente"/>
    <s v=" A "/>
    <n v="12"/>
    <m/>
    <n v="12"/>
    <x v="8"/>
    <s v="Asistencia Técnica  en  Instrumentos de Planificación y gestión  territorial en los  municipios del Departamento del  Quindío."/>
    <s v="Incrementar en  Índice de Gestión y Desempeño de la  Administración Departamental,  a través de procesos de  asistencia técnica a los entes territoriales Municipales  en Instrumentos de Planificación  y  Gestión Territorial."/>
    <m/>
    <m/>
    <m/>
    <m/>
    <m/>
    <m/>
    <n v="46000000"/>
    <m/>
    <m/>
    <n v="46000000"/>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partamental (Entes Territoriales Municipales)"/>
    <s v="ND"/>
    <s v="Entes territoriales  con servicio de asistencia técnica en el Sistema de Identificación de Potenciales Beneficiarios de Programas Sociales (SISBEN). "/>
    <n v="4599031"/>
    <s v="Servicio de asistencia técnica"/>
    <s v="ND"/>
    <s v="Entes territoriales con procesos de asistencia técnica realizadas."/>
    <n v="459903101"/>
    <s v="Entidades territoriales asistidas técnicamente"/>
    <s v=" A "/>
    <n v="12"/>
    <m/>
    <n v="12"/>
    <x v="8"/>
    <s v="Asistencia Técnica  en  Instrumentos de Planificación y gestión  territorial en los  municipios del Departamento del  Quindío."/>
    <s v="Incrementar en  Índice de Gestión y Desempeño de la  Administración Departamental,  a través de procesos de  asistencia técnica a los entes territoriales Municipales  en Instrumentos de Planificación  y  Gestión Territorial."/>
    <m/>
    <m/>
    <m/>
    <m/>
    <m/>
    <m/>
    <n v="46000000"/>
    <m/>
    <m/>
    <n v="46000000"/>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partamental (Entes Territoriales Municipales)"/>
    <s v="ND"/>
    <s v="Entes territoriales con servicio de asistencia técnica en la formulación, preparación, seguimiento y evaluación de las políticas públicas"/>
    <n v="4599031"/>
    <s v="Servicio de asistencia técnica"/>
    <s v="ND"/>
    <s v="Entes territoriales con procesos de asistencia técnica realizadas."/>
    <n v="459903101"/>
    <s v="Entidades territoriales asistidas técnicamente"/>
    <s v=" A "/>
    <n v="12"/>
    <m/>
    <n v="12"/>
    <x v="8"/>
    <s v="Asistencia Técnica  en  Instrumentos de Planificación y gestión  territorial en los  municipios del Departamento del  Quindío."/>
    <s v="Incrementar en  Índice de Gestión y Desempeño de la  Administración Departamental,  a través de procesos de  asistencia técnica a los entes territoriales Municipales  en Instrumentos de Planificación  y  Gestión Territorial."/>
    <m/>
    <m/>
    <m/>
    <m/>
    <m/>
    <m/>
    <n v="46000000"/>
    <m/>
    <m/>
    <n v="46000000"/>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partamental (Entes Territoriales Municipales)"/>
    <s v="ND"/>
    <s v="Entes territoriales  con servicio de asistencia técnica en Banco de Programas y Proyectos de Inversión Nacional (BPIN).  "/>
    <n v="4599031"/>
    <s v="Servicio de asistencia técnica"/>
    <s v="ND"/>
    <s v="Entes territoriales con procesos de asistencia técnica realizadas."/>
    <n v="459903101"/>
    <s v="Entidades territoriales asistidas técnicamente"/>
    <s v=" A "/>
    <n v="12"/>
    <m/>
    <n v="12"/>
    <x v="8"/>
    <s v="Asistencia Técnica  en  Instrumentos de Planificación y gestión  territorial en los  municipios del Departamento del  Quindío."/>
    <s v="Incrementar en  Índice de Gestión y Desempeño de la  Administración Departamental,  a través de procesos de  asistencia técnica a los entes territoriales Municipales  en Instrumentos de Planificación  y  Gestión Territorial."/>
    <m/>
    <m/>
    <m/>
    <m/>
    <m/>
    <m/>
    <n v="46000000"/>
    <m/>
    <m/>
    <n v="46000000"/>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s v="ND"/>
    <s v="Implementación de  las Dimensiones y Políticas  del Modelo Integrado de Planeación y de Gestión MIPG"/>
    <n v="4599023"/>
    <s v="Servicio de Implementación Sistemas de Gestión"/>
    <s v="ND"/>
    <s v="Número de Dimensiones y Políticas   de MIPG implementadas"/>
    <n v="459902300"/>
    <s v="Sistema de Gestión implementado"/>
    <s v=" A "/>
    <n v="18"/>
    <m/>
    <n v="18"/>
    <x v="9"/>
    <s v="Implementación  del Modelo Integrado de Planeación y de Gestión MIPG en la Administración Departamental del   Quindío"/>
    <s v=" Aumentar en Índice de Gestión y Desempeño de la Administración Departamental considerando las dimensiones y políticas qué conforman en Modelo Integrado de Gestión y Desempeño "/>
    <m/>
    <m/>
    <m/>
    <m/>
    <m/>
    <m/>
    <n v="92000000"/>
    <m/>
    <m/>
    <n v="92000000"/>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n v="4599018"/>
    <s v="Documentos de lineamientos técnicos (Producto principal del proyecto)"/>
    <n v="4599018"/>
    <s v="Documentos de lineamientos técnicos (Producto principal del proyecto)"/>
    <n v="459901800"/>
    <s v="Documentos de lineamientos técnicos realizados  "/>
    <n v="459901800"/>
    <s v="Documentos de lineamientos técnicos realizados  "/>
    <s v="N,A"/>
    <n v="1"/>
    <m/>
    <n v="1"/>
    <x v="10"/>
    <s v="Formulación  Plan de Desarrollo Departamental 2024-2027"/>
    <s v="Fortalecer el desarrollo económico y social del Departamento del Quindío a través de la formulación integral del Plan de Desarrollo 2024 - 2027"/>
    <m/>
    <m/>
    <m/>
    <m/>
    <m/>
    <m/>
    <n v="270000000"/>
    <m/>
    <m/>
    <n v="270000000"/>
    <s v=" Secretario de Planeación "/>
  </r>
  <r>
    <n v="307"/>
    <x v="2"/>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Desempeño Fiscal Administración Departamental"/>
    <s v="ND"/>
    <s v="Estrategia para el mejoramiento del Índice de Desempeño Fiscal en la Administración Departamental."/>
    <n v="4599002"/>
    <s v="Servicio de saneamiento fiscal y financiero "/>
    <s v="ND"/>
    <s v="Estrategia  de fortalecimiento  del Índice de Desempeño  Fiscal implementadas."/>
    <n v="459900201"/>
    <s v="Estrategia para el mejoramiento del Índice de Desempeño Fiscal ejecutada "/>
    <s v="A"/>
    <n v="1"/>
    <m/>
    <n v="1"/>
    <x v="11"/>
    <s v="Implementación de estrategias de fortalecimiento del desempeño fiscal de la Administración departamental del Quindío"/>
    <s v="Incrementar en Índice de Desempeño Fiscal de la Administración Departamental, a través de estrategias de autofinanciación de los gastos de funcionamiento, respaldo del servicio y mejoramiento de la deuda,  transferencias de la nación , generación de recursos propios, magnitud de la inversión y capacidad de ahorro, con el propósito de generar una mayor inversión social."/>
    <m/>
    <m/>
    <m/>
    <m/>
    <m/>
    <m/>
    <n v="3109256833.3499999"/>
    <n v="350000000"/>
    <n v="500000000"/>
    <n v="3959256833.3499999"/>
    <s v="Secretaria de Hacienda"/>
  </r>
  <r>
    <n v="307"/>
    <x v="2"/>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Desempeño Fiscal Administración Departamental"/>
    <s v="ND"/>
    <s v="Programa para el cumplimiento de las políticas y prácticas contables para la administración departamental         "/>
    <n v="4599002"/>
    <s v="Servicio de saneamiento fiscal y financiero"/>
    <s v="ND"/>
    <s v="Programa para el cumplimiento de las políticas y prácticas contables implementado"/>
    <n v="459900200"/>
    <s v="Programa de saneamiento fiscal y financiero ejecutado"/>
    <s v="A"/>
    <n v="1"/>
    <m/>
    <n v="1"/>
    <x v="12"/>
    <s v="Implementación  de  un programa para el cumplimiento de las políticas y prácticas contables de la administración departamental del Quindío.    "/>
    <s v="Incrementar el Índice de Desempeño Fiscal de la Administración Departamental,   a través de la implementación del programa para el cumplimiento de las políticas y prácticas contables para la administración departamental,  encaminado a la  generación de información  veraz, confiable y razonable."/>
    <m/>
    <m/>
    <m/>
    <m/>
    <m/>
    <m/>
    <n v="1146285800"/>
    <m/>
    <m/>
    <n v="1146285800"/>
    <s v="Secretaria de Hacienda"/>
  </r>
  <r>
    <n v="308"/>
    <x v="3"/>
    <n v="1"/>
    <s v="Inclusión Social y Equidad"/>
    <n v="12"/>
    <s v="Justicia y del derecho"/>
    <n v="1202"/>
    <s v="Promoción al acceso a la justicia. &quot;Tú y yo con justicia&quot;"/>
    <n v="1202"/>
    <s v="Promoción al acceso a la justicia"/>
    <s v="Tasa de homicidio por cada 100.000 habitantes_x000a_Tasa de hurto a personas  por cada 100.000 habitantes_x000a_Tasa de hurto a residencias por cada 100.000 habitantes_x000a_Tasa de hurto a comercio por cada 100.000 habitantes_x000a_Tasa de violencia intrafamiliar x cada 100.000 habitantes_x000a_Tasa  de delitos sexuales x 100.000 habitantes"/>
    <s v="ND"/>
    <s v="Infraestructura de las Instituciones de Seguridad del Estado con procesos constructivos, mejorados, ampliados, mantenidos, y/o reforzados"/>
    <n v="1202019"/>
    <s v="Servicio de promoción del acceso a la justicia"/>
    <s v="ND"/>
    <s v="Infraestructura de las Instituciones de Seguridad del Estado construida, mejorada, ampliada, mantenida, y/o reforzada"/>
    <n v="120201900"/>
    <s v="Estrategias de acceso a la justicia desarrolladas "/>
    <s v="N.A."/>
    <n v="4"/>
    <m/>
    <n v="4"/>
    <x v="13"/>
    <s v="Mantenimiento de las instituciones públicas y/o de seguridad y  justicia  del Estado en el Departamento Quindío"/>
    <s v="Mantener y/o reforzar  las Instituciones de seguridad del departamento del Quindío, con el propósito de  brindar a la  comunidad mejores condiciones de equidad y justicia."/>
    <m/>
    <m/>
    <m/>
    <m/>
    <m/>
    <m/>
    <n v="47800000"/>
    <m/>
    <m/>
    <n v="47800000"/>
    <s v="Secretario de Aguas e Infraestructura"/>
  </r>
  <r>
    <n v="308"/>
    <x v="3"/>
    <n v="1"/>
    <s v="Inclusión Social y Equidad"/>
    <n v="22"/>
    <s v="Educación"/>
    <n v="2201"/>
    <s v="Calidad, cobertura y fortalecimiento de la educación inicial, prescolar, básica y media.&quot; Tú y yo con educación y  calidad&quot;"/>
    <n v="2201"/>
    <s v="Calidad, cobertura y fortalecimiento de la educación inicial, prescolar, básica y media"/>
    <s v="Tasa de cobertura bruta en transición_x000a_Tasa de cobertura bruta en educación básica_x000a_Tasa de cobertura en educación media_x000a_Tasa de deserción escolar intra-anual"/>
    <s v="ND"/>
    <s v="Infraestructura de Instituciones Educativas con procesos constructivos, mejorados, ampliados, mantenidos y/o reforzados."/>
    <n v="2201062"/>
    <s v="Infraestructura educativa mantenida"/>
    <s v="ND"/>
    <s v="Infraestructura de Instituciones Educativas construida, mejorada, ampliada, mantenida, y/o reforzada."/>
    <n v="220106200"/>
    <s v="Sedes mantenidas"/>
    <s v="N.A."/>
    <n v="15"/>
    <m/>
    <n v="15"/>
    <x v="14"/>
    <s v="Mantenimiento de  la infraestructura  Educativa en el Departamento del Quindío. "/>
    <s v=" Mantener de la infraestructura educativa, con el propósito de garantizar  la permanencia y calidad  de la prestación  del servicio educativo en Departamento del Quindío.  "/>
    <n v="4056298548.9700003"/>
    <m/>
    <m/>
    <m/>
    <m/>
    <m/>
    <n v="0"/>
    <m/>
    <m/>
    <n v="4056298548.9700003"/>
    <s v="Secretario de Aguas e Infraestructura"/>
  </r>
  <r>
    <n v="308"/>
    <x v="3"/>
    <n v="1"/>
    <s v="Inclusión Social y Equidad"/>
    <n v="33"/>
    <s v="Cultura"/>
    <n v="3301"/>
    <s v="Promoción y acceso efectivo a procesos culturales y artísticos. &quot;Tú y yo somos cultura Quindiana&quot;"/>
    <n v="3301"/>
    <s v="Promoción y acceso efectivo a procesos culturales y artísticos"/>
    <s v="Tasa de participación en procesos y actividades artísticas y culturales._x000a_Tasa de consumo de sustancias sicoactivas por 100.000 habitantes en el departamento del Quindío."/>
    <s v="3301068"/>
    <s v="Servicio de mantenimiento de infraestructura cultural"/>
    <s v="3301068"/>
    <s v="Servicio de mantenimiento de infraestructura cultural"/>
    <s v="330106800"/>
    <s v="Infraestructura cultural intervenida"/>
    <s v="330106800"/>
    <s v="Infraestructura cultural intervenida"/>
    <s v="N.A."/>
    <n v="3"/>
    <m/>
    <n v="3"/>
    <x v="15"/>
    <s v="Mantenimiento de la infraestructura cultural en el departamento del Quindío  "/>
    <s v=" Realizar mantenimiento de la  infraestructura cultural, para fortalecer los espacios de los artistas y gestores culturales dedicados a la creación, promoción y divulgación de actividades en el Departamento del Quindío."/>
    <m/>
    <m/>
    <m/>
    <m/>
    <m/>
    <m/>
    <n v="47800000"/>
    <m/>
    <m/>
    <n v="47800000"/>
    <s v="Secretario de Aguas e Infraestructura"/>
  </r>
  <r>
    <n v="308"/>
    <x v="3"/>
    <n v="1"/>
    <s v="Inclusión Social y Equidad"/>
    <n v="41"/>
    <s v="Inclusión social y reconciliación"/>
    <n v="4104"/>
    <s v="Atención integral de población en situación permanente de desprotección social y/o familiar. &quot;Tú y yo con atención integral&quot;"/>
    <n v="4104"/>
    <s v="Atención integral de población en situación permanente de desprotección social y/o familiar"/>
    <s v="Cobertura de municipios del departamento con procesos de implementación de proyectos productivos para las personas con discapacidad."/>
    <n v="4104036"/>
    <s v="Centros de atención integral para personas con discapacidad construidos y dotados"/>
    <n v="4104036"/>
    <s v="Centros de atención integral para personas con discapacidad construidos y dotados."/>
    <n v="410403600"/>
    <s v="Centros de atención integral para personas con Discapacidad construidos y dotados"/>
    <n v="410403600"/>
    <s v="Centros de atención integral para personas con discapacidad construidos y dotados "/>
    <s v="N.A."/>
    <s v="NP"/>
    <m/>
    <s v="NP"/>
    <x v="16"/>
    <s v="Construcción y dotación de un centro de atención integral para personas con discapacidad en el departamento del Quindio"/>
    <s v="Fortalecer infraestructura para la atención integral a personas con discapacidad en el departamento"/>
    <m/>
    <m/>
    <m/>
    <m/>
    <m/>
    <m/>
    <n v="1900000000"/>
    <m/>
    <m/>
    <n v="1900000000"/>
    <s v="Secretario de Aguas e Infraestructura"/>
  </r>
  <r>
    <n v="308"/>
    <x v="3"/>
    <n v="1"/>
    <s v="Inclusión Social y Equidad"/>
    <n v="43"/>
    <s v="Deporte y recreación"/>
    <n v="4301"/>
    <s v="Fomento a la recreación, la actividad física y el deporte  &quot;Tú y yo en la recreación y el deporte&quot;"/>
    <n v="4301"/>
    <s v="Fomento a la recreación, la actividad física y el deporte para desarrollar entornos de convivencia y paz"/>
    <s v="Cobertura de municipios qué participan en programas de recreación, actividad física y deporte social y comunitario en el Departamento del Quindío._x000a_Cobertura de ligas apoyadas en el departamento del Quindío._x000a_Porcentaje de medallería del departamento del Quindío en los Juegos Nacionales."/>
    <s v="ND"/>
    <s v="Infraestructura  deportiva y/o recreativa con procesos   constructivos,  mejorados,  ampliados,  mantenidos y/o  reforzados "/>
    <n v="4301004"/>
    <s v="Servicio de mantenimiento a la infraestructura deportiva"/>
    <s v="ND"/>
    <s v="Infraestructura  deportiva y/o recreativa con procesos   constructivos,  mejorados,  ampliados,  mantenidos y/o   reforzados "/>
    <n v="430100401"/>
    <s v="Intervenciones realizadas a infraestructura deportiva"/>
    <s v="N.A."/>
    <n v="3"/>
    <m/>
    <n v="3"/>
    <x v="17"/>
    <s v="Mantenimiento, mejoramiento y/o rehabilitación de  obras físicas de infraestructura deportiva y recreativa en el Departamento del Quindío  "/>
    <s v="Mantener, mejorar y/o rehabilitar obras físicas de infraestructura deportiva y recreativa en el Departamento del Quindío con el propósito de generar espacios para la utilización del tiempo libre."/>
    <n v="5685000000"/>
    <m/>
    <m/>
    <m/>
    <m/>
    <m/>
    <n v="0"/>
    <m/>
    <m/>
    <n v="5685000000"/>
    <s v="Secretario de Aguas e Infraestructura"/>
  </r>
  <r>
    <n v="308"/>
    <x v="3"/>
    <n v="3"/>
    <s v="Territorio, Ambiente y Desarrollo Sostenible"/>
    <n v="24"/>
    <s v="Transporte"/>
    <n v="2402"/>
    <s v="Infraestructura red vial regional. &quot;Tú y yo con movilidad vial&quot;"/>
    <n v="2402"/>
    <s v="Infraestructura red vial regional "/>
    <s v="Índice de competitividad  en el sector de infraestructura vial "/>
    <s v="ND"/>
    <s v="Infraestructura   vial  con procesos  de construcción, mejoramiento, ampliación, mantenimiento y/o  reforzamiento."/>
    <n v="2402041"/>
    <s v="Vía terciaria mejorada "/>
    <s v="ND"/>
    <s v="Infraestructura  vial    construida, mejorada, ampliada,  mantenida, y/o  reforzada "/>
    <n v="240204100"/>
    <s v="Vía terciaria mejorada"/>
    <s v="A"/>
    <n v="70.379000000000005"/>
    <m/>
    <n v="70.379000000000005"/>
    <x v="18"/>
    <s v="Mantenimiento, mejoramiento, rehabilitación y/o atención las vías  para  garantizar  la movilidad y competitividad en el departamento del Quindío."/>
    <s v="Mejorar y mantener la comunicación vehicular entre los municipios del departamento y en sector rural mediante la disposición de una infraestructura vial adecuada, mediante programas de mantenimiento y/o mejoramiento de las vías construidas y sus obras complementarias, garantizando condiciones de eficiencia, seguridad y confort a los usuarios. Para estos efectos se podrá implementar mecanismos de carácter social como “Las Camineras”, qué desde la población local contribuyan al mantenimiento vial."/>
    <m/>
    <m/>
    <m/>
    <m/>
    <m/>
    <m/>
    <n v="9859061370.2299995"/>
    <n v="2956775556.0699997"/>
    <n v="10125448251.4"/>
    <n v="22941285177.699997"/>
    <s v="Secretario de Aguas e Infraestructura"/>
  </r>
  <r>
    <n v="308"/>
    <x v="3"/>
    <n v="3"/>
    <s v="Territorio, Ambiente y Desarrollo Sostenible"/>
    <n v="32"/>
    <s v="Ambiente y desarrollo sostenible"/>
    <n v="3205"/>
    <s v="Ordenamiento Ambiental Territorial. &quot;Tú y yo planificamos con sentido ambiental&quot;"/>
    <n v="3205"/>
    <s v="Ordenamiento ambiental territorial "/>
    <s v="Porcentaje de Ecosistemas protegidos y/o en procesos de restauración en el Departamento "/>
    <n v="3205010"/>
    <s v="Obras para estabilización de taludes"/>
    <n v="3205010"/>
    <s v="Obras para estabilización de taludes"/>
    <s v="320501000"/>
    <s v="Obras para estabilización de taludes realizadas"/>
    <s v="320501000"/>
    <s v="Obras para estabilización de taludes realizadas"/>
    <s v="N.A."/>
    <n v="3"/>
    <m/>
    <n v="3"/>
    <x v="19"/>
    <s v="Construcción, mantenimiento y/o mejoramiento de obras  de estabilización de Taludes en el Departamento del Quindío"/>
    <s v="Construir, mantener y/o mejorar de obras de infraestructura para la  estabilización de taludes qué presenten problemas de deslizamiento, con el propósito de establecer medidas de prevención y control para reducir los niveles de amenaza y riesgo. "/>
    <m/>
    <m/>
    <m/>
    <m/>
    <m/>
    <m/>
    <n v="50000000"/>
    <n v="190000000"/>
    <m/>
    <n v="240000000"/>
    <s v="Secretario de Aguas e Infraestructura"/>
  </r>
  <r>
    <n v="308"/>
    <x v="3"/>
    <n v="3"/>
    <s v="Territorio, Ambiente y Desarrollo Sostenible"/>
    <n v="32"/>
    <s v="Ambiente y desarrollo sostenible"/>
    <n v="3205"/>
    <s v="Ordenamiento Ambiental Territorial. &quot;Tú y yo planificamos con sentido ambiental&quot;"/>
    <n v="3205"/>
    <s v="Ordenamiento ambiental territorial "/>
    <s v="Cobertura  de municipios del departamento del Quindío  atendidos con estudios y/o construcción de obras   para mitigación y atención a desastres realizadas._x000a_Porcentaje de Ecosistemas protegidos y/o en procesos de restauración en el Departamento."/>
    <n v="3205021"/>
    <s v="Obras de infraestructura para mitigación y atención a desastres"/>
    <n v="3205021"/>
    <s v="Obras de infraestructura para mitigación y atención a desastres"/>
    <n v="320502100"/>
    <s v="Obras de infraestructura para mitigación y atención a desastres realizadas "/>
    <n v="320502100"/>
    <s v="Obras de infraestructura para mitigación y atención a desastres realizadas "/>
    <s v="N.A."/>
    <n v="4"/>
    <m/>
    <n v="4"/>
    <x v="20"/>
    <s v="Construcción, mantenimiento y/o mejoramiento de obras de infraestructura  para la mitigación y atención de desastres en los municipios del departamento del Quindío "/>
    <s v=" Construir, mantener y/o mejorar  obras de infraestructura para la  mitigación y atención de desastres en los municipios del departamento del Quindío, con el propósito de evitar pérdidas de vidas humanas, servicios, infraestructura y económicas, "/>
    <m/>
    <m/>
    <m/>
    <m/>
    <m/>
    <m/>
    <n v="50000000"/>
    <n v="200000000"/>
    <m/>
    <n v="250000000"/>
    <s v="Secretario de Aguas e Infraestructura"/>
  </r>
  <r>
    <n v="308"/>
    <x v="3"/>
    <n v="3"/>
    <s v="Territorio, Ambiente y Desarrollo Sostenible"/>
    <n v="40"/>
    <s v="Vivienda, ciudad y territorio"/>
    <n v="4001"/>
    <s v="Acceso a soluciones de vivienda. &quot;Tú y yo con vivienda digna&quot;"/>
    <n v="4001"/>
    <s v="Acceso a soluciones de vivienda"/>
    <s v="Déficit cualitativo de viviendas por hogares"/>
    <n v="4001015"/>
    <s v="Viviendas de interés social urbanas mejoradas"/>
    <n v="4001015"/>
    <s v="Viviendas de interés social urbanas mejoradas"/>
    <s v="400101500"/>
    <s v="Viviendas de Interés Social urbanas mejoradas"/>
    <s v="400101500"/>
    <s v="Viviendas de Interés Social urbanas mejoradas"/>
    <s v="N.A."/>
    <n v="120"/>
    <m/>
    <n v="120"/>
    <x v="21"/>
    <s v="Mejoramiento de Vivienda de Interés Social en el Departamento del Quindío "/>
    <s v="Mejoramiento  de  vivienda de interés social VIS, con el propósito de reducir el déficit cualitativo de vivienda en el departamento, permitiendo  mejorar las condiciones de  calidad de vida de los quindianos."/>
    <n v="300000000"/>
    <m/>
    <m/>
    <m/>
    <m/>
    <m/>
    <n v="35795909.380000003"/>
    <m/>
    <m/>
    <n v="335795909.38"/>
    <s v="Secretario de Aguas e Infraestructura"/>
  </r>
  <r>
    <n v="308"/>
    <x v="3"/>
    <n v="3"/>
    <s v="Territorio, Ambiente y Desarrollo Sostenible"/>
    <n v="40"/>
    <s v="Vivienda, ciudad y territorio"/>
    <n v="4003"/>
    <s v="Acceso de la población a los servicios de agua potable y saneamiento básico. &quot;Tú y yo con calidad del agua&quot;"/>
    <n v="4003"/>
    <s v="Acceso de la población a los servicios de agua potable y saneamiento básico"/>
    <s v="Cobertura de acueducto_x000a_Cobertura  de alcantarillado "/>
    <s v="ND"/>
    <s v="Adoptar e implementar la Política Pública de Producción Consumo Sostenible y Gestión Integral de Aseo  "/>
    <n v="4003006"/>
    <s v="Documentos de planeación"/>
    <s v="ND"/>
    <s v="Política Pública de Producción Consumo Sostenible y Gestión Integral de Aseo  adoptada e implementada."/>
    <n v="400300600"/>
    <s v="Documentos de planeación elaborados"/>
    <s v="A"/>
    <n v="1"/>
    <m/>
    <n v="1"/>
    <x v="22"/>
    <s v="Implementación del plan departamental para el manejo empresarial de los servicios de agua y saneamiento básico en el Departamento del Quindío  "/>
    <s v="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
    <m/>
    <m/>
    <m/>
    <m/>
    <m/>
    <n v="100000000"/>
    <m/>
    <m/>
    <m/>
    <n v="100000000"/>
    <s v="Secretario de Aguas e Infraestructura"/>
  </r>
  <r>
    <n v="308"/>
    <x v="3"/>
    <n v="3"/>
    <s v="Territorio, Ambiente y Desarrollo Sostenible"/>
    <n v="40"/>
    <s v="Vivienda, ciudad y territorio"/>
    <n v="4003"/>
    <s v="Acceso de la población a los servicios de agua potable y saneamiento básico. &quot;Tú y yo con calidad del agua&quot;"/>
    <n v="4003"/>
    <s v="Acceso de la población a los servicios de agua potable y saneamiento básico"/>
    <s v="Cobertura  de alcantarillado "/>
    <n v="4003018"/>
    <s v="Alcantarillados construidos"/>
    <n v="4003018"/>
    <s v="Alcantarillados construidos"/>
    <n v="400301802"/>
    <s v="Plantas de tratamiento de aguas residuales  construidas"/>
    <n v="400301802"/>
    <s v="Plantas de tratamiento de aguas residuales  construidas"/>
    <s v="N.A."/>
    <n v="1"/>
    <m/>
    <n v="1"/>
    <x v="22"/>
    <s v="Implementación del plan departamental para el manejo empresarial de los servicios de agua y saneamiento básico en el Departamento del Quindío  "/>
    <s v="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
    <m/>
    <m/>
    <m/>
    <m/>
    <m/>
    <n v="1000000000"/>
    <m/>
    <m/>
    <m/>
    <n v="1000000000"/>
    <s v="Secretario de Aguas e Infraestructura"/>
  </r>
  <r>
    <n v="308"/>
    <x v="3"/>
    <n v="3"/>
    <s v="Territorio, Ambiente y Desarrollo Sostenible"/>
    <n v="40"/>
    <s v="Vivienda, ciudad y territorio"/>
    <n v="4003"/>
    <s v="Acceso de la población a los servicios de agua potable y saneamiento básico. &quot;Tú y yo con calidad del agua&quot;"/>
    <n v="4003"/>
    <s v="Acceso de la población a los servicios de agua potable y saneamiento básico"/>
    <s v="Cobertura de acueducto_x000a_Cobertura  de alcantarillado "/>
    <n v="4003025"/>
    <s v="Servicios de apoyo financiero para la ejecución de proyectos de acueductos y alcantarillado"/>
    <n v="4003025"/>
    <s v="Servicios de apoyo financiero para la ejecución de proyectos de acueductos y alcantarillado"/>
    <n v="400302500"/>
    <s v="Proyectos de acueducto y alcantarillado en área urbana financiados"/>
    <n v="400302500"/>
    <s v="Proyectos de acueducto y alcantarillado en área urbana financiados"/>
    <s v="N.A."/>
    <n v="3"/>
    <m/>
    <n v="3"/>
    <x v="22"/>
    <s v="Implementación del plan departamental para el manejo empresarial de los servicios de agua y saneamiento básico en el Departamento del Quindío  "/>
    <s v="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
    <n v="3300000000"/>
    <m/>
    <m/>
    <m/>
    <m/>
    <n v="902473661.21000004"/>
    <m/>
    <m/>
    <m/>
    <n v="4202473661.21"/>
    <s v="Secretario de Aguas e Infraestructura"/>
  </r>
  <r>
    <n v="308"/>
    <x v="3"/>
    <n v="3"/>
    <s v="Territorio, Ambiente y Desarrollo Sostenible"/>
    <n v="40"/>
    <s v="Vivienda, ciudad y territorio"/>
    <n v="4003"/>
    <s v="Acceso de la población a los servicios de agua potable y saneamiento básico. &quot;Tú y yo con calidad del agua&quot;"/>
    <n v="4003"/>
    <s v="Acceso de la población a los servicios de agua potable y saneamiento básico"/>
    <s v="Cobertura de acueducto_x000a_Cobertura  de alcantarillado "/>
    <n v="4003028"/>
    <s v="Servicios de educación informal en agua potable y saneamiento básico"/>
    <n v="4003028"/>
    <s v="Servicios de educación informal en agua potable y saneamiento básico"/>
    <n v="400302801"/>
    <s v="Eventos de educación informal en agua y saneamiento básico realizados"/>
    <n v="400302801"/>
    <s v="Eventos de educación informal en agua y saneamiento básico realizados"/>
    <s v="A"/>
    <n v="4"/>
    <m/>
    <n v="4"/>
    <x v="22"/>
    <s v="Implementación del plan departamental para el manejo empresarial de los servicios de agua y saneamiento básico en el Departamento del Quindío  "/>
    <s v="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
    <m/>
    <m/>
    <m/>
    <m/>
    <m/>
    <n v="300000000"/>
    <m/>
    <m/>
    <m/>
    <n v="300000000"/>
    <s v="Secretario de Aguas e Infraestructura"/>
  </r>
  <r>
    <n v="308"/>
    <x v="3"/>
    <n v="3"/>
    <s v="Territorio, Ambiente y Desarrollo Sostenible"/>
    <n v="40"/>
    <s v="Vivienda, ciudad y territorio"/>
    <n v="4003"/>
    <s v="Acceso de la población a los servicios de agua potable y saneamiento básico. &quot;Tú y yo con calidad del agua&quot;"/>
    <n v="4003"/>
    <s v="Acceso de la población a los servicios de agua potable y saneamiento básico"/>
    <s v="Cobertura de acueducto_x000a_Cobertura  de alcantarillado "/>
    <n v="4003042"/>
    <s v="Estudios de pre inversión e inversión"/>
    <n v="4003042"/>
    <s v="Estudios de pre inversión e inversión"/>
    <n v="400304200"/>
    <s v="Estudios o diseños realizados "/>
    <n v="400304200"/>
    <s v="Estudios o diseños realizados "/>
    <s v="N.A."/>
    <n v="2"/>
    <m/>
    <n v="2"/>
    <x v="22"/>
    <s v="Implementación del plan departamental para el manejo empresarial de los servicios de agua y saneamiento básico en el Departamento del Quindío  "/>
    <s v="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
    <m/>
    <m/>
    <m/>
    <m/>
    <m/>
    <n v="300000000"/>
    <m/>
    <m/>
    <m/>
    <n v="300000000"/>
    <s v="Secretario de Aguas e Infraestructura"/>
  </r>
  <r>
    <n v="308"/>
    <x v="3"/>
    <n v="3"/>
    <s v="Territorio, Ambiente y Desarrollo Sostenible"/>
    <n v="40"/>
    <s v="Vivienda, ciudad y territorio"/>
    <n v="4003"/>
    <s v="Acceso de la población a los servicios de agua potable y saneamiento básico. &quot;Tú y yo con calidad del agua&quot;"/>
    <n v="4003"/>
    <s v="Acceso de la población a los servicios de agua potable y saneamiento básico"/>
    <s v="Cobertura de acueducto_x000a_Cobertura  de alcantarillado "/>
    <s v="4003026"/>
    <s v="Servicios de apoyo financiero para la ejecución de proyectos de acueductos y de manejo de aguas residuales"/>
    <s v="4003026"/>
    <s v="Servicios de apoyo financiero para la ejecución de proyectos de acueductos y de manejo de aguas residuales"/>
    <n v="400302600"/>
    <s v="Proyectos de acueducto y de manejo de aguas residuales en área rural financiados"/>
    <n v="400302600"/>
    <s v="Proyectos de acueducto y de manejo de aguas residuales en área rural financiados"/>
    <s v="N.A."/>
    <n v="0.4"/>
    <m/>
    <n v="0.4"/>
    <x v="22"/>
    <s v="Implementación del plan departamental para el manejo empresarial de los servicios de agua y saneamiento básico en el Departamento del Quindío  "/>
    <s v="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
    <m/>
    <m/>
    <m/>
    <m/>
    <m/>
    <n v="1502617000"/>
    <m/>
    <m/>
    <m/>
    <n v="1502617000"/>
    <s v="Secretario de Aguas e Infraestructura"/>
  </r>
  <r>
    <n v="308"/>
    <x v="3"/>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s v="ND"/>
    <s v="Infraestructura institucional o  de edificios públicos de atención  de servicios ciudadanos con procesos constructivos mejorados,  ampliados,  mantenidos, y/o  reforzados"/>
    <s v="4599016"/>
    <s v="Sedes mantenidas"/>
    <s v="ND"/>
    <s v="Infraestructura Institucional o edificios públicos construida mejorada, ampliada, mantenida, y/o reforzada"/>
    <n v="459901600"/>
    <s v="Sedes mantenidas"/>
    <s v="A"/>
    <n v="4"/>
    <m/>
    <n v="4"/>
    <x v="23"/>
    <s v="Mantenimiento  de la infraestructura institucional o de edificios públicos en el Departamento del Quindío"/>
    <s v="Mantener  la  infraestructura institucional o de edificios públicos, con el propósito de propiciar un excelente servicio al ciudadano y bienestar al servidor público, con infraestructura moderna y amigable."/>
    <m/>
    <m/>
    <m/>
    <m/>
    <m/>
    <m/>
    <n v="304400000"/>
    <m/>
    <m/>
    <n v="304400000"/>
    <s v="Secretario de Aguas e Infraestructura"/>
  </r>
  <r>
    <n v="308"/>
    <x v="3"/>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Porcentaje promedio  de participación de ciudadanos en los eventos de elección popular"/>
    <n v="4502003"/>
    <s v="Salones comunales adecuados"/>
    <n v="4502003"/>
    <s v="Salón comunal adecuado "/>
    <n v="450200300"/>
    <s v="Salones comunales adecuados"/>
    <n v="450200300"/>
    <s v="Salones comunales adecuados"/>
    <s v="N.A."/>
    <n v="2"/>
    <m/>
    <n v="2"/>
    <x v="24"/>
    <s v="Construcción y/o adecuación de casetas comunales en los diferentes barrios del departamento "/>
    <s v="Realizar construcción y/o adecuación de casetas comunales en los diferentes barrios del departamento, qué permitan generar procesos de participación ciudadana y la implementación de buenas prácticas sociales en comunidad."/>
    <m/>
    <m/>
    <m/>
    <m/>
    <m/>
    <m/>
    <n v="50000000"/>
    <n v="6822431"/>
    <m/>
    <n v="56822431"/>
    <s v="Secretario de Aguas e Infraestructura"/>
  </r>
  <r>
    <n v="308"/>
    <x v="3"/>
    <n v="1"/>
    <s v="Inclusión Social y Equidad"/>
    <n v="19"/>
    <s v="Salud y protección social"/>
    <n v="1903"/>
    <s v="Inspección, vigilancia y control. &quot;Tú y yo con salud certificada&quot; "/>
    <n v="1903"/>
    <s v="Inspección, vigilancia y control"/>
    <s v="Indice Departamental de Competitividad "/>
    <s v="ND"/>
    <s v="Infraestructura institucional o  de edificios públicos de atención  de servicios ciudadanos con procesos constructivos mejorados,  ampliados,  mantenidos, y/o  reforzados"/>
    <n v="1903043"/>
    <s v="Infraestructura de laboratorios costruida y dotada"/>
    <s v="ND"/>
    <s v="Infraestructura Institucional o edificios públicos construida mejorada, ampliada, mantenida, y/o reforzada"/>
    <n v="190304300"/>
    <s v="laboratorios construidos "/>
    <m/>
    <n v="1"/>
    <m/>
    <n v="1"/>
    <x v="25"/>
    <s v="Modernización del laboratorio de salud pública departamental"/>
    <s v="Mejorar la capacidad instalada del laboratorio de salud publica en la realización de las actividades de inspección, vigilancia y control IVC"/>
    <m/>
    <m/>
    <m/>
    <m/>
    <m/>
    <m/>
    <n v="30000000"/>
    <m/>
    <m/>
    <n v="30000000"/>
    <s v="Secretario de Aguas e Infraestructura"/>
  </r>
  <r>
    <n v="309"/>
    <x v="4"/>
    <n v="1"/>
    <s v="Inclusión Social y Equidad"/>
    <n v="12"/>
    <s v="Justicia y del derecho"/>
    <n v="1202"/>
    <s v="Promoción al acceso a la justicia. &quot;Tú y yo con justicia&quot;"/>
    <n v="1202"/>
    <s v="Promoción al acceso a la justicia"/>
    <s v="Tasa de homicidio por cada 100.000 habitantes_x000a_Tasa de hurto a personas  por cada 100.000 habitantes_x000a_Tasa de hurto a residencias por cada 100.000 habitantes_x000a_Tasa de hurto a comercio por cada 100.000 habitantes_x000a_Tasa de violencia intrafamiliar x cada 100.000 habitantes_x000a_Tasa  de delitos sexuales x 100.000 habitantes"/>
    <n v="1202004"/>
    <s v="Servicio de asistencia técnica para la articulación de los operadores de los servicio de justicia"/>
    <n v="1202004"/>
    <s v="Servicio de asistencia técnica para la articulación de los operadores de los servicio de justicia"/>
    <n v="120200400"/>
    <s v="Entidades territoriales asistidas técnicamente"/>
    <n v="120200400"/>
    <s v="Entidades territoriales asistidas técnicamente"/>
    <s v="A"/>
    <n v="12"/>
    <m/>
    <n v="12"/>
    <x v="26"/>
    <s v="Implementación  de acciones con los Entes Municipales, para la reducción de los delitos en el Departamento del Quindío"/>
    <s v="Disminuir los índice delitos  en el departamento del Quindío a través de procesos de asistencia Técnica y articulación  de acciones  con las Administraciones municipales ."/>
    <m/>
    <m/>
    <m/>
    <m/>
    <m/>
    <m/>
    <n v="438200000"/>
    <n v="200000000"/>
    <m/>
    <n v="638200000"/>
    <s v="Secretaria del Interior"/>
  </r>
  <r>
    <n v="309"/>
    <x v="4"/>
    <n v="1"/>
    <s v="Inclusión Social y Equidad"/>
    <n v="12"/>
    <s v="Justicia y del derecho"/>
    <n v="1203"/>
    <s v="Promoción de los métodos de resolución de conflictos. &quot;Tú y yo resolvemos los conflictos&quot;"/>
    <n v="1203"/>
    <s v="Promoción de los métodos de resolución de conflictos"/>
    <s v="Tasa de homicidio por cada 100.000 habitantes_x000a_Tasa de hurto a personas  por cada 100.000 habitantes_x000a_Tasa de hurto a residencias por cada 100.000 habitantes_x000a_Tasa de hurto a comercio por cada 100.000 habitantes_x000a_Tasa de violencia intrafamiliar x cada 100.000 habitantes_x000a_Tasa  de delitos sexuales x 100.000 habitantes"/>
    <n v="1203002"/>
    <s v="Servicio de asistencia técnica para la implementación de los métodos de resolución de conflictos"/>
    <n v="1203002"/>
    <s v="Servicio de asistencia técnica para la implementación de los métodos de resolución de conflictos"/>
    <n v="120300200"/>
    <s v="Instituciones públicas y privadas asistidas técnicamente en métodos de resolución de conflictos"/>
    <n v="120300200"/>
    <s v="Instituciones públicas y privadas asistidas técnicamente en métodos de resolución de conflictos"/>
    <s v="N.A."/>
    <n v="50"/>
    <m/>
    <n v="50"/>
    <x v="27"/>
    <s v="Implementación de  métodos  para la resolución de conflictos y el  fortalecimiento de la seguridad de los ciudadanos en el Departamento del Quindío  "/>
    <s v="Coordinar con los organismos de seguridad métodos  de intervenciones  transformadoras en zonas de miedo e impunidad"/>
    <m/>
    <m/>
    <m/>
    <m/>
    <m/>
    <m/>
    <n v="55000000"/>
    <m/>
    <m/>
    <n v="55000000"/>
    <s v="Secretaria del Interior"/>
  </r>
  <r>
    <n v="309"/>
    <x v="4"/>
    <n v="1"/>
    <s v="Inclusión Social y Equidad"/>
    <n v="12"/>
    <s v="Justicia y del derecho"/>
    <n v="1206"/>
    <s v="Sistema penitenciario y carcelario en el marco de los derechos humanos. &quot;Quindío respeta derechos penitenciarios&quot;"/>
    <n v="1206"/>
    <s v="Sistema penitenciario y carcelario en el marco de los derechos humanos"/>
    <s v="Tasa de homicidio por cada 100.000 habitantes_x000a_Tasa de hurto a personas  por cada 100.000 habitantes_x000a_Tasa de hurto a residencias por cada 100.000 habitantes_x000a_Tasa de hurto a comercio por cada 100.000 habitantes_x000a_Tasa de violencia intrafamiliar x cada 100.000 habitantes_x000a_Tasa  de delitos sexuales x 100.000 habitantes"/>
    <n v="1206005"/>
    <s v="Servicio de resocialización de personas privadas de la libertad"/>
    <n v="1206005"/>
    <s v="Servicio de resocialización de personas privadas de la libertad"/>
    <n v="120600500"/>
    <s v="Personas privadas de la libertad (PPL) que reciben servicio de resocialización"/>
    <n v="120600500"/>
    <s v="Personas privadas de la libertad (PPL) que reciben servicio de resocialización"/>
    <s v="N.A."/>
    <n v="35"/>
    <m/>
    <n v="35"/>
    <x v="28"/>
    <s v="Implementación de  acciones de apoyo para  la  resocialización de las personas privadas de la libertad  en las Instituciones Penitenciarias  del Departamento  del Quindío. "/>
    <s v=" Disminuir los índices de delitos en el departamento del Quindío, a través de la implementación de  acciones de apoyo para  la  resocialización de las personas privadas de la libertad en las Instituciones  Penitenciarios del departamento del Quindío."/>
    <m/>
    <m/>
    <m/>
    <m/>
    <m/>
    <m/>
    <n v="56000000"/>
    <m/>
    <m/>
    <n v="56000000"/>
    <s v="Secretaria del Interior"/>
  </r>
  <r>
    <n v="309"/>
    <x v="4"/>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Cobertura de Instituciones Educativas con Planes Escolares de Gestión del Riesgo de Desastres-PEGERD"/>
    <n v="2201068"/>
    <s v="Servicio de gestión de riesgos y desastres en establecimientos educativos"/>
    <n v="2201068"/>
    <s v="Servicio de gestión de riesgos y desastres en establecimientos educativos"/>
    <n v="220106800"/>
    <s v="Establecimientos educativos con acciones de gestión del riesgo implementadas"/>
    <n v="220106800"/>
    <s v="Establecimientos educativos con acciones de gestión del riesgo implementadas"/>
    <s v="N.A."/>
    <n v="72"/>
    <m/>
    <n v="72"/>
    <x v="29"/>
    <s v="Implementación  y/o fortalecimiento  de  los planes para la gestión del riesgo y desastres en las Instituciones Educativas Oficiales  del Departamento "/>
    <s v="Aumentar la cobertura de Instituciones Educativas con Planes Escolares de Gestión del Riesgo de Desastres-PEGERD, a través de procesos de acompañamiento  a la  comunidad educativa  en la implementación y fortalecimiento de los mismos."/>
    <m/>
    <m/>
    <m/>
    <m/>
    <m/>
    <m/>
    <n v="88300000"/>
    <m/>
    <m/>
    <n v="88300000"/>
    <s v="Secretaria del Interior"/>
  </r>
  <r>
    <n v="309"/>
    <x v="4"/>
    <n v="1"/>
    <s v="Inclusión Social y Equidad"/>
    <n v="41"/>
    <s v="Inclusión social y Reconciliación "/>
    <n v="4101"/>
    <s v="Atención, asistencia y reparación integral a las víctimas. &quot;Tú y yo con reparación integral&quot;"/>
    <n v="4101"/>
    <s v="Atención, asistencia  y reparación integral a las víctimas"/>
    <s v="Cobertura de la población víctima atendida con procesos de atención, prevención y asistencia humanitaria"/>
    <n v="4101023"/>
    <s v="Servicio de orientación y comunicación a las víctimas"/>
    <n v="4101023"/>
    <s v="Servicio de orientación y comunicación a las víctimas"/>
    <n v="410102300"/>
    <s v="Solicitudes tramitadas"/>
    <n v="410102300"/>
    <s v="Solicitudes tramitadas"/>
    <s v="N.A."/>
    <n v="900"/>
    <m/>
    <n v="900"/>
    <x v="30"/>
    <s v="Asistencia técnica, garantías, atención, ayuda humanitaria y promoción de iniciativas de memoria histórica a la población víctima del conflicto armado en el Departamento del Quindío "/>
    <s v="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
    <m/>
    <m/>
    <m/>
    <m/>
    <m/>
    <m/>
    <n v="153500000"/>
    <m/>
    <m/>
    <n v="153500000"/>
    <s v="Secretaria del Interior"/>
  </r>
  <r>
    <n v="309"/>
    <x v="4"/>
    <n v="1"/>
    <s v="Inclusión Social y Equidad"/>
    <n v="41"/>
    <s v="Inclusión social y Reconciliación "/>
    <n v="4101"/>
    <s v="Atención, asistencia y reparación integral a las víctimas. &quot;Tú y yo con reparación integral&quot;"/>
    <n v="4101"/>
    <s v="Atención, asistencia  y reparación integral a las víctimas"/>
    <s v="Cobertura de la población víctima atendida con procesos de atención, prevención y asistencia humanitaria"/>
    <n v="4101025"/>
    <s v="Servicio de ayuda y atención humanitaria"/>
    <n v="4101025"/>
    <s v="Servicio de ayuda y atención humanitaria"/>
    <n v="410102511"/>
    <s v="Personas víctimas con ayuda humanitaria"/>
    <n v="410102511"/>
    <s v="Personas víctimas con ayuda humanitaria"/>
    <s v="N.A."/>
    <n v="50"/>
    <m/>
    <n v="50"/>
    <x v="30"/>
    <s v="Asistencia técnica, garantías, atención, ayuda humanitaria y promoción de iniciativas de memoria histórica a la población víctima del conflicto armado en el Departamento del Quindío "/>
    <s v="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
    <m/>
    <m/>
    <m/>
    <m/>
    <m/>
    <m/>
    <n v="53000000"/>
    <m/>
    <m/>
    <n v="53000000"/>
    <s v="Secretaria del Interior"/>
  </r>
  <r>
    <n v="309"/>
    <x v="4"/>
    <n v="1"/>
    <s v="Inclusión Social y Equidad"/>
    <n v="41"/>
    <s v="Inclusión social y Reconciliación "/>
    <n v="4101"/>
    <s v="Atención, asistencia y reparación integral a las víctimas. &quot;Tú y yo con reparación integral&quot;"/>
    <n v="4101"/>
    <s v="Atención, asistencia  y reparación integral a las víctimas"/>
    <s v="Cobertura de la población víctima atendida con procesos de atención, prevención y asistencia humanitaria"/>
    <n v="4101038"/>
    <s v="Servicio de asistencia técnica para la participación de las víctimas"/>
    <n v="4101038"/>
    <s v="Servicio de asistencia técnica para la participación de las víctimas"/>
    <n v="410103800"/>
    <s v="Eventos de participación realizados"/>
    <n v="410103800"/>
    <s v="Eventos de participación realizados"/>
    <s v="N.A."/>
    <n v="12"/>
    <m/>
    <n v="12"/>
    <x v="30"/>
    <s v="Asistencia técnica, garantías, atención, ayuda humanitaria y promoción de iniciativas de memoria histórica a la población víctima del conflicto armado en el Departamento del Quindío "/>
    <s v="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
    <m/>
    <m/>
    <m/>
    <m/>
    <m/>
    <m/>
    <n v="56000000"/>
    <m/>
    <m/>
    <n v="56000000"/>
    <s v="Secretaria del Interior"/>
  </r>
  <r>
    <n v="309"/>
    <x v="4"/>
    <n v="1"/>
    <s v="Inclusión Social y Equidad"/>
    <n v="41"/>
    <s v="Inclusión social y Reconciliación "/>
    <n v="4101"/>
    <s v="Atención, asistencia y reparación integral a las víctimas. &quot;Tú y yo con reparación integral&quot;"/>
    <n v="4101"/>
    <s v="Atención, asistencia  y reparación integral a las víctimas"/>
    <s v="Cobertura de víctimas atendidas con la línea de emprendimiento y fortalecimiento."/>
    <n v="4101073"/>
    <s v="Servicio de apoyo para la generación de ingresos"/>
    <n v="4101073"/>
    <s v="Servicio de apoyo para la generación de ingresos"/>
    <n v="410107300"/>
    <s v="Hogares con asistencia técnica para la generación de ingresos"/>
    <n v="410107300"/>
    <s v="Hogares con asistencia técnica para la generación de ingresos"/>
    <s v="N.A."/>
    <n v="75"/>
    <m/>
    <n v="75"/>
    <x v="30"/>
    <s v="Asistencia técnica, garantías, atención, ayuda humanitaria y promoción de iniciativas de memoria histórica a la población víctima del conflicto armado en el Departamento del Quindío "/>
    <s v="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
    <m/>
    <m/>
    <m/>
    <m/>
    <m/>
    <m/>
    <n v="50000000"/>
    <m/>
    <m/>
    <n v="50000000"/>
    <s v="Secretaria del Interior"/>
  </r>
  <r>
    <n v="309"/>
    <x v="4"/>
    <n v="1"/>
    <s v="Inclusión Social y Equidad"/>
    <n v="41"/>
    <s v="Inclusión social y Reconciliación "/>
    <n v="4101"/>
    <s v="Atención, asistencia y reparación integral a las víctimas. &quot;Tú y yo con reparación integral&quot;"/>
    <n v="4101"/>
    <s v="Atención, asistencia  y reparación integral a las víctimas"/>
    <s v="Cobertura de Personas víctimas del conflicto beneficiadas con medidas de satisfacción (Construcción de memoria, Reparación simbólica y Construcción de lugares de memoria)"/>
    <n v="4101011"/>
    <s v="Servicio de asistencia técnica para la realización de iniciativas de memoria histórica"/>
    <n v="4101011"/>
    <s v="Servicio de asistencia técnica para la realización de iniciativas de memoria histórica"/>
    <n v="410101100"/>
    <s v="Iniciativas de memoria histórica asistidas técnicamente"/>
    <n v="410101100"/>
    <s v="Iniciativas de memoria histórica asistidas técnicamente"/>
    <s v="N.A."/>
    <n v="3"/>
    <m/>
    <n v="3"/>
    <x v="30"/>
    <s v="Asistencia técnica, garantías, atención, ayuda humanitaria y promoción de iniciativas de memoria histórica a la población víctima del conflicto armado en el Departamento del Quindío "/>
    <s v="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
    <m/>
    <m/>
    <m/>
    <m/>
    <m/>
    <m/>
    <n v="30700000"/>
    <m/>
    <m/>
    <n v="30700000"/>
    <s v="Secretaria del Interior"/>
  </r>
  <r>
    <n v="309"/>
    <x v="4"/>
    <n v="1"/>
    <s v="Inclusión Social y Equidad"/>
    <n v="41"/>
    <s v="Inclusión social y Reconciliación "/>
    <n v="4103"/>
    <s v="Inclusión social y productiva para la población en situación de vulnerabilidad. &quot;Tú y yo, población vulnerable incluida&quot;"/>
    <n v="4103"/>
    <s v="Inclusión social y productiva para la población en situación de vulnerabilidad "/>
    <s v="Cobertura de la población excombatiente atendida con procesos de atención y asistencia humanitaria"/>
    <s v="ND"/>
    <s v="Servicio de atención y asistencia para la población excombatiente del Departamento del Quindío"/>
    <n v="4103052"/>
    <s v="Servicio de gestión de oferta social para la población vulnerable"/>
    <s v="ND"/>
    <s v="Población excombatiente beneficiada"/>
    <n v="410305201"/>
    <s v="Beneficiarios de la oferta social atendidos"/>
    <s v="N.A."/>
    <n v="25"/>
    <m/>
    <n v="25"/>
    <x v="31"/>
    <s v="Asistencia, atención y capacitación  a la población  excombatiente en el  Departamento del Quindío. "/>
    <s v=" Aumentar la cobertura de la población excombatiente atendida con procesos de atención y asistencia en el departamento del Quindío. "/>
    <m/>
    <m/>
    <m/>
    <m/>
    <m/>
    <m/>
    <n v="36000000"/>
    <m/>
    <m/>
    <n v="36000000"/>
    <s v="Secretaria del Interior"/>
  </r>
  <r>
    <n v="309"/>
    <x v="4"/>
    <n v="1"/>
    <s v="Inclusión Social y Equidad"/>
    <n v="45"/>
    <s v="Gobierno territorial"/>
    <n v="4501"/>
    <s v="Fortalecimiento de la convivencia y la seguridad ciudadana. &quot;Tú y yo seguros&quot;"/>
    <n v="4501"/>
    <s v="Fortalecimiento de la convivencia y la seguridad ciudadana"/>
    <s v="Tasa de homicidio por cada 100.000 habitantes_x000a_Tasa de hurto a personas  por cada 100.000 habitantes_x000a_Tasa de hurto a residencias por cada 100.000 habitantes_x000a_Tasa de hurto a comercio por cada 100.000 habitantes_x000a_Tasa de violencia intrafamiliar x cada 100.000 habitantes_x000a_Tasa  de delitos sexuales x 100.000 habitantes"/>
    <s v="ND"/>
    <s v="Fortalecimiento institucional a organismos de seguridad"/>
    <n v="4501029"/>
    <s v="Servicio de apoyo financiero para proyectos de convivencia y seguridad ciudadana "/>
    <s v="ND"/>
    <s v="Organismos de seguridad fortalecidos"/>
    <n v="450102900"/>
    <s v="Proyectos de convivencia y seguridad ciudadana apoyados financieramente"/>
    <s v="A"/>
    <n v="5"/>
    <m/>
    <n v="5"/>
    <x v="32"/>
    <s v="Fortalecimiento de los organismos de seguridad del Departamento del Quindío,  para mejorar la convivencia, preservación del orden público y la seguridad ciudadana. "/>
    <s v="Disminuir los índices  de delitos en el departamento del Quindío, a través de fortalecimiento de los organismos de seguridad, para el mejoramiento de la   convivencia, preservación del orden público y la seguridad ciudadana. "/>
    <m/>
    <m/>
    <m/>
    <m/>
    <m/>
    <m/>
    <m/>
    <n v="8328355658.2600002"/>
    <m/>
    <n v="8328355658.2600002"/>
    <s v="Secretaria del Interior"/>
  </r>
  <r>
    <n v="309"/>
    <x v="4"/>
    <n v="1"/>
    <s v="Inclusión Social y Equidad"/>
    <n v="45"/>
    <s v="Gobierno territorial"/>
    <n v="4501"/>
    <s v="Fortalecimiento de la convivencia y la seguridad ciudadana. &quot;Tú y yo seguros&quot;"/>
    <n v="4501"/>
    <s v="Fortalecimiento de la convivencia y la seguridad ciudadana"/>
    <s v="Tasa de homicidio por cada 100.000 habitantes_x000a_Tasa de hurto a personas  por cada 100.000 habitantes_x000a_Tasa de hurto a residencias por cada 100.000 habitantes_x000a_Tasa de hurto a comercio por cada 100.000 habitantes_x000a_Tasa de violencia intrafamiliar x cada 100.000 habitantes_x000a_Tasa  de delitos sexuales x 100.000 habitantes"/>
    <n v="4501001"/>
    <s v="Servicio de asistencia técnica"/>
    <n v="4501001"/>
    <s v="Servicio de asistencia técnica"/>
    <n v="450100100"/>
    <s v="Instancias territoriales asistidas técnicamente"/>
    <n v="450100100"/>
    <s v="Instancias territoriales asistidas técnicamente"/>
    <s v="A"/>
    <n v="12"/>
    <m/>
    <n v="12"/>
    <x v="33"/>
    <s v="Fortalecimiento institucional de la entidades municipales para la consolidación de la convivencia, el orden público  y la seguridad ciudadana  en el departamento del Quindío  "/>
    <s v=" Disminuir los índices de violencia intrafamiliar   a través de la implementación de acciones y gestiones para impulsar y adoptar políticas y planes qué promuevan la paz, la reconciliación, la legalidad y la convivencia en el territorio.  "/>
    <m/>
    <m/>
    <m/>
    <m/>
    <m/>
    <m/>
    <n v="85000000"/>
    <m/>
    <m/>
    <n v="85000000"/>
    <s v="Secretaria del Interior"/>
  </r>
  <r>
    <n v="309"/>
    <x v="4"/>
    <n v="3"/>
    <s v="Territorio, Ambiente y Desarrollo Sostenible"/>
    <n v="32"/>
    <s v="Ambiente y desarrollo sostenible"/>
    <n v="3205"/>
    <s v="Ordenamiento Ambiental Territorial. &quot;Tú y yo planificamos con sentido ambiental&quot;"/>
    <n v="3205"/>
    <s v="Ordenamiento ambiental territorial "/>
    <s v="Cobertura  de municipios del departamento del Quindío  atendidos con estudios y/o construcción de obras para mitigación y atención a desastres realizadas."/>
    <n v="3205002"/>
    <s v="Documentos de estudios técnicos para el ordenamiento ambiental territorial"/>
    <n v="3205002"/>
    <s v="Documentos de estudios técnicos para el ordenamiento ambiental territorial"/>
    <n v="320500200"/>
    <s v="Documentos de estudios técnicos para el conocimiento y reducción del riesgo de desastres elaborados"/>
    <n v="320500200"/>
    <s v="Documentos de estudios técnicos para el conocimiento y reducción del riesgo de desastres elaborados"/>
    <s v="N.A."/>
    <n v="3"/>
    <m/>
    <n v="3"/>
    <x v="34"/>
    <s v="Fortalecimiento de los procesos de planificación del territorio para el conocimiento  y reducción del riesgo en el Departamento del Quindío."/>
    <s v="Aumentar la cobertura  de municipios del departamento del Quindío  atendidos con estudios   para mitigación y atención a desastres en la   planificación del  territorio  y priorización  de  acciones de intervención."/>
    <m/>
    <m/>
    <m/>
    <m/>
    <m/>
    <m/>
    <n v="65000000"/>
    <m/>
    <m/>
    <n v="65000000"/>
    <s v="Secretaria del Interior"/>
  </r>
  <r>
    <n v="309"/>
    <x v="4"/>
    <n v="3"/>
    <s v="Territorio, Ambiente y Desarrollo Sostenible"/>
    <n v="45"/>
    <s v="Gobierno territorial"/>
    <n v="4503"/>
    <s v="Prevención y atención de desastres y emergencias. &quot;Tú y yo preparados en gestión del riesgo&quot;"/>
    <n v="4503"/>
    <s v="Gestión del riesgo de desastres y emergencias"/>
    <s v="Cobertura de   personas capacitadas en Gestión del Riesgo de Desastres  en el Departamento del Quindío, bajo en marco de Ciudades resilientes"/>
    <n v="4503002"/>
    <s v="Servicio de educación informal"/>
    <n v="4503002"/>
    <s v="Servicio de educación informal"/>
    <n v="450300200"/>
    <s v="Personas capacitadas"/>
    <n v="450300200"/>
    <s v="Personas capacitadas"/>
    <s v="N.A."/>
    <n v="5000"/>
    <m/>
    <n v="5000"/>
    <x v="35"/>
    <s v="Fortalecimiento de la gestión del Riesgo mediante los procesos de conocimiento, reducción del riesgo y manejo de desastres, en el Departamento del Quindío"/>
    <s v="Aumentar cobertura de atención del Sistema Departamental de Gestión del Riesgo de Desastres del Departamento del Quindío,  a través del fortalecimiento  de los procesos de conocimiento, reducción del riesgo y manejo de desastres, con el propósito de contribuir a la seguridad, bienestar y calidad de vida de las personas. "/>
    <m/>
    <m/>
    <m/>
    <m/>
    <m/>
    <m/>
    <n v="65000000"/>
    <m/>
    <m/>
    <n v="65000000"/>
    <s v="Secretaria del Interior"/>
  </r>
  <r>
    <n v="309"/>
    <x v="4"/>
    <n v="3"/>
    <s v="Territorio, Ambiente y Desarrollo Sostenible"/>
    <n v="45"/>
    <s v="Gobierno territorial"/>
    <n v="4503"/>
    <s v="Prevención y atención de desastres y emergencias. &quot;Tú y yo preparados en gestión del riesgo&quot;"/>
    <n v="4503"/>
    <s v="Gestión del riesgo de desastres y emergencias"/>
    <s v="Cobertura de atención  del Sistema Departamental de Gestión del Riesgo de Desastres del Quindío."/>
    <n v="4503003"/>
    <s v="Servicio de asistencia técnica"/>
    <n v="4503003"/>
    <s v="Servicio de asistencia técnica"/>
    <n v="450300300"/>
    <s v="Instancias territoriales asistidas"/>
    <n v="450300300"/>
    <s v="Instancias territoriales asistidas"/>
    <s v="A"/>
    <n v="12"/>
    <m/>
    <n v="12"/>
    <x v="35"/>
    <s v="Fortalecimiento de la gestión del Riesgo mediante los procesos de conocimiento, reducción del riesgo y manejo de desastres, en el Departamento del Quindío"/>
    <s v="Aumentar cobertura de atención del Sistema Departamental de Gestión del Riesgo de Desastres del Departamento del Quindío,  a través del fortalecimiento  de los procesos de conocimiento, reducción del riesgo y manejo de desastres, con el propósito de contribuir a la seguridad, bienestar y calidad de vida de las personas. "/>
    <m/>
    <m/>
    <m/>
    <m/>
    <m/>
    <m/>
    <n v="367000000"/>
    <m/>
    <m/>
    <n v="367000000"/>
    <s v="Secretaria del Interior"/>
  </r>
  <r>
    <n v="309"/>
    <x v="4"/>
    <n v="3"/>
    <s v="Territorio, Ambiente y Desarrollo Sostenible"/>
    <n v="45"/>
    <s v="Gobierno territorial"/>
    <n v="4503"/>
    <s v="Prevención y atención de desastres y emergencias. &quot;Tú y yo preparados en gestión del riesgo&quot;"/>
    <n v="4503"/>
    <s v="Gestión del riesgo de desastres y emergencias"/>
    <s v="Cobertura de atención  del Sistema Departamental de Gestión del Riesgo de Desastres del Quindío."/>
    <n v="4503004"/>
    <s v="Servicio de atención a emergencias y desastres"/>
    <n v="4503016"/>
    <s v="Servicio de fortalecimiento a las salas de crisis territorial"/>
    <s v="ND"/>
    <s v="Centro de reserva  para la atención a emergencias y desastres dotado"/>
    <n v="450301600"/>
    <s v="Organismos de atención de emergencias fortalecidos"/>
    <s v="A"/>
    <n v="1"/>
    <m/>
    <n v="1"/>
    <x v="35"/>
    <s v="Fortalecimiento de la gestión del Riesgo mediante los procesos de conocimiento, reducción del riesgo y manejo de desastres, en el Departamento del Quindío"/>
    <s v="Aumentar cobertura de atención del Sistema Departamental de Gestión del Riesgo de Desastres del Departamento del Quindío,  a través del fortalecimiento  de los procesos de conocimiento, reducción del riesgo y manejo de desastres, con el propósito de contribuir a la seguridad, bienestar y calidad de vida de las personas. "/>
    <m/>
    <m/>
    <m/>
    <m/>
    <m/>
    <m/>
    <n v="125000000"/>
    <m/>
    <m/>
    <n v="125000000"/>
    <s v="Secretaria del Interior"/>
  </r>
  <r>
    <n v="309"/>
    <x v="4"/>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Cobertura de asistencia a los municipios del departamento del Quindío en los procesos de la garantía y prevención de derechos humanos."/>
    <n v="4502024"/>
    <s v="Servicio de apoyo para la implementación de medidas en derechos humanos y derecho internacional humanitario"/>
    <n v="4502024"/>
    <s v="Servicio de apoyo para la implementación de medidas en derechos humanos y derecho internacional humanitario"/>
    <n v="450202400"/>
    <s v="Medidas implementadas en cumplimiento de las obligaciones internacionales en materia de Derechos Humanos y Derecho Internacional Humanitario"/>
    <n v="450202400"/>
    <s v="Medidas implementadas en cumplimiento de las obligaciones internacionales en materia de Derechos Humanos y Derecho Internacional Humanitario"/>
    <s v="A"/>
    <n v="10"/>
    <m/>
    <n v="10"/>
    <x v="36"/>
    <s v="Implementación del Plan Integral de prevención de vulneraciones de los Derechos Humanos DDHH e infracciones  al Derecho Internacional Humanitario DIH en el Departamento del Quindío "/>
    <s v="Aumentar la cobertura de asistencia a los municipios del departamento del Quindío en los procesos de la garantía y prevención de derechos humanos a través de la actualización, implementación y socialización en Plan Integral para la prevención a la vulneración de los DDHH."/>
    <m/>
    <m/>
    <m/>
    <m/>
    <m/>
    <m/>
    <n v="123000000"/>
    <m/>
    <m/>
    <n v="123000000"/>
    <s v="Secretaria del Interior"/>
  </r>
  <r>
    <n v="309"/>
    <x v="4"/>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Porcentaje promedio  de participación de ciudadanos en los eventos de elección popular."/>
    <n v="4502001"/>
    <s v="Servicio de promoción a la participación ciudadana"/>
    <n v="4502001"/>
    <s v="Servicio de promoción a la participación ciudadana"/>
    <n v="450200100"/>
    <s v="Iniciativas para la promoción de la participación ciudadana implementada."/>
    <n v="450200100"/>
    <s v="Espacios de participación promovidos"/>
    <s v="A"/>
    <n v="3"/>
    <m/>
    <n v="3"/>
    <x v="37"/>
    <s v="Fortalecimiento de la participación ciudadana, veedurías y organizaciones comunales para el cumplimiento, protección y restablecimiento de los derechos contemplados en la Constitución Política.    "/>
    <s v="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
    <m/>
    <m/>
    <m/>
    <m/>
    <m/>
    <m/>
    <n v="254300000"/>
    <m/>
    <m/>
    <n v="254300000"/>
    <s v="Secretaria del Interior"/>
  </r>
  <r>
    <n v="309"/>
    <x v="4"/>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Porcentaje promedio  de participación de ciudadanos en los eventos de elección popular."/>
    <s v="ND"/>
    <s v="Implementar la Política de Libertad Religiosa"/>
    <n v="4502001"/>
    <s v="Servicio de promoción a la participación ciudadana"/>
    <s v="ND"/>
    <s v="Política de Libertad Religiosa Implementado"/>
    <n v="450200111"/>
    <s v="Estrategia de acompañamiento sobre capacidades democráticas y organizativas  implementada"/>
    <s v="A"/>
    <n v="1"/>
    <m/>
    <n v="1"/>
    <x v="37"/>
    <s v="Fortalecimiento de la participación ciudadana, veedurías y organizaciones comunales para el cumplimiento, protección y restablecimiento de los derechos contemplados en la Constitución Política.    "/>
    <s v="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
    <m/>
    <m/>
    <m/>
    <m/>
    <m/>
    <m/>
    <n v="169000000"/>
    <m/>
    <m/>
    <n v="169000000"/>
    <s v="Secretaria del Interior"/>
  </r>
  <r>
    <n v="309"/>
    <x v="4"/>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Porcentaje promedio  de participación de ciudadanos en los eventos de elección popular."/>
    <s v="ND"/>
    <s v="Fortalecimiento de los organismos  de acción comunal (OAC)  de los doce municipios del Departamento en lo relacionado a sus procesos formativos, participativos, de organización y  gestión."/>
    <n v="4502001"/>
    <s v="Servicio de promoción a la participación ciudadana"/>
    <s v="ND"/>
    <s v="Municipios con organismos de Acción Comunal fortalecidos."/>
    <n v="450200109"/>
    <s v="Iniciativas organizativas de participación ciudadana promovidas "/>
    <s v="A"/>
    <n v="12"/>
    <m/>
    <n v="12"/>
    <x v="37"/>
    <s v="Fortalecimiento de la participación ciudadana, veedurías y organizaciones comunales para el cumplimiento, protección y restablecimiento de los derechos contemplados en la Constitución Política.    "/>
    <s v="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
    <m/>
    <m/>
    <m/>
    <m/>
    <m/>
    <m/>
    <n v="1635000000"/>
    <m/>
    <m/>
    <n v="1635000000"/>
    <s v="Secretaria del Interior"/>
  </r>
  <r>
    <n v="309"/>
    <x v="4"/>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Porcentaje promedio  de participación de ciudadanos en los eventos de elección popular."/>
    <s v="ND"/>
    <s v="Formulación de la  Política Pública Departamental para la  Acción Comunal "/>
    <n v="4502035"/>
    <s v="Documentos de planeación "/>
    <s v="ND"/>
    <s v="Una Política Pública formulada."/>
    <n v="450203501"/>
    <s v="Planes estratégicos elaborados "/>
    <s v="N.A."/>
    <n v="0.2"/>
    <m/>
    <n v="0.2"/>
    <x v="37"/>
    <s v="Fortalecimiento de la participación ciudadana, veedurías y organizaciones comunales para el cumplimiento, protección y restablecimiento de los derechos contemplados en la Constitución Política.    "/>
    <s v="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
    <m/>
    <m/>
    <m/>
    <m/>
    <m/>
    <m/>
    <n v="59804619.640000001"/>
    <m/>
    <m/>
    <n v="59804619.640000001"/>
    <s v="Secretaria del Interior"/>
  </r>
  <r>
    <n v="310"/>
    <x v="5"/>
    <n v="1"/>
    <s v="Inclusión Social y Equidad"/>
    <n v="33"/>
    <s v="Cultura"/>
    <n v="3301"/>
    <s v="Promoción y acceso efectivo a procesos culturales y artísticos. &quot;Tú y yo somos cultura Quindiana&quot;"/>
    <n v="3301"/>
    <s v="Promoción y acceso efectivo a procesos culturales y artísticos"/>
    <s v=".Cobertura en formación artística y cultural_x000a_.Tasa de consumo de sustancias psicoactivas por 100.000 habitantes en el departamento del Quindío."/>
    <n v="3301087"/>
    <s v="Servicio de educación informal en áreas artísticas y culturales"/>
    <n v="3301087"/>
    <s v="Servicio de educación informal en áreas artísticas y culturales"/>
    <n v="330108701"/>
    <s v="Personas capacitadas"/>
    <n v="330108701"/>
    <s v="Personas capacitadas"/>
    <s v="N.A."/>
    <n v="5750"/>
    <m/>
    <n v="5750"/>
    <x v="38"/>
    <s v="Implementación de la &quot;Ruta de la felicidad y la identidad quindiana&quot;, para el fortalecimiento y visibilización de los procesos artísticos y culturales en el Departamento del Quindío  "/>
    <s v="Fortalecer en sector cultural del departamento del Quindío incrementando las   tasas de  participación en formación y actividades  artísticos culturales, a través de la implementación de la &quot; Ruta de  la felicidad e  identidad  quindiana en  los municipios&quot;,    con la consiguiente disminución de las tasas de consumo de sustancias psicoactivas."/>
    <m/>
    <m/>
    <m/>
    <m/>
    <m/>
    <m/>
    <n v="310000000"/>
    <n v="130000000"/>
    <m/>
    <n v="440000000"/>
    <s v="Secretario de Cultura"/>
  </r>
  <r>
    <n v="310"/>
    <x v="5"/>
    <n v="1"/>
    <s v="Inclusión Social y Equidad"/>
    <n v="33"/>
    <s v="Cultura"/>
    <n v="3301"/>
    <s v="Promoción y acceso efectivo a procesos culturales y artísticos. &quot;Tú y yo somos cultura Quindiana&quot;"/>
    <n v="3301"/>
    <s v="Promoción y acceso efectivo a procesos culturales y artísticos"/>
    <s v="Tasa de participación en procesos y actividades artísticas y culturales._x000a_Tasa de consumo de sustancias psicoactivas por 100.000 habitantes en el departamento del Quindío."/>
    <n v="3301073"/>
    <s v="Servicio de circulación artística y cultural"/>
    <n v="3301073"/>
    <s v="Servicio de circulación artística y cultural"/>
    <n v="330107301"/>
    <s v="Producciones artísticas en circulación"/>
    <n v="330107301"/>
    <s v="Producciones artísticas en circulación"/>
    <s v="N.A."/>
    <n v="550"/>
    <m/>
    <n v="550"/>
    <x v="38"/>
    <s v="Implementación de la &quot;Ruta de la felicidad y la identidad quindiana&quot;, para el fortalecimiento y visibilización de los procesos artísticos y culturales en el Departamento del Quindío  "/>
    <s v="Fortalecer en sector cultural del departamento del Quindío incrementando las   tasas de  participación en formación y actividades  artísticos culturales, a través de la implementación de la &quot; Ruta de  la felicidad e  identidad  quindiana en  los municipios&quot;,    con la consiguiente disminución de las tasas de consumo de sustancias psicoactivas."/>
    <n v="2657820382.73"/>
    <m/>
    <m/>
    <m/>
    <m/>
    <m/>
    <n v="1350593784.2"/>
    <n v="120000000"/>
    <m/>
    <n v="4128414166.9300003"/>
    <s v="Secretario de Cultura"/>
  </r>
  <r>
    <n v="310"/>
    <x v="5"/>
    <n v="1"/>
    <s v="Inclusión Social y Equidad"/>
    <n v="33"/>
    <s v="Cultura"/>
    <n v="3301"/>
    <s v="Promoción y acceso efectivo a procesos culturales y artísticos. &quot;Tú y yo somos cultura Quindiana&quot;"/>
    <n v="3301"/>
    <s v="Promoción y acceso efectivo a procesos culturales y artísticos"/>
    <s v="Tasa de participación en procesos y actividades artísticas y culturales._x000a_Tasa de consumo de sustancias sicoactivas por 100.000 habitantes en el departamento del Quindío."/>
    <s v="ND"/>
    <s v="Formulación e implementación del Plan de Cultura"/>
    <n v="3301070"/>
    <s v="Documentos de lineamientos técnicos "/>
    <s v="ND"/>
    <s v="Plan Decenal de cultura formulado e implementado"/>
    <n v="330107000"/>
    <s v="Documentos de lineamientos técnicos realizados"/>
    <s v="N.A."/>
    <n v="0.3"/>
    <m/>
    <n v="0.3"/>
    <x v="38"/>
    <s v="Implementación de la &quot;Ruta de la felicidad y la identidad quindiana&quot;, para el fortalecimiento y visibilización de los procesos artísticos y culturales en el Departamento del Quindío  "/>
    <s v="Fortalecer en sector cultural del departamento del Quindío incrementando las   tasas de  participación en formación y actividades  artísticos culturales, a través de la implementación de la &quot; Ruta de  la felicidad e  identidad  quindiana en  los municipios&quot;,    con la consiguiente disminución de las tasas de consumo de sustancias psicoactivas."/>
    <m/>
    <m/>
    <m/>
    <m/>
    <m/>
    <m/>
    <n v="30000000"/>
    <m/>
    <m/>
    <n v="30000000"/>
    <s v="Secretario de Cultura"/>
  </r>
  <r>
    <n v="310"/>
    <x v="5"/>
    <n v="1"/>
    <s v="Inclusión Social y Equidad"/>
    <n v="33"/>
    <s v="Cultura"/>
    <n v="3301"/>
    <s v="Promoción y acceso efectivo a procesos culturales y artísticos. &quot;Tú y yo somos cultura Quindiana&quot;"/>
    <n v="3301"/>
    <s v="Promoción y acceso efectivo a procesos culturales y artísticos"/>
    <s v="Tasa de participación en procesos y actividades artísticas y culturales._x000a_Tasa de consumo de sustancias psicoactivas por 100.000 habitantes en el departamento del Quindío."/>
    <n v="3301099"/>
    <s v="Servicio de información para el sector artístico y cultural "/>
    <n v="3301099"/>
    <s v="Servicio de información para el sector artístico y cultural "/>
    <n v="330109900"/>
    <s v="Sistema de información del sector artístico cultural en operación"/>
    <n v="330109900"/>
    <s v="Sistema de información del sector artístico cultural en operación"/>
    <s v="A"/>
    <n v="1"/>
    <m/>
    <n v="1"/>
    <x v="38"/>
    <s v="Implementación de la &quot;Ruta de la felicidad y la identidad quindiana&quot;, para el fortalecimiento y visibilización de los procesos artísticos y culturales en el Departamento del Quindío  "/>
    <s v="Fortalecer en sector cultural del departamento del Quindío incrementando las   tasas de  participación en formación y actividades  artísticos culturales, a través de la implementación de la &quot; Ruta de  la felicidad e  identidad  quindiana en  los municipios&quot;,    con la consiguiente disminución de las tasas de consumo de sustancias psicoactivas."/>
    <m/>
    <m/>
    <m/>
    <m/>
    <m/>
    <m/>
    <n v="80000000"/>
    <m/>
    <m/>
    <n v="80000000"/>
    <s v="Secretario de Cultura"/>
  </r>
  <r>
    <n v="310"/>
    <x v="5"/>
    <n v="1"/>
    <s v="Inclusión Social y Equidad"/>
    <n v="33"/>
    <s v="Cultura"/>
    <n v="3301"/>
    <s v="Promoción y acceso efectivo a procesos culturales y artísticos. &quot;Tú y yo somos cultura Quindiana&quot;"/>
    <n v="3301"/>
    <s v="Promoción y acceso efectivo a procesos culturales y artísticos"/>
    <s v=".Cobertura en formación artística y cultural_x000a_.Tasa de consumo de sustancias psicoactivas por 100.000 habitantes en el departamento del Quindío."/>
    <n v="3301052"/>
    <s v="Servicio de educación formal al sector artístico y cultural"/>
    <n v="3301052"/>
    <s v="Servicio de educación formal al sector artístico y cultural"/>
    <n v="330105203"/>
    <s v="Cupos de educación formal ofertados"/>
    <n v="330105203"/>
    <s v="Cupos de educación formal ofertados"/>
    <s v="A"/>
    <n v="135"/>
    <m/>
    <n v="135"/>
    <x v="38"/>
    <s v="Implementación de la &quot;Ruta de la felicidad y la identidad quindiana&quot;, para el fortalecimiento y visibilización de los procesos artísticos y culturales en el Departamento del Quindío  "/>
    <s v="Fortalecer en sector cultural del departamento del Quindío incrementando las   tasas de  participación en formación y actividades  artísticos culturales, a través de la implementación de la &quot; Ruta de  la felicidad e  identidad  quindiana en  los municipios&quot;,    con la consiguiente disminución de las tasas de consumo de sustancias psicoactivas."/>
    <m/>
    <m/>
    <m/>
    <m/>
    <m/>
    <m/>
    <n v="20000000"/>
    <m/>
    <m/>
    <n v="20000000"/>
    <s v="Secretario de Cultura"/>
  </r>
  <r>
    <n v="310"/>
    <x v="5"/>
    <n v="1"/>
    <s v="Inclusión Social y Equidad"/>
    <n v="33"/>
    <s v="Cultura"/>
    <n v="3301"/>
    <s v="Promoción y acceso efectivo a procesos culturales y artísticos. &quot;Tú y yo somos cultura Quindiana&quot;"/>
    <n v="3301"/>
    <s v="Promoción y acceso efectivo a procesos culturales y artísticos"/>
    <s v="Tasa de lectura_x000a_Tasa de consumo de sustancias psicoactivas por 100.000 habitantes en el departamento del Quindío."/>
    <n v="3301085"/>
    <s v="Servicios bibliotecarios"/>
    <n v="3301085"/>
    <s v="Servicios bibliotecarios"/>
    <s v="330108500"/>
    <s v="Usuarios atendidos"/>
    <s v="330108500"/>
    <s v="Usuarios atendidos"/>
    <s v="N.A."/>
    <n v="115000"/>
    <m/>
    <n v="115000"/>
    <x v="39"/>
    <s v="Implementación del programa &quot;Tú y Yo Somos Cultura&quot;, para el fortalecimiento a la lectura,  escritura  y bibliotecas en el Departamento del Quindío   "/>
    <s v="Incrementar la tasa de lectura  en el departamento del Quindío, a través del fortalecimiento del Plan Departamental de Lectura y Bibliotecas, con procesos de formación, producción y circulación de contenidos literarios con el fin de lograr  mayor acceso de las población a los servicios bibliotecarios físicos y virtuales..    "/>
    <n v="399182232.59000003"/>
    <m/>
    <m/>
    <m/>
    <m/>
    <m/>
    <n v="260000000"/>
    <m/>
    <m/>
    <n v="659182232.59000003"/>
    <s v="Secretario de Cultura"/>
  </r>
  <r>
    <n v="310"/>
    <x v="5"/>
    <n v="1"/>
    <s v="Inclusión Social y Equidad"/>
    <n v="33"/>
    <s v="Cultura"/>
    <n v="3301"/>
    <s v="Promoción y acceso efectivo a procesos culturales y artísticos. &quot;Tú y yo somos cultura Quindiana&quot;"/>
    <n v="3301"/>
    <s v="Promoción y acceso efectivo a procesos culturales y artísticos"/>
    <s v="Tasa de lectura_x000a_Tasa de consumo de sustancias psicoactivas por 100.000 habitantes en el departamento del Quindío."/>
    <n v="3301100"/>
    <s v="Servicio de divulgación y publicaciones"/>
    <n v="3301100"/>
    <s v="Servicio de divulgación y publicaciones"/>
    <s v="330110000"/>
    <s v="Publicaciones realizadas"/>
    <s v="330110000"/>
    <s v="Publicaciones realizadas"/>
    <s v="N.A."/>
    <n v="10"/>
    <m/>
    <n v="10"/>
    <x v="39"/>
    <s v="Implementación del programa &quot;Tú y Yo Somos Cultura&quot;, para el fortalecimiento a la lectura,  escritura  y bibliotecas en el Departamento del Quindío   "/>
    <s v="Incrementar la tasa de lectura  en el departamento del Quindío, a través del fortalecimiento del Plan Departamental de Lectura y Bibliotecas, con procesos de formación, producción y circulación de contenidos literarios con el fin de lograr  mayor acceso de las población a los servicios bibliotecarios físicos y virtuales..    "/>
    <n v="100000000"/>
    <m/>
    <m/>
    <m/>
    <m/>
    <m/>
    <n v="40000000"/>
    <m/>
    <m/>
    <n v="140000000"/>
    <s v="Secretario de Cultura"/>
  </r>
  <r>
    <n v="310"/>
    <x v="5"/>
    <n v="1"/>
    <s v="Inclusión Social y Equidad"/>
    <n v="33"/>
    <s v="Cultura"/>
    <n v="3301"/>
    <s v="Promoción y acceso efectivo a procesos culturales y artísticos. &quot;Tú y yo somos cultura Quindiana&quot;"/>
    <n v="3301"/>
    <s v="Promoción y acceso efectivo a procesos culturales y artísticos"/>
    <s v="Tasa de participación en procesos y actividades artísticas y culturales._x000a_Tasa de consumo de sustancias psicoactivas por 100.000 habitantes en el departamento del Quindío."/>
    <n v="3301095"/>
    <s v="Servicio de asistencia técnica en gestión artística y cultural"/>
    <n v="3301095"/>
    <s v="Servicio de asistencia técnica en gestión artística y cultural"/>
    <s v="330109500"/>
    <s v="Personas asistidas técnicamente"/>
    <s v="330109500"/>
    <s v="Personas asistidas técnicamente"/>
    <s v="N.A."/>
    <n v="150"/>
    <m/>
    <n v="150"/>
    <x v="40"/>
    <s v="Apoyo artistas y gestores culturales  del departamento del Quindío con el  beneficio de la Seguridad Social.  "/>
    <s v="Aumentar la tasa de participación en procesos y actividades artísticas y culturales de los artistas y gestores del departamento del Quindío con la  implementación de los beneficios de la seguridad Social.  "/>
    <n v="456880689.56999999"/>
    <m/>
    <m/>
    <m/>
    <m/>
    <m/>
    <n v="20000000"/>
    <m/>
    <m/>
    <n v="476880689.56999999"/>
    <s v="Secretario de Cultura"/>
  </r>
  <r>
    <n v="310"/>
    <x v="5"/>
    <n v="1"/>
    <s v="Inclusión Social y Equidad"/>
    <n v="33"/>
    <s v="Cultura"/>
    <n v="3302"/>
    <s v="Gestión, protección y salvaguardia del patrimonio cultural colombiano. &quot;Tú y yo protectores del patrimonio cultural&quot;"/>
    <n v="3302"/>
    <s v="Gestión, protección y salvaguardia del patrimonio cultural colombiano"/>
    <s v="Tasa de cumplimiento al Plan de Biocultura en patrimonio y del PCC._x000a_Tasa de consumo de sustancias psicoactivas por 100.000 habitantes en el departamento del Quindío."/>
    <n v="3302042"/>
    <s v="Servicio de asistencia técnica en el manejo y gestión del patrimonio arqueológico, antropológico e histórico."/>
    <n v="3302042"/>
    <s v="Servicio de asistencia técnica en el manejo y gestión del patrimonio arqueológico, antropológico e histórico."/>
    <s v="330204200"/>
    <s v="Asistencias técnicas realizadas a entidades territoriales "/>
    <s v="330204200"/>
    <s v="Asistencias técnicas realizadas a entidades territoriales "/>
    <s v="N.A."/>
    <n v="12"/>
    <m/>
    <n v="12"/>
    <x v="41"/>
    <s v="Apoyo al Paisaje, Café y Tradición mediante procesos de manejo, gestión, asistencia técnica, divulgación y publicación del patrimonio, arqueológico, antropológico e histórico en el Departamento del Quindío "/>
    <s v="Aumentar la tasa de cumplimiento del  Plan de Biocultura en patrimonio y PCC,   a través de la implementación del programa de asistencia técnica en el manejo y gestión del patrimonio arqueológico, antropológico e histórico, qué permita  la apropiación, divulgación y publicación del Patrimonio cultural y del Paisaje Cultural Cafetero"/>
    <m/>
    <m/>
    <m/>
    <m/>
    <m/>
    <m/>
    <n v="70000000"/>
    <m/>
    <m/>
    <n v="70000000"/>
    <s v="Secretario de Cultura"/>
  </r>
  <r>
    <n v="310"/>
    <x v="5"/>
    <n v="1"/>
    <s v="Inclusión Social y Equidad"/>
    <n v="33"/>
    <s v="Cultura"/>
    <n v="3302"/>
    <s v="Gestión, protección y salvaguardia del patrimonio cultural colombiano. &quot;Tú y yo protectores del patrimonio cultural&quot;"/>
    <n v="3302"/>
    <s v="Gestión, protección y salvaguardia del patrimonio cultural colombiano"/>
    <s v="Tasa de cumplimiento al Plan de Biocultura en patrimonio y del PCC._x000a_Tasa de consumo de sustancias psicoactivas por 100.000 habitantes en el departamento del Quindío."/>
    <n v="3302070"/>
    <s v="Servicio de divulgación y publicación del Patrimonio cultural"/>
    <n v="3302070"/>
    <s v="Servicio de divulgación y publicación del Patrimonio cultural"/>
    <s v="330207000"/>
    <s v="Publicaciones realizadas"/>
    <s v="330207000"/>
    <s v="Publicaciones realizadas"/>
    <s v="A"/>
    <n v="4"/>
    <m/>
    <n v="4"/>
    <x v="41"/>
    <s v="Apoyo al Paisaje, Café y Tradición mediante procesos de manejo, gestión, asistencia técnica, divulgación y publicación del patrimonio, arqueológico, antropológico e histórico en el Departamento del Quindío "/>
    <s v="Aumentar la tasa de cumplimiento del  Plan de Biocultura en patrimonio y PCC,   a través de la implementación del programa de asistencia técnica en el manejo y gestión del patrimonio arqueológico, antropológico e histórico, qué permita  la apropiación, divulgación y publicación del Patrimonio cultural y del Paisaje Cultural Cafetero"/>
    <m/>
    <m/>
    <m/>
    <m/>
    <m/>
    <m/>
    <n v="70000000"/>
    <n v="110510825.3"/>
    <m/>
    <n v="180510825.30000001"/>
    <s v="Secretario de Cultura"/>
  </r>
  <r>
    <n v="311"/>
    <x v="6"/>
    <n v="2"/>
    <s v="Productividad y Competitividad"/>
    <n v="35"/>
    <s v="Comercio, Industria y Turismo"/>
    <n v="3502"/>
    <s v="Productividad y competitividad de las empresas &quot;Tú y yo con empresas competitivas&quot; "/>
    <n v="3502"/>
    <s v="Productividad y competitividad de las empresas colombianas "/>
    <s v="Índice Departamental de Competitividad_x000a_Tasa de desempleo"/>
    <n v="3502006"/>
    <s v="Servicio de apoyo y consolidación de las Comisiones Regionales de Competitividad - CRC"/>
    <n v="3502006"/>
    <s v="Servicio de apoyo y consolidación de las Comisiones Regionales de Competitividad - CRC"/>
    <s v="350200600"/>
    <s v="Planes de trabajo concertados con las CRC para su consolidación "/>
    <s v="350200600"/>
    <s v="Planes de trabajo concertados con las CRC para su consolidación "/>
    <s v="N.A."/>
    <n v="1"/>
    <m/>
    <n v="1"/>
    <x v="42"/>
    <s v="Fortalecimiento de la competitividad y productividad en el  departamento del Quindío "/>
    <s v="Incrementar en índice de competitividad en el Departamento del Quindío, a través  de la consolidación de la Comisión Regional de Competitividad e Innovación y en apoyo a  las iniciativas clúster,  vinculando en sector público,  privado y la academia."/>
    <m/>
    <m/>
    <m/>
    <m/>
    <m/>
    <m/>
    <n v="58000000"/>
    <m/>
    <m/>
    <n v="58000000"/>
    <s v="Secretario de Turismo, Industria y Comercio"/>
  </r>
  <r>
    <n v="311"/>
    <x v="6"/>
    <n v="2"/>
    <s v="Productividad y Competitividad"/>
    <n v="35"/>
    <s v="Comercio, Industria y Turismo"/>
    <n v="3502"/>
    <s v="Productividad y competitividad de las empresas &quot;Tú y yo con empresas competitivas&quot; "/>
    <n v="3502"/>
    <s v="Productividad y competitividad de las empresas colombianas "/>
    <s v="Índice Departamental de Competitividad_x000a_Tasa de desempleo"/>
    <n v="3502007"/>
    <s v="Servicio de asistencia técnica para el desarrollo de iniciativas Clústeres"/>
    <n v="3502007"/>
    <s v="Servicio de asistencia técnica para el desarrollo de iniciativas Clústeres"/>
    <s v="350200700"/>
    <s v="Clústeres asistidos en la implementación de los planes de acción"/>
    <n v="350200700"/>
    <s v="Clústeres asistidos en la implementación de los planes de acción"/>
    <s v="A"/>
    <n v="7"/>
    <m/>
    <n v="7"/>
    <x v="42"/>
    <s v="Fortalecimiento de la competitividad y productividad en el  departamento del Quindío "/>
    <s v="Incrementar en índice de competitividad en el Departamento del Quindío, a través  de la consolidación de la Comisión Regional de Competitividad e Innovación y en apoyo a  las iniciativas clúster,  vinculando en sector público,  privado y la academia."/>
    <m/>
    <m/>
    <m/>
    <m/>
    <m/>
    <m/>
    <n v="30000000"/>
    <m/>
    <m/>
    <n v="30000000"/>
    <s v="Secretario de Turismo, Industria y Comercio"/>
  </r>
  <r>
    <n v="311"/>
    <x v="6"/>
    <n v="2"/>
    <s v="Productividad y Competitividad"/>
    <n v="35"/>
    <s v="Comercio, Industria y Turismo"/>
    <n v="3502"/>
    <s v="Productividad y competitividad de las empresas &quot;Tú y yo con empresas competitivas&quot; "/>
    <n v="3502"/>
    <s v="Productividad y competitividad de las empresas colombianas "/>
    <s v="Índice Departamental de Competitividad Turística_x000a_Tasa de desempleo"/>
    <n v="3502039"/>
    <s v="Servicio de asistencia técnica a los entes territoriales para el desarrollo turístico"/>
    <n v="3502039"/>
    <s v="Servicio de asistencia técnica a los entes territoriales para el desarrollo turístico"/>
    <s v="350203900"/>
    <s v="Entidades territoriales asistidas técnicamente"/>
    <s v="350203900"/>
    <s v="Entidades territoriales asistidas técnicamente"/>
    <s v="A"/>
    <n v="12"/>
    <m/>
    <n v="12"/>
    <x v="43"/>
    <s v="Mejoramiento de la competitividad del  departamento como destino turístico  sostenible y de calidad ."/>
    <s v="Incrementar en índice de competitividad   turística en el Departamento del Quindío, a  través de la Formulación e implementación  del Plan Estratégico de Turismo, de procesos de asistencia técnica y apoyo a los municipios  en la certificación  de las  normas técnicas sectoriales de turismo,  con el propósito de ofrecer  un destino turístico sostenible,  competitivo y de calidad a nivel nacional e internacional."/>
    <m/>
    <m/>
    <m/>
    <m/>
    <m/>
    <m/>
    <n v="535133951.44999999"/>
    <n v="500000000"/>
    <m/>
    <n v="1035133951.45"/>
    <s v="Secretario de Turismo, Industria y Comercio"/>
  </r>
  <r>
    <n v="311"/>
    <x v="6"/>
    <n v="2"/>
    <s v="Productividad y Competitividad"/>
    <n v="35"/>
    <s v="Comercio, Industria y Turismo"/>
    <n v="3502"/>
    <s v="Productividad y competitividad de las empresas &quot;Tú y yo con empresas competitivas&quot; "/>
    <n v="3502"/>
    <s v="Productividad y competitividad de las empresas colombianas "/>
    <s v="Índice Departamental de Competitividad Turística_x000a_Tasa de desempleo"/>
    <n v="3502046"/>
    <s v="Servicio de promoción turística"/>
    <n v="3502046"/>
    <s v="Servicio de promoción turística"/>
    <s v="350204600"/>
    <s v="Campañas realizadas"/>
    <s v="350204600"/>
    <s v="Campañas realizadas"/>
    <s v="N.A."/>
    <n v="1"/>
    <m/>
    <n v="1"/>
    <x v="44"/>
    <s v="Fortalecimiento de la promoción turística del destino Quindío a nivel  nacional e internacional "/>
    <s v="Incrementar en índice de competitividad   turística,  a través de la promoción del departamento como destino turístico y en  fortalecimiento de las  Agencias de Inversión   con la articulación de  instituciones,  gremios y demás actores del sector."/>
    <m/>
    <m/>
    <m/>
    <m/>
    <m/>
    <m/>
    <n v="3300000000"/>
    <n v="2714484927.5700002"/>
    <m/>
    <n v="6014484927.5699997"/>
    <s v="Secretario de Turismo, Industria y Comercio"/>
  </r>
  <r>
    <n v="311"/>
    <x v="6"/>
    <n v="2"/>
    <s v="Productividad y Competitividad"/>
    <n v="36"/>
    <s v="Trabajo"/>
    <n v="3602"/>
    <s v="Generación y formalización del empleo. &quot;Tú y yo con empleo de calidad&quot;"/>
    <n v="3602"/>
    <s v="Generación y formalización del empleo"/>
    <s v="Índice Departamental de Competitividad_x000a_Tasa de desempleo"/>
    <n v="3602018"/>
    <s v="Servicios de apoyo financiero para la creación de empresas"/>
    <n v="3602018"/>
    <s v="Servicios de apoyo financiero para la creación de empresas"/>
    <s v="360201800"/>
    <s v="Planes de negocio financiados"/>
    <s v="360201800"/>
    <s v="Planes de negocio financiados"/>
    <s v="N.A."/>
    <n v="4"/>
    <m/>
    <n v="4"/>
    <x v="45"/>
    <s v="Apoyo a la generación y formalización del empleo en el departamento del Quindío"/>
    <s v="Incrementar en índice de competitividad  en el departamento del Quindío a través de la  formalización laboral y  generación de empleo con la  implementación  y promoción  del Ecosistemas de Emprendimientos  y la articulación con las entidades del sector trabajo."/>
    <m/>
    <m/>
    <m/>
    <m/>
    <m/>
    <m/>
    <n v="810000000"/>
    <m/>
    <m/>
    <n v="810000000"/>
    <s v="Secretario de Turismo, Industria y Comercio"/>
  </r>
  <r>
    <n v="311"/>
    <x v="6"/>
    <n v="2"/>
    <s v="Productividad y Competitividad"/>
    <n v="36"/>
    <s v="Trabajo"/>
    <n v="3602"/>
    <s v="Generación y formalización del empleo. &quot;Tú y yo con empleo de calidad&quot;"/>
    <n v="3602"/>
    <s v="Generación y formalización del empleo"/>
    <s v="Índice Departamental de Competitividad_x000a_Tasa de desempleo"/>
    <n v="3602032"/>
    <s v="Servicio de asesoría técnica para el emprendimiento."/>
    <n v="3602032"/>
    <s v="Servicio de asesoría técnica para el emprendimiento."/>
    <s v="360203201"/>
    <s v="Emprendimientos fortalecidos"/>
    <s v="360203201"/>
    <s v="Emprendimientos fortalecidos"/>
    <s v="A"/>
    <n v="14"/>
    <m/>
    <n v="14"/>
    <x v="45"/>
    <s v="Apoyo a la generación y formalización del empleo en el departamento del Quindío"/>
    <s v="Incrementar en índice de competitividad  en el departamento del Quindío a través de la  formalización laboral y  generación de empleo con la  implementación  y promoción  del Ecosistemas de Emprendimientos  y la articulación con las entidades del sector trabajo."/>
    <m/>
    <m/>
    <m/>
    <m/>
    <m/>
    <m/>
    <n v="70000000"/>
    <m/>
    <m/>
    <n v="70000000"/>
    <s v="Secretario de Turismo, Industria y Comercio"/>
  </r>
  <r>
    <n v="311"/>
    <x v="6"/>
    <n v="2"/>
    <s v="Productividad y Competitividad"/>
    <n v="36"/>
    <s v="Trabajo"/>
    <n v="3602"/>
    <s v="Generación y formalización del empleo. &quot;Tú y yo con empleo de calidad&quot;"/>
    <n v="3602"/>
    <s v="Generación y formalización del empleo"/>
    <s v="Índice Departamental de Competitividad_x000a_Tasa de desempleo"/>
    <n v="3602029"/>
    <s v="Servicio de asistencia técnica para la generación y formalización del empleo"/>
    <n v="3602029"/>
    <s v="Servicio de asistencia técnica para la generación y formalización del empleo"/>
    <s v="360202904"/>
    <s v="Talleres de oferta institucional realizados"/>
    <s v="360202904"/>
    <s v="Talleres de oferta institucional realizados"/>
    <s v="N.A."/>
    <n v="13"/>
    <m/>
    <n v="13"/>
    <x v="45"/>
    <s v="Apoyo a la generación y formalización del empleo en el departamento del Quindío"/>
    <s v="Incrementar en índice de competitividad  en el departamento del Quindío a través de la  formalización laboral y  generación de empleo con la  implementación  y promoción  del Ecosistemas de Emprendimientos  y la articulación con las entidades del sector trabajo."/>
    <m/>
    <m/>
    <m/>
    <m/>
    <m/>
    <m/>
    <n v="65000000"/>
    <m/>
    <m/>
    <n v="65000000"/>
    <s v="Secretario de Turismo, Industria y Comercio"/>
  </r>
  <r>
    <n v="311"/>
    <x v="6"/>
    <n v="2"/>
    <s v="Productividad y Competitividad"/>
    <n v="36"/>
    <s v="Trabajo"/>
    <n v="3602"/>
    <s v="Generación y formalización del empleo. &quot;Tú y yo con empleo de calidad&quot;"/>
    <n v="3602"/>
    <s v="Generación y formalización del empleo"/>
    <s v="Índice Departamental de Competitividad_x000a_Tasa de desempleo"/>
    <n v="3602030"/>
    <s v="Servicio de información y monitoreo del mercado de trabajo"/>
    <n v="3602030"/>
    <s v="Servicio de información y monitoreo del mercado de trabajo"/>
    <s v="360203000"/>
    <s v="Reportes realizados"/>
    <s v="360203000"/>
    <s v="Reportes realizados"/>
    <s v="N.A."/>
    <n v="4"/>
    <m/>
    <n v="4"/>
    <x v="45"/>
    <s v="Apoyo a la generación y formalización del empleo en el departamento del Quindío"/>
    <s v="Incrementar en índice de competitividad  en el departamento del Quindío a través de la  formalización laboral y  generación de empleo con la  implementación  y promoción  del Ecosistemas de Emprendimientos  y la articulación con las entidades del sector trabajo."/>
    <m/>
    <m/>
    <m/>
    <m/>
    <m/>
    <m/>
    <n v="25000000"/>
    <m/>
    <m/>
    <n v="25000000"/>
    <s v="Secretario de Turismo, Industria y Comercio"/>
  </r>
  <r>
    <n v="312"/>
    <x v="7"/>
    <n v="2"/>
    <s v="Productividad y Competitividad"/>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11"/>
    <s v="Servicio de asesoría para el fortalecimiento de la asociatividad"/>
    <n v="1702011"/>
    <s v="Servicio de asesoría para el fortalecimiento de la asociatividad"/>
    <s v="170201100"/>
    <s v="Asociaciones fortalecidas"/>
    <s v="170201100"/>
    <s v="Asociaciones fortalecidas"/>
    <s v="A"/>
    <n v="30"/>
    <m/>
    <n v="30"/>
    <x v="46"/>
    <s v="Fortalecimiento e implementación de procesos de asociatividad y emprendimiento rural en el Departamento del Quindío.  "/>
    <s v="Aumentar en crecimiento económico del sector agropecuario (PIB), a través del  fortalecimiento de las organizaciones de  productores, mediante acciones de capacitación, acompañamiento, asesoría y seguimiento,  para el fomento de la cultura de la asociatividad."/>
    <m/>
    <m/>
    <m/>
    <m/>
    <m/>
    <m/>
    <n v="180000000"/>
    <m/>
    <m/>
    <n v="180000000"/>
    <s v="Secretario de Agricultura, Desarrollo Rural y Medio Ambiente"/>
  </r>
  <r>
    <n v="312"/>
    <x v="7"/>
    <n v="2"/>
    <s v="Productividad y Competitividad"/>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07"/>
    <s v="Servicio de apoyo financiero para proyectos productivos"/>
    <n v="1702007"/>
    <s v="Servicio de apoyo financiero para proyectos productivos"/>
    <s v="170200700"/>
    <s v="Proyectos productivos cofinanciados"/>
    <s v="170200700"/>
    <s v="Proyectos productivos cofinanciados"/>
    <s v="N.A."/>
    <n v="3"/>
    <m/>
    <n v="3"/>
    <x v="46"/>
    <s v="Fortalecimiento e implementación de procesos de asociatividad y emprendimiento rural en el Departamento del Quindío.  "/>
    <s v="Aumentar en crecimiento económico del sector agropecuario (PIB), a través del  fortalecimiento de las organizaciones de  productores, mediante acciones de capacitación, acompañamiento, asesoría y seguimiento,  para el fomento de la cultura de la asociatividad."/>
    <m/>
    <m/>
    <m/>
    <m/>
    <m/>
    <m/>
    <n v="390000000"/>
    <m/>
    <m/>
    <n v="390000000"/>
    <s v="Secretario de Agricultura, Desarrollo Rural y Medio Ambiente"/>
  </r>
  <r>
    <n v="312"/>
    <x v="7"/>
    <n v="2"/>
    <s v="Productividad y Competitividad"/>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09"/>
    <s v="Servicio de apoyo financiero para el acceso a activos productivos y de comercialización"/>
    <n v="1702009"/>
    <s v="Servicio de apoyo financiero para el acceso a activos productivos y de comercialización"/>
    <s v="170200900"/>
    <s v="Productores apoyados con activos productivos y de comercialización"/>
    <s v="170200900"/>
    <s v="Productores apoyados con activos productivos y de comercialización"/>
    <s v="N.A."/>
    <n v="166"/>
    <m/>
    <n v="166"/>
    <x v="46"/>
    <s v="Fortalecimiento e implementación de procesos de asociatividad y emprendimiento rural en el Departamento del Quindío.  "/>
    <s v="Aumentar en crecimiento económico del sector agropecuario (PIB), a través del  fortalecimiento de las organizaciones de  productores, mediante acciones de capacitación, acompañamiento, asesoría y seguimiento,  para el fomento de la cultura de la asociatividad."/>
    <m/>
    <m/>
    <m/>
    <m/>
    <m/>
    <m/>
    <n v="80000000"/>
    <m/>
    <m/>
    <n v="80000000"/>
    <s v="Secretario de Agricultura, Desarrollo Rural y Medio Ambiente"/>
  </r>
  <r>
    <n v="312"/>
    <x v="7"/>
    <n v="2"/>
    <s v="Productividad y Competitividad"/>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17"/>
    <s v="Servicio de apoyo para el fomento organizativo de la agricultura campesina, familiar y comunitaria"/>
    <n v="1702017"/>
    <s v="Servicio de apoyo para el fomento organizativo de la agricultura campesina, familiar y comunitaria"/>
    <s v="170201700"/>
    <s v="Productores agropecuarios apoyados"/>
    <s v="170201700"/>
    <s v="Productores agropecuarios apoyados"/>
    <s v="N.A."/>
    <n v="100"/>
    <m/>
    <n v="100"/>
    <x v="47"/>
    <s v="Implementación de procesos productivos agropecuarios familiares campesinos en busca de la soberanía y seguridad alimentaria en el Departamento del Quindío "/>
    <s v="Aumentar en crecimiento económico del sector agropecuario (PIB), a través  del  acompañamiento técnico a los productores en la producción primaria ( Transferencia  de  Tecnología, financiación, Insumos, reconversión productiva, seguridad,  soberanía alimentaria, normalización de la  calidad  de  los  productos e  infraestructura  productiva  y  de  servicios),  con el propósito de consolidar en liderazgo  empresarial, la  asociatividad,  las  alianzas  estratégicas,  las  cadenas productivas y la cooperación  técnica."/>
    <m/>
    <m/>
    <m/>
    <m/>
    <m/>
    <m/>
    <n v="190000000"/>
    <m/>
    <m/>
    <n v="190000000"/>
    <s v="Secretario de Agricultura, Desarrollo Rural y Medio Ambiente"/>
  </r>
  <r>
    <n v="312"/>
    <x v="7"/>
    <n v="2"/>
    <s v="Productividad y Competitividad"/>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14"/>
    <s v="Servicio de apoyo para el acceso a maquinaria y equipos"/>
    <n v="1702014"/>
    <s v="Servicio de apoyo para el acceso a maquinaria y equipos"/>
    <s v="170201400"/>
    <s v="Productores beneficiados con acceso a maquinaria y equipo"/>
    <s v="170201400"/>
    <s v="Productores beneficiados con acceso a maquinaria y equipo"/>
    <s v="N.A."/>
    <n v="25"/>
    <m/>
    <n v="25"/>
    <x v="47"/>
    <s v="Implementación de procesos productivos agropecuarios familiares campesinos en busca de la soberanía y seguridad alimentaria en el Departamento del Quindío "/>
    <s v="Aumentar en crecimiento económico del sector agropecuario (PIB), a través  del  acompañamiento técnico a los productores en la producción primaria ( Transferencia  de  Tecnología, financiación, Insumos, reconversión productiva, seguridad,  soberanía alimentaria, normalización de la  calidad  de  los  productos e  infraestructura  productiva  y  de  servicios),  con el propósito de consolidar en liderazgo  empresarial, la  asociatividad,  las  alianzas  estratégicas,  las  cadenas productivas y la cooperación  técnica."/>
    <m/>
    <m/>
    <m/>
    <m/>
    <m/>
    <m/>
    <n v="150000000"/>
    <m/>
    <m/>
    <n v="150000000"/>
    <s v="Secretario de Agricultura, Desarrollo Rural y Medio Ambiente"/>
  </r>
  <r>
    <n v="312"/>
    <x v="7"/>
    <n v="2"/>
    <s v="Productividad y Competitividad"/>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21"/>
    <s v="Servicio de acompañamiento productivo y empresarial"/>
    <n v="1702021"/>
    <s v="Servicio de acompañamiento productivo y empresarial"/>
    <s v="170202100"/>
    <s v="Unidades productivas beneficiadas"/>
    <s v="170202100"/>
    <s v="Unidades productivas beneficiadas"/>
    <s v="N.A."/>
    <n v="150"/>
    <m/>
    <n v="150"/>
    <x v="47"/>
    <s v="Implementación de procesos productivos agropecuarios familiares campesinos en busca de la soberanía y seguridad alimentaria en el Departamento del Quindío "/>
    <s v="Aumentar en crecimiento económico del sector agropecuario (PIB), a través  del  acompañamiento técnico a los productores en la producción primaria ( Transferencia  de  Tecnología, financiación, Insumos, reconversión productiva, seguridad,  soberanía alimentaria, normalización de la  calidad  de  los  productos e  infraestructura  productiva  y  de  servicios),  con el propósito de consolidar en liderazgo  empresarial, la  asociatividad,  las  alianzas  estratégicas,  las  cadenas productivas y la cooperación  técnica."/>
    <m/>
    <m/>
    <m/>
    <m/>
    <m/>
    <m/>
    <n v="62000000"/>
    <m/>
    <m/>
    <n v="62000000"/>
    <s v="Secretario de Agricultura, Desarrollo Rural y Medio Ambiente"/>
  </r>
  <r>
    <n v="312"/>
    <x v="7"/>
    <n v="2"/>
    <s v="Productividad y Competitividad"/>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38"/>
    <s v="Servicio de apoyo a la comercialización"/>
    <n v="1702038"/>
    <s v="Servicio de apoyo a la comercialización"/>
    <s v="170203800"/>
    <s v="Organizaciones de productores formales apoyadas"/>
    <s v="170203800"/>
    <s v="Organizaciones de productores formales apoyadas"/>
    <s v="A"/>
    <n v="30"/>
    <m/>
    <n v="30"/>
    <x v="48"/>
    <s v="Fortalecimiento e implementación  de procesos de mercadeo y comercialización agropecuaria  en el Departamento del Quindío.                "/>
    <s v="Aumentar en crecimiento económico del sector agropecuario (PIB), a través de la Formulación  e implementación de  programas y proyectos  integrales sostenibles,  mejoramiento de la  gestión de la calidad,   desarrollo de nuevos productos, inteligencia de mercados, estrategias de mercadeo y comercialización, sistemas de información, infraestructura y equipamiento."/>
    <m/>
    <m/>
    <m/>
    <m/>
    <m/>
    <m/>
    <n v="90000000"/>
    <m/>
    <m/>
    <n v="90000000"/>
    <s v="Secretario de Agricultura, Desarrollo Rural y Medio Ambiente"/>
  </r>
  <r>
    <n v="312"/>
    <x v="7"/>
    <n v="2"/>
    <s v="Productividad y Competitividad"/>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38"/>
    <s v="Servicio de apoyo a la comercialización"/>
    <n v="1702038"/>
    <s v="Servicio de apoyo a la comercialización"/>
    <s v="170203801"/>
    <s v="Productores apoyados para la participación en mercados campesinos"/>
    <s v="170203801"/>
    <s v="Productores apoyados para la participación en mercados campesinos"/>
    <s v="N.A."/>
    <n v="80"/>
    <m/>
    <n v="80"/>
    <x v="48"/>
    <s v="Fortalecimiento e implementación  de procesos de mercadeo y comercialización agropecuaria  en el Departamento del Quindío.                "/>
    <s v="Aumentar en crecimiento económico del sector agropecuario (PIB), a través de la Formulación  e implementación de  programas y proyectos  integrales sostenibles,  mejoramiento de la  gestión de la calidad,   desarrollo de nuevos productos, inteligencia de mercados, estrategias de mercadeo y comercialización, sistemas de información, infraestructura y equipamiento."/>
    <m/>
    <m/>
    <m/>
    <m/>
    <m/>
    <m/>
    <n v="98000000"/>
    <m/>
    <m/>
    <n v="98000000"/>
    <s v="Secretario de Agricultura, Desarrollo Rural y Medio Ambiente"/>
  </r>
  <r>
    <n v="312"/>
    <x v="7"/>
    <n v="2"/>
    <s v="Productividad y Competitividad"/>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23"/>
    <s v="Documentos de planeación"/>
    <n v="1702023"/>
    <s v="Documentos de planeación"/>
    <s v="170202301"/>
    <s v="Planes de Desarrollo Agropecuario y Rural elaborados"/>
    <s v="170202301"/>
    <s v="Planes de Desarrollo Agropecuario y Rural elaborados"/>
    <s v="A"/>
    <n v="1"/>
    <m/>
    <n v="1"/>
    <x v="49"/>
    <s v="Implementación de procesos de extensión agropecuaria e inocuidad (estatus sanitario, BPA, BPG) alimentaria; en el Departamento del Quindío"/>
    <s v="Aumentar en crecimiento económico del sector agropecuario (PIB),  a través del desarrollo de  lineamientos para el fortalecimiento de habilidades, competencias técnicas, humanas,  financieras y estratégicas de los productores, para fortalecer la competitividad y sostenibilidad territorial del sector agropecuario."/>
    <m/>
    <m/>
    <m/>
    <m/>
    <m/>
    <m/>
    <n v="56000000"/>
    <m/>
    <m/>
    <n v="56000000"/>
    <s v="Secretario de Agricultura, Desarrollo Rural y Medio Ambiente"/>
  </r>
  <r>
    <n v="312"/>
    <x v="7"/>
    <n v="2"/>
    <s v="Productividad y Competitividad"/>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24"/>
    <s v="Servicios de acompañamiento en la implementación de planes de desarrollo agropecuario y rural"/>
    <n v="1702024"/>
    <s v="Servicios de acompañamiento en la implementación de planes de desarrollo agropecuario y rural"/>
    <s v="170202400"/>
    <s v="Planes de Desarrollo Agropecuario y Rural acompañados"/>
    <s v="170202400"/>
    <s v="Planes de Desarrollo Agropecuario y Rural acompañados"/>
    <s v="A"/>
    <n v="12"/>
    <m/>
    <n v="12"/>
    <x v="49"/>
    <s v="Implementación de procesos de extensión agropecuaria e inocuidad (estatus sanitario, BPA, BPG) alimentaria; en el Departamento del Quindío"/>
    <s v="Aumentar en crecimiento económico del sector agropecuario (PIB),  a través del desarrollo de  lineamientos para el fortalecimiento de habilidades, competencias técnicas, humanas,  financieras y estratégicas de los productores, para fortalecer la competitividad y sostenibilidad territorial del sector agropecuario."/>
    <m/>
    <m/>
    <m/>
    <m/>
    <m/>
    <m/>
    <n v="95000000"/>
    <m/>
    <m/>
    <n v="95000000"/>
    <s v="Secretario de Agricultura, Desarrollo Rural y Medio Ambiente"/>
  </r>
  <r>
    <n v="312"/>
    <x v="7"/>
    <n v="2"/>
    <s v="Productividad y Competitividad"/>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25"/>
    <s v="Servicio de apoyo en la formulación y estructuración de proyectos"/>
    <n v="1702025"/>
    <s v="Servicio de apoyo en la formulación y estructuración de proyectos"/>
    <s v="170202500"/>
    <s v="Proyectos estructurados"/>
    <s v="170202500"/>
    <s v="Proyectos estructurados"/>
    <s v="N.A."/>
    <n v="25"/>
    <m/>
    <n v="25"/>
    <x v="50"/>
    <s v="Servicio de apoyo en la formulación y estructuración de proyectos de Desarrollo Rural e inclusión productiva  campesina en el Departamento del Quindío  "/>
    <s v="Aumentar en crecimiento económico del sector agropecuario (PIB),  a través de la Formulación  e implementación de  programas y proyectos qué permitan  en ajuste, fortalecimiento  y la  articulación  interinstitucional  pública, privada y académica, en cuanto a la  operativización de las competencias de investigación, educación,  extensión  y  asistencia  técnica  agropecuaria sostenible."/>
    <m/>
    <m/>
    <m/>
    <m/>
    <m/>
    <m/>
    <n v="67000000"/>
    <m/>
    <m/>
    <n v="67000000"/>
    <s v="Secretario de Agricultura, Desarrollo Rural y Medio Ambiente"/>
  </r>
  <r>
    <n v="312"/>
    <x v="7"/>
    <n v="2"/>
    <s v="Productividad y Competitividad"/>
    <n v="17"/>
    <s v="Agricultura y desarrollo rural"/>
    <n v="1703"/>
    <s v="Servicios financieros y gestión del riesgo para las actividades agropecuarias y rurales. &quot;Tú y yo con un campo protegido&quot;"/>
    <n v="1703"/>
    <s v="Servicios financieros y gestión del riesgo para las actividades agropecuarias y rurales"/>
    <s v="Crecimiento económico del sector agropecuario (PIB)"/>
    <n v="1703013"/>
    <s v="Servicio de apoyo a la implementación de mecanismos y herramientas para el conocimiento, reducción y manejo de riesgos agropecuarios"/>
    <n v="1703013"/>
    <s v="Servicio de apoyo a la implementación de mecanismos y herramientas para el conocimiento, reducción y manejo de riesgos agropecuarios"/>
    <s v="170301300"/>
    <s v="Personas beneficiadas"/>
    <s v="170301300"/>
    <s v="Personas beneficiadas"/>
    <s v="N.A."/>
    <n v="55"/>
    <m/>
    <n v="55"/>
    <x v="51"/>
    <s v="Apoyo a la Implementación de procesos para la prevención y mitigación de riesgos naturales del sector agropecuario en el Departamento del Quindío.  "/>
    <s v="Aumentar en crecimiento económico del sector agropecuario (PIB), a través  del acompañamiento técnico, económico a los productores en la prevención y mitigación de riesgos naturales , gestionando en desarrollo y fortalecimiento de capacidades y habilidades técnicas, mediante transferencia de innovaciones tecnológicas y provisión de bienes y servicios."/>
    <m/>
    <m/>
    <m/>
    <m/>
    <m/>
    <m/>
    <n v="65712654"/>
    <n v="200000000"/>
    <m/>
    <n v="265712654"/>
    <s v="Secretario de Agricultura, Desarrollo Rural y Medio Ambiente"/>
  </r>
  <r>
    <n v="312"/>
    <x v="7"/>
    <n v="2"/>
    <s v="Productividad y Competitividad"/>
    <n v="17"/>
    <s v="Agricultura y desarrollo rural"/>
    <n v="1704"/>
    <s v="Ordenamiento social y uso productivo del territorio rural. &quot;Tú y yo con un campo planificado&quot;"/>
    <n v="1704"/>
    <s v="Ordenamiento social y uso productivo del territorio rural"/>
    <s v="Crecimiento económico del sector agropecuario (PIB)"/>
    <n v="1704002"/>
    <s v="Documentos de lineamientos técnicos"/>
    <n v="1704002"/>
    <s v="Documentos de lineamientos técnicos"/>
    <s v="170400203"/>
    <s v="Documentos de lineamientos para el ordenamiento social y productivo elaborados"/>
    <s v="170400203"/>
    <s v="Documentos de lineamientos para el ordenamiento social y productivo elaborados"/>
    <s v="A"/>
    <n v="1"/>
    <m/>
    <n v="1"/>
    <x v="52"/>
    <s v="Implementación de procesos de ordenamiento productivo y social territorial en el Departamento del Quindío"/>
    <s v="Aumentar en crecimiento económico del sector agropecuario (PIB), a través de la formulación  e implementación  de programas y proyectos agropecuarios, sostenibles, de reconversión productiva, para ajustar en uso de la tierra acorde con su aptitud, aunando esfuerzos para mejorar la formalización de la propiedad rural, siguiendo los lineamientos del Plan de Ordenamiento Productivo y Social de la Propiedad Rural (POPSPR)."/>
    <m/>
    <m/>
    <m/>
    <m/>
    <m/>
    <m/>
    <n v="75000000"/>
    <m/>
    <m/>
    <n v="75000000"/>
    <s v="Secretario de Agricultura, Desarrollo Rural y Medio Ambiente"/>
  </r>
  <r>
    <n v="312"/>
    <x v="7"/>
    <n v="2"/>
    <s v="Productividad y Competitividad"/>
    <n v="17"/>
    <s v="Agricultura y desarrollo rural"/>
    <n v="1704"/>
    <s v="Ordenamiento social y uso productivo del territorio rural. &quot;Tú y yo con un campo planificado&quot;"/>
    <n v="1704"/>
    <s v="Ordenamiento social y uso productivo del territorio rural"/>
    <s v="Crecimiento económico del sector agropecuario (PIB)"/>
    <n v="1704017"/>
    <s v="Servicio de apoyo para el fomento de la formalidad"/>
    <n v="1704017"/>
    <s v="Servicio de apoyo para el fomento de la formalidad"/>
    <s v="170401700"/>
    <s v="Personas sensibilizadas en la formalización "/>
    <s v="170401700"/>
    <s v="Personas sensibilizadas en la formalización "/>
    <s v="N.A."/>
    <n v="150"/>
    <m/>
    <n v="150"/>
    <x v="52"/>
    <s v="Implementación de procesos de ordenamiento productivo y social territorial en el Departamento del Quindío"/>
    <s v="Aumentar en crecimiento económico del sector agropecuario (PIB), a través de la formulación  e implementación  de programas y proyectos agropecuarios, sostenibles, de reconversión productiva, para ajustar en uso de la tierra acorde con su aptitud, aunando esfuerzos para mejorar la formalización de la propiedad rural, siguiendo los lineamientos del Plan de Ordenamiento Productivo y Social de la Propiedad Rural (POPSPR)."/>
    <m/>
    <m/>
    <m/>
    <m/>
    <m/>
    <m/>
    <n v="78000000"/>
    <m/>
    <m/>
    <n v="78000000"/>
    <s v="Secretario de Agricultura, Desarrollo Rural y Medio Ambiente"/>
  </r>
  <r>
    <n v="312"/>
    <x v="7"/>
    <n v="2"/>
    <s v="Productividad y Competitividad"/>
    <n v="17"/>
    <s v="Agricultura y desarrollo rural"/>
    <n v="1706"/>
    <s v="Aprovechamiento de mercados externos. &quot;Tú y yo a los mercados internacionales&quot;"/>
    <n v="1706"/>
    <s v="Aprovechamiento de mercados externos"/>
    <s v="Crecimiento económico del sector agropecuario (PIB)"/>
    <n v="1706004"/>
    <s v="Servicio de apoyo financiero para la participación en ferias nacionales e internacionales"/>
    <n v="1706004"/>
    <s v="Servicio de apoyo financiero para la participación en ferias nacionales e internacionales"/>
    <s v="170600400"/>
    <s v="Participaciones en ferias nacionales e internacionales"/>
    <s v="170600400"/>
    <s v="Participaciones en ferias nacionales e internacionales"/>
    <s v="A"/>
    <n v="10"/>
    <m/>
    <n v="10"/>
    <x v="53"/>
    <s v=" Fortalecimiento de eventos y  ferias para la competitividad productiva y empresarial del sector rural en el Departamento del Quindío "/>
    <s v=" Aumentar en crecimiento económico del sector agropecuario (PIB),  a través del comercio interior  y exterior, inteligencia de mercados,  sistemas de información, acompañamiento  y  financiación  en mercadeo y  comercialización."/>
    <m/>
    <m/>
    <m/>
    <m/>
    <m/>
    <m/>
    <n v="110000000"/>
    <m/>
    <m/>
    <n v="110000000"/>
    <s v="Secretario de Agricultura, Desarrollo Rural y Medio Ambiente"/>
  </r>
  <r>
    <n v="312"/>
    <x v="7"/>
    <n v="2"/>
    <s v="Productividad y Competitividad"/>
    <n v="17"/>
    <s v="Agricultura y desarrollo rural"/>
    <n v="1707"/>
    <s v="Sanidad agropecuaria e inocuidad agroalimentaria. &quot;Tú y yo con un agro saludable&quot;"/>
    <n v="1707"/>
    <s v="Sanidad agropecuaria e inocuidad agroalimentaria "/>
    <s v="Crecimiento económico del sector agropecuario (PIB)"/>
    <n v="1707069"/>
    <s v="Servicio de divulgación y socialización"/>
    <n v="1707069"/>
    <s v="Servicio de divulgación y socialización"/>
    <s v="170706900"/>
    <s v="Eventos realizados"/>
    <s v="170706900"/>
    <s v="Eventos realizados"/>
    <s v="N.A."/>
    <n v="5"/>
    <m/>
    <n v="5"/>
    <x v="54"/>
    <s v="Implementación de procesos de  sanidad e inocuidad alimentaria en el departamento del Quindío. "/>
    <s v="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
    <m/>
    <m/>
    <m/>
    <m/>
    <m/>
    <m/>
    <n v="143000000"/>
    <m/>
    <m/>
    <n v="143000000"/>
    <s v="Secretario de Agricultura, Desarrollo Rural y Medio Ambiente"/>
  </r>
  <r>
    <n v="312"/>
    <x v="7"/>
    <n v="2"/>
    <s v="Productividad y Competitividad"/>
    <n v="17"/>
    <s v="Agricultura y desarrollo rural"/>
    <n v="1708"/>
    <s v="Ciencia, tecnología e innovación agropecuaria. &quot;Tú y yo con un agro interconectado&quot;"/>
    <n v="1708"/>
    <s v="Ciencia, tecnología e innovación agropecuaria"/>
    <s v="Crecimiento económico del sector agropecuario (PIB)"/>
    <n v="1708016"/>
    <s v="Documentos de lineamientos técnicos"/>
    <n v="1708016"/>
    <s v="Documentos de lineamientos técnicos"/>
    <s v="170801600"/>
    <s v="Documentos de lineamientos técnicos elaborados"/>
    <s v="170801600"/>
    <s v="Documentos de lineamientos técnicos elaborados"/>
    <s v="A"/>
    <n v="2"/>
    <m/>
    <n v="2"/>
    <x v="55"/>
    <s v=" Implementación de procesos de innovación, ciencia y tecnología agropecuario en el Departamento del Quindío  "/>
    <s v="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 mediante la implementación de  sistemas de información y  metodologías del SNCCTI y SNIA, en el marco de la adopción e implementación de las Agendas de Competitividad, PEDCTI,  PECTIA, POPSPR y PDEA, entre otras."/>
    <m/>
    <m/>
    <m/>
    <m/>
    <m/>
    <m/>
    <n v="65000000"/>
    <m/>
    <m/>
    <n v="65000000"/>
    <s v="Secretario de Agricultura, Desarrollo Rural y Medio Ambiente"/>
  </r>
  <r>
    <n v="312"/>
    <x v="7"/>
    <n v="2"/>
    <s v="Productividad y Competitividad"/>
    <n v="17"/>
    <s v="Agricultura y desarrollo rural"/>
    <n v="1708"/>
    <s v="Ciencia, tecnología e innovación agropecuaria. &quot;Tú y yo con un agro interconectado&quot;"/>
    <n v="1708"/>
    <s v="Ciencia, tecnología e innovación agropecuaria"/>
    <s v="Crecimiento económico del sector agropecuario (PIB)"/>
    <n v="1708051"/>
    <s v="Servicio de información actualizado"/>
    <n v="1708051"/>
    <s v="Servicio de información actualizado"/>
    <s v="170805100"/>
    <s v="Sistemas de información actualizados"/>
    <s v="170805100"/>
    <s v="Sistemas de información actualizados"/>
    <s v="A"/>
    <n v="1"/>
    <m/>
    <n v="1"/>
    <x v="55"/>
    <s v=" Implementación de procesos de innovación, ciencia y tecnología agropecuario en el Departamento del Quindío  "/>
    <s v="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 mediante la implementación de  sistemas de información y  metodologías del SNCCTI y SNIA, en el marco de la adopción e implementación de las Agendas de Competitividad, PEDCTI,  PECTIA, POPSPR y PDEA, entre otras."/>
    <m/>
    <m/>
    <m/>
    <m/>
    <m/>
    <m/>
    <n v="65000000"/>
    <m/>
    <m/>
    <n v="65000000"/>
    <s v="Secretario de Agricultura, Desarrollo Rural y Medio Ambiente"/>
  </r>
  <r>
    <n v="312"/>
    <x v="7"/>
    <n v="2"/>
    <s v="Productividad y Competitividad"/>
    <n v="17"/>
    <s v="Agricultura y desarrollo rural"/>
    <n v="1709"/>
    <s v="Infraestructura productiva y comercialización. &quot;Tú y yo con agro competitivo&quot;"/>
    <n v="1709"/>
    <s v="Infraestructura productiva y comercialización"/>
    <s v="Crecimiento económico del sector agropecuario (PIB)"/>
    <n v="1709019"/>
    <s v="Centros logísticos agropecuarios adecuados"/>
    <n v="1709019"/>
    <s v="Centros logísticos agropecuarios adecuados"/>
    <n v="170901900"/>
    <s v="Centros logísticos agropecuarios adecuados"/>
    <n v="170901900"/>
    <s v="Centros logísticos agropecuarios adecuados"/>
    <s v="N.A."/>
    <n v="4"/>
    <m/>
    <n v="4"/>
    <x v="56"/>
    <s v="Implementación de procesos de agro industrialización con calidad e inocuidad en el Departamento del Quindío "/>
    <s v=" Aumentar en crecimiento económico del sector agropecuario (PIB), a través del   fortalecimiento  y la  articulación  interinstitucional  pública, privada y académica, en cuanto a la  operativización de las competencias de investigación, educación,  extensión  y  asistencia  técnica agroindustrial, así  como  en  fomento  al  crédito, a la  infraestructura  productiva y en mejoramiento  continuo   de  la  calidad  de  vida  de  los  empresarios rurales."/>
    <m/>
    <m/>
    <m/>
    <m/>
    <m/>
    <m/>
    <n v="143000000"/>
    <m/>
    <m/>
    <n v="143000000"/>
    <s v="Secretario de Agricultura, Desarrollo Rural y Medio Ambiente"/>
  </r>
  <r>
    <n v="312"/>
    <x v="7"/>
    <n v="2"/>
    <s v="Productividad y Competitividad"/>
    <n v="17"/>
    <s v="Agricultura y desarrollo rural"/>
    <n v="1709"/>
    <s v="Infraestructura productiva y comercialización. &quot;Tú y yo con agro competitivo&quot;"/>
    <n v="1709"/>
    <s v="Infraestructura productiva y comercialización"/>
    <s v="Crecimiento económico del sector agropecuario (PIB)"/>
    <n v="1709034"/>
    <s v="Infraestructura de pos cosecha adecuada"/>
    <n v="1709034"/>
    <s v="Infraestructura de pos cosecha adecuada"/>
    <s v="170903400"/>
    <s v="Infraestructura de pos cosecha adecuada"/>
    <s v="170903400"/>
    <s v="Infraestructura de pos cosecha adecuada"/>
    <s v="N.A."/>
    <n v="3"/>
    <m/>
    <n v="3"/>
    <x v="56"/>
    <s v="Implementación de procesos de agro industrialización con calidad e inocuidad en el Departamento del Quindío "/>
    <s v=" Aumentar en crecimiento económico del sector agropecuario (PIB), a través del   fortalecimiento  y la  articulación  interinstitucional  pública, privada y académica, en cuanto a la  operativización de las competencias de investigación, educación,  extensión  y  asistencia  técnica agroindustrial, así  como  en  fomento  al  crédito, a la  infraestructura  productiva y en mejoramiento  continuo   de  la  calidad  de  vida  de  los  empresarios rurales."/>
    <m/>
    <m/>
    <m/>
    <m/>
    <m/>
    <m/>
    <n v="113000000"/>
    <m/>
    <m/>
    <n v="113000000"/>
    <s v="Secretario de Agricultura, Desarrollo Rural y Medio Ambiente"/>
  </r>
  <r>
    <n v="312"/>
    <x v="7"/>
    <n v="2"/>
    <s v="Productividad y Competitividad"/>
    <n v="17"/>
    <s v="Agricultura y desarrollo rural"/>
    <n v="1709"/>
    <s v="Infraestructura productiva y comercialización. &quot;Tú y yo con agro competitivo&quot;"/>
    <n v="1709"/>
    <s v="Infraestructura productiva y comercialización"/>
    <s v="Crecimiento económico del sector agropecuario (PIB)"/>
    <n v="1709093"/>
    <s v="Servicio de procesamiento de caña panelera"/>
    <n v="1709093"/>
    <s v="Servicio de procesamiento de caña panelera"/>
    <s v="170909300"/>
    <s v="Trapiches paneleros con servicio de procesamiento de caña."/>
    <s v="170909300"/>
    <s v="Trapiches paneleros con servicio de procesamiento de caña."/>
    <s v="N.A."/>
    <n v="1"/>
    <m/>
    <n v="1"/>
    <x v="56"/>
    <s v="Implementación de procesos de agro industrialización con calidad e inocuidad en el Departamento del Quindío "/>
    <s v=" Aumentar en crecimiento económico del sector agropecuario (PIB), a través del   fortalecimiento  y la  articulación  interinstitucional  pública, privada y académica, en cuanto a la  operativización de las competencias de investigación, educación,  extensión  y  asistencia  técnica agroindustrial, así  como  en  fomento  al  crédito, a la  infraestructura  productiva y en mejoramiento  continuo   de  la  calidad  de  vida  de  los  empresarios rurales."/>
    <m/>
    <m/>
    <m/>
    <m/>
    <m/>
    <m/>
    <n v="62000000"/>
    <m/>
    <m/>
    <n v="62000000"/>
    <s v="Secretario de Agricultura, Desarrollo Rural y Medio Ambiente"/>
  </r>
  <r>
    <n v="312"/>
    <x v="7"/>
    <n v="2"/>
    <s v="Productividad y Competitividad"/>
    <n v="35"/>
    <s v="Comercio, Industria y Turismo"/>
    <n v="3502"/>
    <s v="Productividad y competitividad de las empresas &quot;Tú y yo con empresas competitivas&quot; "/>
    <n v="3502"/>
    <s v="Productividad y competitividad de las empresas colombianas "/>
    <s v="Crecimiento económico del sector agropecuario (PIB)_x000a_Tasa desempleo"/>
    <n v="3502017"/>
    <s v="Servicio de asistencia técnica para emprendedores y/o empresas en edad temprana"/>
    <n v="3502017"/>
    <s v="Servicio de asistencia técnica para emprendedores y/o empresas en edad temprana"/>
    <s v="350201701"/>
    <s v="Necesidades empresariales atendidas a partir de emprendimientos "/>
    <s v="350201701"/>
    <s v="Necesidades empresariales atendidas a partir de emprendimientos "/>
    <s v="A"/>
    <n v="6"/>
    <m/>
    <n v="6"/>
    <x v="57"/>
    <s v="Fortalecimiento  de nuevos emprendimientos e iniciativas clúster de las cadenas promisorias agropecuarias en el Departamento del Quindío.                     "/>
    <s v=" Aumentar en crecimiento económico del sector agropecuario (PIB),  a través de acciones de capacitación, acompañamiento, asesoría, y seguimiento en competencias administrativas, organizacionales, mercados, extensión, planes de negocio y coordinación interinstitucional para el fomento de la cultura de asociatividad mediante alianzas Clúster"/>
    <m/>
    <m/>
    <m/>
    <m/>
    <m/>
    <m/>
    <n v="98000000"/>
    <m/>
    <m/>
    <n v="98000000"/>
    <s v="Secretario de Agricultura, Desarrollo Rural y Medio Ambiente"/>
  </r>
  <r>
    <n v="312"/>
    <x v="7"/>
    <n v="2"/>
    <s v="Productividad y Competitividad"/>
    <n v="35"/>
    <s v="Comercio, Industria y Turismo"/>
    <n v="3502"/>
    <s v="Productividad y competitividad de las empresas &quot;Tú y yo con empresas competitivas&quot; "/>
    <n v="3502"/>
    <s v="Productividad y competitividad de las empresas colombianas "/>
    <s v="Índice Departamental de Competitividad_x000a_Tasa de desempleo"/>
    <n v="3502007"/>
    <s v="Servicio de asistencia técnica para el desarrollo de iniciativas clústeres"/>
    <n v="3502007"/>
    <s v="Servicio de asistencia técnica para el desarrollo de iniciativas clústeres"/>
    <s v="350200700"/>
    <s v="Clústeres asistidos en la implementación de los planes de acción"/>
    <s v="350200700"/>
    <s v="Clústeres asistidos en la implementación de los planes de acción"/>
    <s v="A"/>
    <n v="5"/>
    <m/>
    <n v="5"/>
    <x v="57"/>
    <s v="Fortalecimiento  de nuevos emprendimientos e iniciativas clúster de las cadenas promisorias agropecuarias en el Departamento del Quindío.                     "/>
    <s v=" Aumentar en crecimiento económico del sector agropecuario (PIB),  a través de acciones de capacitación, acompañamiento, asesoría, y seguimiento en competencias administrativas, organizacionales, mercados, extensión, planes de negocio y coordinación interinstitucional para el fomento de la cultura de asociatividad mediante alianzas Clúster"/>
    <m/>
    <m/>
    <m/>
    <m/>
    <m/>
    <m/>
    <n v="58000000"/>
    <m/>
    <m/>
    <n v="58000000"/>
    <s v="Secretario de Agricultura, Desarrollo Rural y Medio Ambiente"/>
  </r>
  <r>
    <n v="312"/>
    <x v="7"/>
    <n v="3"/>
    <s v="Territorio, Ambiente y Desarrollo Sostenible"/>
    <n v="32"/>
    <s v="Ambiente y desarrollo sostenible"/>
    <s v="3201"/>
    <s v="Fortalecimiento del desempeño ambiental de los sectores productivos. &quot;Tú y yo guardianes de la biodiversidad."/>
    <s v="3201"/>
    <s v="Fortalecimiento del desempeño ambiental de los sectores productivos"/>
    <s v="Porcentaje de Ecosistemas protegidos y/o en procesos de restauración en el Departamento "/>
    <n v="3201013"/>
    <s v="Documentos de lineamientos técnicos para mejorar la calidad ambiental de las áreas urbanas"/>
    <n v="3201013"/>
    <s v="Documentos de lineamientos técnicos para mejorar la calidad ambiental de las áreas urbanas"/>
    <s v="320101300"/>
    <s v="Documentos de lineamientos técnicos para  mejorar la calidad ambiental de las áreas urbanas elaborados"/>
    <s v="320101300"/>
    <s v="Documentos de lineamientos técnicos para  mejorar la calidad ambiental de las áreas urbanas elaborados"/>
    <s v="N.A."/>
    <n v="1"/>
    <m/>
    <n v="1"/>
    <x v="58"/>
    <s v="Fortalecimiento  de los procesos de Gestión Ambiental Urbana y Rural para la protección del Paisaje y la Biodiversidad en el  departamento del   Quindío  "/>
    <s v="Incrementar en porcentaje de ecosistemas protegidos y/o en procesos de restauración en el Departamento, a través del apoyo a los entes territoriales en la generación de lineamientos técnicos qué permitan mejorar la gestión y manejo de los relictos boscosos, los humedales y la silvicultura en áreas urbanas mejorando la calidad ambiental del Departamento. Además,   de la realización de campañas de monitoreo de calidad del aire ."/>
    <m/>
    <m/>
    <m/>
    <m/>
    <m/>
    <m/>
    <n v="42000000"/>
    <m/>
    <m/>
    <n v="42000000"/>
    <s v="Secretario de Agricultura, Desarrollo Rural y Medio Ambiente"/>
  </r>
  <r>
    <n v="312"/>
    <x v="7"/>
    <n v="3"/>
    <s v="Territorio, Ambiente y Desarrollo Sostenible"/>
    <n v="32"/>
    <s v="Ambiente y desarrollo sostenible"/>
    <s v="3201"/>
    <s v="Fortalecimiento del desempeño ambiental de los sectores productivos. &quot;Tú y yo guardianes de la biodiversidad."/>
    <s v="3201"/>
    <s v="Fortalecimiento del desempeño ambiental de los sectores productivos"/>
    <s v="Porcentaje de Ecosistemas protegidos y/o en procesos de restauración en el Departamento "/>
    <n v="3201008"/>
    <s v="Servicio de vigilancia de la calidad del aire"/>
    <n v="3201008"/>
    <s v="Servicio de vigilancia de la calidad del aire"/>
    <s v="320100805"/>
    <s v="Campaña de monitoreo de calidad del aire realizadas"/>
    <s v="320100805"/>
    <s v="Campaña de monitoreo de calidad del aire realizadas"/>
    <s v="N.A."/>
    <n v="3"/>
    <m/>
    <n v="3"/>
    <x v="58"/>
    <s v="Fortalecimiento  de los procesos de Gestión Ambiental Urbana y Rural para la protección del Paisaje y la Biodiversidad en el  departamento del   Quindío  "/>
    <s v="Incrementar en porcentaje de ecosistemas protegidos y/o en procesos de restauración en el Departamento, a través del apoyo a los entes territoriales en la generación de lineamientos técnicos qué permitan mejorar la gestión y manejo de los relictos boscosos, los humedales y la silvicultura en áreas urbanas mejorando la calidad ambiental del Departamento. Además,   de la realización de campañas de monitoreo de calidad del aire ."/>
    <m/>
    <m/>
    <m/>
    <m/>
    <m/>
    <m/>
    <n v="110000000"/>
    <m/>
    <m/>
    <n v="110000000"/>
    <s v="Secretario de Agricultura, Desarrollo Rural y Medio Ambiente"/>
  </r>
  <r>
    <n v="312"/>
    <x v="7"/>
    <n v="3"/>
    <s v="Territorio, Ambiente y Desarrollo Sostenible"/>
    <n v="32"/>
    <s v="Ambiente y desarrollo sostenible"/>
    <n v="3202"/>
    <s v="Conservación de la biodiversidad y sus servicios ecosistémicos. &quot;Tú y yo en territorios biodiversos&quot;"/>
    <n v="3202"/>
    <s v="Conservación de la biodiversidad y sus servicios ecosistémicos"/>
    <s v="Porcentaje de Ecosistemas protegidos y/o en procesos de restauración en el Departamento "/>
    <n v="3202037"/>
    <s v="Servicio de recuperación de cuerpos de agua lénticos y lóticos"/>
    <n v="3202037"/>
    <s v="Servicio de recuperación de cuerpos de agua lénticos y lóticos"/>
    <s v="320203704"/>
    <s v="Bosque ripario recuperado"/>
    <n v="320203704"/>
    <s v="Bosque ripario recuperado"/>
    <s v="N.A."/>
    <n v="40"/>
    <m/>
    <n v="40"/>
    <x v="59"/>
    <s v="Generación y desarrollo de acciones para la conservación de las áreas de importancia estratégica hídrica en el Departamento del Quindío "/>
    <s v="Incrementar en porcentaje de ecosistemas protegidos y/o en procesos de restauración en el Departamento, a través de la  Adquisición y Mantenimiento de áreas estratégicas  de protección, en cumplimiento de las disposiciones de la Ley 99 de 1993, los instrumentos de Planeación Ambiental (POMCA del Río La Vieja) ;   promoción y recuperación de los cuerpos hídricos  mediante en enriquecimiento de especies nativas en los bosques riparios y la  promoción y desarrollo de esquemas de pago por servicios ambientales qué incentiven  la preservación de áreas de importancia estratégica para la conservación del recurso hídrico en el departamento. "/>
    <m/>
    <m/>
    <m/>
    <m/>
    <m/>
    <m/>
    <n v="90000000"/>
    <m/>
    <m/>
    <n v="90000000"/>
    <s v="Secretario de Agricultura, Desarrollo Rural y Medio Ambiente"/>
  </r>
  <r>
    <n v="312"/>
    <x v="7"/>
    <n v="3"/>
    <s v="Territorio, Ambiente y Desarrollo Sostenible"/>
    <n v="32"/>
    <s v="Ambiente y desarrollo sostenible"/>
    <n v="3202"/>
    <s v="Conservación de la biodiversidad y sus servicios ecosistémicos. &quot;Tú y yo en territorios biodiversos&quot;"/>
    <n v="3202"/>
    <s v="Conservación de la biodiversidad y sus servicios ecosistémicos"/>
    <s v="Porcentaje de Ecosistemas protegidos y/o en procesos de restauración en el Departamento "/>
    <s v="ND"/>
    <s v="Adquisición, mantenimiento y administración de áreas de importancia estratégica para la conservación y regulación del recurso hídrico."/>
    <n v="3202037"/>
    <s v="Servicio de recuperación de cuerpos de agua lénticos y lóticos"/>
    <s v="ND"/>
    <s v="Número de Hectáreas intervenidas "/>
    <n v="320203700"/>
    <s v="Extensión de cuerpos de agua recuperados"/>
    <s v="N.A."/>
    <n v="60"/>
    <m/>
    <n v="60"/>
    <x v="59"/>
    <s v="Generación y desarrollo de acciones para la conservación de las áreas de importancia estratégica hídrica en el Departamento del Quindío "/>
    <s v="Incrementar en porcentaje de ecosistemas protegidos y/o en procesos de restauración en el Departamento, a través de la  Adquisición y Mantenimiento de áreas estratégicas  de protección, en cumplimiento de las disposiciones de la Ley 99 de 1993, los instrumentos de Planeación Ambiental (POMCA del Río La Vieja) ;   promoción y recuperación de los cuerpos hídricos  mediante en enriquecimiento de especies nativas en los bosques riparios y la  promoción y desarrollo de esquemas de pago por servicios ambientales qué incentiven  la preservación de áreas de importancia estratégica para la conservación del recurso hídrico en el departamento. "/>
    <m/>
    <m/>
    <m/>
    <m/>
    <m/>
    <m/>
    <n v="2301609286.2799997"/>
    <m/>
    <m/>
    <n v="2301609286.2799997"/>
    <s v="Secretario de Agricultura, Desarrollo Rural y Medio Ambiente"/>
  </r>
  <r>
    <n v="312"/>
    <x v="7"/>
    <n v="3"/>
    <s v="Territorio, Ambiente y Desarrollo Sostenible"/>
    <n v="32"/>
    <s v="Ambiente y desarrollo sostenible"/>
    <n v="3202"/>
    <s v="Conservación de la biodiversidad y sus servicios ecosistémicos. &quot;Tú y yo en territorios biodiversos&quot;"/>
    <n v="3202"/>
    <s v="Conservación de la biodiversidad y sus servicios ecosistémicos"/>
    <s v="Porcentaje de Ecosistemas protegidos y/o en procesos de restauración en el Departamento "/>
    <n v="3202017"/>
    <s v="Servicio apoyo financiero para la implementación de esquemas de pago por servicios ambientales"/>
    <n v="3202043"/>
    <s v="Servicio apoyo financiero para la implementación de esquemas de pago por Servicios ambientales"/>
    <s v="320201700"/>
    <s v="Esquemas de pago por Servicio ambientales implementados "/>
    <n v="320204300"/>
    <s v="Áreas con esquemas de pago por Servicios Ambientales implementados "/>
    <s v="A"/>
    <n v="1"/>
    <m/>
    <n v="1"/>
    <x v="59"/>
    <s v="Generación y desarrollo de acciones para la conservación de las áreas de importancia estratégica hídrica en el Departamento del Quindío "/>
    <s v="Incrementar en porcentaje de ecosistemas protegidos y/o en procesos de restauración en el Departamento, a través de la  Adquisición y Mantenimiento de áreas estratégicas  de protección, en cumplimiento de las disposiciones de la Ley 99 de 1993, los instrumentos de Planeación Ambiental (POMCA del Río La Vieja) ;   promoción y recuperación de los cuerpos hídricos  mediante en enriquecimiento de especies nativas en los bosques riparios y la  promoción y desarrollo de esquemas de pago por servicios ambientales qué incentiven  la preservación de áreas de importancia estratégica para la conservación del recurso hídrico en el departamento. "/>
    <m/>
    <m/>
    <m/>
    <m/>
    <m/>
    <m/>
    <n v="853818754.08999991"/>
    <m/>
    <m/>
    <n v="853818754.08999991"/>
    <s v="Secretario de Agricultura, Desarrollo Rural y Medio Ambiente"/>
  </r>
  <r>
    <n v="312"/>
    <x v="7"/>
    <n v="3"/>
    <s v="Territorio, Ambiente y Desarrollo Sostenible"/>
    <n v="32"/>
    <s v="Ambiente y desarrollo sostenible"/>
    <n v="3202"/>
    <s v="Conservación de la biodiversidad y sus servicios ecosistémicos. &quot;Tú y yo en territorios biodiversos&quot;"/>
    <n v="3202"/>
    <s v="Conservación de la biodiversidad y sus servicios ecosistémicos"/>
    <s v="Porcentaje de Ecosistemas protegidos y/o en procesos de restauración en el Departamento "/>
    <s v="ND"/>
    <s v="Estrategia  departamental para la protección y bienestar de los animales domésticos y silvestres del Departamento "/>
    <n v="3202014"/>
    <s v="Servicio de educación informal en el marco de la conservación de la biodiversidad y los Servicio ecosistémicos"/>
    <s v="ND"/>
    <s v="Estrategia  para la protección y bienestar de los animales domésticos y silvestres adoptada"/>
    <n v="320201402"/>
    <s v="Talleres realizados"/>
    <s v="A"/>
    <n v="1"/>
    <m/>
    <n v="1"/>
    <x v="60"/>
    <s v="Apoyo a la generación de entornos  amigables para los animales  domésticos y silvestres en el departamento del Quindío "/>
    <s v="Incrementar en porcentaje de ecosistemas protegidos y/o en procesos de restauración en el Departamento, a través de la implementación de  la estrategia “Quindío libre de maltrato animal”, en asocio con los diferentes sectores e instituciones del departamento, para  la protección de la fauna silvestre y doméstica,  qué generen en la  comunidad   concientización de la  tenencia responsable de mascotas y un departamento sin tráfico de fauna."/>
    <m/>
    <m/>
    <m/>
    <m/>
    <m/>
    <m/>
    <n v="76000000"/>
    <m/>
    <m/>
    <n v="76000000"/>
    <s v="Secretario de Agricultura, Desarrollo Rural y Medio Ambiente"/>
  </r>
  <r>
    <n v="312"/>
    <x v="7"/>
    <n v="3"/>
    <s v="Territorio, Ambiente y Desarrollo Sostenible"/>
    <n v="32"/>
    <s v="Ambiente y desarrollo sostenible"/>
    <n v="3202"/>
    <s v="Conservación de la biodiversidad y sus servicios ecosistémicos. &quot;Tú y yo en territorios biodiversos&quot;"/>
    <n v="3202"/>
    <s v="Conservación de la biodiversidad y sus servicios ecosistémicos"/>
    <s v="Porcentaje de Ecosistemas protegidos y/o en procesos de restauración en el Departamento "/>
    <s v="ND"/>
    <s v="Realizar  campaña  de sensibilización y apropiación del patrimonio ambiental en el Departamento"/>
    <n v="3202014"/>
    <s v="Servicio de educación informal en el marco de la conservación de la biodiversidad y los Servicio ecosistémicos"/>
    <s v="ND"/>
    <s v="Campaña  de sensibilización y apropiación del patrimonio ambiental realizada"/>
    <n v="320201402"/>
    <s v="Talleres realizados"/>
    <s v="N.A."/>
    <n v="1"/>
    <m/>
    <n v="1"/>
    <x v="61"/>
    <s v="Realización de campañas de sensibilización y apropiación del patrimonio ambiental  del paisaje, la biodiversidad y sus servicios ecosistémicos en el Departamento del Quindío "/>
    <s v="Incrementar en porcentaje de ecosistemas protegidos y/o en procesos de restauración en el Departamento,  a través de la realización de  campañas educativas ambientales qué permitan la apropiación y sensibilización del patrimonio ambiental y en Paisaje Cultural Cafetero,    en  los sectores institucionales, educativos y sociales, articulados con el Comité Interinstitucional de Educación Ambiental CIDEA y los Proyectos Educativos Ambientales PRAES."/>
    <m/>
    <m/>
    <m/>
    <m/>
    <m/>
    <m/>
    <n v="94000000"/>
    <m/>
    <m/>
    <n v="94000000"/>
    <s v="Secretario de Agricultura, Desarrollo Rural y Medio Ambiente"/>
  </r>
  <r>
    <n v="312"/>
    <x v="7"/>
    <n v="3"/>
    <s v="Territorio, Ambiente y Desarrollo Sostenible"/>
    <n v="32"/>
    <s v="Ambiente y desarrollo sostenible"/>
    <s v="3204"/>
    <s v="Gestión de la información y en conocimiento ambiental. &quot;Tú y yo conscientes con la naturaleza&quot;"/>
    <s v="3204"/>
    <s v="Gestión de la información y el conocimiento ambiental "/>
    <s v="Porcentaje de Ecosistemas protegidos y/o en procesos de restauración en el Departamento "/>
    <n v="3204012"/>
    <s v="Servicio de apoyo financiero a emprendimientos"/>
    <n v="3204012"/>
    <s v="Servicio de apoyo financiero a emprendimientos"/>
    <s v="320401200"/>
    <s v="Emprendimientos apoyados "/>
    <s v="320401200"/>
    <s v="Emprendimientos apoyados "/>
    <s v="N.A."/>
    <n v="5"/>
    <m/>
    <n v="5"/>
    <x v="62"/>
    <s v="Apoyo a nuevos modelos de vida sostenibles, sustentables y eficientes en el suelo rural y urbano en el Departamento del Quindío  "/>
    <s v=" Incrementar en porcentaje de ecosistemas protegidos y/o en procesos de restauración en el Departamento, a través del apoyo a iniciativas de emprendimientos verdes qué incorporen conceptos de eficiencia ambiental como economía circular, carbono neutral, agricultura regenerativa  entre otros."/>
    <m/>
    <m/>
    <m/>
    <m/>
    <m/>
    <m/>
    <n v="168000000"/>
    <m/>
    <m/>
    <n v="168000000"/>
    <s v="Secretario de Agricultura, Desarrollo Rural y Medio Ambiente"/>
  </r>
  <r>
    <n v="312"/>
    <x v="7"/>
    <n v="3"/>
    <s v="Territorio, Ambiente y Desarrollo Sostenible"/>
    <n v="32"/>
    <s v="Ambiente y desarrollo sostenible"/>
    <n v="3205"/>
    <s v="Ordenamiento Ambiental Territorial. &quot;Tú y yo planificamos con sentido ambiental&quot;"/>
    <n v="3205"/>
    <s v="Ordenamiento ambiental territorial "/>
    <s v="Porcentaje de Ecosistemas protegidos y/o en procesos de restauración en el Departamento "/>
    <s v="3205009"/>
    <s v="Barreras rompe vientos recuperadas"/>
    <s v="3205009"/>
    <s v="Barreras rompe vientos recuperadas"/>
    <s v="320500900"/>
    <s v="Barreras rompe vientos"/>
    <s v="320500900"/>
    <s v="Barreras rompe vientos"/>
    <s v="N.A."/>
    <n v="300"/>
    <m/>
    <n v="300"/>
    <x v="63"/>
    <s v="Implementación de un programa  de protección del  patrimonio ambiental  en paisaje la biodiversidad y sus servicios ecosistémicos en el Departamento de  Quindio"/>
    <s v="Aumentar en porcentaje de ecosistemas protegidos y/o en procesos de restauración en el Departamento, a través de la implementación de  estrategias que permitan en desarrollo de acciones de adaptación y mitigación de los efectos del cambio climático con la  intervención de obras  de estabilización de taludes, control erosión  y barreras rompe vientos. "/>
    <m/>
    <m/>
    <m/>
    <m/>
    <m/>
    <m/>
    <n v="95000000"/>
    <m/>
    <m/>
    <n v="95000000"/>
    <s v="Secretario de Agricultura, Desarrollo Rural y Medio Ambiente"/>
  </r>
  <r>
    <n v="312"/>
    <x v="7"/>
    <n v="3"/>
    <s v="Territorio, Ambiente y Desarrollo Sostenible"/>
    <n v="32"/>
    <s v="Ambiente y desarrollo sostenible"/>
    <n v="3205"/>
    <s v="Ordenamiento Ambiental Territorial. &quot;Tú y yo planificamos con sentido ambiental&quot;"/>
    <n v="3205"/>
    <s v="Ordenamiento ambiental territorial "/>
    <s v="Porcentaje de Ecosistemas protegidos y/o en procesos de restauración en el Departamento "/>
    <s v="3205014"/>
    <s v="Obras para el control de erosión"/>
    <s v="3205014"/>
    <s v="Obras para el control de erosión"/>
    <s v="320501400"/>
    <s v="Área reforestada "/>
    <s v="320501400"/>
    <s v="Área reforestada "/>
    <s v="N.A."/>
    <n v="20"/>
    <m/>
    <n v="20"/>
    <x v="63"/>
    <s v="Implementación de un programa  de protección del  patrimonio ambiental  en paisaje la biodiversidad y sus servicios ecosistémicos en el Departamento de  Quindio"/>
    <s v="Aumentar en porcentaje de ecosistemas protegidos y/o en procesos de restauración en el Departamento, a través de la implementación de  estrategias que permitan en desarrollo de acciones de adaptación y mitigación de los efectos del cambio climático con la  intervención de obras  de estabilización de taludes, control erosión  y barreras rompe vientos. "/>
    <m/>
    <m/>
    <m/>
    <m/>
    <m/>
    <m/>
    <n v="150000000"/>
    <m/>
    <m/>
    <n v="150000000"/>
    <s v="Secretario de Agricultura, Desarrollo Rural y Medio Ambiente"/>
  </r>
  <r>
    <n v="312"/>
    <x v="7"/>
    <n v="3"/>
    <s v="Territorio, Ambiente y Desarrollo Sostenible"/>
    <n v="32"/>
    <s v="Ambiente y desarrollo sostenible"/>
    <n v="3205"/>
    <s v="Ordenamiento Ambiental Territorial. &quot;Tú y yo planificamos con sentido ambiental&quot;"/>
    <n v="3205"/>
    <s v="Ordenamiento ambiental territorial "/>
    <s v="Porcentaje de Ecosistemas protegidos y/o en procesos de restauración en el Departamento "/>
    <n v="3205010"/>
    <s v="Obras para estabilización de taludes"/>
    <n v="3205010"/>
    <s v="Obras para estabilización de taludes"/>
    <s v="320501000"/>
    <s v="Obras para estabilización de taludes realizadas"/>
    <n v="320501000"/>
    <s v="Obras para estabilización de taludes realizadas"/>
    <s v="N.A."/>
    <n v="1"/>
    <m/>
    <n v="1"/>
    <x v="63"/>
    <s v="Implementación de un programa  de protección del  patrimonio ambiental  en paisaje la biodiversidad y sus servicios ecosistémicos en el Departamento de  Quindio"/>
    <s v="Aumentar en porcentaje de ecosistemas protegidos y/o en procesos de restauración en el Departamento, a través de la implementación de  estrategias que permitan en desarrollo de acciones de adaptación y mitigación de los efectos del cambio climático con la  intervención de obras  de estabilización de taludes, control erosión  y barreras rompe vientos. "/>
    <m/>
    <m/>
    <m/>
    <m/>
    <m/>
    <m/>
    <n v="135000000"/>
    <m/>
    <m/>
    <n v="135000000"/>
    <s v="Secretario de Agricultura, Desarrollo Rural y Medio Ambiente"/>
  </r>
  <r>
    <n v="312"/>
    <x v="7"/>
    <n v="3"/>
    <s v="Territorio, Ambiente y Desarrollo Sostenible"/>
    <n v="32"/>
    <s v="Ambiente y desarrollo sostenible"/>
    <s v="3206"/>
    <s v="Gestión del cambio climático para un desarrollo bajo en carbono y resiliente al clima. &quot;Tú y yo preparados para el cambio climático&quot;"/>
    <s v="3206"/>
    <s v="Gestión del cambio climático para un desarrollo bajo en carbono y resiliente al clima"/>
    <s v="Porcentaje de Ecosistemas protegidos y/o en procesos de restauración en el Departamento "/>
    <s v="3206005"/>
    <s v="Servicio de divulgación de la información en gestión del cambio climático para un desarrollo bajo en carbono y resiliente al clima"/>
    <s v="3206005"/>
    <s v="Servicio de divulgación de la información en gestión del cambio climático para un desarrollo bajo en carbono y resiliente al clima"/>
    <s v="320600500"/>
    <s v="Campañas de información en gestión de cambio climático realizadas "/>
    <s v="320600500"/>
    <s v="Campañas de información en gestión de cambio climático realizadas "/>
    <s v="N.A."/>
    <n v="4"/>
    <m/>
    <n v="4"/>
    <x v="64"/>
    <s v="Implementación  de acciones de Gestión del Cambio Climático en el marco del PIGCC en el Departamento del Quindío  Quindio"/>
    <s v="Aumentar en porcentaje de ecosistemas protegidos y/o en procesos de restauración en el Departamento,  a través   de  la realización de campañas educativas ambientales,  Servicios de producción de Plántulas  en viveros  e instalación de estufas ecoeficientes,   qué permitan la protección de patrimonio ambiental,  en paisaje, la biodiversidad y sus servicios ecosistémicos. "/>
    <m/>
    <m/>
    <m/>
    <m/>
    <m/>
    <m/>
    <n v="115000000"/>
    <m/>
    <m/>
    <n v="115000000"/>
    <s v="Secretario de Agricultura, Desarrollo Rural y Medio Ambiente"/>
  </r>
  <r>
    <n v="312"/>
    <x v="7"/>
    <n v="3"/>
    <s v="Territorio, Ambiente y Desarrollo Sostenible"/>
    <n v="32"/>
    <s v="Ambiente y desarrollo sostenible"/>
    <s v="3206"/>
    <s v="Gestión del cambio climático para un desarrollo bajo en carbono y resiliente al clima. &quot;Tú y yo preparados para el cambio climático&quot;"/>
    <s v="3206"/>
    <s v="Gestión del cambio climático para un desarrollo bajo en carbono y resiliente al clima"/>
    <s v="Porcentaje de Ecosistemas protegidos y/o en procesos de restauración en el Departamento "/>
    <n v="3206014"/>
    <s v="Servicio de producción de plántulas en viveros"/>
    <n v="3206014"/>
    <s v="Servicio de producción de plántulas en viveros"/>
    <s v="320601400"/>
    <s v="Plántulas producidas"/>
    <s v="320601400"/>
    <s v="Plántulas producidas"/>
    <s v="N.A."/>
    <n v="2000"/>
    <m/>
    <n v="2000"/>
    <x v="64"/>
    <s v="Implementación  de acciones de Gestión del Cambio Climático en el marco del PIGCC en el Departamento del Quindío  Quindio"/>
    <s v="Aumentar en porcentaje de ecosistemas protegidos y/o en procesos de restauración en el Departamento,  a través   de  la realización de campañas educativas ambientales,  Servicios de producción de Plántulas  en viveros  e instalación de estufas ecoeficientes,   qué permitan la protección de patrimonio ambiental,  en paisaje, la biodiversidad y sus servicios ecosistémicos. "/>
    <m/>
    <m/>
    <m/>
    <m/>
    <m/>
    <m/>
    <n v="108000000"/>
    <m/>
    <m/>
    <n v="108000000"/>
    <s v="Secretario de Agricultura, Desarrollo Rural y Medio Ambiente"/>
  </r>
  <r>
    <n v="312"/>
    <x v="7"/>
    <n v="3"/>
    <s v="Territorio, Ambiente y Desarrollo Sostenible"/>
    <n v="32"/>
    <s v="Ambiente y desarrollo sostenible"/>
    <s v="3206"/>
    <s v="Gestión del cambio climático para un desarrollo bajo en carbono y resiliente al clima. &quot;Tú y yo preparados para el cambio climático&quot;"/>
    <s v="3206"/>
    <s v="Gestión del cambio climático para un desarrollo bajo en carbono y resiliente al clima"/>
    <s v="Porcentaje de Ecosistemas protegidos y/o en procesos de restauración en el Departamento "/>
    <s v="3206015"/>
    <s v="Estufas ecoeficientes"/>
    <s v="3206015"/>
    <s v="Estufas ecoeficientes"/>
    <s v="320601500"/>
    <s v="Estufas ecoeficientes instaladas y en operación"/>
    <s v="320601500"/>
    <s v="Estufas ecoeficientes instaladas y en operación"/>
    <s v="N.A."/>
    <n v="50"/>
    <m/>
    <n v="50"/>
    <x v="64"/>
    <s v="Implementación  de acciones de Gestión del Cambio Climático en el marco del PIGCC en el Departamento del Quindío  Quindio"/>
    <s v="Aumentar en porcentaje de ecosistemas protegidos y/o en procesos de restauración en el Departamento,  a través   de  la realización de campañas educativas ambientales,  Servicios de producción de Plántulas  en viveros  e instalación de estufas ecoeficientes,   qué permitan la protección de patrimonio ambiental,  en paisaje, la biodiversidad y sus servicios ecosistémicos. "/>
    <m/>
    <m/>
    <m/>
    <m/>
    <m/>
    <m/>
    <n v="244000000.94999999"/>
    <m/>
    <m/>
    <n v="244000000.94999999"/>
    <s v="Secretario de Agricultura, Desarrollo Rural y Medio Ambiente"/>
  </r>
  <r>
    <n v="313"/>
    <x v="8"/>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s v="ND"/>
    <s v="Desarrollo de  la Política  de Transparencia, Acceso a la Información Pública y Lucha Contra la Corrupción del Modelo Integrado de Planificación y Gestión MIPG, articulada con el &quot;Pacto por la Integridad , Transparencia y Legalidad&quot; del Gobierno Nacional"/>
    <n v="4599023"/>
    <s v="Servicio de Implementación Sistemas de Gestión"/>
    <s v="ND"/>
    <s v="Política de Transparencia, Acceso a la Información Pública y Lucha Contra la Corrupción  articulada   con el &quot;Pacto por la Integridad , Transparencia y Legalidad&quot; del Gobierno Nacional desarrollada.                                                                                   "/>
    <n v="459902304"/>
    <s v="Herramientas implementada"/>
    <s v="A"/>
    <n v="1"/>
    <m/>
    <n v="1"/>
    <x v="65"/>
    <s v="Implementación de la Política de Transparencia, Acceso a la Información Pública y Lucha Contra la Corrupción del Modelo Integrado de Planificación y Gestión MIPG, articulada con el &quot;Pacto por la Integridad, Transparencia y Legalidad&quot;  en el Departamento del Quindío"/>
    <s v="Aumentar Índice de Gestión del Modelo Integrado de Planeación y de Gestión MIPG  del Departamento del Quindío, a través de desarrollo de la Política de Transparencia, Acceso a la Información Pública y Lucha Contra la Corrupción del Modelo Integrado de Planificación y Gestión MIPG, articulada con el &quot;Pacto por la Integridad, Transparencia y Legalidad&quot; del Gobierno Nacional, basado en la generación de cambios culturales en la institucionalidad y la ciudadanía."/>
    <m/>
    <m/>
    <m/>
    <m/>
    <m/>
    <m/>
    <n v="200000000"/>
    <m/>
    <m/>
    <n v="200000000"/>
    <s v="Secretario Privada"/>
  </r>
  <r>
    <n v="313"/>
    <x v="8"/>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s v="ND"/>
    <s v="Desarrollo e implementación de la estrategia de comunicaciones para la Administración Departamental"/>
    <n v="4599029"/>
    <s v="Servicio de integración de la oferta pública"/>
    <s v="ND"/>
    <s v="Estrategia de comunicaciones desarrollada e implementada"/>
    <n v="459902900"/>
    <s v="Espacios de integración de oferta pública generados "/>
    <s v="A"/>
    <n v="1"/>
    <m/>
    <n v="1"/>
    <x v="66"/>
    <s v="Desarrollo e implementación de  una estrategia  de comunicaciones  de la gestión institucional  de la Administración Departamental del Quindío &quot;Hacia un  gobierno abierto&quot;."/>
    <s v="Aumentar Índice de Gestión del Modelo Integrado de Planeación y de Gestión MIPG  del Departamento del Quindío, a través del desarrollo e implementación de la estrategia de comunicaciones para la administración departamental,  conducente a la divulgación de la  oferta institucional a nivel departamental, nacional e internacional, con el propósito de acercar a la comunidad y en Estado, incrementado de esta forma, la participación de los diferentes actores de la gestión territorial."/>
    <m/>
    <m/>
    <m/>
    <m/>
    <m/>
    <m/>
    <n v="1050000000"/>
    <m/>
    <m/>
    <n v="1050000000"/>
    <s v="Director Oficina Privada"/>
  </r>
  <r>
    <n v="313"/>
    <x v="8"/>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Porcentaje promedio  de participación de ciudadanos en los eventos de elección popular."/>
    <s v="ND"/>
    <s v="Encuentros ciudadanos en el Departamento del Quindío en aplicación de la Política de Transparencia, Acceso a la Información Pública y Lucha contra la Corrupción.  "/>
    <n v="4502001"/>
    <s v="Servicio de promoción a la participación ciudadana"/>
    <s v="ND"/>
    <s v="Encuentros  ciudadanos realizados."/>
    <n v="450200100"/>
    <s v="Espacios de participación promovidos"/>
    <s v="A"/>
    <n v="30"/>
    <m/>
    <n v="30"/>
    <x v="67"/>
    <s v="Fortalecimiento de  las capacidades institucionales de la administración departamental del Quindío, para generar condiciones de gobernanza territorial, participación, administración eficiente y transparente."/>
    <s v="Incrementar en porcentaje promedio  de participación de ciudadanos en los eventos de elección popular,  a través de la realización de  encuentros ciudadanos como un mecanismo de gobernabilidad para identificar los problemas y necesidades más sentidas de la comunidad, enmarcado en la generación de soluciones adecuadas, a través de la ejecución de proyectos qué propicien en desarrollo territorial participativo e incluyente "/>
    <m/>
    <m/>
    <m/>
    <m/>
    <m/>
    <m/>
    <n v="153002887.28"/>
    <n v="800000000"/>
    <m/>
    <n v="953002887.27999997"/>
    <s v="Director Oficina Privada"/>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educación básica_x000a_Tasa de cobertura en educación media_x000a_Tasa de Analfabetismo_x000a_Tasa de deserción escolar intra-anual_x000a_Tasa de repitencia"/>
    <n v="2201030"/>
    <s v="Servicio educación formal por modelos educativos flexibles"/>
    <n v="2201030"/>
    <s v="Servicio educación formal por modelos educativos flexibles"/>
    <n v="220103000"/>
    <s v="Beneficiarios atendidos con modelos educativos flexibles"/>
    <n v="220103000"/>
    <s v="Beneficiarios atendidos con modelos educativos flexibles"/>
    <s v="A"/>
    <n v="2500"/>
    <m/>
    <n v="2500"/>
    <x v="68"/>
    <s v="Fortalecimiento de Estrategias de Acceso, Bienestar y Permanencia en el Sector Educativo del Departamento del Quindío"/>
    <s v="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
    <m/>
    <m/>
    <m/>
    <m/>
    <n v="1313308011"/>
    <m/>
    <m/>
    <m/>
    <m/>
    <n v="1313308011"/>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educación básica_x000a_Tasa de cobertura en educación media_x000a_"/>
    <n v="2201055"/>
    <s v="Servicio de apoyo para la implementación de la estrategia educativa del sistema de responsabilidad penal para adolescentes"/>
    <n v="2201055"/>
    <s v="Servicio de apoyo para la implementación de la estrategia educativa del sistema de responsabilidad penal para adolescentes"/>
    <n v="220105500"/>
    <s v="Entidades Territoriales certificadas con asistencia técnica para el fortalecimiento de la estrategia educativa del sistema de responsabilidad penal para adolescentes"/>
    <n v="220105500"/>
    <s v="Entidades Territoriales certificadas con asistencia técnica para el fortalecimiento de la estrategia educativa del sistema de responsabilidad penal para adolescentes"/>
    <s v="A"/>
    <n v="1"/>
    <m/>
    <n v="1"/>
    <x v="68"/>
    <s v="Fortalecimiento de Estrategias de Acceso, Bienestar y Permanencia en el Sector Educativo del Departamento del Quindío"/>
    <s v="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
    <m/>
    <m/>
    <m/>
    <m/>
    <n v="1840201"/>
    <m/>
    <m/>
    <m/>
    <m/>
    <n v="1840201"/>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_x000a_Tasa de deserción escolar intra-anual_x000a_Tasa de repitencia"/>
    <n v="2201067"/>
    <s v="Servicio de apoyo para el fortalecimiento de escuelas de padres"/>
    <n v="2201067"/>
    <s v="Servicio de apoyo para el fortalecimiento de escuelas de padres"/>
    <n v="220106700"/>
    <s v="Escuelas de padres apoyadas"/>
    <n v="220106700"/>
    <s v="Escuelas de padres apoyadas"/>
    <s v="A"/>
    <n v="54"/>
    <m/>
    <n v="54"/>
    <x v="68"/>
    <s v="Fortalecimiento de Estrategias de Acceso, Bienestar y Permanencia en el Sector Educativo del Departamento del Quindío"/>
    <s v="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
    <m/>
    <m/>
    <m/>
    <m/>
    <m/>
    <m/>
    <n v="0"/>
    <m/>
    <m/>
    <n v="0"/>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_x000a_Tasa de deserción escolar intra-anual_x000a_Tasa de repitencia"/>
    <n v="2201028"/>
    <s v="Servicio de apoyo a la permanencia con alimentación escolar"/>
    <n v="2201028"/>
    <s v="Servicio de apoyo a la permanencia con alimentación escolar"/>
    <n v="220102801"/>
    <s v="Beneficiarios de la alimentación escolar"/>
    <n v="220102801"/>
    <s v="Beneficiarios de la alimentación escolar"/>
    <s v="A"/>
    <n v="36000"/>
    <m/>
    <n v="36000"/>
    <x v="68"/>
    <s v="Fortalecimiento de Estrategias de Acceso, Bienestar y Permanencia en el Sector Educativo del Departamento del Quindío"/>
    <s v="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
    <m/>
    <n v="127380177"/>
    <m/>
    <m/>
    <m/>
    <m/>
    <n v="2960758716.9200001"/>
    <m/>
    <n v="15958453039.040001"/>
    <n v="19046591932.959999"/>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_x000a_Tasa de deserción escolar intra-anual_x000a_Tasa de repitencia"/>
    <n v="2201029"/>
    <s v="Servicio de apoyo a la permanencia con transporte escolar"/>
    <n v="2201029"/>
    <s v="Servicio de apoyo a la permanencia con transporte escolar"/>
    <n v="220102900"/>
    <s v="Beneficiarios de transporte escolar"/>
    <n v="220102900"/>
    <s v="Beneficiarios de transporte escolar"/>
    <s v="N.A."/>
    <n v="1500"/>
    <m/>
    <n v="1500"/>
    <x v="68"/>
    <s v="Fortalecimiento de Estrategias de Acceso, Bienestar y Permanencia en el Sector Educativo del Departamento del Quindío"/>
    <s v="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
    <m/>
    <m/>
    <m/>
    <m/>
    <m/>
    <m/>
    <n v="1200000000"/>
    <m/>
    <m/>
    <n v="1200000000"/>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 _x000a_Tasa de deserción escolar intra-anual "/>
    <n v="2201069"/>
    <s v="Infraestructura educativa dotada"/>
    <n v="2201069"/>
    <s v="Infraestructura educativa dotada"/>
    <n v="220106900"/>
    <s v="Sedes dotadas"/>
    <n v="220106900"/>
    <s v="Sedes dotadas"/>
    <s v="N.A."/>
    <n v="4"/>
    <m/>
    <n v="4"/>
    <x v="68"/>
    <s v="Fortalecimiento de Estrategias de Acceso, Bienestar y Permanencia en el Sector Educativo del Departamento del Quindío"/>
    <s v="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
    <m/>
    <m/>
    <m/>
    <m/>
    <n v="592980303.42000008"/>
    <m/>
    <m/>
    <m/>
    <m/>
    <n v="592980303.42000008"/>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
    <n v="2201037"/>
    <s v="Servicio de atención integral para la primera infancia"/>
    <n v="2201037"/>
    <s v="Servicio de atención integral para la primera infancia"/>
    <n v="220103700"/>
    <s v="Instituciones educativas oficiales que implementan en nivel preescolar en el marco de la atención integral"/>
    <n v="220103700"/>
    <s v="Instituciones educativas oficiales que implementan en nivel preescolar en el marco de la atención integral"/>
    <s v="A"/>
    <n v="54"/>
    <m/>
    <n v="54"/>
    <x v="69"/>
    <s v="Fortalecimiento para la gestión de la educación inicial y preescolar en el marco de la atención integral a la primera infancia en el Departamento del Quindío."/>
    <s v="Aumentar las coberturas de asistencia técnica en educación inicial y transición en el departamento del Quindío, a través de estrategias de mejoramiento de la calidad de la educación inicial en el nivel de preescolar en los Establecimientos Educativos Oficiales del departamento con la  apropiación de  políticas  y  lineamientos pedagógicos expedidos por el Ministerio de Educación Nacional."/>
    <m/>
    <m/>
    <m/>
    <m/>
    <m/>
    <m/>
    <n v="755000000"/>
    <m/>
    <m/>
    <n v="755000000"/>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Porcentaje de pruebas SABER 5 Lenguaje (nivel Insuficiente) _x000a_Porcentaje de pruebas SABER 5 Matemáticas (nivel Insuficiente) _x000a_Porcentaje de pruebas SABER 9 Lenguaje (nivel Insuficiente)  _x000a_Porcentaje de pruebas SABER 9 Matemáticas (nivel Insuficiente) _x000a_Porcentaje de Colegios pruebas SABER 11 con resultado A+ - A"/>
    <n v="2201007"/>
    <s v="Servicio de evaluación de la calidad de la educación preescolar, básica o media."/>
    <n v="2201073"/>
    <s v="Servicio de evaluación de la calidad de la educación preescolar, básica o media."/>
    <n v="220100700"/>
    <s v="Estudiantes evaluados con pruebas de calidad educativa"/>
    <n v="220107300"/>
    <s v="Estudiantes evaluados con pruebas de calidad educativa"/>
    <s v="N.A."/>
    <n v="7973"/>
    <m/>
    <n v="7973"/>
    <x v="70"/>
    <s v="Fortalecimiento de la Calidad Educativa con inclusión y equidad para el Desarrollo Integral de niños, niñas, adolescentes y jóvenes en el Departamento del Quindío."/>
    <s v="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
    <m/>
    <m/>
    <m/>
    <m/>
    <m/>
    <m/>
    <n v="0"/>
    <m/>
    <m/>
    <n v="0"/>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 _x000a_Tasa de deserción escolar intra-anual _x000a_Cobertura de Instituciones Educativas con Planes Escolares de Gestión del Riesgo de Desastres-PEGERD"/>
    <n v="2201068"/>
    <s v="Servicio de gestión de riesgos y desastres en establecimientos educativos"/>
    <n v="2201068"/>
    <s v="Servicio de gestión de riesgos y desastres en establecimientos educativos"/>
    <n v="220106800"/>
    <s v="Establecimientos educativos con acciones de gestión del riesgo implementadas"/>
    <n v="220106800"/>
    <s v="Establecimientos educativos con acciones de gestión del riesgo implementadas"/>
    <s v="N.A."/>
    <n v="72"/>
    <m/>
    <n v="72"/>
    <x v="70"/>
    <s v="Fortalecimiento de la Calidad Educativa con inclusión y equidad para el Desarrollo Integral de niños, niñas, adolescentes y jóvenes en el Departamento del Quindío."/>
    <s v="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
    <m/>
    <m/>
    <m/>
    <m/>
    <m/>
    <m/>
    <n v="0"/>
    <m/>
    <m/>
    <n v="0"/>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 _x000a_Tasa de deserción escolar intra-anual "/>
    <n v="2201026"/>
    <s v="Servicio de acondicionamiento de ambientes de aprendizaje"/>
    <n v="2201026"/>
    <s v="Servicio de acondicionamiento de ambientes de aprendizaje"/>
    <n v="220102600"/>
    <s v="Ambientes de aprendizaje en funcionamiento"/>
    <n v="220102600"/>
    <s v="Ambientes de aprendizaje en funcionamiento"/>
    <s v="N.A."/>
    <n v="10"/>
    <m/>
    <n v="10"/>
    <x v="70"/>
    <s v="Fortalecimiento de la Calidad Educativa con inclusión y equidad para el Desarrollo Integral de niños, niñas, adolescentes y jóvenes en el Departamento del Quindío."/>
    <s v="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
    <m/>
    <m/>
    <m/>
    <m/>
    <n v="148000000"/>
    <m/>
    <m/>
    <m/>
    <m/>
    <n v="148000000"/>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_x000a_Tasa de Analfabetismo_x000a_Tasa de deserción escolar intra-anual_x000a_Tasa de repitencia"/>
    <n v="2201006"/>
    <s v="Servicio de asistencia técnica en educación inicial, preescolar, básica y media"/>
    <n v="2201006"/>
    <s v="Servicio de asistencia técnica en educación inicial, preescolar, básica y media"/>
    <n v="220100600"/>
    <s v="Entidades y organizaciones asistidas técnicamente"/>
    <n v="220100600"/>
    <s v="Entidades y organizaciones asistidas técnicamente"/>
    <s v="A"/>
    <n v="54"/>
    <m/>
    <n v="54"/>
    <x v="71"/>
    <s v="Fortalecimiento territorial para una gestión educativa integral en la Secretaría de Educación Departamental del Quindío"/>
    <s v="Aumentar las tasas de cobertura bruta y disminuir las tasas  repitencia y deserción escolar, a través del fortalecimiento  del seguimiento y evaluación de la gestión institucional, buscando potenciar en los diferentes equipos de trabajo, las capacidades para ejecutar procesos de gestión integrales y articulados en la prestación del servicio educativo de calidad"/>
    <m/>
    <m/>
    <m/>
    <m/>
    <m/>
    <m/>
    <n v="189241283.07999998"/>
    <m/>
    <m/>
    <n v="189241283.07999998"/>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_x000a_Tasa de deserción escolar intra-anual"/>
    <n v="2201071"/>
    <s v="Servicio educativo"/>
    <n v="2201071"/>
    <s v="Servicio educativo"/>
    <n v="220107100"/>
    <s v="Establecimientos educativos en operación"/>
    <n v="220107100"/>
    <s v="Establecimientos educativos en operación"/>
    <s v="A"/>
    <n v="54"/>
    <m/>
    <n v="54"/>
    <x v="71"/>
    <s v="Fortalecimiento territorial para una gestión educativa integral en la Secretaría de Educación Departamental del Quindío"/>
    <s v="Aumentar las tasas de cobertura bruta y disminuir las tasas  repitencia y deserción escolar, a través del fortalecimiento  del seguimiento y evaluación de la gestión institucional, buscando potenciar en los diferentes equipos de trabajo, las capacidades para ejecutar procesos de gestión integrales y articulados en la prestación del servicio educativo de calidad"/>
    <m/>
    <n v="5695770029.1099997"/>
    <m/>
    <m/>
    <n v="207025513291.97998"/>
    <m/>
    <n v="2849972918.7600002"/>
    <m/>
    <m/>
    <n v="215571256239.84998"/>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_x000a_Tasa de deserción escolar intra-anual_x000a_Tasa de repitencia"/>
    <n v="2201050"/>
    <s v="Servicio de accesibilidad a contenidos web para fines pedagógicos"/>
    <n v="2201050"/>
    <s v="Servicio de accesibilidad a contenidos web para fines pedagógicos"/>
    <n v="220105001"/>
    <s v="Establecimientos educativos conectados a internet"/>
    <n v="220105001"/>
    <s v="Establecimientos educativos conectados a internet"/>
    <s v="A"/>
    <n v="150"/>
    <m/>
    <n v="150"/>
    <x v="72"/>
    <s v="Fortalecimiento de las  Tecnologías de Información y Comunicación TIC,  para una innovación educativa de calidad en el departamento del Quindío."/>
    <s v="Aumentar las tasas de cobertura bruta y disminuir las tasas  repitencia y deserción escolar a través de la implementación de  estrategias basadas en las Tecnologías de la Información para los Establecimientos  Educativos y la  Secretaria de Educación Departamental, permitiendo dar una respuesta pertinente a las necesidades en los diferentes recursos tecnológicos, propiciando una Gestión Educativa Integral."/>
    <m/>
    <m/>
    <m/>
    <m/>
    <n v="590346560"/>
    <m/>
    <m/>
    <m/>
    <m/>
    <n v="590346560"/>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_x000a_Tasa de deserción escolar intra-anual_x000a_Tasa de repitencia"/>
    <n v="2201048"/>
    <s v="Servicios de información en materia educativa"/>
    <n v="2201048"/>
    <s v="Servicios de información en materia educativa"/>
    <n v="220104801"/>
    <s v="Observatorio implementado"/>
    <n v="220104801"/>
    <s v="Observatorio implementado"/>
    <s v="A"/>
    <n v="1"/>
    <m/>
    <n v="1"/>
    <x v="73"/>
    <s v="Implementación del observatorio de educación, con el fin de recopilar y producir información del sector educativo con enfoque territorial."/>
    <s v="Aumentar las tasas de cobertura bruta y disminuir las tasas  repitencia y deserción escolar, a través del diseño e implementación en   Observatorio de Investigación, Innovación y Documentación Educativa del Departamento del Quindío."/>
    <m/>
    <m/>
    <m/>
    <m/>
    <m/>
    <m/>
    <n v="0"/>
    <m/>
    <m/>
    <n v="0"/>
    <s v="Secretaria de Educación"/>
  </r>
  <r>
    <n v="314"/>
    <x v="9"/>
    <n v="1"/>
    <s v="Inclusión Social y Equidad"/>
    <n v="22"/>
    <s v="Educación"/>
    <s v="ND"/>
    <s v="Fortalecimiento de la educación media para la articulación con la educación superior o terciaria. &quot;Tú y yo preparados para la educación superior&quot;"/>
    <n v="2202"/>
    <s v="Calidad y fomento de la educación superior "/>
    <s v="Tasa de cobertura en educación superior"/>
    <s v="ND"/>
    <s v="Servicio de apoyo para el acceso y la permanencia a la educación superior o terciaria"/>
    <n v="2202006"/>
    <s v="Servicio de apoyo para el acceso y la permanencia a la educación superior o terciaria"/>
    <s v="ND"/>
    <s v="Estrategias o programas de  fomento para  acceso y  permanencia a la educación superior o terciaria implementados"/>
    <n v="220200604"/>
    <s v="Estrategias y programas de  fomento para acceso y  permanencia a la educación superior o postsecundaria implementados"/>
    <s v="A"/>
    <n v="2"/>
    <m/>
    <n v="2"/>
    <x v="74"/>
    <s v="Fortalecimiento de estrategias para el acceso y la permanencia  de los estudiantes egresados de los Establecimientos Educativos Oficiales a la educación superior o terciaria en el Departamento del Quindío."/>
    <s v="Aumentar la tasa de cobertura en educación superior,  a través del fortalecimiento del acceso y la permanencia de los estudiantes egresados de los Establecimientos Educativos Oficiales   adscritos a la Secretaría de Educación Departamental a la educación técnica, tecnológica o superior."/>
    <m/>
    <m/>
    <m/>
    <m/>
    <m/>
    <m/>
    <n v="250000000"/>
    <m/>
    <m/>
    <n v="250000000"/>
    <s v="Secretaria de Educación"/>
  </r>
  <r>
    <n v="316"/>
    <x v="10"/>
    <n v="1"/>
    <s v="Inclusión Social y Equidad"/>
    <n v="19"/>
    <s v="Salud y protección social"/>
    <n v="1905"/>
    <s v="Salud Pública, &quot;Tú y yo con salud de calidad&quot;"/>
    <n v="1905"/>
    <s v="Salud pública "/>
    <s v="Razón de mortalidad materna (por 100.000 nacidos vivos)_x000a_Porcentaje de atención institucional del parto._x000a_Tasa  de mujeres de 10 a 14 años qué han sido madres o están en embarazo._x000a_Tasa de mujeres de 15 a 19 años qué han sido madres o están en embarazo._x000a_Prevalencia de VIH/SIDA en población de 15 a 49 años de edad._x000a_Tasa de mortalidad asociada a VIH/SIDA._x000a_Porcentaje transmisión materno -infantil del VIH._x000a_Cobertura de tratamiento antirretroviral"/>
    <n v="1905021"/>
    <s v="Servicio de gestión del riesgo en temas de salud sexual y reproductiva "/>
    <n v="1905021"/>
    <s v="Servicio de gestión del riesgo en temas de salud sexual y reproductiva "/>
    <n v="190502100"/>
    <s v="Campañas de gestión del riesgo en temas de salud sexual y reproductiva implementadas."/>
    <n v="190502100"/>
    <s v="Campañas de gestión del riesgo en temas de salud sexual y reproductiva implementadas."/>
    <s v="A"/>
    <n v="12"/>
    <m/>
    <n v="12"/>
    <x v="75"/>
    <s v="Diseño e implementación de campañas para la promoción de la vida y prevención del consumo de sustancias psicoactivas en el Departamento del Quindío. &quot;TU Y YO UNIDOS POR LA VIDA&quot;.  "/>
    <s v="Disminuir las tasas  de mortalidad materna, embarazos, violencia y suicidios en el Departamento del Quindío, a través del fomento de  hábitos de vida saludables y derechos sexuales y reproductivos. "/>
    <m/>
    <m/>
    <m/>
    <m/>
    <m/>
    <m/>
    <n v="80000000"/>
    <m/>
    <m/>
    <n v="80000000"/>
    <s v="Secretaria de Familia"/>
  </r>
  <r>
    <n v="316"/>
    <x v="10"/>
    <n v="1"/>
    <s v="Inclusión Social y Equidad"/>
    <n v="19"/>
    <s v="Salud y protección social"/>
    <n v="1905"/>
    <s v="Salud Pública, &quot;Tú y yo con salud de calidad&quot;"/>
    <n v="1905"/>
    <s v="Salud pública "/>
    <s v="Tasa de violencia de género._x000a_Tasa de Suicidio  x 100.000 Habitantes en el Departamento del Quindío._x000a_Tasa de suicidios en niños y niñas ( 6 a 11 años)_x000a_Tasa de suicidios en adolescentes (12 a 17 años)_x000a_Tasa de suicidios (18 - 28 años)Tasa de Consumo de Sustancias Psicoactivas  x 100.000 Habitantes en el Departamento del Quindío."/>
    <n v="1905022"/>
    <s v="Servicio de gestión del riesgo en temas de trastornos mentales "/>
    <n v="1905022"/>
    <s v="Servicio de gestión del riesgo en temas de trastornos mentales "/>
    <n v="190502200"/>
    <s v="Campañas de gestión del riesgo en temas de trastornos mentales implementadas"/>
    <n v="190502200"/>
    <s v="Campañas de gestión del riesgo en temas de trastornos mentales implementadas"/>
    <s v="A"/>
    <n v="12"/>
    <m/>
    <n v="12"/>
    <x v="75"/>
    <s v="Diseño e implementación de campañas para la promoción de la vida y prevención del consumo de sustancias psicoactivas en el Departamento del Quindío. &quot;TU Y YO UNIDOS POR LA VIDA&quot;.  "/>
    <s v="Disminuir las tasas  de mortalidad materna, embarazos, violencia y suicidios en el Departamento del Quindío, a través del fomento de  hábitos de vida saludables y derechos sexuales y reproductivos. "/>
    <m/>
    <m/>
    <m/>
    <m/>
    <m/>
    <m/>
    <n v="60000000"/>
    <m/>
    <m/>
    <n v="60000000"/>
    <s v="Secretaria de Familia"/>
  </r>
  <r>
    <n v="316"/>
    <x v="10"/>
    <n v="1"/>
    <s v="Inclusión Social y Equidad"/>
    <n v="33"/>
    <s v="Cultura"/>
    <n v="3301"/>
    <s v="Promoción y acceso efectivo a procesos culturales y artísticos. &quot;Tú y yo somos cultura Quindiana&quot;"/>
    <n v="3301"/>
    <s v="Promoción y acceso efectivo a procesos culturales y artísticos"/>
    <s v="Cobertura  de municipios   con  jóvenes en riesgo psicosocial impactados en los  barrios vulnerables del Departamento del Quindío"/>
    <n v="3301051"/>
    <s v="Servicio de educación informal al sector artístico y cultural"/>
    <n v="3301051"/>
    <s v="Servicio de educación informal al sector artístico y cultural"/>
    <n v="330105110"/>
    <s v="Capacitaciones de educación informal realizadas"/>
    <n v="330105110"/>
    <s v="Capacitaciones de educación informal realizadas"/>
    <s v="N.A."/>
    <n v="350"/>
    <m/>
    <n v="350"/>
    <x v="76"/>
    <s v="Implementación acciones de fortalecimiento  de los entornos protectores de los jóvenes en barrios vulnerables de los municipios, del Departamento del Quindío. "/>
    <s v="Aumentar la cobertura  de municipios con jóvenes en riesgo psicosocial impactados en los barrios vulnerables del Departamento del Quindío, a través de la implementación de acciones que permitan fortalecer los entornos protectores de los jóvenes en riesgo psicosocial por consumo de sustancias psicoactivas, comportamiento suicida, Violencia Intrafamiliar, en barrios vulnerables, de los municipios, del Departamento del Quindío."/>
    <m/>
    <m/>
    <m/>
    <m/>
    <m/>
    <m/>
    <n v="35000000"/>
    <m/>
    <m/>
    <n v="35000000"/>
    <s v="Secretaria de Familia"/>
  </r>
  <r>
    <n v="316"/>
    <x v="10"/>
    <n v="1"/>
    <s v="Inclusión Social y Equidad"/>
    <n v="41"/>
    <s v="Inclusión social y reconciliación"/>
    <n v="4102"/>
    <s v="Desarrollo Integral de Niños, Niñas, Adolescentes y sus Familias. &quot;Tú y yo niños, niñas y adolescentes con desarrollo integral&quot;"/>
    <n v="4102"/>
    <s v="Desarrollo integral de la primera infancia a la juventud, y fortalecimiento de las capacidades de las familias de niñas, niños y adolescentes"/>
    <s v="Cobertura en la  implementación del  Modelo de entornos protectores y atención integral de   la primera infancia "/>
    <s v="ND"/>
    <s v="Diseñar e implementar un modelo de atención integral en entornos protectores para la primera infancia "/>
    <n v="4102035"/>
    <s v="Documentos de lineamientos técnicos"/>
    <s v="ND"/>
    <s v="Modelo de atención integral de entornos protectores implementado"/>
    <n v="410203500"/>
    <s v="Documentos de lineamientos técnicos realizados"/>
    <s v="A"/>
    <n v="1"/>
    <m/>
    <n v="1"/>
    <x v="77"/>
    <s v="Diseño e implementación de un  Modelo de  atención integral a la primera infancia  a través de las Rutas Integrales de Atención  RIA en el Departamento del  Quindío "/>
    <s v="Aumentar la cobertura en la implementación del Modelo de Entornos Protectores y Atención Integral de la Primera Infancia, a través de la atención integral a los niños y niñas, promoviendo la aplicabilidad de las rutas integrales de atención y  entornos protectores seguros en el departamento Quindío."/>
    <m/>
    <m/>
    <m/>
    <m/>
    <m/>
    <m/>
    <n v="40000000"/>
    <m/>
    <m/>
    <n v="40000000"/>
    <s v="Secretaria de Familia"/>
  </r>
  <r>
    <n v="316"/>
    <x v="10"/>
    <n v="1"/>
    <s v="Inclusión Social y Equidad"/>
    <n v="41"/>
    <s v="Inclusión social y reconciliación"/>
    <n v="4102"/>
    <s v="Desarrollo Integral de Niños, Niñas, Adolescentes y sus Familias. &quot;Tú y yo niños, niñas y adolescentes con desarrollo integral&quot;"/>
    <n v="4102"/>
    <s v="Desarrollo integral de la primera infancia a la juventud, y fortalecimiento de las capacidades de las familias de niñas, niños y adolescentes"/>
    <s v="Cobertura  en la  implementación y seguimiento de las   Rutas integrales de atención  a la primera infancia "/>
    <s v="ND"/>
    <s v="Implementar y realizar seguimiento a las rutas integrales de atención "/>
    <n v="4102001"/>
    <s v="Servicio de atención integral a la primera infancia "/>
    <s v="ND"/>
    <s v="Número de rutas integrales de atención  a la  primera infancia implementadas y con seguimiento "/>
    <n v="410200100"/>
    <s v="Niños y niñas atendidos en servicio integrales"/>
    <s v="A"/>
    <n v="12"/>
    <m/>
    <n v="12"/>
    <x v="77"/>
    <s v="Diseño e implementación de un  Modelo de  atención integral a la primera infancia  a través de las Rutas Integrales de Atención  RIA en el Departamento del  Quindío "/>
    <s v="Aumentar la cobertura en la implementación del Modelo de Entornos Protectores y Atención Integral de la Primera Infancia, a través de la atención integral a los niños y niñas, promoviendo la aplicabilidad de las rutas integrales de atención y  entornos protectores seguros en el departamento Quindío."/>
    <m/>
    <m/>
    <m/>
    <m/>
    <m/>
    <m/>
    <n v="42000000"/>
    <m/>
    <m/>
    <n v="42000000"/>
    <s v="Secretaria de Familia"/>
  </r>
  <r>
    <n v="316"/>
    <x v="10"/>
    <n v="1"/>
    <s v="Inclusión Social y Equidad"/>
    <n v="41"/>
    <s v="Inclusión social y reconciliación"/>
    <n v="4102"/>
    <s v="Desarrollo Integral de Niños, Niñas, Adolescentes y sus Familias. &quot;Tú y yo niños, niñas y adolescentes con desarrollo integral&quot;"/>
    <n v="4102"/>
    <s v="Desarrollo integral de la primera infancia a la juventud, y fortalecimiento de las capacidades de las familias de niñas, niños y adolescentes"/>
    <s v="Tasa de Violencia Intrafamiliar x 100.000 Habitantes en el Departamento del Quindío._x000a_Tasa de violencia de pareja cuando la víctima está entre los 18 y 28 años _x000a_Tasa de violencia de Género_x000a_Tasa de Suicidio  x 100.000 Habitantes en el Departamento del Quindío._x000a_Tasa  de Niños, Niñas y Adolescentes qué participan en una actividad remunerada  o no  x cada 100.000 habitantes  en el departamento del Quindío_x000a_Tasa  de mujeres de 12 a 14 años qué han sido madres o están en embarazo X 100.000 habitantes en el Departamento del Quindío_x000a_Cobertura a los grupos de adulto mayor del departamento del Quindío en articulación con los Municipios, en el marco de garantizar estimulación física, cognitiva, emocional y social en bienestar de una vejez activa y saludable"/>
    <s v="ND"/>
    <s v="Implementar la  política pública para la protección, en fortalecimiento y en desarrollo integral de la familia Quindiana "/>
    <s v="4102043"/>
    <s v="Servicio de promoción de temas de dinámica relacional y desarrollo autónomo "/>
    <s v="ND"/>
    <s v="Política Pública de Familia  implementada"/>
    <s v="410204300"/>
    <s v="Familias atendidas"/>
    <s v="A"/>
    <n v="1"/>
    <m/>
    <n v="1"/>
    <x v="78"/>
    <s v=" Implementación de la  política pública  de Familia para la  promoción  del desarrollo integral de la población del Departamento del Quindío. "/>
    <s v="Disminuir las tasas de violencia intrafamiliar, suicidio y embarazos en el departamento del Quindío a través del Desarrollo de  estrategias,  programas y proyectos en el marco de la implementación y seguimiento de la Política Pública de Familia para promover en desarrollo integral de la población. "/>
    <m/>
    <m/>
    <m/>
    <m/>
    <m/>
    <m/>
    <n v="130200000"/>
    <m/>
    <m/>
    <n v="130200000"/>
    <s v="Secretaria de Familia"/>
  </r>
  <r>
    <n v="316"/>
    <x v="10"/>
    <n v="1"/>
    <s v="Inclusión Social y Equidad"/>
    <n v="41"/>
    <s v="Inclusión social y reconciliación"/>
    <n v="4102"/>
    <s v="Desarrollo Integral de Niños, Niñas, Adolescentes y sus Familias. &quot;Tú y yo niños, niñas y adolescentes con desarrollo integral&quot;"/>
    <n v="4102"/>
    <s v="Desarrollo integral de la primera infancia a la juventud, y fortalecimiento de las capacidades de las familias de niñas, niños y adolescentes"/>
    <s v=".- Tasa de violencia contra niños y niñas o a 5 años       _x000a_.- Tasa de violencia contra niños y niñas de 6 a 11 años_x000a_.- Tasa de violencia contra niños y niñas de 12 a 17 años_x000a_-Tasa de niños, niñas y adolescentes víctimas de violencia sexual  x 100 mil habitantes   en el Departamento del Quindío_x000a_-Tasa de suicidios en adolescentes (12 a 17 años)_x000a_-Tasa  de Niños, Niñas y Adolescentes qué participan en una actividad remunerada  o no  x cada 100.000 habitantes  en el departamento del Quindío_x000a_-Tasa  de mujeres de 12 a 14 años qué han sido madres o están en embarazo X 100.000 habitantes en el Departamento del Quindío_x000a_-Tasa de Consumo de Sustancias Psicoactivas  x 100.000 Habitantes en el Departamento del Quindío."/>
    <s v="ND"/>
    <s v="Implementar  la política pública de primera infancia, infancia y adolescencia"/>
    <s v="4102043"/>
    <s v="Servicio de promoción de temas de dinámica relacional y desarrollo autónomo"/>
    <s v="ND"/>
    <s v="Política Pública de Primera Infancia, Infancia y Adolescencia implementada. "/>
    <n v="410204301"/>
    <s v="Niños, niñas y adolescentes atendidos"/>
    <s v="A"/>
    <n v="1"/>
    <m/>
    <n v="1"/>
    <x v="79"/>
    <s v="Revisión, ajuste  e implementación de  la política pública de primera infancia, infancia y adolescencia en el Departamento del Quindío  "/>
    <s v="Disminuir las tasa de violencia  contra niños, niñas y adolescentes, embarazos a temprana edad y consumo de sustancias psicoactivas en el Departamento del Quindío, a través del desarrollo de estrategias, proyectos y programas en el marco de la implementación y seguimiento de la Política Pública de Primera Infancia, Infancia y Adolescencia, al igual que su ajuste, para promover en desarrollo integral de la población. "/>
    <m/>
    <m/>
    <m/>
    <m/>
    <m/>
    <m/>
    <n v="380000000"/>
    <m/>
    <m/>
    <n v="380000000"/>
    <s v="Secretaria de Familia"/>
  </r>
  <r>
    <n v="316"/>
    <x v="10"/>
    <n v="1"/>
    <s v="Inclusión Social y Equidad"/>
    <n v="41"/>
    <s v="Inclusión social y reconciliación"/>
    <n v="4102"/>
    <s v="Desarrollo Integral de Niños, Niñas, Adolescentes y sus Familias. &quot;Tú y yo niños, niñas y adolescentes con desarrollo integral&quot;"/>
    <n v="4102"/>
    <s v="Desarrollo integral de la primera infancia a la juventud, y fortalecimiento de las capacidades de las familias de niñas, niños y adolescentes"/>
    <s v="Tasa de Suicidio  x 100.000 Habitantes en el Departamento del Quindío._x000a_Tasa de violencia de pareja cuando la víctima está entre los 18 y 28 años _x000a_Tasa de violencia de Género_x000a_Tasa de Violencia Intrafamiliar x 100.000 Habitantes en el Departamento del Quindío._x000a_Tasa de Consumo de Sustancias Psicoactivas  x 100.000 Habitantes en el Departamento del Quindío._x000a_Cobertura de adolescentes y jóvenes atendidos en Post egreso, en los servicios de restablecimiento en la administración de justicia._x000a_Cobertura  de municipios   con  jóvenes en riesgo psicosocial impactados en los  Barrios vulnerables del Departamento del Quindío"/>
    <s v="ND"/>
    <s v="Implementar  la política pública de juventud "/>
    <n v="4102038"/>
    <s v="Servicio dirigidos a la atención de niños, niñas, adolescentes y jóvenes, con enfoque pedagógico y restaurativo encaminados a la inclusión social"/>
    <s v="ND"/>
    <s v="Política Pública de Juventud implementada"/>
    <n v="410203800"/>
    <s v="Niños, niñas, adolescentes y jóvenes atendidos en los servicios de restablecimiento en la administración de justicia"/>
    <s v="A"/>
    <n v="1"/>
    <m/>
    <n v="1"/>
    <x v="80"/>
    <s v="Implementación de  la política pública de juventud en el Departamento del Quindío  "/>
    <s v=" Disminuir las tasa de violencia intrafamiliar,  consumo de sustancias psicoactivas y suicidio en el Departamento del Quindío a través de la revisión, ajuste e implementación la política pública de juventud con el propósito de desarrollar estrategias, programas y acciones acordes  con la normatividad y las nuevas dinámicas sociales. "/>
    <m/>
    <m/>
    <m/>
    <m/>
    <m/>
    <m/>
    <n v="210000000"/>
    <m/>
    <m/>
    <n v="210000000"/>
    <s v="Secretaria de Familia"/>
  </r>
  <r>
    <n v="316"/>
    <x v="10"/>
    <n v="1"/>
    <s v="Inclusión Social y Equidad"/>
    <n v="41"/>
    <s v="Inclusión social y reconciliación"/>
    <n v="4102"/>
    <s v="Desarrollo Integral de Niños, Niñas, Adolescentes y sus Familias. &quot;Tú y yo niños, niñas y adolescentes con desarrollo integral&quot;"/>
    <n v="4102"/>
    <s v="Desarrollo integral de la primera infancia a la juventud, y fortalecimiento de las capacidades de las familias de niñas, niños y adolescentes"/>
    <s v="Tasa de Violencia Intrafamiliar x 100.000 Habitantes en el Departamento del Quindío._x000a_Tasa de violencia de Género"/>
    <s v="ND"/>
    <s v="Rutas integrales de atención en violencia intrafamiliar y  violencia de género"/>
    <n v="4102042"/>
    <s v="Servicio de asistencia técnica a comunidades en temas de fortalecimiento del tejido social y construcción de escenarios comunitarios protectores de derechos"/>
    <s v="ND"/>
    <s v="Capacitación en activación de las Rutas Integrales de Atención en Violencia Intrafamiliar y de Género, a trabajadores de Supermercados y Tenderos de los Municipios realizadas"/>
    <n v="410204200"/>
    <s v="Acciones ejecutadas con las comunidades"/>
    <s v="A"/>
    <n v="12"/>
    <m/>
    <n v="12"/>
    <x v="81"/>
    <s v="Diseño e implementación del programa de acompañamiento familiar y comunitario con enfoque preventivo en los tipos de violencia en el Departamento del Quindío &quot;TU Y YO COMPROMETIDOS CON LA FAMILIA&quot; "/>
    <s v=" Disminuir las tasa de violencia   intrafamiliar y de género en el Departamento del Quindío , a través de la  articulación de acciones  con aliados estratégicos para capacitar a trabajadores de Supermercados y “tenderos” de los barrios, en la activación de Rutas Integrales de Atención en Violencia Intrafamiliar y Violencia de género. "/>
    <m/>
    <m/>
    <m/>
    <m/>
    <m/>
    <m/>
    <n v="35000000"/>
    <m/>
    <m/>
    <n v="35000000"/>
    <s v="Secretaria de Familia"/>
  </r>
  <r>
    <n v="316"/>
    <x v="10"/>
    <n v="1"/>
    <s v="Inclusión Social y Equidad"/>
    <n v="41"/>
    <s v="Inclusión social y reconciliación"/>
    <n v="4102"/>
    <s v="Desarrollo Integral de Niños, Niñas, Adolescentes y sus Familias. &quot;Tú y yo niños, niñas y adolescentes con desarrollo integral&quot;"/>
    <n v="4102"/>
    <s v="Desarrollo integral de la primera infancia a la juventud, y fortalecimiento de las capacidades de las familias de niñas, niños y adolescentes"/>
    <s v="Cobertura de atención de niños y niñas en Hogar Infantil Nocturno, hijos de trabajadoras sexuales en el Departamento del Quindío"/>
    <s v="ND"/>
    <s v="Atención integral a niños y niñas en primera infancia en espacios socialmente no convencionales: tiempos no convencionales "/>
    <n v="4102001"/>
    <s v="Servicio de atención integral a la primera infancia"/>
    <s v="ND"/>
    <s v="Atención integral a niños y niñas en primera infancia en espacios socialmente no convencionales implementados "/>
    <n v="410200100"/>
    <s v="Niños y niñas atendidos en servicios integrales"/>
    <s v="A"/>
    <n v="1"/>
    <m/>
    <n v="1"/>
    <x v="82"/>
    <s v="Diseño e implementación del programa comunitario para la prevención de los derechos de niños, niñas y adolescentes y su desarrollo integral. &quot;TU Y YO COMPROMETIDOS CON LOS SUEÑOS&quot;. "/>
    <s v=" Disminución de la Tasa de Violencia Intrafamiliar y  aumento de la cobertura de atención de niños y niñas en Hogar Infantil Nocturno, hijos de trabajadoras sexuales en el Departamento del Quindío, a través del diseño e implementación   de un programa comunitario para la   prevención y garantía de los derechos de los niños, niñas y adolescentes  buscando disminuir la violencia intrafamiliar en el departamento del Quindío en espacios socialmente no convencionales. "/>
    <m/>
    <m/>
    <m/>
    <m/>
    <m/>
    <m/>
    <n v="40000000"/>
    <m/>
    <m/>
    <n v="40000000"/>
    <s v="Secretaria de Familia"/>
  </r>
  <r>
    <n v="316"/>
    <x v="10"/>
    <n v="1"/>
    <s v="Inclusión Social y Equidad"/>
    <n v="41"/>
    <s v="Inclusión social y reconciliación"/>
    <n v="4102"/>
    <s v="Desarrollo Integral de Niños, Niñas, Adolescentes y sus Familias. &quot;Tú y yo niños, niñas y adolescentes con desarrollo integral&quot;"/>
    <n v="4102"/>
    <s v="Desarrollo integral de la primera infancia a la juventud, y fortalecimiento de las capacidades de las familias de niñas, niños y adolescentes"/>
    <s v="Tasa de Violencia Intrafamiliar x 100.000 Habitantes en el Departamento del Quindío._x000a_Tasa de violencia contra niños y niñas o a 5 años       _x000a_Tasa de violencia contra niños y niñas de 6 a 11 años_x000a_Tasa de violencia contra niños y niñas de 12 a 17 años_x000a_Tasa de niños, niñas y adolescentes víctimas de violencia sexual  x 100 mil habitantes   en el Departamento del Quindío_x000a_Tasa de violencia de pareja cuando la víctima está entre los 18 y 28 años _x000a_Tasa de violencia de Género"/>
    <n v="4102022"/>
    <s v="Servicio de divulgación para la promoción y prevención de los derechos de los niños, niñas y adolescentes"/>
    <n v="4102046"/>
    <s v="Servicios de promoción de los derechos de los niños, niñas, adolescentes y jóvenes "/>
    <s v="410202200"/>
    <s v="Eventos de divulgación realizados "/>
    <n v="410204600"/>
    <s v="Campañas de promoción realizadas "/>
    <s v="N.A."/>
    <n v="21"/>
    <m/>
    <n v="21"/>
    <x v="82"/>
    <s v="Diseño e implementación del programa comunitario para la prevención de los derechos de niños, niñas y adolescentes y su desarrollo integral. &quot;TU Y YO COMPROMETIDOS CON LOS SUEÑOS&quot;. "/>
    <s v=" Disminución de la Tasa de Violencia Intrafamiliar y  aumento de la cobertura de atención de niños y niñas en Hogar Infantil Nocturno, hijos de trabajadoras sexuales en el Departamento del Quindío, a través del diseño e implementación   de un programa comunitario para la   prevención y garantía de los derechos de los niños, niñas y adolescentes  buscando disminuir la violencia intrafamiliar en el departamento del Quindío en espacios socialmente no convencionales. "/>
    <m/>
    <m/>
    <m/>
    <m/>
    <m/>
    <m/>
    <n v="30000000"/>
    <m/>
    <m/>
    <n v="30000000"/>
    <s v="Secretaria de Familia"/>
  </r>
  <r>
    <n v="316"/>
    <x v="10"/>
    <n v="1"/>
    <s v="Inclusión Social y Equidad"/>
    <n v="41"/>
    <s v="Inclusión social y reconciliación"/>
    <n v="4102"/>
    <s v="Desarrollo Integral de Niños, Niñas, Adolescentes y sus Familias. &quot;Tú y yo niños, niñas y adolescentes con desarrollo integral&quot;"/>
    <n v="4102"/>
    <s v="Desarrollo integral de la primera infancia a la juventud, y fortalecimiento de las capacidades de las familias de niñas, niños y adolescentes"/>
    <s v="Cobertura de adolescentes y jóvenes atendidos en Post egreso, en los servicios de restablecimiento en la administración de justicia."/>
    <n v="4102038"/>
    <s v="Servicios dirigidos a la atención de niños, niñas, adolescentes y jóvenes, con enfoque pedagógico y restaurativo encaminados a la inclusión social"/>
    <n v="4102038"/>
    <s v="Servicios dirigidos a la atención de niños, niñas, adolescentes y jóvenes, con enfoque pedagógico y restaurativo encaminados a la inclusión social"/>
    <n v="410203800"/>
    <s v="Niños, niñas, adolescentes y jóvenes atendidos en los servicios de restablecimiento en la administración de justicia"/>
    <n v="410203800"/>
    <s v="Niños, niñas, adolescentes y jóvenes atendidos en los servicios de restablecimiento en la administración de justicia"/>
    <s v="N.A."/>
    <n v="10"/>
    <m/>
    <n v="10"/>
    <x v="83"/>
    <s v="Servicio de atención Post egreso de adolescentes y jóvenes, en los servicios de restablecimiento en la administración de justicia, con enfoque pedagógico y restaurativo encaminados a la inclusión social en el  Departamento del   Quindío."/>
    <s v="Aumentar la cobertura de adolescentes y jóvenes atendidos en Post egreso, en los servicios de restablecimiento en la administración de justicia,  a través del desarrollo  de acciones encaminadas a reconocer, garantizar y permitir en goce efectivo de los derechos de los adolescentes y jóvenes del departamento del Quindío, promoviendo su integralidad, realización, protección y sostenibilidad. "/>
    <m/>
    <m/>
    <m/>
    <m/>
    <m/>
    <m/>
    <n v="45000000"/>
    <m/>
    <m/>
    <n v="45000000"/>
    <s v="Secretaria de Familia"/>
  </r>
  <r>
    <n v="316"/>
    <x v="10"/>
    <n v="1"/>
    <s v="Inclusión Social y Equidad"/>
    <n v="41"/>
    <s v="Inclusión social y reconciliación"/>
    <n v="4103"/>
    <s v="Inclusión social y productiva para la población en situación de vulnerabilidad. &quot;Tú y yo, población vulnerable incluida&quot;"/>
    <n v="4103"/>
    <s v="Inclusión social y productiva para la población en situación de vulnerabilidad "/>
    <s v="Cobertura de municipios del departamento apoyados con  emprendimientos juveniles "/>
    <n v="4103059"/>
    <s v="Servicio de asistencia técnica para fortalecimiento de unidades productivas colectivas para la generación de ingresos"/>
    <n v="4103059"/>
    <s v="Servicio de asistencia técnica para fortalecimiento de unidades productivas colectivas para la generación de ingresos"/>
    <n v="410305900"/>
    <s v="Unidades productivas colectivas con asistencia técnica"/>
    <n v="410305900"/>
    <s v="Unidades productivas colectivas con asistencia técnica"/>
    <s v="N.A."/>
    <n v="16"/>
    <m/>
    <n v="16"/>
    <x v="84"/>
    <s v="Fortalecimiento  de unidades productivas colectivas  juveniles para la generación de ingresos  en el departamento del Quindío  "/>
    <s v="Aumentar la cobertura de municipios del departamento apoyados con  emprendimientos juveniles,   a través del fortalecimiento de los procesos de asistencia técnica en temas de formalización y comercialización."/>
    <m/>
    <m/>
    <m/>
    <m/>
    <m/>
    <m/>
    <n v="75000000"/>
    <n v="100000000"/>
    <m/>
    <n v="175000000"/>
    <s v="Secretaria de Familia"/>
  </r>
  <r>
    <n v="316"/>
    <x v="10"/>
    <n v="1"/>
    <s v="Inclusión Social y Equidad"/>
    <n v="41"/>
    <s v="Inclusión social y reconciliación"/>
    <n v="4103"/>
    <s v="Inclusión social y productiva para la población en situación de vulnerabilidad. &quot;Tú y yo, población vulnerable incluida&quot;"/>
    <n v="4103"/>
    <s v="Inclusión social y productiva para la población en situación de vulnerabilidad "/>
    <s v="Cobertura para la atención al ciudadano migrante a través del plan de atención y de repatriación."/>
    <n v="4103052"/>
    <s v="Servicio de gestión de oferta social para la población vulnerable"/>
    <n v="4103052"/>
    <s v="Servicio de gestión de oferta social para la población vulnerable"/>
    <n v="410305202"/>
    <s v="Mecanismos de articulación implementados para la gestión de oferta social "/>
    <n v="410305202"/>
    <s v="mecanismos de articulación implementados para la gestión de oferta social "/>
    <s v="A"/>
    <n v="1"/>
    <m/>
    <n v="1"/>
    <x v="85"/>
    <s v="Formulación  e Implementación del  programa departamental para atención al ciudadano migrante y de repatriación.  "/>
    <s v="Aumentar la cobertura para la atención al ciudadano migrante a través del plan de atención y de repatriación "/>
    <m/>
    <m/>
    <m/>
    <m/>
    <m/>
    <m/>
    <n v="66000000"/>
    <m/>
    <m/>
    <n v="66000000"/>
    <s v="Secretaria de Familia"/>
  </r>
  <r>
    <n v="316"/>
    <x v="10"/>
    <n v="1"/>
    <s v="Inclusión Social y Equidad"/>
    <n v="41"/>
    <s v="Inclusión social y reconciliación"/>
    <n v="4103"/>
    <s v="Inclusión social y productiva para la población en situación de vulnerabilidad. &quot;Tú y yo, población vulnerable incluida&quot;"/>
    <n v="4103"/>
    <s v="Inclusión social y productiva para la población en situación de vulnerabilidad "/>
    <s v="Tasa de Violencia Intrafamiliar x 100.000 Habitantes en el Departamento del Quindío._x000a_Tasa de violencia contra niños y niñas o a 5 años       _x000a_Tasa de violencia contra niños y niñas de 6 a 11 años_x000a_Tasa de violencia contra niños y niñas de 12 a 17 años_x000a_Tasa de niños, niñas y adolescentes víctimas de violencia sexual  x 100 mil habitantes   en el Departamento del Quindío_x000a_Tasa de violencia de pareja cuando la víctima está entre los 18 y 28 años _x000a_Tasa de violencia de Género"/>
    <n v="4103050"/>
    <s v="Servicio de acompañamiento familiar y comunitario para la superación de la pobreza"/>
    <n v="4103050"/>
    <s v="Servicio de acompañamiento familiar y comunitario para la superación de la pobreza"/>
    <n v="410305001"/>
    <s v="Comunidades con acompañamiento familiar."/>
    <n v="410305001"/>
    <s v="Comunidades con acompañamiento familiar."/>
    <s v="A"/>
    <n v="12"/>
    <m/>
    <n v="12"/>
    <x v="86"/>
    <s v="Desarrollo de un  programa  de acompañamiento  familiar y comunitario  en procesos de Inclusión social y productivos para el emprendimiento de  alternativas de generación de ingresos  en el departamento del Quindío  "/>
    <s v="Disminuir  la tasa de violencia intrafamiliar en el departamento del Quindío, a través de  procesos de acompañamiento familiar y comunitario a hogares de los doce municipios en condiciones de vulnerabilidad por “violencia intrafamiliar,” a través del desarrollo de programas de Inclusión social y productivos qué les permita emprender alternativas de generación de ingresos y   mejorar   las relaciones de convivencia en el entorno familiar y social."/>
    <m/>
    <m/>
    <m/>
    <m/>
    <m/>
    <m/>
    <n v="70000000"/>
    <m/>
    <m/>
    <n v="70000000"/>
    <s v="Secretaria de Familia"/>
  </r>
  <r>
    <n v="316"/>
    <x v="10"/>
    <n v="1"/>
    <s v="Inclusión Social y Equidad"/>
    <n v="41"/>
    <s v="Inclusión social y reconciliación"/>
    <n v="4103"/>
    <s v="Inclusión social y productiva para la población en situación de vulnerabilidad. &quot;Tú y yo, población vulnerable incluida&quot;"/>
    <n v="4103"/>
    <s v="Inclusión social y productiva para la población en situación de vulnerabilidad "/>
    <s v="Cobertura de municipios del departamento con procesos de implementación de proyectos  productivos  para las personas con discapacidad "/>
    <n v="4103058"/>
    <s v="Servicio de apoyo para el fortalecimiento de unidades productivas colectivas para la generación de ingresos"/>
    <n v="4103058"/>
    <s v="Servicio de apoyo para el fortalecimiento de unidades productivas colectivas para la generación de ingresos"/>
    <n v="410305800"/>
    <s v="Unidades productivas colectivas fortalecidas"/>
    <n v="410305800"/>
    <s v="Unidades productivas colectivas fortalecidas"/>
    <s v="N.A."/>
    <n v="5"/>
    <m/>
    <n v="5"/>
    <x v="87"/>
    <s v="Formulación e implementación   de proyectos productivos  dirigidos a  la población en condición  de  discapacidad y sus familias para la generación de  ingresos  y fortalecimiento del entorno familiar.  "/>
    <s v="Aumentar la cobertura de municipios del departamento con procesos de implementación de proyectos  productivos  para las personas con discapacidad, a través de la  formulación e implementación  de proyectos productivos qué garanticen a las personas con discapacidad y sus familias, ingresos económicos para satisfacer sus necesidades básicas."/>
    <m/>
    <m/>
    <m/>
    <m/>
    <m/>
    <m/>
    <n v="50000000"/>
    <n v="100000000"/>
    <m/>
    <n v="150000000"/>
    <s v="Secretaria de Familia"/>
  </r>
  <r>
    <n v="316"/>
    <x v="10"/>
    <n v="1"/>
    <s v="Inclusión Social y Equidad"/>
    <n v="41"/>
    <s v="Inclusión social y reconciliación"/>
    <n v="4103"/>
    <s v="Inclusión social y productiva para la población en situación de vulnerabilidad. &quot;Tú y yo, población vulnerable incluida&quot;"/>
    <n v="4103"/>
    <s v="Inclusión social y productiva para la población en situación de vulnerabilidad "/>
    <s v="Tasa planes de vida de los cabildos  indígenas construidos e implementados "/>
    <s v="ND"/>
    <s v="Apoyar la construcción e Implementación de los  Planes de vida de los cabildos Indígenas asentados en el Departamento del Quindío "/>
    <n v="4103060"/>
    <s v="Documento de lineamientos técnicos"/>
    <s v="ND"/>
    <s v="Planes de vida de los cabildos indígenas  construidos  e implementados "/>
    <n v="410306000"/>
    <s v="Documentos de lineamientos técnicos elaborados "/>
    <s v="N.A."/>
    <n v="5"/>
    <m/>
    <n v="5"/>
    <x v="88"/>
    <s v="Apoyo en la construcción e Implementación de los Planes de Vida de los Cabildos y Resguardos indígenas  asentados en el Departamento del Quindío &quot;TU Y YO UNIDOS CON DIGNIDAD&quot;.  "/>
    <s v="Incrementar la tasa planes de vida de los cabildos y resguardos   indígenas construidos e implementados, por medio del apoyo en  la construcción e implementación de los  mismos, como instrumentos de planeación organización y preservación de la historia y la cultura."/>
    <m/>
    <m/>
    <m/>
    <m/>
    <m/>
    <m/>
    <n v="90000000"/>
    <m/>
    <m/>
    <n v="90000000"/>
    <s v="Secretaria de Familia"/>
  </r>
  <r>
    <n v="316"/>
    <x v="10"/>
    <n v="1"/>
    <s v="Inclusión Social y Equidad"/>
    <n v="41"/>
    <s v="Inclusión social y reconciliación"/>
    <n v="4103"/>
    <s v="Inclusión social y productiva para la población en situación de vulnerabilidad. &quot;Tú y yo, población vulnerable incluida&quot;"/>
    <n v="4103"/>
    <s v="Inclusión social y productiva para la población en situación de vulnerabilidad "/>
    <s v="Tasa de  planes de vida de los resguardos  indígenas construidos e implementados"/>
    <s v="ND"/>
    <s v="Apoyar la construcción e Implementación de los  Planes de vida de los resguardos indígenas  asentados en el Departamento del Quindío "/>
    <n v="4103060"/>
    <s v="Documento de lineamientos técnicos"/>
    <s v="ND"/>
    <s v="Planes de vida de los resguardos indígenas  construidos  e implementados "/>
    <n v="410306000"/>
    <s v="Documentos de lineamientos técnicos elaborados "/>
    <s v="A"/>
    <n v="2"/>
    <m/>
    <n v="2"/>
    <x v="88"/>
    <s v="Apoyo en la construcción e Implementación de los Planes de Vida de los Cabildos y Resguardos indígenas  asentados en el Departamento del Quindío &quot;TU Y YO UNIDOS CON DIGNIDAD&quot;.  "/>
    <s v="Incrementar la tasa planes de vida de los cabildos y resguardos   indígenas construidos e implementados, por medio del apoyo en  la construcción e implementación de los  mismos, como instrumentos de planeación organización y preservación de la historia y la cultura."/>
    <m/>
    <m/>
    <m/>
    <m/>
    <m/>
    <m/>
    <n v="90000000"/>
    <m/>
    <m/>
    <n v="90000000"/>
    <s v="Secretaria de Familia"/>
  </r>
  <r>
    <n v="316"/>
    <x v="10"/>
    <n v="1"/>
    <s v="Inclusión Social y Equidad"/>
    <n v="41"/>
    <s v="Inclusión social y reconciliación"/>
    <n v="4103"/>
    <s v="Inclusión social y productiva para la población en situación de vulnerabilidad. &quot;Tú y yo, población vulnerable incluida&quot;"/>
    <n v="4103"/>
    <s v="Inclusión social y productiva para la población en situación de vulnerabilidad "/>
    <s v="Cobertura  de población diferencial,  comunidades negras, afros raizales y Palenqueras asentadas en el departamento del Quindío con una  política pública ."/>
    <s v="ND"/>
    <s v="Formular e implementar la política pública para la comunidad negra, afrocolombiana, raizal y palenquera residente en el Departamento del Quindío"/>
    <n v="4103052"/>
    <s v="Servicio de gestión de oferta social para la población vulnerable"/>
    <s v="ND"/>
    <s v="Política Pública para la comunidad negra, afrocolombiana, raizal y palenquera residente en el departamento del Quindío formulada e implementada "/>
    <n v="410305202"/>
    <s v="Mecanismos de articulación implementados para la gestión de oferta social "/>
    <s v="A"/>
    <n v="1"/>
    <m/>
    <n v="1"/>
    <x v="89"/>
    <s v="Formulación e implementación de la política pública para la comunidad negra, afrocolombiana, raizal y palenquera residente en el Departamento del Quindío   "/>
    <s v="Aumentar la cobertura  de población diferencial,  comunidades negras, afros raizales y Palenquearas asentadas en el departamento del Quindío con una  política publicación en propósito de garantizar la protección de derechos y la atención integral  con enfoque diferencial de las comunidades."/>
    <m/>
    <m/>
    <m/>
    <m/>
    <m/>
    <m/>
    <n v="130000000"/>
    <m/>
    <m/>
    <n v="130000000"/>
    <s v="Secretaria de Familia"/>
  </r>
  <r>
    <n v="316"/>
    <x v="10"/>
    <n v="1"/>
    <s v="Inclusión Social y Equidad"/>
    <n v="41"/>
    <s v="Inclusión social y reconciliación"/>
    <n v="4104"/>
    <s v="Atención integral de población en situación permanente de desprotección social y/o familiar &quot;Tú y yo con atención integral&quot;"/>
    <n v="4104"/>
    <s v="Atención integral de población en situación permanente de desprotección social y/o familiar"/>
    <s v="Cobertura de municipios atendidos  con el Banco de ayudas técnicas NO POS tipo Estándar, para las personas con discapacidad ."/>
    <n v="4104035"/>
    <s v="Servicios de atención integral a población en condición de discapacidad"/>
    <n v="4104020"/>
    <s v="Servicio de atención integral a población en condición de discapacidad"/>
    <n v="410403500"/>
    <s v="Personas atendidas con servicios integrales de atención "/>
    <n v="410402000"/>
    <s v="Personas con discapacidad atendidas con servicios integrales"/>
    <s v="N.A."/>
    <n v="315"/>
    <m/>
    <n v="315"/>
    <x v="90"/>
    <s v="Servicio de atención integral a población en condición de discapacidad en los municipios del Departamento del Quindío &quot;TU Y YO JUNTOS EN LA INCLUSIÓN&quot;. "/>
    <s v="Incrementar  la cobertura  de municipios del Departamento del Quindío  con programas  y banco de ayudas  para la Rehabilitación Basada en la Comunidad  RBC, a través del fortalecimiento de la capacidad  de atención integral  a población con discapacidad del departamento del Quindío. "/>
    <m/>
    <m/>
    <m/>
    <m/>
    <m/>
    <m/>
    <n v="150000000"/>
    <m/>
    <m/>
    <n v="150000000"/>
    <s v="Secretaria de Familia"/>
  </r>
  <r>
    <n v="316"/>
    <x v="10"/>
    <n v="1"/>
    <s v="Inclusión Social y Equidad"/>
    <n v="41"/>
    <s v="Inclusión social y reconciliación"/>
    <n v="4104"/>
    <s v="Atención integral de población en situación permanente de desprotección social y/o familiar &quot;Tú y yo con atención integral&quot;"/>
    <n v="4104"/>
    <s v="Atención integral de población en situación permanente de desprotección social y/o familiar"/>
    <s v="Cobertura  de municipios del Departamento del Quindío  con el   Programas  de Rehabilitación Basada en la Comunidad  RBC"/>
    <n v="4104035"/>
    <s v="Servicios de atención integral a población en condición de discapacidad"/>
    <n v="4104020"/>
    <s v="Servicio de atención integral a población en condición de discapacidad"/>
    <s v="ND"/>
    <s v="Estrategia de rehabilitación basada en la comunidad implementada en los municipios  "/>
    <n v="410402000"/>
    <s v="Personas con discapacidad atendidas con servicios integrales"/>
    <s v="A"/>
    <n v="12"/>
    <m/>
    <n v="12"/>
    <x v="90"/>
    <s v="Servicio de atención integral a población en condición de discapacidad en los municipios del Departamento del Quindío &quot;TU Y YO JUNTOS EN LA INCLUSIÓN&quot;. "/>
    <s v="Incrementar  la cobertura  de municipios del Departamento del Quindío  con programas  y banco de ayudas  para la Rehabilitación Basada en la Comunidad  RBC, a través del fortalecimiento de la capacidad  de atención integral  a población con discapacidad del departamento del Quindío. "/>
    <m/>
    <m/>
    <m/>
    <m/>
    <m/>
    <m/>
    <n v="240000000"/>
    <m/>
    <m/>
    <n v="240000000"/>
    <s v="Secretaria de Familia"/>
  </r>
  <r>
    <n v="316"/>
    <x v="10"/>
    <n v="1"/>
    <s v="Inclusión Social y Equidad"/>
    <n v="41"/>
    <s v="Inclusión social y reconciliación"/>
    <n v="4104"/>
    <s v="Atención integral de población en situación permanente de desprotección social y/o familiar &quot;Tú y yo con atención integral&quot;"/>
    <n v="4104"/>
    <s v="Atención integral de población en situación permanente de desprotección social y/o familiar"/>
    <s v="Cobertura de municipios del departamento del Quindío, con programas de atención a la población habitante de calle."/>
    <n v="4104026"/>
    <s v="Servicio de articulación de oferta social para la población habitante de calle"/>
    <n v="4104027"/>
    <s v="Servicio de atención integral al habitante de la calle "/>
    <s v="ND"/>
    <s v="Servicio de articulación habitante de calle implementado en los municipios "/>
    <n v="410402700"/>
    <s v="Personas atendidas con servicios integrales"/>
    <s v="A"/>
    <n v="12"/>
    <m/>
    <n v="12"/>
    <x v="91"/>
    <s v="Apoyo en  la articulación de la  oferta social para la población habitante de calle del departamento del Quindío  "/>
    <s v="Aumentar la cobertura de municipios del departamento del Quindío, con programas de atención a la población habitante de calle a través de la coordinación y articulación  de la oferta social para la población en condición de calle en el departamento del Quindío. "/>
    <m/>
    <m/>
    <m/>
    <m/>
    <m/>
    <m/>
    <n v="170000000"/>
    <m/>
    <m/>
    <n v="170000000"/>
    <s v="Secretaria de Familia"/>
  </r>
  <r>
    <n v="316"/>
    <x v="10"/>
    <n v="1"/>
    <s v="Inclusión Social y Equidad"/>
    <n v="41"/>
    <s v="Inclusión social y reconciliación"/>
    <n v="4104"/>
    <s v="Atención integral de población en situación permanente de desprotección social y/o familiar &quot;Tú y yo con atención integral&quot;"/>
    <n v="4104"/>
    <s v="Atención integral de población en situación permanente de desprotección social y/o familiar"/>
    <s v="Cobertura a los grupos de adulto mayor del departamento del Quindío en articulación con los Municipios, en el marco de garantizar estimulación física, cognitiva, emocional y social en bienestar de una vejez activa y saludable "/>
    <n v="4104015"/>
    <s v="Servicios de atención y protección integral al adulto mayor"/>
    <n v="4104015"/>
    <s v="Centros de protección social de día para el adulto mayor construidos y dotados"/>
    <n v="410401500"/>
    <s v="Adultos mayores atendidos con servicios integrales "/>
    <n v="410401500"/>
    <s v="Centros de día para el adulto mayor construidos y dotados"/>
    <s v="A"/>
    <n v="7500"/>
    <m/>
    <n v="7500"/>
    <x v="92"/>
    <s v="Servicio  de atención integral e inclusión para el bienestar de los adultos mayores del departamento del Quindío "/>
    <s v="Disminuir Tasa de Suicidio  y Violencia Intrafamiliar , además del aumento de la Cobertura a los grupos de adulto mayor en programas  de estimulación física, cognitiva, emocional y social en bienestar de una vejez activa y saludable  y  en apoyo  a los   centros vida y de bienestar  con  recursos  de la  Estampilla Pro adulto Mayor  en el Departamento del Quindío."/>
    <m/>
    <m/>
    <m/>
    <m/>
    <m/>
    <m/>
    <n v="213575038.40000001"/>
    <m/>
    <m/>
    <n v="213575038.40000001"/>
    <s v="Secretaria de Familia"/>
  </r>
  <r>
    <n v="316"/>
    <x v="10"/>
    <n v="1"/>
    <s v="Inclusión Social y Equidad"/>
    <n v="41"/>
    <s v="Inclusión social y reconciliación"/>
    <n v="4104"/>
    <s v="Atención integral de población en situación permanente de desprotección social y/o familiar &quot;Tú y yo con atención integral&quot;"/>
    <n v="4104"/>
    <s v="Atención integral de población en situación permanente de desprotección social y/o familiar"/>
    <s v="Cobertura  de  centros vida y centros de bienestar del adulto mayor (Legalmente constituidos)  apoyados con los recursos de la  Estampilla Pro adulto Mayor ."/>
    <s v="ND"/>
    <s v="Transferencia estampilla para el bienestar del adulto mayor"/>
    <n v="4104008"/>
    <s v="Servicio de atención y protección integral al adulto mayor"/>
    <s v="ND"/>
    <s v="Municipios con recursos transferidos con la estampilla Departamental para el bienestar del adulto mayor"/>
    <n v="410400800"/>
    <s v="Adultos mayores atendidos con servicios integrales"/>
    <s v="A"/>
    <n v="12"/>
    <m/>
    <n v="12"/>
    <x v="92"/>
    <s v="Servicio  de atención integral e inclusión para el bienestar de los adultos mayores del departamento del Quindío "/>
    <s v="Disminuir Tasa de Suicidio  y Violencia Intrafamiliar , además del aumento de la Cobertura a los grupos de adulto mayor en programas  de estimulación física, cognitiva, emocional y social en bienestar de una vejez activa y saludable  y  en apoyo  a los   centros vida y de bienestar  con  recursos  de la  Estampilla Pro adulto Mayor  en el Departamento del Quindío."/>
    <n v="7749432426.1999998"/>
    <m/>
    <m/>
    <m/>
    <m/>
    <m/>
    <m/>
    <m/>
    <m/>
    <n v="7749432426.1999998"/>
    <s v="Secretaria de Familia"/>
  </r>
  <r>
    <n v="316"/>
    <x v="10"/>
    <n v="2"/>
    <s v="Productividad y Competitividad"/>
    <n v="17"/>
    <s v="Agricultura y desarrollo rural"/>
    <n v="1702"/>
    <s v="Inclusión productiva de pequeños productores rurales. &quot;Tú y yo con oportunidades para el pequeño campesino&quot;"/>
    <n v="1702"/>
    <s v="Inclusión productiva de pequeños productores rurales"/>
    <s v="Cobertura de Asociaciones de mujeres fortalecidas  "/>
    <n v="1702011"/>
    <s v="Servicio de asesoría para el fortalecimiento de la Asociatividad"/>
    <n v="1702011"/>
    <s v="Servicio de asesoría para el fortalecimiento de la Asociatividad"/>
    <s v="170201102"/>
    <s v="Asociaciones de mujeres fortalecidas"/>
    <s v="170201102"/>
    <s v="Asociaciones de mujeres fortalecidas"/>
    <s v="N.A."/>
    <n v="10"/>
    <m/>
    <n v="10"/>
    <x v="93"/>
    <s v="Implementación de  estrategias de acompañamiento y asesoría a las asociaciones de mujeres del departamento del Quindío"/>
    <s v="Aumentar la cobertura de Asociaciones de mujeres fortalecidas a través de la Implementación de  estrategias de acompañamiento y asesoría a las asociaciones de mujeres del departamento del Quindío con el propósito de brindar fortalecimiento  "/>
    <m/>
    <m/>
    <m/>
    <m/>
    <m/>
    <m/>
    <n v="60000000"/>
    <m/>
    <m/>
    <n v="60000000"/>
    <s v="Secretaria de Familia"/>
  </r>
  <r>
    <n v="316"/>
    <x v="10"/>
    <n v="2"/>
    <s v="Productividad y Competitividad"/>
    <n v="36"/>
    <s v="Trabajo"/>
    <n v="3604"/>
    <s v="Derechos fundamentales del trabajo y fortalecimiento del diálogo social. &quot;Tú y yo con una niñez protegida&quot;"/>
    <n v="3604"/>
    <s v="Derechos fundamentales del trabajo y fortalecimiento del diálogo social"/>
    <s v="Tasa  de Niños, Niñas y Adolescentes qué participan en una actividad remunerada  o no  x cada 100.000 habitantes  en el departamento del Quindío"/>
    <n v="3604006"/>
    <s v="Servicio de educación informal para la prevención integral del trabajo infantil"/>
    <n v="3604006"/>
    <s v="Servicio de educación informal para la prevención integral del trabajo infantil"/>
    <n v="360400600"/>
    <s v="Personas capacitadas"/>
    <n v="360400600"/>
    <s v="Personas capacitadas"/>
    <s v="N.A."/>
    <n v="300"/>
    <m/>
    <n v="300"/>
    <x v="94"/>
    <s v="Desarrollo de jornadas de capacitación, sensibilización y prevención del  trabajo infantil  y protección del adolescente en el departamento del Quindío."/>
    <s v="Disminuir la Tasa  de Niños, Niñas y Adolescentes qué participan en una actividad remunerada  o no  x cada 100.000 habitantes  en el departamento del Quindío a través de jornadas de capacitación, sensibilización y prevención del  trabajo infantil  y protección del adolescente en el departamento del Quindío. "/>
    <m/>
    <m/>
    <m/>
    <m/>
    <m/>
    <m/>
    <n v="45000000"/>
    <m/>
    <m/>
    <n v="45000000"/>
    <s v="Secretaria de Familia"/>
  </r>
  <r>
    <n v="316"/>
    <x v="10"/>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Tasa de participación femenina en cargos de elección popular en el departamento del Quindío"/>
    <n v="4502001"/>
    <s v="Servicio de promoción a la participación ciudadana"/>
    <n v="4502001"/>
    <s v="Servicio de promoción a la participación ciudadana"/>
    <s v="ND"/>
    <s v="Iniciativas para la promoción de la participación femenina en escenarios sociales y políticos implementada."/>
    <n v="450200108"/>
    <s v="Estrategias para el fomento de a la participación de las mujeres en los espacios de participación política y de toma de decisión implementadas"/>
    <s v="N.A."/>
    <n v="1"/>
    <m/>
    <n v="1"/>
    <x v="95"/>
    <s v="Implementación del  programa de liderazgo  para la participación femenina en escenarios sociales y políticos del departamento del Quindío"/>
    <s v="Aumentar la tasa de participación femenina en cargos de elección popular en el departamento del Quindío a través de la Implementación de un programa de liderazgo enfocado a las mujeres , con el propósito de incrementar la participación femenina en escenarios sociales y políticas "/>
    <m/>
    <m/>
    <m/>
    <m/>
    <m/>
    <m/>
    <n v="30000000"/>
    <m/>
    <m/>
    <n v="30000000"/>
    <s v="Secretaria de Familia"/>
  </r>
  <r>
    <n v="316"/>
    <x v="10"/>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Tasa de Suicidio  x 100.000 Habitantes en el Departamento del Quindío._x000a_Tasa de Violencia Intrafamiliar x 100.000 Habitantes en el Departamento del Quindío._x000a_Tasa de Consumo de Sustancias Psicoactivas  x 100.000 Habitantes en el Departamento del Quindío._x000a_Tasa de violencia de Género"/>
    <s v="ND"/>
    <s v=" Implementar la política pública de equidad de género para la mujer "/>
    <n v="4502038"/>
    <s v="Servicio de promoción de la garantía de derechos"/>
    <s v="ND"/>
    <s v="Política pública de la mujer y equidad de género   implementada."/>
    <n v="450203800"/>
    <s v="Estrategias de promoción de la garantía de derechos implementadas"/>
    <s v="A"/>
    <n v="1"/>
    <m/>
    <n v="1"/>
    <x v="96"/>
    <s v="Implementación de la política pública de equidad de género para la mujer en el Departamento del Quindío  "/>
    <s v="Disminuir la tasa de violencia  intrafamiliar, de género y embarazos a temprana edad, así  como en  aumento de la tasas de participación femenina en cargos de elección popular y fortalecimiento de las  asociaciones de mujeres a través de acciones encaminadas a la garantía de derechos de las mujeres,  promoción de su participación en el ámbito económico, social y cultural del departamento  Quindío."/>
    <m/>
    <m/>
    <m/>
    <m/>
    <m/>
    <m/>
    <n v="180000000"/>
    <m/>
    <m/>
    <n v="180000000"/>
    <s v="Secretaria de Familia"/>
  </r>
  <r>
    <n v="316"/>
    <x v="10"/>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Tasa de Suicidio  x 100.000 Habitantes en el Departamento del Quindío._x000a_Tasa de Violencia Intrafamiliar x 100.000 Habitantes en el Departamento del Quindío._x000a_Tasa de Consumo de Sustancias Psicoactivas  x 100.000 Habitantes en el Departamento del Quindío._x000a_Tasa de violencia de Género"/>
    <s v="ND"/>
    <s v="Implementar  la política  pública de diversidad sexual e identidad de género"/>
    <n v="4502038"/>
    <s v="Servicio de promoción de la garantía de derechos"/>
    <s v="ND"/>
    <s v="Política pública de diversidad sexual e identidad de género implementada."/>
    <n v="450203800"/>
    <s v="Estrategias de promoción de la garantía de derechos implementadas"/>
    <s v="A"/>
    <n v="1"/>
    <m/>
    <n v="1"/>
    <x v="97"/>
    <s v="Implementación de la política pública  de diversidad sexual en el Departamento del Quindío 2019-2029  "/>
    <s v="Disminuir  las tasa de suicidio, violencia intrafamiliar  consumo de sustancias psicoactivas  y violencia de género en el departamento del Quindío, a través de la implementación en la política pública de diversidad sexual e identidad de género con la participación de los diferente actores qué contribuyen  de manera integral a garantizar la visibilización, inclusión y mejoramiento de las condiciones de calidad de vida de la personas sexualmente diversas. "/>
    <m/>
    <m/>
    <m/>
    <m/>
    <m/>
    <m/>
    <n v="165000000"/>
    <m/>
    <m/>
    <n v="165000000"/>
    <s v="Secretaria de Familia"/>
  </r>
  <r>
    <n v="316"/>
    <x v="10"/>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Tasa de participación femenina en cargos de elección popular en el departamento del Quindío "/>
    <n v="4502024"/>
    <s v="Servicio de apoyo para la implementación de medidas en derechos humanos y derecho internacional humanitario"/>
    <n v="4502024"/>
    <s v="Servicio de apoyo para la implementación de medidas en derechos humanos y derecho internacional humanitario"/>
    <s v="ND"/>
    <s v="Casa de la Mujer Empoderada implementada"/>
    <n v="450202401"/>
    <s v="Espacios generados para el fortalecimiento de capacidades institucionales del Estado"/>
    <s v="A"/>
    <n v="1"/>
    <m/>
    <n v="1"/>
    <x v="98"/>
    <s v="Implementación de la Casa  de la Mujer Empoderada para la promoción a la participación ciudadana  de Mujeres en escenarios sociales, políticos y en fortalecimiento de la asociatividad  en el departamento del Quindío &quot; TU Y YO CON LAS MUJERES EMPODERADAS.&quot; "/>
    <s v="Mejorar las condiciones de calidad de vida de la población, en acceso incluyente y equitativo a la oferta de servicios del Estado y la ampliación de oportunidades para los Quindianos a través de la Implementación de la Casa de la Mujer Empoderada, para la  participación  y promoción de la  mujeres en escenarios sociales, políticos y productivos en el departamento del Quindío."/>
    <m/>
    <m/>
    <m/>
    <m/>
    <m/>
    <m/>
    <n v="65000000"/>
    <m/>
    <m/>
    <n v="65000000"/>
    <s v="Secretaria de Familia"/>
  </r>
  <r>
    <n v="316"/>
    <x v="10"/>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Tasa de violencia de Género"/>
    <n v="4502024"/>
    <s v="Servicio de apoyo para la implementación de medidas en derechos humanos y derecho internacional humanitario"/>
    <n v="4502024"/>
    <s v="Servicio de apoyo para la implementación de medidas en derechos humanos y derecho internacional humanitario"/>
    <s v="ND"/>
    <s v="Casa Refugio de la Mujer implementada"/>
    <n v="450202401"/>
    <s v="Espacios generados para el fortalecimiento de capacidades institucionales del Estado"/>
    <s v="A"/>
    <n v="1"/>
    <m/>
    <n v="1"/>
    <x v="99"/>
    <s v="Implementación de la Casa Refugio de la Mujer del Departamento del Quindío"/>
    <s v="Mejorar las condiciones de calidad de vida de la población, en acceso incluyente y equitativo a la oferta de servicios del Estado y la ampliación de oportunidades para los Quindianos a través de la implementación de la  Casa Refugia para la protección de la mujer víctima del departamento del Quindío. "/>
    <m/>
    <m/>
    <m/>
    <m/>
    <m/>
    <m/>
    <n v="75000000"/>
    <m/>
    <m/>
    <n v="75000000"/>
    <s v="Secretaria de Familia"/>
  </r>
  <r>
    <n v="318"/>
    <x v="11"/>
    <n v="1"/>
    <s v="Inclusión Social y Equidad"/>
    <n v="19"/>
    <s v="Salud y protección social"/>
    <n v="1903"/>
    <s v="Inspección, vigilancia y control. &quot;Tú y yo con salud certificada&quot; "/>
    <n v="1903"/>
    <s v="Inspección, vigilancia y control"/>
    <s v="Mortalidad por diarreica aguda (EDA) menores 5 años (número de muertes anual)"/>
    <n v="1903009"/>
    <s v="Servicio de concepto sanitario"/>
    <n v="1903009"/>
    <s v="Servicio de registro sanitario"/>
    <n v="190300900"/>
    <s v="Conceptos sanitarios expedidos"/>
    <n v="190300900"/>
    <s v="Registros sanitarios expedidos"/>
    <s v="N.A."/>
    <n v="960"/>
    <m/>
    <n v="960"/>
    <x v="100"/>
    <s v="Fortalecimiento de la autoridad sanitaria en el Departamento del Quindío                                                                                           "/>
    <s v="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
    <m/>
    <m/>
    <n v="78000000"/>
    <m/>
    <m/>
    <m/>
    <m/>
    <m/>
    <m/>
    <n v="78000000"/>
    <s v=" Secretario de Salud"/>
  </r>
  <r>
    <n v="318"/>
    <x v="11"/>
    <n v="1"/>
    <s v="Inclusión Social y Equidad"/>
    <n v="19"/>
    <s v="Salud y protección social"/>
    <n v="1903"/>
    <s v="Inspección, vigilancia y control. &quot;Tú y yo con salud certificada&quot; "/>
    <n v="1903"/>
    <s v="Inspección, vigilancia y control"/>
    <s v="Mortalidad por diarreica aguda (EDA) menores 5 años (número de muertes anual)"/>
    <n v="1903050"/>
    <s v="Realizar la vigilancia epidemiológica de plaguicidas en el marco del programa veo (vigilancia epidemiológica de organofosforados y carba matos) en los municipios de competencia departamental."/>
    <n v="1903050"/>
    <s v="Realizar la vigilancia epidemiológica de plaguicidas en el marco del programa veo (vigilancia epidemiológica de organofosforados y carba matos) en los municipios de competencia departamental."/>
    <n v="190305000"/>
    <s v="Municipios con procesos de vigilancia epidemiológica de plaguicidas organofosforados y carbamatos realizados."/>
    <n v="190305000"/>
    <s v="Entidades territoriales con vigilancia y control realizados"/>
    <s v="A"/>
    <n v="12"/>
    <m/>
    <n v="12"/>
    <x v="100"/>
    <s v="Fortalecimiento de la autoridad sanitaria en el Departamento del Quindío                                                                                           "/>
    <s v="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
    <m/>
    <m/>
    <n v="48000000"/>
    <m/>
    <m/>
    <m/>
    <m/>
    <m/>
    <m/>
    <n v="48000000"/>
    <s v=" Secretario de Salud"/>
  </r>
  <r>
    <n v="318"/>
    <x v="11"/>
    <n v="1"/>
    <s v="Inclusión Social y Equidad"/>
    <n v="19"/>
    <s v="Salud y protección social"/>
    <n v="1903"/>
    <s v="Inspección, vigilancia y control. &quot;Tú y yo con salud certificada&quot; "/>
    <n v="1903"/>
    <s v="Inspección, vigilancia y control"/>
    <s v="Tasa de mortalidad en menores de 1 año (por 1000 nacidos vivos)."/>
    <n v="1903031"/>
    <s v="Servicio de información de vigilancia epidemiológica"/>
    <n v="1903031"/>
    <s v="Servicio de información de vigilancia epidemiológica"/>
    <n v="190303100"/>
    <s v="Informes de evento generados en la vigencia"/>
    <n v="190303100"/>
    <s v="Informes de evento generados en la vigencia"/>
    <s v="A"/>
    <n v="12"/>
    <m/>
    <n v="12"/>
    <x v="100"/>
    <s v="Fortalecimiento de la autoridad sanitaria en el Departamento del Quindío                                                                                           "/>
    <s v="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
    <m/>
    <m/>
    <n v="76800000"/>
    <m/>
    <m/>
    <m/>
    <m/>
    <m/>
    <m/>
    <n v="76800000"/>
    <s v=" Secretario de Salud"/>
  </r>
  <r>
    <n v="318"/>
    <x v="11"/>
    <n v="1"/>
    <s v="Inclusión Social y Equidad"/>
    <n v="19"/>
    <s v="Salud y protección social"/>
    <n v="1903"/>
    <s v="Inspección, vigilancia y control. &quot;Tú y yo con salud certificada&quot; "/>
    <n v="1903"/>
    <s v="Inspección, vigilancia y control"/>
    <s v="Prevalencia de niños menores de 5 años con desnutrición aguda"/>
    <n v="1903023"/>
    <s v="Servicio de asistencia técnica en inspección, vigilancia y control"/>
    <n v="1903023"/>
    <s v="Servicio de asistencia técnica en inspección, vigilancia y control"/>
    <n v="190302300"/>
    <s v="Asistencias técnica en Inspección, Vigilancia y Control realizadas"/>
    <n v="190302300"/>
    <s v="Asistencias técnica en Inspección, Vigilancia y Control realizadas"/>
    <s v="A"/>
    <n v="12"/>
    <m/>
    <n v="12"/>
    <x v="100"/>
    <s v="Fortalecimiento de la autoridad sanitaria en el Departamento del Quindío                                                                                           "/>
    <s v="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
    <m/>
    <m/>
    <n v="20000000"/>
    <m/>
    <m/>
    <m/>
    <m/>
    <m/>
    <m/>
    <n v="20000000"/>
    <s v=" Secretario de Salud"/>
  </r>
  <r>
    <n v="318"/>
    <x v="11"/>
    <n v="1"/>
    <s v="Inclusión Social y Equidad"/>
    <n v="19"/>
    <s v="Salud y protección social"/>
    <n v="1903"/>
    <s v="Inspección, vigilancia y control. &quot;Tú y yo con salud certificada&quot; "/>
    <n v="1903"/>
    <s v="Inspección, vigilancia y control"/>
    <s v="Mortalidad por infección respiratoria aguda (IRA) menores 5 años (número de muertes anual)"/>
    <s v="ND"/>
    <s v="Realizar la vigilancia epidemiológica de plaguicidas en el marco del programa VEO (vigilancia epidemiológica de organofosforados y carba matos) en los municipios de competencia departamental."/>
    <n v="1903050"/>
    <s v="Servicio de asistencia técnica en inspección vigilancia y control"/>
    <s v="ND"/>
    <s v="Municipios con procesos de vigilancia epidemiológica de plaguicidas organofosforados y carbamatos realizados."/>
    <n v="190302300"/>
    <s v="Asistencias técnicas en inspección vigilacia y control realizadas"/>
    <s v="A"/>
    <n v="12"/>
    <m/>
    <n v="12"/>
    <x v="100"/>
    <s v="Fortalecimiento de la autoridad sanitaria en el Departamento del Quindío                                                                                           "/>
    <s v="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
    <m/>
    <m/>
    <n v="20000000"/>
    <m/>
    <m/>
    <m/>
    <m/>
    <m/>
    <m/>
    <n v="20000000"/>
    <s v=" Secretario de Salud"/>
  </r>
  <r>
    <n v="318"/>
    <x v="11"/>
    <n v="1"/>
    <s v="Inclusión Social y Equidad"/>
    <n v="19"/>
    <s v="Salud y protección social"/>
    <n v="1903"/>
    <s v="Inspección, vigilancia y control. &quot;Tú y yo con salud certificada&quot; "/>
    <n v="1903"/>
    <s v="Inspección, vigilancia y control"/>
    <s v="Mortalidad por diarreica aguda (EDA) menores 5 años (número de muertes anual)"/>
    <s v="ND"/>
    <s v="Implementación del Modelo Operativo de Inspección, Vigilancia y Control IVC sanitario en los municipios de competencia departamental. "/>
    <n v="1903038"/>
    <s v="Servicio de promoción, prevención, vigilancia y control de vectores y zoonosis"/>
    <s v="ND"/>
    <s v="Modelo de IVC sanitario operando "/>
    <n v="190303801"/>
    <s v="Municipios categorías 4,5 y 6 que formulen y ejecuten real y efectivamente acciones de promoción, prevención, vigilancia  y control de vectores y zoonosis  realizados "/>
    <s v="A"/>
    <n v="1"/>
    <m/>
    <n v="1"/>
    <x v="100"/>
    <s v="Fortalecimiento de la autoridad sanitaria en el Departamento del Quindío                                                                                           "/>
    <s v="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
    <m/>
    <m/>
    <m/>
    <m/>
    <m/>
    <m/>
    <m/>
    <n v="1048899508.2"/>
    <m/>
    <n v="1048899508.2"/>
    <s v=" Secretario de Salud"/>
  </r>
  <r>
    <n v="318"/>
    <x v="11"/>
    <n v="1"/>
    <s v="Inclusión Social y Equidad"/>
    <n v="19"/>
    <s v="Salud y protección social"/>
    <n v="1903"/>
    <s v="Inspección, vigilancia y control. &quot;Tú y yo con salud certificada&quot; "/>
    <n v="1903"/>
    <s v="Inspección, vigilancia y control"/>
    <s v="Mortalidad por dengue (casos)"/>
    <n v="1903038"/>
    <s v="Servicio de promoción, prevención, vigilancia y control de vectores y zoonosis"/>
    <n v="1903038"/>
    <s v="Servicio de promoción, prevención, vigilancia y control de vectores y zoonosis"/>
    <n v="190303801"/>
    <s v="Municipios categorías 4, 5 y 6 qué formulen y ejecuten real y efectivamente acciones de promoción, prevención, vigilancia y control de vectores y zoonosis realizados"/>
    <n v="190303801"/>
    <s v="Municipios categorías 4, 5 y 6 qué formulen y ejecuten real y efectivamente acciones de promoción, prevención, vigilancia y control de vectores y zoonosis realizados"/>
    <s v="A"/>
    <n v="11"/>
    <m/>
    <n v="11"/>
    <x v="100"/>
    <s v="Fortalecimiento de la autoridad sanitaria en el Departamento del Quindío                                                                                           "/>
    <s v="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
    <m/>
    <m/>
    <n v="36000000"/>
    <m/>
    <m/>
    <m/>
    <m/>
    <m/>
    <m/>
    <n v="36000000"/>
    <s v=" Secretario de Salud"/>
  </r>
  <r>
    <n v="318"/>
    <x v="11"/>
    <n v="1"/>
    <s v="Inclusión Social y Equidad"/>
    <n v="19"/>
    <s v="Salud y protección social"/>
    <n v="1903"/>
    <s v="Inspección, vigilancia y control. &quot;Tú y yo con salud certificada&quot; "/>
    <n v="1903"/>
    <s v="Inspección, vigilancia y control"/>
    <s v="Tasa de mortalidad en menores de 1 año (por 1000 nacidos vivos)."/>
    <n v="1903027"/>
    <s v="Servicio de evaluación, aprobación y seguimiento de planes de gestión integral del riesgo"/>
    <n v="1903027"/>
    <s v="Servicio de evaluación, aprobación y seguimiento de planes de gestión integral del riesgo"/>
    <n v="190302700"/>
    <s v="Informes de evaluación, aprobación y seguimiento de Planes de Gestión Integral de Riesgo realizados"/>
    <n v="190302700"/>
    <s v="Informes de evaluación, aprobación y seguimiento de Planes de Gestión Integral de Riesgo realizados"/>
    <s v="A"/>
    <n v="5"/>
    <m/>
    <n v="5"/>
    <x v="100"/>
    <s v="Fortalecimiento de la autoridad sanitaria en el Departamento del Quindío                                                                                           "/>
    <s v="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
    <m/>
    <m/>
    <n v="23000000"/>
    <m/>
    <m/>
    <m/>
    <m/>
    <m/>
    <m/>
    <n v="23000000"/>
    <s v=" Secretario de Salud"/>
  </r>
  <r>
    <n v="318"/>
    <x v="11"/>
    <n v="1"/>
    <s v="Inclusión Social y Equidad"/>
    <n v="19"/>
    <s v="Salud y protección social"/>
    <n v="1903"/>
    <s v="Inspección, vigilancia y control. &quot;Tú y yo con salud certificada&quot; "/>
    <n v="1903"/>
    <s v="Inspección, vigilancia y control"/>
    <s v="Porcentaje de atención institucional del parto por personal calificado."/>
    <n v="1903011"/>
    <s v="Servicio de inspección, vigilancia y control"/>
    <n v="1903011"/>
    <s v="Servicio de inspección, vigilancia y control"/>
    <n v="190301100"/>
    <s v="visitas realizadas"/>
    <n v="190301100"/>
    <s v="Visitas realizadas"/>
    <s v="A"/>
    <n v="140"/>
    <m/>
    <n v="140"/>
    <x v="100"/>
    <s v="Fortalecimiento de la autoridad sanitaria en el Departamento del Quindío                                                                                           "/>
    <s v="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
    <m/>
    <m/>
    <n v="48000000"/>
    <m/>
    <m/>
    <m/>
    <m/>
    <m/>
    <m/>
    <n v="48000000"/>
    <s v=" Secretario de Salud"/>
  </r>
  <r>
    <n v="318"/>
    <x v="11"/>
    <n v="1"/>
    <s v="Inclusión Social y Equidad"/>
    <n v="19"/>
    <s v="Salud y protección social"/>
    <n v="1903"/>
    <s v="Inspección, vigilancia y control. &quot;Tú y yo con salud certificada&quot; "/>
    <n v="1903"/>
    <s v="Inspección, vigilancia y control"/>
    <s v="Porcentaje de población asegurada al SGSSS_x000a_Oportunidad en la presunción diagnóstica y tratamiento oncológico en menores de 18 años (alta y media)"/>
    <n v="1903001"/>
    <s v="Documentos de lineamientos técnicos"/>
    <n v="1903001"/>
    <s v="Documentos de lineamientos técnicos"/>
    <n v="190300100"/>
    <s v="Documentos técnicos publicados y/o socializados"/>
    <n v="190300100"/>
    <s v="Documentos técnicos publicados y/o socializados"/>
    <s v="A"/>
    <n v="2"/>
    <m/>
    <n v="2"/>
    <x v="101"/>
    <s v=" Implementación de programas de promoción social en poblaciones  especiales en el Departamento del Quindío "/>
    <s v="Fortalecer la gestión intersectorial en salud de los grupos con alta vulnerabilidad"/>
    <m/>
    <m/>
    <n v="108000000"/>
    <m/>
    <m/>
    <m/>
    <m/>
    <m/>
    <m/>
    <n v="108000000"/>
    <s v=" Secretario de Salud"/>
  </r>
  <r>
    <n v="318"/>
    <x v="11"/>
    <n v="1"/>
    <s v="Inclusión Social y Equidad"/>
    <n v="19"/>
    <s v="Salud y protección social"/>
    <n v="1903"/>
    <s v="Inspección, vigilancia y control. &quot;Tú y yo con salud certificada&quot; "/>
    <n v="1903"/>
    <s v="Inspección, vigilancia y control"/>
    <s v="Mortalidad por diarreica aguda (EDA) menores 5 años (número de muertes anual)_x000a_Prevalencia de niños menores de 5 años con desnutrición aguda_x000a_Índice de riesgo de la calidad de agua para consumo humano IRCA"/>
    <n v="1903012"/>
    <s v="Servicio de análisis de laboratorio"/>
    <n v="1903012"/>
    <s v="Servicio de análisis de laboratorio"/>
    <n v="190301200"/>
    <s v="Análisis realizados"/>
    <n v="190301200"/>
    <s v="Análisis realizados"/>
    <s v="A"/>
    <n v="4000"/>
    <m/>
    <n v="4000"/>
    <x v="102"/>
    <s v=" Fortalecimiento de las actividades de vigilancia y control del laboratorio de salud pública en el Departamento del Quindío"/>
    <s v="Mejorar la capacidad analítica del LSP Departamental  para dar respuesta  a las necesidades del Sistema de Vigilancia en Salud Pública"/>
    <m/>
    <m/>
    <n v="793600000"/>
    <m/>
    <m/>
    <m/>
    <n v="295214717.06"/>
    <m/>
    <m/>
    <n v="1088814717.0599999"/>
    <s v=" Secretario de Salud"/>
  </r>
  <r>
    <n v="318"/>
    <x v="11"/>
    <n v="1"/>
    <s v="Inclusión Social y Equidad"/>
    <n v="19"/>
    <s v="Salud y protección social"/>
    <n v="1903"/>
    <s v="Inspección, vigilancia y control. &quot;Tú y yo con salud certificada&quot; "/>
    <n v="1903"/>
    <s v="Inspección, vigilancia y control"/>
    <s v="Tasa ajustada por edad de mortalidad asociada a cáncer de cuello uterino (por 100.000 mujeres)."/>
    <n v="1903016"/>
    <s v="Servicio de auditoría y visitas inspectivas"/>
    <n v="1903016"/>
    <s v="Servicio de auditoría y visitas inspectivas"/>
    <n v="190301600"/>
    <s v="Auditorías y visitas inspectivas realizadas"/>
    <n v="190301600"/>
    <s v="Auditorías y visitas inspectivas realizadas"/>
    <s v="A"/>
    <n v="240"/>
    <m/>
    <n v="240"/>
    <x v="102"/>
    <s v=" Fortalecimiento de las actividades de vigilancia y control del laboratorio de salud pública en el Departamento del Quindío"/>
    <s v="Mejorar la capacidad analítica del LSP Departamental  para dar respuesta  a las necesidades del Sistema de Vigilancia en Salud Pública"/>
    <m/>
    <m/>
    <n v="112800000"/>
    <m/>
    <m/>
    <m/>
    <m/>
    <m/>
    <m/>
    <n v="112800000"/>
    <s v=" Secretario de Salud"/>
  </r>
  <r>
    <n v="318"/>
    <x v="11"/>
    <n v="1"/>
    <s v="Inclusión Social y Equidad"/>
    <n v="19"/>
    <s v="Salud y protección social"/>
    <n v="1903"/>
    <s v="Inspección, vigilancia y control. &quot;Tú y yo con salud certificada&quot; "/>
    <n v="1903"/>
    <s v="Inspección, vigilancia y control"/>
    <s v="Tasa mortalidad en menores de 5 años (por 1.000 nacidos vivos)."/>
    <n v="1903011"/>
    <s v="Servicio de inspección, vigilancia y control"/>
    <n v="1903011"/>
    <s v="Servicio de inspección, vigilancia y control"/>
    <n v="190301101"/>
    <s v="Informes de los resultados obtenidos en la vigilancia sanitaria "/>
    <n v="190301101"/>
    <s v="Informes de los resultados obtenidos en la vigilancia sanitaria "/>
    <s v="A"/>
    <n v="12"/>
    <m/>
    <n v="12"/>
    <x v="102"/>
    <s v=" Fortalecimiento de las actividades de vigilancia y control del laboratorio de salud pública en el Departamento del Quindío"/>
    <s v="Mejorar la capacidad analítica del LSP Departamental  para dar respuesta  a las necesidades del Sistema de Vigilancia en Salud Pública"/>
    <m/>
    <m/>
    <n v="132000000"/>
    <m/>
    <m/>
    <m/>
    <m/>
    <m/>
    <m/>
    <n v="132000000"/>
    <s v=" Secretario de Salud"/>
  </r>
  <r>
    <n v="318"/>
    <x v="11"/>
    <n v="1"/>
    <s v="Inclusión Social y Equidad"/>
    <n v="19"/>
    <s v="Salud y protección social"/>
    <n v="1903"/>
    <s v="Inspección, vigilancia y control. &quot;Tú y yo con salud certificada&quot; "/>
    <n v="1903"/>
    <s v="Inspección, vigilancia y control"/>
    <s v="Tasa mortalidad en menores de 5 años (por 1.000 nacidos vivos)."/>
    <n v="1903034"/>
    <s v="Servicio de asistencia técnica"/>
    <n v="1903034"/>
    <s v="Servicio de asistencia técnica"/>
    <n v="190303400"/>
    <s v="Asistencias técnicas realizadas"/>
    <n v="190303400"/>
    <s v="Asistencias técnicas realizadas"/>
    <s v="A"/>
    <n v="12"/>
    <m/>
    <n v="12"/>
    <x v="103"/>
    <s v=" Asistencia técnica para el fortalecimiento de la gestión de las entidades territoriales del Departamento del Quindío  "/>
    <s v="Fortalecer los procesos de articulación y competencias territoriales en el sistema general de seguridad social en salud "/>
    <m/>
    <m/>
    <m/>
    <m/>
    <m/>
    <m/>
    <n v="100000000"/>
    <m/>
    <m/>
    <n v="100000000"/>
    <s v=" Secretario de Salud"/>
  </r>
  <r>
    <n v="318"/>
    <x v="11"/>
    <n v="1"/>
    <s v="Inclusión Social y Equidad"/>
    <n v="19"/>
    <s v="Salud y protección social"/>
    <n v="1903"/>
    <s v="Inspección, vigilancia y control. &quot;Tú y yo con salud certificada&quot; "/>
    <n v="1903"/>
    <s v="Inspección, vigilancia y control"/>
    <s v="Oportunidad en la presunción diagnóstica y tratamiento oncológico en menores de 18 años (alta y media)"/>
    <n v="1903045"/>
    <s v="Servicio de información para la gestión de la inspección, vigilancia y control sanitario"/>
    <n v="1903045"/>
    <s v="Servicio de información para la gestión de la inspección, vigilancia y control sanitario"/>
    <n v="190304500"/>
    <s v="Usuarios del sistema"/>
    <n v="190304500"/>
    <s v="Usuarios del sistema"/>
    <s v="N.A."/>
    <n v="1058"/>
    <m/>
    <n v="1058"/>
    <x v="104"/>
    <s v="Asesoría y apoyo al proceso del sistema obligatorio de garantía de calidad de los prestadores de salud en el Departamento del Quindío"/>
    <s v="Asegurar la implementación y cumplimiento de la totalidad de los estándares de Habilitación de acuerdo al nivel de complejidad."/>
    <m/>
    <m/>
    <m/>
    <m/>
    <m/>
    <m/>
    <n v="150000000"/>
    <m/>
    <m/>
    <n v="150000000"/>
    <s v=" Secretario de Salud"/>
  </r>
  <r>
    <n v="318"/>
    <x v="11"/>
    <n v="1"/>
    <s v="Inclusión Social y Equidad"/>
    <n v="19"/>
    <s v="Salud y protección social"/>
    <n v="1903"/>
    <s v="Inspección, vigilancia y control. &quot;Tú y yo con salud certificada&quot; "/>
    <n v="1903"/>
    <s v="Inspección, vigilancia y control"/>
    <s v="Porcentaje transmisión materno -infantil del VIH."/>
    <n v="1903028"/>
    <s v="Servicio de Gestión de Peticiones, Quejas, Reclamos y Denuncias"/>
    <n v="1903028"/>
    <s v="Servicio de Gestión de Peticiones, Quejas, Reclamos y Denuncias"/>
    <n v="190302800"/>
    <s v="Preguntas Quejas Reclamos y Denuncias Gestionadas"/>
    <n v="190302800"/>
    <s v="Preguntas Quejas Reclamos y Denuncias Gestionadas"/>
    <s v="A"/>
    <n v="250"/>
    <m/>
    <n v="250"/>
    <x v="105"/>
    <s v="Apoyo operativo a la inversión social en salud en el Departamento del Quindío "/>
    <s v="Fortalecer los procesos estratégicos, administrativos y misionales del sector salud en el departamento del Quindío  "/>
    <m/>
    <m/>
    <m/>
    <n v="0"/>
    <m/>
    <m/>
    <n v="50000000"/>
    <m/>
    <m/>
    <n v="50000000"/>
    <s v=" Secretario de Salud"/>
  </r>
  <r>
    <n v="318"/>
    <x v="11"/>
    <n v="1"/>
    <s v="Inclusión Social y Equidad"/>
    <n v="19"/>
    <s v="Salud y protección social"/>
    <n v="1903"/>
    <s v="Inspección, vigilancia y control. &quot;Tú y yo con salud certificada&quot; "/>
    <n v="1903"/>
    <s v="Inspección, vigilancia y control"/>
    <s v="Tasa de violencia de género"/>
    <n v="1903025"/>
    <s v="Servicio de implementación de estrategias para el fortalecimiento del control social en salud"/>
    <n v="1903025"/>
    <s v="Servicio de implementación de estrategias para el fortalecimiento del control social en salud"/>
    <n v="190302500"/>
    <s v="Estrategias para el fortalecimiento del control social en salud implementadas"/>
    <n v="190302500"/>
    <s v="Estrategias para el fortalecimiento del control social en salud implementadas"/>
    <s v="A"/>
    <n v="12"/>
    <m/>
    <n v="12"/>
    <x v="105"/>
    <s v="Apoyo operativo a la inversión social en salud en el Departamento del Quindío "/>
    <s v="Fortalecer los procesos estratégicos, administrativos y misionales del sector salud en el departamento del Quindío  "/>
    <m/>
    <m/>
    <m/>
    <n v="0"/>
    <m/>
    <m/>
    <n v="100000000"/>
    <m/>
    <m/>
    <n v="100000000"/>
    <s v=" Secretario de Salud"/>
  </r>
  <r>
    <n v="318"/>
    <x v="11"/>
    <n v="1"/>
    <s v="Inclusión Social y Equidad"/>
    <n v="19"/>
    <s v="Salud y protección social"/>
    <n v="1905"/>
    <s v="Salud Pública, &quot;Tú y yo con salud de calidad&quot;"/>
    <n v="1905"/>
    <s v="Salud pública"/>
    <s v="Prevalencia de niños menores de 5 años con desnutrición aguda"/>
    <n v="1905028"/>
    <s v="Servicio de gestión del riesgo para temas de consumo, aprovechamiento biológico, calidad e inocuidad de los alimentos."/>
    <n v="1905028"/>
    <s v="Servicio de gestión del riesgo para temas de consumo, aprovechamiento biológico, calidad e inocuidad de los alimentos."/>
    <n v="190502800"/>
    <s v="Campañas de gestión del riesgo para temas de consumo, aprovechamiento biológico, calidad e inocuidad de los alimentos implementadas"/>
    <n v="190502800"/>
    <s v="Campañas de gestión del riesgo para temas de consumo, aprovechamiento biológico, calidad e inocuidad de los alimentos implementadas"/>
    <s v="A"/>
    <n v="12"/>
    <m/>
    <n v="12"/>
    <x v="106"/>
    <s v="Aprovechamiento biológico y consumo de  alimentos inocuos  en el Departamento del Quindío "/>
    <s v="Disminuir o mantener la proporción de niños menores de 5 años en riesgo de desnutrición moderada o severa aguda"/>
    <m/>
    <m/>
    <n v="108000000"/>
    <m/>
    <m/>
    <m/>
    <m/>
    <m/>
    <m/>
    <n v="108000000"/>
    <s v=" Secretario de Salud"/>
  </r>
  <r>
    <n v="318"/>
    <x v="11"/>
    <n v="1"/>
    <s v="Inclusión Social y Equidad"/>
    <n v="19"/>
    <s v="Salud y protección social"/>
    <n v="1905"/>
    <s v="Salud Pública, &quot;Tú y yo con salud de calidad&quot;"/>
    <n v="1905"/>
    <s v="Salud pública"/>
    <s v="Prevalencia de niños menores de 5 años con desnutrición aguda"/>
    <n v="1905031"/>
    <s v="Servicios de promoción de la salud y prevención de riesgos asociados a condiciones no transmisibles"/>
    <n v="1905031"/>
    <s v="Servicios de promoción de la salud y prevención de riesgos asociados a condiciones no transmisibles"/>
    <n v="190503100"/>
    <s v="Campañas de promoción de la salud y prevención de riesgos asociados a condiciones no transmisibles implementadas"/>
    <n v="190503100"/>
    <s v="Campañas de promoción de la salud y prevención de riesgos asociados a condiciones no transmisibles implementadas"/>
    <s v="A"/>
    <n v="12"/>
    <m/>
    <n v="12"/>
    <x v="106"/>
    <s v="Aprovechamiento biológico y consumo de  alimentos inocuos  en el Departamento del Quindío "/>
    <s v="Disminuir o mantener la proporción de niños menores de 5 años en riesgo de desnutrición moderada o severa aguda"/>
    <m/>
    <m/>
    <n v="54000000"/>
    <m/>
    <m/>
    <m/>
    <n v="150000000"/>
    <m/>
    <m/>
    <n v="204000000"/>
    <s v=" Secretario de Salud"/>
  </r>
  <r>
    <n v="318"/>
    <x v="11"/>
    <n v="1"/>
    <s v="Inclusión Social y Equidad"/>
    <n v="19"/>
    <s v="Salud y protección social"/>
    <n v="1905"/>
    <s v="Salud Pública, &quot;Tú y yo con salud de calidad&quot;"/>
    <n v="1905"/>
    <s v="Salud pública"/>
    <s v="Tasa de mortalidad por malaria."/>
    <n v="1905019"/>
    <s v="Servicio de educación informal en temas de salud pública "/>
    <n v="1905019"/>
    <s v="Servicio de educación informal en temas de salud pública "/>
    <n v="190501900"/>
    <s v="Personas capacitadas"/>
    <n v="190501900"/>
    <s v="Personas capacitadas"/>
    <s v="A"/>
    <n v="60"/>
    <m/>
    <n v="60"/>
    <x v="107"/>
    <s v="Control en Salud Ambiental para la consecución de un estado de vida saludable de la población  del  Departamento del Quindío."/>
    <s v="Disminuir  los factores de riesgo sanitarios y ambientales asociados a eventos de interés en salud pública relacionados con la salud ambiental como en aumento de la carga contaminante del agua, entre otros."/>
    <m/>
    <m/>
    <n v="36000000"/>
    <m/>
    <m/>
    <m/>
    <m/>
    <m/>
    <m/>
    <n v="36000000"/>
    <s v=" Secretario de Salud"/>
  </r>
  <r>
    <n v="318"/>
    <x v="11"/>
    <n v="1"/>
    <s v="Inclusión Social y Equidad"/>
    <n v="19"/>
    <s v="Salud y protección social"/>
    <n v="1905"/>
    <s v="Salud Pública, &quot;Tú y yo con salud de calidad&quot;"/>
    <n v="1905"/>
    <s v="Salud pública"/>
    <s v="Tasa  de mujeres de 10 a 14 años qué han sido madres o están en embarazo._x000a_Tasa de mujeres de 15 a 19 años qué han sido madres o están en embarazo."/>
    <s v="ND"/>
    <s v="Realizar seguimiento y monitoreo a las Entidades Administradoras de Planes Básicos EAPB en la implementación de la Ruta Integral de Atención para la Promoción y Mantenimiento de la Salud y Materno Perinatal en el Departamento  "/>
    <n v="1905031"/>
    <s v="Servicio de promoción de la salud y prevención de riesgos asociados a condiciones no transmisibles (1905031)"/>
    <s v="DNP"/>
    <s v="Entidades Administradoras de Planes Básicos EAPB con Rutas de obligatorio cumplimiento Implementadas"/>
    <n v="190503100"/>
    <s v="Campañas de promoción de la salud  y prevención de riesgos asociados a condiciones no transmisibles implementadas (190503100)"/>
    <s v="A"/>
    <n v="11"/>
    <m/>
    <n v="11"/>
    <x v="107"/>
    <s v="Control en Salud Ambiental para la consecución de un estado de vida saludable de la población  del  Departamento del Quindío."/>
    <s v="Disminuir  los factores de riesgo sanitarios y ambientales asociados a eventos de interés en salud pública relacionados con la salud ambiental como en aumento de la carga contaminante del agua, entre otros."/>
    <m/>
    <m/>
    <n v="60000000"/>
    <m/>
    <m/>
    <m/>
    <n v="150000000"/>
    <m/>
    <m/>
    <n v="210000000"/>
    <s v=" Secretario de Salud"/>
  </r>
  <r>
    <n v="318"/>
    <x v="11"/>
    <n v="1"/>
    <s v="Inclusión Social y Equidad"/>
    <n v="19"/>
    <s v="Salud y protección social"/>
    <n v="1905"/>
    <s v="Salud Pública, &quot;Tú y yo con salud de calidad&quot;"/>
    <n v="1905"/>
    <s v="Salud pública"/>
    <s v="Mortalidad por dengue (casos)_x000a_Letalidad por dengue."/>
    <s v="ND"/>
    <s v="Formular en Plan de Fortalecimiento de Capacidades en Salud Ambiental en coordinación con el Consejo Territorial de Salud Ambiental COTSA"/>
    <n v="1905015"/>
    <s v="Documentos de planeación"/>
    <s v="ND"/>
    <s v="Plan de Fortalecimiento de Capacidades en Salud Ambiental Formulado "/>
    <n v="190501500"/>
    <s v="Documentos de planeación elaborados"/>
    <s v="A"/>
    <n v="1"/>
    <m/>
    <n v="1"/>
    <x v="107"/>
    <s v="Control en Salud Ambiental para la consecución de un estado de vida saludable de la población  del  Departamento del Quindío."/>
    <s v="Disminuir  los factores de riesgo sanitarios y ambientales asociados a eventos de interés en salud pública relacionados con la salud ambiental como en aumento de la carga contaminante del agua, entre otros."/>
    <m/>
    <m/>
    <n v="78000000"/>
    <m/>
    <m/>
    <m/>
    <m/>
    <m/>
    <m/>
    <n v="78000000"/>
    <s v=" Secretario de Salud"/>
  </r>
  <r>
    <n v="318"/>
    <x v="11"/>
    <n v="1"/>
    <s v="Inclusión Social y Equidad"/>
    <n v="19"/>
    <s v="Salud y protección social"/>
    <n v="1905"/>
    <s v="Salud Pública, &quot;Tú y yo con salud de calidad&quot;"/>
    <n v="1905"/>
    <s v="Salud pública"/>
    <s v="Mortalidad por infección respiratoria aguda (IRA) menores 5 años (número de muertes anual)"/>
    <s v="ND"/>
    <s v="Implementar el protocolo de vigilancia sanitaria y ambiental de los efectos en salud relacionados con la contaminación del aire en los 11 municipios de competencia departamental."/>
    <n v="1905024"/>
    <s v="Servicio de gestión del riesgo para abordar situaciones de salud relacionadas con condiciones ambientales"/>
    <s v="ND"/>
    <s v="Protocolo implementado"/>
    <n v="190502400"/>
    <s v="Campañas de gestión del riesgo para abordar situaciones de salud relacionadas con condiciones ambientales implementadas"/>
    <s v="N.A."/>
    <n v="3"/>
    <m/>
    <n v="3"/>
    <x v="107"/>
    <s v="Control en Salud Ambiental para la consecución de un estado de vida saludable de la población  del  Departamento del Quindío."/>
    <s v="Disminuir  los factores de riesgo sanitarios y ambientales asociados a eventos de interés en salud pública relacionados con la salud ambiental como en aumento de la carga contaminante del agua, entre otros."/>
    <m/>
    <m/>
    <n v="78000000"/>
    <m/>
    <m/>
    <m/>
    <m/>
    <m/>
    <m/>
    <n v="78000000"/>
    <s v=" Secretario de Salud"/>
  </r>
  <r>
    <n v="318"/>
    <x v="11"/>
    <n v="1"/>
    <s v="Inclusión Social y Equidad"/>
    <n v="19"/>
    <s v="Salud y protección social"/>
    <n v="1905"/>
    <s v="Salud Pública, &quot;Tú y yo con salud de calidad&quot;"/>
    <n v="1905"/>
    <s v="Salud pública"/>
    <s v="Mortalidad por infección respiratoria aguda (IRA) menores 5 años (número de muertes anual)"/>
    <s v="ND"/>
    <s v="Implementar la estrategia de entornos saludables en articulación intersectorial y sectorial en los entornos de vivienda, educativo, institucional y comunitario con énfasis en la Atención Primaria en Salud Ambiental APSA."/>
    <n v="1905024"/>
    <s v="Servicio de gestión del riesgo para abordar situaciones de salud relacionadas con condiciones ambientales"/>
    <s v="ND"/>
    <s v="Estrategia de entornos saludables en articulación intersectorial y sectorial implementada "/>
    <n v="190502400"/>
    <s v="Campañas de gestión del riesgo para abordar situaciones de salud relacionadas con condiciones ambientales implementadas"/>
    <s v="A"/>
    <n v="12"/>
    <m/>
    <n v="12"/>
    <x v="107"/>
    <s v="Control en Salud Ambiental para la consecución de un estado de vida saludable de la población  del  Departamento del Quindío."/>
    <s v="Disminuir  los factores de riesgo sanitarios y ambientales asociados a eventos de interés en salud pública relacionados con la salud ambiental como en aumento de la carga contaminante del agua, entre otros."/>
    <m/>
    <m/>
    <n v="39000000"/>
    <m/>
    <m/>
    <m/>
    <m/>
    <m/>
    <m/>
    <n v="39000000"/>
    <s v=" Secretario de Salud"/>
  </r>
  <r>
    <n v="318"/>
    <x v="11"/>
    <n v="1"/>
    <s v="Inclusión Social y Equidad"/>
    <n v="19"/>
    <s v="Salud y protección social"/>
    <n v="1905"/>
    <s v="Salud Pública, &quot;Tú y yo con salud de calidad&quot;"/>
    <n v="1905"/>
    <s v="Salud pública"/>
    <s v="Oportunidad en la presunción diagnóstica y tratamiento oncológico en menores de 18 años (alta y media)"/>
    <s v="ND"/>
    <s v="Implementación de la estrategia de movilidad saludable, segura y sostenible "/>
    <n v="1905024"/>
    <s v="Servicio de gestión del riesgo para abordar situaciones de salud relacionadas con condiciones ambientales"/>
    <s v="ND"/>
    <s v="Estrategia de movilidad saludable, segura y sostenible   implementada "/>
    <n v="190502401"/>
    <s v="Personas atendidas con campañas de gestión del riesgo para abordar situaciones de salud relacionadas con condiciones ambientales"/>
    <s v="N.A."/>
    <n v="2"/>
    <m/>
    <n v="2"/>
    <x v="107"/>
    <s v="Control en Salud Ambiental para la consecución de un estado de vida saludable de la población  del  Departamento del Quindío."/>
    <s v="Disminuir  los factores de riesgo sanitarios y ambientales asociados a eventos de interés en salud pública relacionados con la salud ambiental como en aumento de la carga contaminante del agua, entre otros."/>
    <m/>
    <m/>
    <n v="39000000"/>
    <m/>
    <m/>
    <m/>
    <m/>
    <m/>
    <m/>
    <n v="39000000"/>
    <s v=" Secretario de Salud"/>
  </r>
  <r>
    <n v="318"/>
    <x v="11"/>
    <n v="1"/>
    <s v="Inclusión Social y Equidad"/>
    <n v="19"/>
    <s v="Salud y protección social"/>
    <n v="1905"/>
    <s v="Salud Pública, &quot;Tú y yo con salud de calidad&quot;"/>
    <n v="1905"/>
    <s v="Salud pública"/>
    <s v="Razón de mortalidad materna (por 100.000 nacidos vivos)_x000a_Porcentaje de atención institucional del parto._x000a_Tasa  de mujeres de 10 a 14 años qué han sido madres o están en embarazo._x000a_Tasa de mujeres de 15 a 19 años qué han sido madres o están en embarazo._x000a_Prevalencia de VIH/SIDA en población de 15 a 49 años de edad._x000a_Tasa de mortalidad asociada a VIH/SIDA._x000a_Porcentaje transmisión materno -infantil del VIH._x000a_Cobertura de tratamiento antirretroviral"/>
    <n v="1905021"/>
    <s v="Servicio de gestión del riesgo en temas de salud sexual y reproductiva "/>
    <n v="1905021"/>
    <s v="Servicio de gestión del riesgo en temas de salud sexual y reproductiva "/>
    <n v="190502100"/>
    <s v="Campañas de gestión del riesgo en temas de salud sexual y reproductiva implementadas."/>
    <n v="190502100"/>
    <s v="Campañas de gestión del riesgo en temas de salud sexual y reproductiva implementadas."/>
    <s v="A"/>
    <n v="12"/>
    <m/>
    <n v="12"/>
    <x v="108"/>
    <s v="Fortalecimiento de acciones propias a los derechos sexuales y reproductivos en el Departamento del Quindío. "/>
    <s v="Disminuir de los eventos de interés en salud pública relacionados con la salud sexual y reproductiva en especial de la mortalidad materna  "/>
    <m/>
    <m/>
    <n v="102000000"/>
    <m/>
    <m/>
    <m/>
    <m/>
    <m/>
    <m/>
    <n v="102000000"/>
    <s v=" Secretario de Salud"/>
  </r>
  <r>
    <n v="318"/>
    <x v="11"/>
    <n v="1"/>
    <s v="Inclusión Social y Equidad"/>
    <n v="19"/>
    <s v="Salud y protección social"/>
    <n v="1905"/>
    <s v="Salud Pública, &quot;Tú y yo con salud de calidad&quot;"/>
    <n v="1905"/>
    <s v="Salud pública"/>
    <s v="Tasa  de mujeres de 10 a 14 años qué han sido madres o están en embarazo._x000a_Tasa de mujeres de 15 a 19 años qué han sido madres o están en embarazo."/>
    <s v="ND"/>
    <s v="Realizar seguimiento y Monitoreo a las Entidades Administradoras de Planes Básicos EAPB en la implementación de la Ruta Integral de Atención para la Promoción y Mantenimiento de la Salud y Materno Perinatal en el Departamento  "/>
    <n v="1905021"/>
    <s v="Servicio de gestión del riesgo en temas de salud sexual y reproductiva (1905021)"/>
    <s v="ND"/>
    <s v="Entidades Administradoras de Planes Básicos EAPB con Rutas de obligatorio cumplimiento Implementadas"/>
    <n v="190502100"/>
    <s v="Campañas de gestión del riesgo en temas de salud sexual y reproductiva implementadas (190502100)"/>
    <s v="A"/>
    <n v="11"/>
    <m/>
    <n v="11"/>
    <x v="108"/>
    <s v="Fortalecimiento de acciones propias a los derechos sexuales y reproductivos en el Departamento del Quindío. "/>
    <s v="Disminuir de los eventos de interés en salud pública relacionados con la salud sexual y reproductiva en especial de la mortalidad materna  "/>
    <m/>
    <m/>
    <n v="102000000"/>
    <m/>
    <m/>
    <m/>
    <m/>
    <m/>
    <m/>
    <n v="102000000"/>
    <s v=" Secretario de Salud"/>
  </r>
  <r>
    <n v="318"/>
    <x v="11"/>
    <n v="1"/>
    <s v="Inclusión Social y Equidad"/>
    <n v="19"/>
    <s v="Salud y protección social"/>
    <n v="1905"/>
    <s v="Salud Pública, &quot;Tú y yo con salud de calidad&quot;"/>
    <n v="1905"/>
    <s v="Salud pública"/>
    <s v="Tasa de violencia de género"/>
    <n v="1905020"/>
    <s v="Servicio de gestión del riesgo en temas de consumo de sustancias psicoactivas"/>
    <n v="1905020"/>
    <s v="Servicio de gestión del riesgo en temas de consumo de sustancias psicoactivas"/>
    <n v="190502000"/>
    <s v="Campañas de gestión del riesgo en temas de consumo de sustancias psicoactivas implementadas"/>
    <n v="190502000"/>
    <s v="Campañas de gestión del riesgo en temas de consumo de sustancias psicoactivas implementadas"/>
    <s v="A"/>
    <n v="12"/>
    <m/>
    <n v="12"/>
    <x v="109"/>
    <s v="Consolidación de acciones de promoción de la salud y prevención primaria en salud mental en el Departamento del Quindío."/>
    <s v="Disminuir la morbimortalidad asociada a la salud mental principalmente de la violencia intrafamiliar"/>
    <m/>
    <m/>
    <n v="48000000"/>
    <m/>
    <m/>
    <m/>
    <m/>
    <m/>
    <m/>
    <n v="48000000"/>
    <s v=" Secretario de Salud"/>
  </r>
  <r>
    <n v="318"/>
    <x v="11"/>
    <n v="1"/>
    <s v="Inclusión Social y Equidad"/>
    <n v="19"/>
    <s v="Salud y protección social"/>
    <n v="1905"/>
    <s v="Salud Pública, &quot;Tú y yo con salud de calidad&quot;"/>
    <n v="1905"/>
    <s v="Salud pública"/>
    <s v="Tasa de violencia de género._x000a_Tasa de Suicidio  x 100.000 Habitantes en el Departamento del Quindío._x000a_Tasa de suicidios en niños y niñas ( 6 a 11 años)_x000a_Tasa de suicidios en adolescentes (12 a 17 años)_x000a_Tasa de suicidios (18 - 28 años)Tasa de Consumo de Sustancias Psicoactivas  x 100.000 Habitantes en el Departamento del Quindío."/>
    <n v="1905022"/>
    <s v="Servicio de gestión del riesgo en temas de trastornos mentales "/>
    <n v="1905022"/>
    <s v="Servicio de gestión del riesgo en temas de trastornos mentales "/>
    <n v="190502200"/>
    <s v="Campañas de gestión del riesgo en temas de trastornos mentales implementadas"/>
    <n v="190502200"/>
    <s v="Campañas de gestión del riesgo en temas de trastornos mentales implementadas"/>
    <s v="A"/>
    <n v="12"/>
    <m/>
    <n v="12"/>
    <x v="109"/>
    <s v="Consolidación de acciones de promoción de la salud y prevención primaria en salud mental en el Departamento del Quindío."/>
    <s v="Disminuir la morbimortalidad asociada a la salud mental principalmente de la violencia intrafamiliar"/>
    <m/>
    <m/>
    <n v="84000000"/>
    <m/>
    <m/>
    <m/>
    <m/>
    <m/>
    <m/>
    <n v="84000000"/>
    <s v=" Secretario de Salud"/>
  </r>
  <r>
    <n v="318"/>
    <x v="11"/>
    <n v="1"/>
    <s v="Inclusión Social y Equidad"/>
    <n v="19"/>
    <s v="Salud y protección social"/>
    <n v="1905"/>
    <s v="Salud Pública, &quot;Tú y yo con salud de calidad&quot;"/>
    <n v="1905"/>
    <s v="Salud pública"/>
    <s v="Prevalencia de niños menores de 5 años con desnutrición aguda"/>
    <n v="1905031"/>
    <s v="Servicios de promoción de la salud y prevención de riesgos asociados a condiciones no transmisibles"/>
    <n v="1905031"/>
    <s v="Servicios de promoción de la salud y prevención de riesgos asociados a condiciones no transmisibles"/>
    <n v="190503100"/>
    <s v="Campañas de promoción de la salud y prevención de riesgos asociados a condiciones no transmisibles implementadas"/>
    <n v="190503100"/>
    <s v="Campañas de promoción de la salud y prevención de riesgos asociados a condiciones no transmisibles implementadas"/>
    <s v="A"/>
    <n v="12"/>
    <m/>
    <n v="12"/>
    <x v="110"/>
    <s v="Generación de estilos de vida saludable y control y vigilancia en la gestión del riesgo de condiciones no transmisibles en el  Departamento del Quindío."/>
    <s v="Disminuir la carga de la enfermedad asociada a las enfermedades crónicas no trasmisibles"/>
    <m/>
    <m/>
    <n v="110000000"/>
    <m/>
    <m/>
    <m/>
    <m/>
    <m/>
    <m/>
    <n v="110000000"/>
    <s v=" Secretario de Salud"/>
  </r>
  <r>
    <n v="318"/>
    <x v="11"/>
    <n v="1"/>
    <s v="Inclusión Social y Equidad"/>
    <n v="19"/>
    <s v="Salud y protección social"/>
    <n v="1905"/>
    <s v="Salud Pública, &quot;Tú y yo con salud de calidad&quot;"/>
    <n v="1905"/>
    <s v="Salud pública"/>
    <s v="Cobertura de vacunación con DPT en menores de 1 año_x000a_Cobertura de vacunación con Triple Viral en niños de 1 año_x000a_Cobertura útil con esquema completo de vacunación para la edad (triple viral a los 5 años)"/>
    <n v="1905012"/>
    <s v="Cuartos fríos adecuados"/>
    <n v="1905012"/>
    <s v="Cuartos fríos adecuados"/>
    <n v="190501200"/>
    <s v="Cuartos fríos adecuados"/>
    <n v="190501200"/>
    <s v="Cuartos fríos adecuados"/>
    <s v="A"/>
    <n v="1"/>
    <m/>
    <n v="1"/>
    <x v="111"/>
    <s v="Fortalecimiento de acciones de promoción, prevención y protección específica para la población infantil en el Departamento del Quindío.  "/>
    <s v="Reducir la exposición a condiciones y factores de riesgo ambientales, sanitarios y biológicos, de las contingencias y daños producidos por las enfermedades transmisibles"/>
    <m/>
    <m/>
    <n v="174000000"/>
    <m/>
    <m/>
    <m/>
    <n v="150000000"/>
    <m/>
    <m/>
    <n v="324000000"/>
    <s v=" Secretario de Salud"/>
  </r>
  <r>
    <n v="318"/>
    <x v="11"/>
    <n v="1"/>
    <s v="Inclusión Social y Equidad"/>
    <n v="19"/>
    <s v="Salud y protección social"/>
    <n v="1905"/>
    <s v="Salud Pública, &quot;Tú y yo con salud de calidad&quot;"/>
    <n v="1905"/>
    <s v="Salud pública"/>
    <s v="Cobertura útil con esquema completo de vacunación para la edad (triple viral a los 5 años)_x000a_Mortalidad por infección respiratoria aguda (IRA) menores 5 años (número de muertes anual)_x000a_Mortalidad por diarreica aguda (EDA) menores 5 años (número de muertes anual)_x000a_Tasa de mortalidad por malaria."/>
    <n v="1905026"/>
    <s v="Servicio de gestión del riesgo para enfermedades emergentes, reemergentes y desatendidas"/>
    <n v="1905026"/>
    <s v="Servicio de gestión del riesgo para enfermedades emergentes, reemergentes y desatendidas"/>
    <n v="190502600"/>
    <s v="Campañas de gestión del riesgo para enfermedades emergentes, reemergentes y desatendidas implementadas."/>
    <n v="190502600"/>
    <s v="Campañas de gestión del riesgo para enfermedades emergentes, reemergentes y desatendidas implementadas."/>
    <s v="A"/>
    <n v="12"/>
    <m/>
    <n v="12"/>
    <x v="111"/>
    <s v="Fortalecimiento de acciones de promoción, prevención y protección específica para la población infantil en el Departamento del Quindío.  "/>
    <s v="Reducir la exposición a condiciones y factores de riesgo ambientales, sanitarios y biológicos, de las contingencias y daños producidos por las enfermedades transmisibles"/>
    <m/>
    <m/>
    <n v="84000000"/>
    <m/>
    <m/>
    <m/>
    <m/>
    <m/>
    <m/>
    <n v="84000000"/>
    <s v=" Secretario de Salud"/>
  </r>
  <r>
    <n v="318"/>
    <x v="11"/>
    <n v="1"/>
    <s v="Inclusión Social y Equidad"/>
    <n v="19"/>
    <s v="Salud y protección social"/>
    <n v="1905"/>
    <s v="Salud Pública, &quot;Tú y yo con salud de calidad&quot;"/>
    <n v="1905"/>
    <s v="Salud pública"/>
    <s v="Cobertura de vacunación con DPT en menores de 1 año_x000a_Cobertura de vacunación con Triple Viral en niños de 1 año_x000a_Cobertura útil con esquema completo de vacunación para la edad (triple viral a los 5 años)"/>
    <n v="1905027"/>
    <s v="Servicio de gestión del riesgo para enfermedades inmunoprevenibles"/>
    <n v="1905027"/>
    <s v="Servicio de gestión del riesgo para enfermedades inmunoprevenibles"/>
    <n v="190502700"/>
    <s v="Campañas de gestión del riesgo para enfermedades inmunoprevenibles  implementadas"/>
    <n v="190502700"/>
    <s v="Campañas de gestión del riesgo para enfermedades inmunoprevenibles  implementadas"/>
    <s v="A"/>
    <n v="12"/>
    <m/>
    <n v="12"/>
    <x v="111"/>
    <s v="Fortalecimiento de acciones de promoción, prevención y protección específica para la población infantil en el Departamento del Quindío.  "/>
    <s v="Reducir la exposición a condiciones y factores de riesgo ambientales, sanitarios y biológicos, de las contingencias y daños producidos por las enfermedades transmisibles"/>
    <m/>
    <m/>
    <n v="190000000"/>
    <m/>
    <m/>
    <m/>
    <m/>
    <m/>
    <m/>
    <n v="190000000"/>
    <s v=" Secretario de Salud"/>
  </r>
  <r>
    <n v="318"/>
    <x v="11"/>
    <n v="1"/>
    <s v="Inclusión Social y Equidad"/>
    <n v="19"/>
    <s v="Salud y protección social"/>
    <n v="1905"/>
    <s v="Salud Pública, &quot;Tú y yo con salud de calidad&quot;"/>
    <n v="1905"/>
    <s v="Salud pública"/>
    <s v="Mortalidad por dengue (casos) _x000a_Letalidad por dengue."/>
    <s v="ND"/>
    <s v="Formulación e implementación del Plan Departamental en Salud Ambiental de adaptación al cambio climático."/>
    <n v="1905015"/>
    <s v="Documentos de planeación "/>
    <s v="ND"/>
    <s v="Plan Departamental en Salud Ambiental de adaptación al cambio climático implementado"/>
    <s v="_x000a_190501500"/>
    <s v="Documentos de planeación elaborados"/>
    <s v="N.A."/>
    <n v="2"/>
    <m/>
    <n v="2"/>
    <x v="112"/>
    <s v="Difusión de la estrategia de gestión integral y de control en vectores, zoonosis y cambio climático del Departamento del Quindío.   "/>
    <s v="Disminuir en índice de enfermedades trasmisión vectorial y zoonosis en la población   "/>
    <m/>
    <m/>
    <n v="196000000"/>
    <m/>
    <m/>
    <m/>
    <m/>
    <m/>
    <m/>
    <n v="196000000"/>
    <s v=" Secretario de Salud"/>
  </r>
  <r>
    <n v="318"/>
    <x v="11"/>
    <n v="1"/>
    <s v="Inclusión Social y Equidad"/>
    <n v="19"/>
    <s v="Salud y protección social"/>
    <n v="1905"/>
    <s v="Salud Pública, &quot;Tú y yo con salud de calidad&quot;"/>
    <n v="1905"/>
    <s v="Salud pública"/>
    <s v="Mortalidad por infección respiratoria aguda (IRA) menores 5 años (número de muertes anual)"/>
    <n v="1905014"/>
    <s v="Documentos de lineamientos técnicos"/>
    <n v="1905014"/>
    <s v="Documentos de lineamientos técnicos"/>
    <n v="190501400"/>
    <s v="Documentos de lineamientos técnicos elaborados"/>
    <n v="190501400"/>
    <s v="Documentos de lineamientos técnicos elaborados"/>
    <s v="A"/>
    <n v="12"/>
    <m/>
    <n v="12"/>
    <x v="113"/>
    <s v="Fortalecimiento de la inclusión social para la disminución del riesgo de contraer enfermedades transmisibles en el Departamento del Quindío.  "/>
    <s v="Aumentar la adherencia al tratamiento de los pacientes con diagnóstico de tuberculosis  "/>
    <m/>
    <m/>
    <n v="54000000"/>
    <m/>
    <m/>
    <m/>
    <m/>
    <m/>
    <m/>
    <n v="54000000"/>
    <s v=" Secretario de Salud"/>
  </r>
  <r>
    <n v="318"/>
    <x v="11"/>
    <n v="1"/>
    <s v="Inclusión Social y Equidad"/>
    <n v="19"/>
    <s v="Salud y protección social"/>
    <n v="1905"/>
    <s v="Salud Pública, &quot;Tú y yo con salud de calidad&quot;"/>
    <n v="1905"/>
    <s v="Salud pública"/>
    <s v="Tasa mortalidad en menores de 5 años (por 1.000 nacidos vivos)."/>
    <n v="1905015"/>
    <s v="Documentos de planeación"/>
    <n v="1905015"/>
    <s v="Documentos de planeación"/>
    <n v="190501503"/>
    <s v="Documentos de planeación en epidemiología y demografía elaborados "/>
    <n v="190501503"/>
    <s v="Documentos de planeación en epidemiología y demografía elaborados "/>
    <s v="A"/>
    <n v="15"/>
    <m/>
    <n v="15"/>
    <x v="114"/>
    <s v="Fortalecimiento del sistema de vigilancia en salud pública en el Departamento del Quindío. "/>
    <s v=" Aumentar los índices de cumplimiento en los indicadores de calidad, cobertura y  oportunidad del sistema de vigilancia en salud pública departamental "/>
    <m/>
    <m/>
    <n v="430165182"/>
    <m/>
    <m/>
    <m/>
    <n v="150000000"/>
    <m/>
    <m/>
    <n v="580165182"/>
    <s v=" Secretario de Salud"/>
  </r>
  <r>
    <n v="318"/>
    <x v="11"/>
    <n v="1"/>
    <s v="Inclusión Social y Equidad"/>
    <n v="19"/>
    <s v="Salud y protección social"/>
    <n v="1905"/>
    <s v="Salud Pública, &quot;Tú y yo con salud de calidad&quot;"/>
    <n v="1905"/>
    <s v="Salud pública"/>
    <s v="Porcentaje de atención institucional del parto."/>
    <s v="ND"/>
    <s v="Centros reguladores de urgencias, emergencias y desastres funcionando y dotados"/>
    <n v="1905009"/>
    <s v="Centros reguladores de urgencias, emergencias y desastres dotados "/>
    <s v="ND"/>
    <s v="Centros reguladores de urgencias, emergencias y desastres dotados y funcionando."/>
    <s v="190500900_x000a_"/>
    <s v="Centros reguladores de urgencias, emergencias y desastres dotados"/>
    <s v="A"/>
    <n v="1"/>
    <m/>
    <n v="1"/>
    <x v="115"/>
    <s v="Fortalecimiento de la red de urgencias y emergencias en el Departamento del Quindío. "/>
    <s v="Fortalecer en la integración de la red hospitalaria del departamento del Quindío."/>
    <m/>
    <m/>
    <m/>
    <m/>
    <m/>
    <m/>
    <n v="400000000"/>
    <m/>
    <m/>
    <n v="400000000"/>
    <s v=" Secretario de Salud"/>
  </r>
  <r>
    <n v="318"/>
    <x v="11"/>
    <n v="1"/>
    <s v="Inclusión Social y Equidad"/>
    <n v="19"/>
    <s v="Salud y protección social"/>
    <n v="1905"/>
    <s v="Salud Pública, &quot;Tú y yo con salud de calidad&quot;"/>
    <n v="1905"/>
    <s v="Salud pública"/>
    <s v="Prevalencia de niños menores de 5 años con desnutrición aguda"/>
    <n v="1905031"/>
    <s v="Servicios de promoción de la salud y prevención de riesgos asociados a condiciones no transmisibles"/>
    <n v="1905031"/>
    <s v="Servicios de promoción de la salud y prevención de riesgos asociados a condiciones no transmisibles"/>
    <n v="190503100"/>
    <s v="Campañas de promoción de la salud y prevención de riesgos asociados a condiciones no transmisibles implementadas"/>
    <n v="190503100"/>
    <s v="Campañas de promoción de la salud y prevención de riesgos asociados a condiciones no transmisibles implementadas"/>
    <s v="A"/>
    <n v="12"/>
    <m/>
    <n v="12"/>
    <x v="116"/>
    <s v="Fortalecimiento de las intervenciones colectivas y prioridades en salud pública del Departamento del Quindío- PIC"/>
    <s v="Disminuir la morbimortalidad asociada  a la carga de la enfermedad por los determinantes sociales fortaleciendo  las acciones de complementariedad  a los municipios"/>
    <m/>
    <m/>
    <n v="1622896500"/>
    <m/>
    <m/>
    <m/>
    <m/>
    <m/>
    <m/>
    <n v="1622896500"/>
    <s v=" Secretario de Salud"/>
  </r>
  <r>
    <n v="318"/>
    <x v="11"/>
    <n v="1"/>
    <s v="Inclusión Social y Equidad"/>
    <n v="19"/>
    <s v="Salud y protección social"/>
    <n v="1906"/>
    <s v="Prestación de servicios de salud. &quot;Tú y yo con servicios de salud&quot;"/>
    <n v="1906"/>
    <s v="Aseguramiento y prestación integral de servicios de salud"/>
    <s v="Cobertura de tratamiento antirretroviral"/>
    <s v="ND"/>
    <s v="Servicio de cofinanciación para la continuidad del  régimen subsidiado en salud  "/>
    <n v="1906023"/>
    <s v="Servicio de tecnologías en salud financiadas con la unidad de pago por capitación - UPC "/>
    <s v="ND"/>
    <s v="Personas afiliadas"/>
    <n v="190602300"/>
    <s v="Pacientes atendidos con tecnologías en salud financiados con cargo a los recursos de la UPC del Régimen Subsidiado"/>
    <s v="A"/>
    <n v="19899"/>
    <m/>
    <n v="19899"/>
    <x v="117"/>
    <s v="Subsidio y cofinanciación al régimen subsidiado del Sistema General de Seguridad Social en Salud en el Departamento del Quindío.  "/>
    <s v="Aumentar la cobertura universal en aseguramiento al sistema de atención integral y para la población del Departamento del Quindío"/>
    <m/>
    <m/>
    <m/>
    <n v="43270329100"/>
    <m/>
    <m/>
    <n v="2943616443.3899999"/>
    <m/>
    <m/>
    <n v="46213945543.389999"/>
    <s v=" Secretario de Salud"/>
  </r>
  <r>
    <n v="318"/>
    <x v="11"/>
    <n v="1"/>
    <s v="Inclusión Social y Equidad"/>
    <n v="19"/>
    <s v="Salud y protección social"/>
    <n v="1906"/>
    <s v="Prestación de servicios de salud. &quot;Tú y yo con servicios de salud&quot;"/>
    <n v="1906"/>
    <s v="Aseguramiento y prestación integral de servicios de salud"/>
    <s v="Tasa ajustada por edad de mortalidad asociada a cáncer de cuello uterino (por 100.000 mujeres)."/>
    <s v="ND"/>
    <s v="Servicio de apoyo con tecnologías para prestación de servicios en salud"/>
    <n v="1906023"/>
    <s v="Servicio de tecnologías en salud financiadas con la unidad de pago por capitación - UPC "/>
    <s v="ND"/>
    <s v="Población inimputable atendida"/>
    <n v="190602301"/>
    <s v="Pacientes atendidos con medicamentos en salud financiados con cargo a los recursos de la UPC del Régimen Subsidiado"/>
    <s v="A"/>
    <n v="60"/>
    <m/>
    <n v="60"/>
    <x v="118"/>
    <s v="Prestación de Servicios a la Población no Afiliada al Sistema General de Seguridad Social en Salud y en el NO POS a la Población del Régimen Subsidiado."/>
    <s v="Mejoramiento en la prestación de los servicios de salud para la atención de la población no afiliada "/>
    <m/>
    <n v="50000000"/>
    <m/>
    <n v="2168924867.9899998"/>
    <m/>
    <m/>
    <m/>
    <m/>
    <n v="2755000000"/>
    <n v="4973924867.9899998"/>
    <s v=" Secretario de Salud"/>
  </r>
  <r>
    <n v="318"/>
    <x v="11"/>
    <n v="1"/>
    <s v="Inclusión Social y Equidad"/>
    <n v="19"/>
    <s v="Salud y protección social"/>
    <n v="1906"/>
    <s v="Prestación de servicios de salud. &quot;Tú y yo con servicios de salud&quot;"/>
    <n v="1906"/>
    <s v="Aseguramiento y prestación integral de servicios de salud"/>
    <s v="Cobertura de tratamiento antirretroviral"/>
    <s v="ND"/>
    <s v="Servicios de reconocimientos para el cumplimiento de metas de calidad, financiera, producción y transferencias especiales."/>
    <n v="1906025"/>
    <s v="Servicio de apoyo financiero para el fortalecimiento patrimonial de las empresas prestadoras de salud con participación financiera de las entidades territoriales "/>
    <s v="ND"/>
    <s v="Porcentaje de recursos transferidos"/>
    <n v="190602500"/>
    <s v="Empresas prestadoras de salud capitalizadas"/>
    <s v="A"/>
    <n v="100"/>
    <m/>
    <n v="100"/>
    <x v="118"/>
    <s v="Prestación de Servicios a la Población no Afiliada al Sistema General de Seguridad Social en Salud y en el NO POS a la Población del Régimen Subsidiado."/>
    <s v="Mejoramiento en la prestación de los servicios de salud para la atención de la población no afiliada "/>
    <m/>
    <m/>
    <n v="2182563834.8400002"/>
    <n v="5931674500"/>
    <m/>
    <m/>
    <m/>
    <m/>
    <m/>
    <n v="8114238334.8400002"/>
    <s v=" Secretario de Salud"/>
  </r>
  <r>
    <n v="318"/>
    <x v="11"/>
    <n v="1"/>
    <s v="Inclusión Social y Equidad"/>
    <n v="19"/>
    <s v="Salud y protección social"/>
    <n v="1906"/>
    <s v="Prestación de servicios de salud. &quot;Tú y yo con servicios de salud&quot;"/>
    <n v="1906"/>
    <s v="Aseguramiento y prestación integral de servicios de salud"/>
    <s v="Tasa de mujeres de 15 a 19 años qué han sido madres o están en embarazo."/>
    <n v="1906029"/>
    <s v="Servicio de asistencia técnica a Instituciones prestadoras de servicios de salud"/>
    <n v="1906029"/>
    <s v="Servicio de asistencia técnica a Instituciones prestadoras de servicios de salud"/>
    <n v="190602900"/>
    <s v="Instituciones Prestadoras de Servicios de salud asistidas técnicamente"/>
    <n v="190602900"/>
    <s v="Instituciones Prestadoras de Servicios de salud asistidas técnicamente"/>
    <s v="A"/>
    <n v="40"/>
    <m/>
    <n v="40"/>
    <x v="119"/>
    <s v="Fortalecimiento de la red de prestación de servicios pública del Departamento del Quindío.   "/>
    <s v="Aumento en la calidad del proceso de reporte, vigilancia y control del manejo de los recursos de salud en el Departamento del Quindío"/>
    <m/>
    <n v="600000000"/>
    <m/>
    <m/>
    <m/>
    <m/>
    <n v="50000000"/>
    <m/>
    <m/>
    <n v="650000000"/>
    <s v=" Secretario de Salud"/>
  </r>
  <r>
    <n v="318"/>
    <x v="11"/>
    <n v="1"/>
    <s v="Inclusión Social y Equidad"/>
    <n v="19"/>
    <s v="Salud y protección social"/>
    <n v="1906"/>
    <s v="Prestación de servicios de salud. &quot;Tú y yo con servicios de salud&quot;"/>
    <n v="1906"/>
    <s v="Aseguramiento y prestación integral de servicios de salud"/>
    <s v="Cobertura de tratamiento antirretroviral"/>
    <s v="ND"/>
    <s v="Servicio de apoyo con tecnologías para prestación de servicios en salud"/>
    <n v="1906023"/>
    <s v="Servicio de tecnologías en salud financiadas con la unidad de pago por capitación - UPC (1906023)"/>
    <s v="ND"/>
    <s v="Pacientes atendidos"/>
    <n v="190602301"/>
    <s v="Pacientes atendidos con medicamentos en salud financiados con cargo a los recursos de la UPC del Régimen Subsidiado"/>
    <s v="A"/>
    <n v="40"/>
    <m/>
    <n v="40"/>
    <x v="119"/>
    <s v="Fortalecimiento de la red de prestación de servicios pública del Departamento del Quindío.   "/>
    <s v="Aumento en la calidad del proceso de reporte, vigilancia y control del manejo de los recursos de salud en el Departamento del Quindío"/>
    <m/>
    <m/>
    <m/>
    <m/>
    <m/>
    <m/>
    <m/>
    <m/>
    <n v="617789000"/>
    <n v="617789000"/>
    <s v=" Secretario de Salud"/>
  </r>
  <r>
    <n v="318"/>
    <x v="11"/>
    <n v="1"/>
    <s v="Inclusión Social y Equidad"/>
    <n v="19"/>
    <s v="Salud y protección social"/>
    <n v="1903"/>
    <s v="Inspección, vigilancia y control. &quot;Tú y yo con salud certificada&quot; "/>
    <n v="1903"/>
    <s v="Inspección, vigilancia y control"/>
    <s v="Tasa de violencia de género"/>
    <n v="1903015"/>
    <s v="Servicio de adopción y seguimiento de acciones y medidas especiales"/>
    <n v="1903015"/>
    <s v="Servicio de adopción y seguimiento de acciones y medidas especiales"/>
    <n v="190301500"/>
    <s v="Acciones y medidas especiales ejecutadas"/>
    <n v="190301500"/>
    <s v="Acciones y medidas especiales ejecutadas"/>
    <s v="A"/>
    <n v="12"/>
    <m/>
    <n v="12"/>
    <x v="101"/>
    <s v=" Implementación de programas de promoción social en poblaciones  especiales en el Departamento del Quindío "/>
    <s v="Fortalecer la gestión intersectorial en salud de los grupos con alta vulnerabilidad"/>
    <m/>
    <m/>
    <n v="189393318"/>
    <m/>
    <m/>
    <m/>
    <m/>
    <m/>
    <m/>
    <n v="189393318"/>
    <s v=" Secretario de Salud"/>
  </r>
  <r>
    <n v="318"/>
    <x v="11"/>
    <n v="1"/>
    <s v="Inclusión Social y Equidad"/>
    <n v="19"/>
    <s v="Salud y protección social"/>
    <n v="1905"/>
    <s v="Salud Pública, &quot;Tú y yo con salud de calidad&quot;"/>
    <n v="1905"/>
    <s v="Salud pública"/>
    <s v="Tasa de violencia de género"/>
    <s v="ND"/>
    <s v="Adaptar e implementar la política pública de salud mental para el Departamento del Quindío"/>
    <n v="1905015"/>
    <s v="Documentos de planeación"/>
    <s v="ND"/>
    <s v="Política pública en Salud Mental adaptada e Implementada  "/>
    <s v="_x000a_190501501"/>
    <s v="Planes de salud pública elaborados"/>
    <s v="A"/>
    <n v="1"/>
    <m/>
    <n v="1"/>
    <x v="109"/>
    <s v="Consolidación de acciones de promoción de la salud y prevención primaria en salud mental en el Departamento del Quindío."/>
    <s v="Disminuir la morbimortalidad asociada a la salud mental principalmente de la violencia intrafamiliar"/>
    <m/>
    <m/>
    <n v="60000000"/>
    <m/>
    <m/>
    <m/>
    <m/>
    <m/>
    <m/>
    <n v="60000000"/>
    <s v=" Secretario de Salud"/>
  </r>
  <r>
    <n v="318"/>
    <x v="11"/>
    <n v="1"/>
    <s v="Inclusión Social y Equidad"/>
    <n v="19"/>
    <s v="Salud y protección social"/>
    <n v="1905"/>
    <s v="Salud Pública, &quot;Tú y yo con salud de calidad&quot;"/>
    <n v="1905"/>
    <s v="Salud pública"/>
    <s v="Tasa ajustada por edad de mortalidad asociada a cáncer de cuello uterino (por 100.000 mujeres)._x000a_Oportunidad en la presunción diagnóstica y tratamiento oncológico en menores de 18 años (alta y media)"/>
    <n v="1905023"/>
    <s v="Servicio de gestión del riesgo para abordar condiciones crónicas prevalentes"/>
    <n v="1905023"/>
    <s v="Servicio de gestión del riesgo para abordar condiciones crónicas prevalentes"/>
    <n v="190502300"/>
    <s v="Campañas de gestión del riesgo para abordar condiciones crónicas prevalentes implementadas"/>
    <n v="190502300"/>
    <s v="Campañas de gestión del riesgo para abordar condiciones crónicas prevalentes implementadas"/>
    <s v="A"/>
    <n v="12"/>
    <m/>
    <n v="12"/>
    <x v="110"/>
    <s v="Generación de estilos de vida saludable y control y vigilancia en la gestión del riesgo de condiciones no transmisibles en el  Departamento del Quindío."/>
    <s v="Disminuir la carga de la enfermedad asociada a las enfermedades crónicas no trasmisibles"/>
    <m/>
    <m/>
    <n v="108000000"/>
    <m/>
    <m/>
    <m/>
    <m/>
    <m/>
    <m/>
    <n v="108000000"/>
    <s v=" Secretario de Salud"/>
  </r>
  <r>
    <n v="318"/>
    <x v="11"/>
    <n v="1"/>
    <s v="Inclusión Social y Equidad"/>
    <n v="19"/>
    <s v="Salud y protección social"/>
    <n v="1905"/>
    <s v="Salud Pública, &quot;Tú y yo con salud de calidad&quot;"/>
    <n v="1905"/>
    <s v="Salud pública"/>
    <s v="Cobertura útil con esquema completo de vacunación para la edad (triple viral a los 5 años)_x000a_Mortalidad por infección respiratoria aguda (IRA) menores 5 años (número de muertes anual)_x000a_Mortalidad por diarreica aguda (EDA) menores 5 años (número de muertes anual)_x000a_Tasa de mortalidad por malaria."/>
    <n v="1905026"/>
    <s v="Servicio de gestión del riesgo para enfermedades emergentes, reemergentes y desatendidas"/>
    <n v="1905026"/>
    <s v="Servicio de gestión del riesgo para enfermedades emergentes, reemergentes y desatendidas"/>
    <n v="190502600"/>
    <s v="Campañas de gestión del riesgo para enfermedades emergentes, reemergentes y desatendidas implementadas."/>
    <n v="190502600"/>
    <s v="Campañas de gestión del riesgo para enfermedades emergentes, reemergentes y desatendidas implementadas."/>
    <s v="A"/>
    <n v="12"/>
    <m/>
    <n v="12"/>
    <x v="112"/>
    <s v="Difusión de la estrategia de gestión integral y de control en vectores, zoonosis y cambio climático del Departamento del Quindío.   "/>
    <s v="Disminuir en índice de enfermedades trasmisión vectorial y zoonosis en la población   "/>
    <m/>
    <m/>
    <n v="601177114.52999997"/>
    <m/>
    <m/>
    <m/>
    <n v="150000000"/>
    <m/>
    <n v="333000000"/>
    <n v="1084177114.53"/>
    <s v=" Secretario de Salud"/>
  </r>
  <r>
    <n v="318"/>
    <x v="11"/>
    <n v="1"/>
    <s v="Inclusión Social y Equidad"/>
    <n v="19"/>
    <s v="Salud y protección social"/>
    <n v="1905"/>
    <s v="Salud Pública, &quot;Tú y yo con salud de calidad&quot;"/>
    <n v="1905"/>
    <s v="Salud pública"/>
    <s v="Cobertura útil con esquema completo de vacunación para la edad (triple viral a los 5 años)_x000a_Mortalidad por infección respiratoria aguda (IRA) menores 5 años (número de muertes anual)_x000a_Mortalidad por diarreica aguda (EDA) menores 5 años (número de muertes anual)_x000a_Tasa de mortalidad por malaria."/>
    <n v="1905026"/>
    <s v="Servicio de gestión del riesgo para enfermedades emergentes, reemergentes y desatendidas."/>
    <n v="1905026"/>
    <s v="Servicio de gestión del riesgo para enfermedades emergentes, reemergentes y desatendidas."/>
    <n v="190502600"/>
    <s v="Campañas de gestión del riesgo para enfermedades emergentes, reemergentes y desatendidas implementadas."/>
    <n v="190502600"/>
    <s v="Campañas de gestión del riesgo para enfermedades emergentes, reemergentes y desatendidas implementadas."/>
    <s v="A"/>
    <n v="12"/>
    <m/>
    <n v="12"/>
    <x v="113"/>
    <s v="Fortalecimiento de la inclusión social para la disminución del riesgo de contraer enfermedades transmisibles en el Departamento del Quindío.  "/>
    <s v="Aumentar la adherencia al tratamiento de los pacientes con diagnóstico de tuberculosis  "/>
    <m/>
    <m/>
    <n v="0"/>
    <m/>
    <m/>
    <m/>
    <m/>
    <m/>
    <n v="257500000"/>
    <n v="257500000"/>
    <s v=" Secretario de Salud"/>
  </r>
  <r>
    <n v="318"/>
    <x v="11"/>
    <n v="1"/>
    <s v="Inclusión Social y Equidad"/>
    <n v="19"/>
    <s v="Salud y protección social"/>
    <n v="1905"/>
    <s v="Salud Pública, &quot;Tú y yo con salud de calidad&quot;"/>
    <n v="1905"/>
    <s v="Salud pública"/>
    <s v="Mortalidad por dengue (casos)"/>
    <n v="1905029"/>
    <s v="Servicios de atención en salud pública en situaciones de emergencias y desastres"/>
    <n v="1905030"/>
    <s v="Servicio de atención en salud pública en situaciones de emergencias y desastres "/>
    <n v="190502900"/>
    <s v="Personas en capacidad de ser atendidas"/>
    <n v="190503000"/>
    <s v="Personas en capacidad de ser atendidas"/>
    <s v="A"/>
    <n v="60"/>
    <m/>
    <n v="60"/>
    <x v="120"/>
    <s v="Prevención, preparación, contingencia, mitigación y superación de emergencias y contingencias por eventos relacionados con la salud pública en el Departamento del Quindío.  "/>
    <s v="Coordinar acciones  para la gestión integral  del riesgo en  situaciones de emergencias y desastres  en las IPS y autoridad sanitaria del departamento"/>
    <m/>
    <m/>
    <n v="24000000"/>
    <m/>
    <m/>
    <m/>
    <m/>
    <m/>
    <m/>
    <n v="24000000"/>
    <s v=" Secretario de Salud"/>
  </r>
  <r>
    <n v="318"/>
    <x v="11"/>
    <n v="1"/>
    <s v="Inclusión Social y Equidad"/>
    <n v="19"/>
    <s v="Salud y protección social"/>
    <n v="1905"/>
    <s v="Salud Pública, &quot;Tú y yo con salud de calidad&quot;"/>
    <n v="1905"/>
    <s v="Salud pública"/>
    <s v="Porcentaje de población asegurada al SGSSS"/>
    <n v="1905025"/>
    <s v="Servicio de gestión del riesgo para abordar situaciones prevalentes de origen laboral"/>
    <n v="1905025"/>
    <s v="Servicio de gestión del riesgo para abordar situaciones prevalentes de origen laboral"/>
    <n v="190502500"/>
    <s v="Campañas de gestión del riesgo para abordar situaciones prevalentes de origen laboral implementadas"/>
    <n v="190502500"/>
    <s v="Campañas de gestión del riesgo para abordar situaciones prevalentes de origen laboral implementadas"/>
    <s v="A"/>
    <n v="12"/>
    <m/>
    <n v="12"/>
    <x v="121"/>
    <s v="Prevención vigilancia y control de eventos en el ámbito laboral en el Departamento del Quindío.  "/>
    <s v="Disminuir los eventos de origen laboral en los trabajadores del sector formal del Departamento del Quindío "/>
    <m/>
    <m/>
    <n v="102000000"/>
    <m/>
    <m/>
    <m/>
    <m/>
    <m/>
    <m/>
    <n v="102000000"/>
    <s v=" Secretario de Salud"/>
  </r>
  <r>
    <n v="324"/>
    <x v="12"/>
    <n v="1"/>
    <s v="Inclusión Social y Equidad"/>
    <n v="23"/>
    <s v="Tecnologías de la información y las comunicaciones"/>
    <n v="2301"/>
    <s v="Facilitar el acceso y uso de las Tecnologías de la Información y las Comunicaciones en todo el departamento del Quindío. &quot;Tú y yo somos ciudadanos TIC&quot;"/>
    <n v="2301"/>
    <s v="Facilitar el acceso y uso de las Tecnologías de la Información y las Comunicaciones en todo el territorio nacional"/>
    <s v="Tasa de crecimiento de puntos de acceso a internet gratis _x000a_Índice Departamental de Competitividad_x000a_Tasa de Desempleo"/>
    <n v="2301024"/>
    <s v="Servicio de acceso y uso de tecnologías de la información y las comunicaciones"/>
    <n v="2301024"/>
    <s v="Servicio de acceso y uso de tecnologías de la información y las comunicaciones"/>
    <n v="230102401"/>
    <s v="Centros de acceso comunitario en zonas urbanas funcionando"/>
    <n v="230102401"/>
    <s v="Centros de acceso comunitario en zonas urbanas funcionando"/>
    <s v="A"/>
    <n v="15"/>
    <m/>
    <n v="15"/>
    <x v="122"/>
    <s v="Fortalecimiento  y apoyo a las tecnologías de la información y las comunicaciones en el departamento del Quindío."/>
    <s v=" Incrementar  la Tasa de crecimiento de puntos de acceso a internet gratis  y del Índice de competitividad en el departamento del Quindío, mediante en mejoramiento de los servicio de acceso a las tecnologías de la información  y las comunicaciones "/>
    <m/>
    <m/>
    <m/>
    <m/>
    <m/>
    <m/>
    <n v="50000000"/>
    <m/>
    <m/>
    <n v="50000000"/>
    <s v="Secretario Tecnologías de la Información y las Comunicaciones"/>
  </r>
  <r>
    <n v="324"/>
    <x v="12"/>
    <n v="1"/>
    <s v="Inclusión Social y Equidad"/>
    <n v="23"/>
    <s v="Tecnologías de la información y las comunicaciones"/>
    <n v="2301"/>
    <s v="Facilitar el acceso y uso de las Tecnologías de la Información y las Comunicaciones en todo el departamento del Quindío. &quot;Tú y yo somos ciudadanos TIC&quot;"/>
    <n v="2301"/>
    <s v="Facilitar el acceso y uso de las Tecnologías de la Información y las Comunicaciones en todo el territorio nacional"/>
    <s v="Tasa de crecimiento de puntos de acceso a internet gratis _x000a_Índice Departamental de Competitividad_x000a_Tasa de Desempleo"/>
    <n v="2301024"/>
    <s v="Servicio de acceso y uso de tecnologías de la información y las comunicaciones"/>
    <n v="2301024"/>
    <s v="Servicio de acceso y uso de tecnologías de la información y las comunicaciones"/>
    <n v="230102404"/>
    <s v="Soluciones de conectividad en instituciones públicas instaladas"/>
    <n v="230102404"/>
    <s v="Soluciones de conectividad en instituciones públicas instaladas"/>
    <s v="N.A."/>
    <n v="4"/>
    <m/>
    <n v="4"/>
    <x v="122"/>
    <s v="Fortalecimiento  y apoyo a las tecnologías de la información y las comunicaciones en el departamento del Quindío."/>
    <s v=" Incrementar  la Tasa de crecimiento de puntos de acceso a internet gratis  y del Índice de competitividad en el departamento del Quindío, mediante en mejoramiento de los servicio de acceso a las tecnologías de la información  y las comunicaciones "/>
    <m/>
    <m/>
    <m/>
    <m/>
    <m/>
    <m/>
    <n v="55000000"/>
    <m/>
    <m/>
    <n v="55000000"/>
    <s v="Secretario Tecnologías de la Información y las Comunicaciones"/>
  </r>
  <r>
    <n v="324"/>
    <x v="12"/>
    <n v="1"/>
    <s v="Inclusión Social y Equidad"/>
    <n v="23"/>
    <s v="Tecnologías de la información y las comunicaciones"/>
    <n v="2301"/>
    <s v="Facilitar el acceso y uso de las Tecnologías de la Información y las Comunicaciones en todo el departamento del Quindío. &quot;Tú y yo somos ciudadanos TIC&quot;"/>
    <n v="2301"/>
    <s v="Facilitar el acceso y uso de las Tecnologías de la Información y las Comunicaciones en todo el territorio nacional"/>
    <s v="Tasa de crecimiento de puntos de acceso a internet gratis _x000a_Índice Departamental de Competitividad_x000a_Tasa de Desempleo"/>
    <n v="2301012"/>
    <s v="Servicio de acceso Zonas Wifi"/>
    <n v="2301079"/>
    <s v="Servicio de acceso zonas digitales"/>
    <n v="230101204"/>
    <s v="Zonas Wifi en áreas rurales instaladas"/>
    <n v="230107902"/>
    <s v="Zonas digitales en áreas rurales con redes terrestres instaladas"/>
    <s v="N.A."/>
    <n v="15"/>
    <m/>
    <n v="15"/>
    <x v="122"/>
    <s v="Fortalecimiento  y apoyo a las tecnologías de la información y las comunicaciones en el departamento del Quindío."/>
    <s v=" Incrementar  la Tasa de crecimiento de puntos de acceso a internet gratis  y del Índice de competitividad en el departamento del Quindío, mediante en mejoramiento de los servicio de acceso a las tecnologías de la información  y las comunicaciones "/>
    <m/>
    <m/>
    <m/>
    <m/>
    <m/>
    <m/>
    <n v="70000000"/>
    <m/>
    <m/>
    <n v="70000000"/>
    <s v="Secretario Tecnologías de la Información y las Comunicaciones"/>
  </r>
  <r>
    <n v="324"/>
    <x v="12"/>
    <n v="1"/>
    <s v="Inclusión Social y Equidad"/>
    <n v="23"/>
    <s v="Tecnologías de la información y las comunicaciones"/>
    <n v="2301"/>
    <s v="Facilitar el acceso y uso de las Tecnologías de la Información y las Comunicaciones en todo el departamento del Quindío. &quot;Tú y yo somos ciudadanos TIC&quot;"/>
    <n v="2301"/>
    <s v="Facilitar el acceso y uso de las Tecnologías de la Información y las Comunicaciones en todo el territorio nacional"/>
    <s v="Tasa de crecimiento de puntos de acceso a internet gratis _x000a_Índice Departamental de Competitividad_x000a_Tasa de Desempleo"/>
    <n v="2301062"/>
    <s v="Servicio de apoyo en tecnologías de la información y las comunicaciones para la educación básica, primaria y secundaria"/>
    <n v="2301062"/>
    <s v="Servicio de apoyo en tecnologías de la información y las comunicaciones para la educación básica, primaria y secundaria"/>
    <n v="230106201"/>
    <s v="Relación de estudiantes por terminal de cómputo en sedes educativas oficiales"/>
    <n v="230106201"/>
    <s v="Relación de estudiantes por terminal de cómputo en sedes educativas oficiales"/>
    <m/>
    <n v="7"/>
    <m/>
    <n v="7"/>
    <x v="122"/>
    <s v="Fortalecimiento  y apoyo a las tecnologías de la información y las comunicaciones en el departamento del Quindío."/>
    <s v=" Incrementar  la Tasa de crecimiento de puntos de acceso a internet gratis  y del Índice de competitividad en el departamento del Quindío, mediante en mejoramiento de los servicio de acceso a las tecnologías de la información  y las comunicaciones "/>
    <m/>
    <m/>
    <m/>
    <m/>
    <m/>
    <m/>
    <n v="20000000"/>
    <m/>
    <m/>
    <n v="20000000"/>
    <s v="Secretario Tecnologías de la Información y las Comunicaciones"/>
  </r>
  <r>
    <n v="324"/>
    <x v="12"/>
    <n v="1"/>
    <s v="Inclusión Social y Equidad"/>
    <n v="23"/>
    <s v="Tecnologías de la información y las comunicaciones"/>
    <n v="2301"/>
    <s v="Facilitar el acceso y uso de las Tecnologías de la Información y las Comunicaciones en todo el departamento del Quindío. &quot;Tú y yo somos ciudadanos TIC&quot;"/>
    <n v="2301"/>
    <s v="Facilitar el acceso y uso de las Tecnologías de la Información y las Comunicaciones en todo el territorio nacional"/>
    <s v="Nivel de avance alto en el Índice de Gobierno digital_x000a_Índice Departamental de Competitividad_x000a_Tasa de Desempleo"/>
    <n v="2301030"/>
    <s v="Servicio de educación informal en tecnologías de la información y las comunicaciones."/>
    <n v="2301030"/>
    <s v="Servicio de educación informal en tecnologías de la información y las comunicaciones."/>
    <n v="230103000"/>
    <s v="Personas capacitadas en tecnologías de la información y las comunicaciones"/>
    <n v="230103000"/>
    <s v="Personas capacitadas en tecnologías de la información y las comunicaciones"/>
    <s v="N.A."/>
    <n v="7000"/>
    <m/>
    <n v="7000"/>
    <x v="123"/>
    <s v="Asistencia y apropiación tecnológica y generacional en el departamento del Quindio"/>
    <s v="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
    <m/>
    <m/>
    <m/>
    <m/>
    <m/>
    <m/>
    <n v="289521994.77999997"/>
    <m/>
    <m/>
    <n v="289521994.77999997"/>
    <s v="Secretario Tecnologías de la Información y las Comunicaciones"/>
  </r>
  <r>
    <n v="324"/>
    <x v="12"/>
    <n v="1"/>
    <s v="Inclusión Social y Equidad"/>
    <n v="23"/>
    <s v="Tecnologías de la información y las comunicaciones"/>
    <n v="2301"/>
    <s v="Facilitar el acceso y uso de las Tecnologías de la Información y las Comunicaciones en todo el departamento del Quindío. &quot;Tú y yo somos ciudadanos TIC&quot;"/>
    <n v="2301"/>
    <s v="Facilitar el acceso y uso de las Tecnologías de la Información y las Comunicaciones en todo el territorio nacional"/>
    <s v="Nivel de avance alto en el Índice de Gobierno digital_x000a_Índice Departamental de Competitividad_x000a_Tasa de Desempleo"/>
    <n v="2301015"/>
    <s v="Servicio de asistencia técnica para proyectos en Tecnologías de la Información y las Comunicaciones"/>
    <n v="2301015"/>
    <s v="Servicio de asistencia técnica para proyectos en Tecnologías de la Información y las Comunicaciones"/>
    <n v="230101500"/>
    <s v="Municipios asistidos en diseño, implementación, ejecución y/ o liquidación  de proyectos"/>
    <n v="230101500"/>
    <s v="Municipios asistidos en diseño, implementación, ejecución y/ o liquidación  de proyectos"/>
    <s v="A"/>
    <n v="3"/>
    <m/>
    <n v="3"/>
    <x v="123"/>
    <s v="Asistencia y apropiación tecnológica y generacional en el departamento del Quindio"/>
    <s v="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
    <m/>
    <m/>
    <m/>
    <m/>
    <m/>
    <m/>
    <n v="45000000"/>
    <m/>
    <m/>
    <n v="45000000"/>
    <s v="Secretario Tecnologías de la Información y las Comunicaciones"/>
  </r>
  <r>
    <n v="324"/>
    <x v="12"/>
    <n v="1"/>
    <s v="Inclusión Social y Equidad"/>
    <n v="23"/>
    <s v="Tecnologías de la información y las comunicaciones"/>
    <n v="2301"/>
    <s v="Facilitar el acceso y uso de las Tecnologías de la Información y las Comunicaciones en todo el departamento del Quindío. &quot;Tú y yo somos ciudadanos TIC&quot;"/>
    <n v="2301"/>
    <s v="Facilitar el acceso y uso de las Tecnologías de la Información y las Comunicaciones en todo el territorio nacional"/>
    <s v="Nivel de avance alto en el Índice de Gobierno digital_x000a_Índice Departamental de Competitividad_x000a_Tasa de Desempleo"/>
    <n v="2301004"/>
    <s v="Documentos de planeación"/>
    <n v="2301004"/>
    <s v="Documentos de planeación"/>
    <n v="230200400"/>
    <s v="Documentos de planeación elaborados"/>
    <n v="230100400"/>
    <s v="Documentos de planeación elaborados"/>
    <s v="A"/>
    <n v="1"/>
    <m/>
    <n v="1"/>
    <x v="123"/>
    <s v="Asistencia y apropiación tecnológica y generacional en el departamento del Quindio"/>
    <s v="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
    <m/>
    <m/>
    <m/>
    <m/>
    <m/>
    <m/>
    <n v="30000000"/>
    <m/>
    <m/>
    <n v="30000000"/>
    <s v="Secretario Tecnologías de la Información y las Comunicaciones"/>
  </r>
  <r>
    <n v="324"/>
    <x v="12"/>
    <n v="1"/>
    <s v="Inclusión Social y Equidad"/>
    <n v="23"/>
    <s v="Tecnologías de la información y las comunicaciones"/>
    <n v="2301"/>
    <s v="Facilitar el acceso y uso de las Tecnologías de la Información y las Comunicaciones en todo el departamento del Quindío. &quot;Tú y yo somos ciudadanos TIC&quot;"/>
    <n v="2301"/>
    <s v="Facilitar el acceso y uso de las Tecnologías de la Información y las Comunicaciones en todo el territorio nacional"/>
    <s v="Nivel de avance alto en el Índice de Gobierno digital_x000a_Índice Departamental de Competitividad_x000a_Tasa de Desempleo"/>
    <n v="2301035"/>
    <s v="Servicio de educación para el trabajo en temas de uso pedagógico de tecnologías de la información y las comunicaciones."/>
    <n v="2301035"/>
    <s v="Servicio de educación para el trabajo en temas de uso pedagógico de tecnologías de la información y las comunicaciones."/>
    <n v="230103500"/>
    <s v="Docentes formados en uso pedagógico de tecnologías de la información y las comunicaciones."/>
    <n v="230103500"/>
    <s v="Docentes formados en uso pedagógico de tecnologías de la información y las comunicaciones."/>
    <s v="N.A."/>
    <n v="40"/>
    <m/>
    <n v="40"/>
    <x v="123"/>
    <s v="Asistencia y apropiación tecnológica y generacional en el departamento del Quindio"/>
    <s v="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
    <m/>
    <m/>
    <m/>
    <m/>
    <m/>
    <m/>
    <n v="45000000"/>
    <m/>
    <m/>
    <n v="45000000"/>
    <s v="Secretario Tecnologías de la Información y las Comunicaciones"/>
  </r>
  <r>
    <n v="324"/>
    <x v="12"/>
    <n v="1"/>
    <s v="Inclusión Social y Equidad"/>
    <n v="23"/>
    <s v="Tecnologías de la información y las comunicaciones"/>
    <n v="2301"/>
    <s v="Facilitar el acceso y uso de las Tecnologías de la Información y las Comunicaciones en todo el departamento del Quindío. &quot;Tú y yo somos ciudadanos TIC&quot;"/>
    <n v="2301"/>
    <s v="Facilitar el acceso y uso de las Tecnologías de la Información y las Comunicaciones en todo el territorio nacional"/>
    <s v="Nivel de avance alto en el Índice de Gobierno digital_x000a_Índice Departamental de Competitividad_x000a_Tasa de Desempleo"/>
    <n v="2301042"/>
    <s v="Servicio de telecomunicaciones para el envío de alertas tempranas a la población."/>
    <n v="2301042"/>
    <s v="Servicio de telecomunicaciones para el envío de alertas tempranas a la población."/>
    <n v="230104201"/>
    <s v="Disponibilidad del servicio  de telecomunicaciones para el envío de alertas tempranas a la población. "/>
    <n v="230104201"/>
    <s v="Disponibilidad del servicio  de telecomunicaciones para el envío de alertas tempranas a la población. "/>
    <s v="A"/>
    <n v="1"/>
    <m/>
    <n v="1"/>
    <x v="123"/>
    <s v="Asistencia y apropiación tecnológica y generacional en el departamento del Quindio"/>
    <s v="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
    <m/>
    <m/>
    <m/>
    <m/>
    <m/>
    <m/>
    <n v="25000000"/>
    <m/>
    <m/>
    <n v="25000000"/>
    <s v="Secretario Tecnologías de la Información y las Comunicaciones"/>
  </r>
  <r>
    <n v="324"/>
    <x v="12"/>
    <n v="1"/>
    <s v="Inclusión Social y Equidad"/>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Tasa de crecimiento de puntos de acceso a internet gratis _x000a_Índice Departamental de Competitividad_x000a_Tasa de Desempleo"/>
    <n v="2302022"/>
    <s v="Servicio de asistencia técnica a empresas de la industria de Tecnologías de la Información para mejorar sus capacidades de comercialización e innovación"/>
    <n v="2302022"/>
    <s v="Servicio de asistencia técnica a empresas de la industria de Tecnologías de la Información para mejorar sus capacidades de comercialización e innovación"/>
    <n v="230202200"/>
    <s v="Empresas beneficiadas con actividades de fortalecimiento  de la industria TI"/>
    <n v="230202200"/>
    <s v="Empresas beneficiadas con actividades de fortalecimiento  de la industria TI"/>
    <s v="N.A."/>
    <n v="30"/>
    <m/>
    <n v="30"/>
    <x v="124"/>
    <s v="Fortalecimiento del sector empresarial del departamento del Quindío "/>
    <s v="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
    <m/>
    <m/>
    <m/>
    <m/>
    <m/>
    <m/>
    <n v="45000000"/>
    <m/>
    <m/>
    <n v="45000000"/>
    <s v="Secretario Tecnologías de la Información y las Comunicaciones"/>
  </r>
  <r>
    <n v="324"/>
    <x v="12"/>
    <n v="1"/>
    <s v="Inclusión Social y Equidad"/>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Nivel de avance alto en el Índice de Gobierno digital_x000a_Índice Departamental de Competitividad_x000a_Tasa de Desempleo"/>
    <n v="2302021"/>
    <s v="Servicio de asistencia técnica a emprendedores y empresas"/>
    <n v="2302021"/>
    <s v="Servicio de asistencia técnica a emprendedores y empresas"/>
    <n v="230202100"/>
    <s v="Emprendedores y empresas asistidas técnicamente"/>
    <n v="230202100"/>
    <s v="Emprendedores y empresas asistidas técnicamente"/>
    <s v="N.A."/>
    <n v="10"/>
    <m/>
    <n v="10"/>
    <x v="124"/>
    <s v="Fortalecimiento del sector empresarial del departamento del Quindío "/>
    <s v="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
    <m/>
    <m/>
    <m/>
    <m/>
    <m/>
    <m/>
    <n v="85000000"/>
    <m/>
    <m/>
    <n v="85000000"/>
    <s v="Secretario Tecnologías de la Información y las Comunicaciones"/>
  </r>
  <r>
    <n v="324"/>
    <x v="12"/>
    <n v="1"/>
    <s v="Inclusión Social y Equidad"/>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Tasa de crecimiento de puntos de acceso a internet gratis "/>
    <n v="2302058"/>
    <s v="Servicio de educación informal en Teletrabajo"/>
    <n v="2302058"/>
    <s v="Servicio de educación informal en Teletrabajo"/>
    <n v="230205800"/>
    <s v="Personas y/o entidades (públicas y privadas) de la comunidad capacitadas en teletrabajo "/>
    <n v="230205800"/>
    <s v="Personas y/o entidades (públicas y privadas) de la comunidad capacitadas en teletrabajo "/>
    <s v="N.A."/>
    <n v="400"/>
    <m/>
    <n v="400"/>
    <x v="124"/>
    <s v="Fortalecimiento del sector empresarial del departamento del Quindío "/>
    <s v="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
    <m/>
    <m/>
    <m/>
    <m/>
    <m/>
    <m/>
    <n v="35000000"/>
    <m/>
    <m/>
    <n v="35000000"/>
    <s v="Secretario Tecnologías de la Información y las Comunicaciones"/>
  </r>
  <r>
    <n v="324"/>
    <x v="12"/>
    <n v="1"/>
    <s v="Inclusión Social y Equidad"/>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Tasa de crecimiento de puntos de acceso a internet gratis "/>
    <n v="2302068"/>
    <s v="Servicio de educación informal para aumentar la calidad y cantidad de talento humano para la industria TI"/>
    <n v="2302068"/>
    <s v="Servicio de educación informal para aumentar la calidad y cantidad de talento humano para la industria TI"/>
    <n v="230206800"/>
    <s v="Personas capacitadas en programas informales de Tecnologías de la Información"/>
    <n v="230206800"/>
    <s v="Personas capacitadas en programas informales de Tecnologías de la Información"/>
    <s v="N.A."/>
    <n v="80"/>
    <m/>
    <n v="80"/>
    <x v="124"/>
    <s v="Fortalecimiento del sector empresarial del departamento del Quindío "/>
    <s v="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
    <m/>
    <m/>
    <m/>
    <m/>
    <m/>
    <m/>
    <n v="30000000"/>
    <m/>
    <m/>
    <n v="30000000"/>
    <s v="Secretario Tecnologías de la Información y las Comunicaciones"/>
  </r>
  <r>
    <n v="324"/>
    <x v="12"/>
    <n v="1"/>
    <s v="Inclusión Social y Equidad"/>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Tasa de crecimiento de puntos de acceso a internet gratis "/>
    <n v="2302039"/>
    <s v="Servicio de Investigación, Desarrollo e Innovación para la industria de las Tecnologías de la Información_x000a_Indicador principal : Modelos para el desarrollo de actividades I+D+i en la industria TIC nacional desarrollados"/>
    <n v="2302039"/>
    <s v="Servicio de Investigación, Desarrollo e Innovación para la industria de las Tecnologías de la Información_x000a_Indicador principal : Modelos para el desarrollo de actividades I+D+i en la industria TIC nacional desarrollados"/>
    <n v="230203900"/>
    <s v="Modelos para el desarrollo de actividades I+D+i en la industria TIC nacional desarrollados"/>
    <n v="230203900"/>
    <s v="Modelos para el desarrollo de actividades I+D+i en la industria TIC nacional desarrollados"/>
    <s v="N.A."/>
    <n v="1"/>
    <m/>
    <n v="1"/>
    <x v="124"/>
    <s v="Fortalecimiento del sector empresarial del departamento del Quindío "/>
    <s v="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
    <m/>
    <m/>
    <m/>
    <m/>
    <m/>
    <m/>
    <n v="50000000"/>
    <m/>
    <m/>
    <n v="50000000"/>
    <s v="Secretario Tecnologías de la Información y las Comunicaciones"/>
  </r>
  <r>
    <n v="324"/>
    <x v="12"/>
    <n v="2"/>
    <s v="Productividad y Competitividad"/>
    <n v="39"/>
    <s v="Ciencia, Tecnología e Innovación"/>
    <s v="3903"/>
    <s v="Desarrollo tecnológico e innovación para el crecimiento empresarial "/>
    <s v="3903"/>
    <s v="Desarrollo tecnológico e innovación para crecimiento empresarial"/>
    <s v="Tasa de crecimiento de empresas en el sector productivo transformadas digitalmente"/>
    <n v="3903005"/>
    <s v="Servicio de apoyo para la transferencia de conocimiento y tecnología"/>
    <n v="3903005"/>
    <s v="Servicio de apoyo para la transferencia de conocimiento y tecnología"/>
    <s v="390300501"/>
    <s v="Nuevas tecnologías adoptadas"/>
    <s v="390300501"/>
    <s v="Nuevas tecnologías adoptadas"/>
    <s v="A"/>
    <n v="1"/>
    <m/>
    <n v="1"/>
    <x v="125"/>
    <s v="Implementación de la transformación digital del sector empresarial en el Departamento del Quindío  "/>
    <s v="Incrementar la tasa de crecimiento de empresas en el sector productivo transformadas digitalmente,  a través de  la apropiación de herramientas digitales, qué les  permitan ser competitivos en los diferentes sectores "/>
    <m/>
    <m/>
    <m/>
    <m/>
    <m/>
    <m/>
    <n v="35000000"/>
    <m/>
    <m/>
    <n v="35000000"/>
    <s v="Secretario Tecnologías de la Información y las Comunicaciones"/>
  </r>
  <r>
    <n v="324"/>
    <x v="12"/>
    <n v="2"/>
    <s v="Productividad y Competitividad"/>
    <n v="39"/>
    <s v="Ciencia, Tecnología e Innovación"/>
    <s v="3903"/>
    <s v="Desarrollo tecnológico e innovación para el crecimiento empresarial "/>
    <s v="3903"/>
    <s v="Desarrollo tecnológico e innovación para crecimiento empresarial"/>
    <s v="Tasa de crecimiento de empresas en el sector productivo transformadas digitalmente"/>
    <n v="3903005"/>
    <s v="Servicio de apoyo para la transferencia de conocimiento y tecnología"/>
    <n v="3903005"/>
    <s v="Servicio de apoyo para la transferencia de conocimiento y tecnología"/>
    <s v="390300507"/>
    <s v="Start up generadas"/>
    <s v="390300507"/>
    <s v="Start up generadas"/>
    <s v="N.A."/>
    <n v="80"/>
    <m/>
    <n v="80"/>
    <x v="125"/>
    <s v="Implementación de la transformación digital del sector empresarial en el Departamento del Quindío  "/>
    <s v="Incrementar la tasa de crecimiento de empresas en el sector productivo transformadas digitalmente,  a través de  la apropiación de herramientas digitales, qué les  permitan ser competitivos en los diferentes sectores "/>
    <m/>
    <m/>
    <m/>
    <m/>
    <m/>
    <m/>
    <n v="30000000"/>
    <m/>
    <m/>
    <n v="30000000"/>
    <s v="Secretario Tecnologías de la Información y las Comunicaciones"/>
  </r>
  <r>
    <n v="324"/>
    <x v="12"/>
    <n v="2"/>
    <s v="Productividad y Competitividad"/>
    <n v="39"/>
    <s v="Ciencia, Tecnología e Innovación"/>
    <s v="3903"/>
    <s v="Desarrollo tecnológico e innovación para el crecimiento empresarial "/>
    <s v="3903"/>
    <s v="Desarrollo tecnológico e innovación para crecimiento empresarial"/>
    <s v="Tasa de crecimiento de empresas en el sector productivo transformadas digitalmente"/>
    <n v="3903005"/>
    <s v="Servicio de apoyo para la transferencia de conocimiento y tecnología"/>
    <n v="3903005"/>
    <s v="Servicio de apoyo para la transferencia de conocimiento y tecnología"/>
    <s v="390300511"/>
    <s v="Conocimiento tecnológico adquirido"/>
    <s v="390300511"/>
    <s v="Conocimiento tecnológico adquirido"/>
    <s v="N.A."/>
    <n v="80"/>
    <m/>
    <n v="80"/>
    <x v="125"/>
    <s v="Implementación de la transformación digital del sector empresarial en el Departamento del Quindío  "/>
    <s v="Incrementar la tasa de crecimiento de empresas en el sector productivo transformadas digitalmente,  a través de  la apropiación de herramientas digitales, qué les  permitan ser competitivos en los diferentes sectores "/>
    <m/>
    <m/>
    <m/>
    <m/>
    <m/>
    <m/>
    <n v="30000000"/>
    <m/>
    <m/>
    <n v="30000000"/>
    <s v="Secretario Tecnologías de la Información y las Comunicaciones"/>
  </r>
  <r>
    <n v="324"/>
    <x v="12"/>
    <n v="2"/>
    <s v="Productividad y Competitividad"/>
    <n v="39"/>
    <s v="Ciencia, Tecnología e Innovación"/>
    <n v="3904"/>
    <s v="Generación de una cultura qué valora y gestiona en conocimiento y la innovación."/>
    <n v="3904"/>
    <s v="Generación de una cultura que valora y gestiona el conocimiento y la innovación"/>
    <s v="Incremento de emprendimientos y/o empresas de base tecnológica"/>
    <n v="3904018"/>
    <s v="Servicios de comunicación con enfoque en ciencia tecnología y sociedad"/>
    <n v="3904018"/>
    <s v="Servicios de comunicación con enfoque en ciencia tecnología y sociedad"/>
    <n v="390401809"/>
    <s v="Juguetes, juegos o videojuegos para la comunicación de la ciencia, tecnología e innovación producidos"/>
    <n v="390401809"/>
    <s v="Juguetes, juegos o videojuegos para la comunicación de la ciencia, tecnología e innovación producidos"/>
    <s v="N.A."/>
    <n v="7"/>
    <m/>
    <n v="7"/>
    <x v="126"/>
    <s v="Implementación  y  divulgación de la estrategia    &quot;Quindío innovador y competitivo&quot;   "/>
    <s v=" Incrementar  los  emprendimientos y/o empresas de base tecnológica a través de la implementación de una estrategia de  promoción de la  cultura  de la innovación  y gestión del  conocimiento. "/>
    <m/>
    <m/>
    <m/>
    <m/>
    <m/>
    <m/>
    <n v="25000000"/>
    <m/>
    <m/>
    <n v="25000000"/>
    <s v="Secretario Tecnologías de la Información y las Comunicaciones"/>
  </r>
  <r>
    <n v="324"/>
    <x v="12"/>
    <n v="4"/>
    <s v="Liderazgo, Gobernabilidad y Transparecia"/>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Nivel de avance alto en el Índice de Gobierno digital"/>
    <n v="2302003"/>
    <s v="Desarrollos digitales"/>
    <n v="2302003"/>
    <s v="Desarrollos digitales"/>
    <n v="230200300"/>
    <s v="Productos digitales desarrollados"/>
    <n v="230200300"/>
    <s v="Productos digitales desarrollados"/>
    <s v="N.A."/>
    <n v="3"/>
    <m/>
    <n v="3"/>
    <x v="127"/>
    <s v="Fortalecimiento de la estrategia de gobierno digital  en la Administración Departamental y  Entes Territoriales del departamento del  Quindío  "/>
    <s v="Incrementar  Índice de Gobierno digital de la Administración departamental  y los Entes territoriales del Quindío generando condiciones de gobernanza, participación comunitaria y administraciones  eficientes "/>
    <m/>
    <m/>
    <m/>
    <m/>
    <m/>
    <m/>
    <n v="80000000"/>
    <m/>
    <m/>
    <n v="80000000"/>
    <s v="Secretario Tecnologías de la Información y las Comunicaciones"/>
  </r>
  <r>
    <n v="324"/>
    <x v="12"/>
    <n v="4"/>
    <s v="Liderazgo, Gobernabilidad y Transparecia"/>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Nivel de avance alto en el Índice de Gobierno digital"/>
    <n v="2302033"/>
    <s v="Servicio de educación informal para la implementación de la estrategia de gobierno digital"/>
    <n v="2302033"/>
    <s v="Servicio de educación informal para la implementación de la estrategia de gobierno digital"/>
    <n v="230203300"/>
    <s v="Personas capacitadas para la implementación de la Estrategia de Gobierno digital"/>
    <n v="230203300"/>
    <s v="Personas capacitadas para la implementación de la Estrategia de Gobierno digital"/>
    <s v="A"/>
    <n v="100"/>
    <m/>
    <n v="100"/>
    <x v="127"/>
    <s v="Fortalecimiento de la estrategia de gobierno digital  en la Administración Departamental y  Entes Territoriales del departamento del  Quindío  "/>
    <s v="Incrementar  Índice de Gobierno digital de la Administración departamental  y los Entes territoriales del Quindío generando condiciones de gobernanza, participación comunitaria y administraciones  eficientes "/>
    <m/>
    <m/>
    <m/>
    <m/>
    <m/>
    <m/>
    <n v="60000000"/>
    <m/>
    <m/>
    <n v="60000000"/>
    <s v="Secretario Tecnologías de la Información y las Comunicaciones"/>
  </r>
  <r>
    <n v="324"/>
    <x v="12"/>
    <n v="4"/>
    <s v="Liderazgo, Gobernabilidad y Transparecia"/>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Nivel de avance alto en el Índice de Gobierno digital"/>
    <n v="2302066"/>
    <s v="Servicio de educación informal en Gestión TI y en Seguridad y Privacidad de la Información"/>
    <n v="2302066"/>
    <s v="Servicio de educación informal en Gestión TI y en Seguridad y Privacidad de la Información"/>
    <n v="230206600"/>
    <s v="Personas capacitadas en Gestión TI y en Seguridad y Privacidad de la Información"/>
    <n v="230206600"/>
    <s v="Personas capacitadas en Gestión TI y en Seguridad y Privacidad de la Información"/>
    <s v="N.A."/>
    <n v="60"/>
    <m/>
    <n v="60"/>
    <x v="127"/>
    <s v="Fortalecimiento de la estrategia de gobierno digital  en la Administración Departamental y  Entes Territoriales del departamento del  Quindío  "/>
    <s v="Incrementar  Índice de Gobierno digital de la Administración departamental  y los Entes territoriales del Quindío generando condiciones de gobernanza, participación comunitaria y administraciones  eficientes "/>
    <m/>
    <m/>
    <m/>
    <m/>
    <m/>
    <m/>
    <n v="60000000"/>
    <m/>
    <m/>
    <n v="60000000"/>
    <s v="Secretario Tecnologías de la Información y las Comunicaciones"/>
  </r>
  <r>
    <n v="324"/>
    <x v="12"/>
    <n v="4"/>
    <s v="Liderazgo, Gobernabilidad y Transparecia"/>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Nivel de avance alto en el Índice de Gobierno digital"/>
    <n v="2302004"/>
    <s v="Documentos de evaluación"/>
    <n v="2302004"/>
    <s v="Documentos de evaluación"/>
    <n v="230200403"/>
    <s v="Documentos de evaluación de programas enfocados en generar competencias TIC"/>
    <n v="230200403"/>
    <s v="Documentos de evaluación de programas enfocados en generar competencias TIC"/>
    <s v="A"/>
    <n v="1"/>
    <m/>
    <n v="1"/>
    <x v="127"/>
    <s v="Fortalecimiento de la estrategia de gobierno digital  en la Administración Departamental y  Entes Territoriales del departamento del  Quindío  "/>
    <s v="Incrementar  Índice de Gobierno digital de la Administración departamental  y los Entes territoriales del Quindío generando condiciones de gobernanza, participación comunitaria y administraciones  eficientes "/>
    <m/>
    <m/>
    <m/>
    <m/>
    <m/>
    <m/>
    <n v="35000000"/>
    <m/>
    <m/>
    <n v="35000000"/>
    <s v="Secretario Tecnologías de la Información y las Comunicaciones"/>
  </r>
  <r>
    <n v="324"/>
    <x v="12"/>
    <n v="4"/>
    <s v="Liderazgo, Gobernabilidad y Transparecia"/>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Nivel de avance alto en el Índice de Gobierno digital"/>
    <n v="2302007"/>
    <s v="Documentos metodológicos"/>
    <n v="2302007"/>
    <s v="Documentos metodológicos"/>
    <n v="230200701"/>
    <s v="Documento metodológico del modelo de acompañamiento para la implementación de la Estrategia de Gobierno digital elaborado"/>
    <n v="230200701"/>
    <s v="Documento metodológico del modelo de acompañamiento para la implementación de la Estrategia de Gobierno digital elaborado"/>
    <s v="A"/>
    <n v="1"/>
    <m/>
    <n v="1"/>
    <x v="127"/>
    <s v="Fortalecimiento de la estrategia de gobierno digital  en la Administración Departamental y  Entes Territoriales del departamento del  Quindío  "/>
    <s v="Incrementar  Índice de Gobierno digital de la Administración departamental  y los Entes territoriales del Quindío generando condiciones de gobernanza, participación comunitaria y administraciones  eficientes "/>
    <m/>
    <m/>
    <m/>
    <m/>
    <m/>
    <m/>
    <n v="30000000"/>
    <m/>
    <m/>
    <n v="30000000"/>
    <s v="Secretario Tecnologías de la Información y las Comunicaciones"/>
  </r>
  <r>
    <n v="324"/>
    <x v="12"/>
    <n v="4"/>
    <s v="Liderazgo, Gobernabilidad y Transparecia"/>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Nivel de avance alto en el Índice de Gobierno digital"/>
    <n v="2302083"/>
    <s v="Documentos de lineamientos técnicos"/>
    <n v="2302083"/>
    <s v="Documentos de lineamientos técnicos"/>
    <n v="230208300"/>
    <s v="Documentos de lineamientos técnicos elaborados"/>
    <n v="230208300"/>
    <s v="Documentos de lineamientos técnicos elaborados"/>
    <s v="A"/>
    <n v="1"/>
    <m/>
    <n v="1"/>
    <x v="127"/>
    <s v="Fortalecimiento de la estrategia de gobierno digital  en la Administración Departamental y  Entes Territoriales del departamento del  Quindío  "/>
    <s v="Incrementar  Índice de Gobierno digital de la Administración departamental  y los Entes territoriales del Quindío generando condiciones de gobernanza, participación comunitaria y administraciones  eficientes "/>
    <m/>
    <m/>
    <m/>
    <m/>
    <m/>
    <m/>
    <n v="25000000"/>
    <m/>
    <m/>
    <n v="25000000"/>
    <s v="Secretario Tecnologías de la Información y las Comunicaciones"/>
  </r>
  <r>
    <n v="319"/>
    <x v="13"/>
    <n v="1"/>
    <s v="Inclusión Social y Equidad"/>
    <n v="43"/>
    <s v="Deporte y recreación"/>
    <n v="4301"/>
    <s v="Fomento a la recreación, la actividad física y el deporte  &quot;Tú y yo en la recreación y el deporte&quot;"/>
    <n v="4301"/>
    <s v="Fomento a la recreación, la actividad física y el deporte para desarrollar entornos de convivencia y paz"/>
    <s v="Cobertura de municipios qué participan en programas de recreación, actividad física y deporte social y comunitario en el Departamento del Quindío._x000a_Tasa de consumo de sustancias psicoactivas X100.000 habitantes en el Departamento del Quindío"/>
    <n v="4301007"/>
    <s v="Servicio de Escuelas Deportivas"/>
    <n v="4301007"/>
    <s v="Servicio de Escuelas Deportivas"/>
    <n v="430100701"/>
    <s v="Municipios con Escuelas Deportivas"/>
    <n v="430100701"/>
    <s v="Municipios con Escuelas Deportivas"/>
    <s v="A"/>
    <n v="12"/>
    <m/>
    <n v="12"/>
    <x v="128"/>
    <s v="Fortalecimiento, hábitos y estilos de vida saludable como instrumento SALVAVIDAS en el departamento del Quindío"/>
    <s v="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
    <n v="50000000"/>
    <n v="120000000"/>
    <m/>
    <n v="973482517.54000008"/>
    <m/>
    <m/>
    <n v="100000000"/>
    <m/>
    <n v="300000000"/>
    <n v="1543482517.54"/>
    <s v="Gerente INDEPORTES QUINDÍO"/>
  </r>
  <r>
    <n v="319"/>
    <x v="13"/>
    <n v="1"/>
    <s v="Inclusión Social y Equidad"/>
    <n v="43"/>
    <s v="Deporte y recreación"/>
    <n v="4301"/>
    <s v="Fomento a la recreación, la actividad física y el deporte  &quot;Tú y yo en la recreación y el deporte&quot;"/>
    <n v="4301"/>
    <s v="Fomento a la recreación, la actividad física y el deporte para desarrollar entornos de convivencia y paz"/>
    <s v="Cobertura de municipios qué participan en programas de recreación, actividad física y deporte social y comunitario en el Departamento del Quindío._x000a_Tasa de consumo de sustancias psicoactivas X100.000 habitantes en el Departamento del Quindío"/>
    <n v="4301037"/>
    <s v="Servicio de promoción de la actividad física, la recreación y el deporte"/>
    <n v="4301037"/>
    <s v="Servicio de promoción de la actividad física, la recreación y el deporte"/>
    <n v="430103701"/>
    <s v="Municipios vinculados al programa Supérate-Intercolegiados"/>
    <n v="430103701"/>
    <s v="Municipios vinculados al programa Supérate-Intercolegiados"/>
    <s v="A"/>
    <n v="12"/>
    <m/>
    <n v="12"/>
    <x v="128"/>
    <s v="Fortalecimiento, hábitos y estilos de vida saludable como instrumento SALVAVIDAS en el departamento del Quindío"/>
    <s v="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
    <n v="0"/>
    <n v="62000000"/>
    <m/>
    <m/>
    <m/>
    <m/>
    <n v="0"/>
    <m/>
    <n v="200000000"/>
    <n v="262000000"/>
    <s v="Gerente INDEPORTES QUINDÍO"/>
  </r>
  <r>
    <n v="319"/>
    <x v="13"/>
    <n v="1"/>
    <s v="Inclusión Social y Equidad"/>
    <n v="43"/>
    <s v="Deporte y recreación"/>
    <n v="4301"/>
    <s v="Fomento a la recreación, la actividad física y el deporte  &quot;Tú y yo en la recreación y el deporte&quot;"/>
    <n v="4301"/>
    <s v="Fomento a la recreación, la actividad física y el deporte para desarrollar entornos de convivencia y paz"/>
    <s v="Cobertura de municipios qué participan en programas de recreación, actividad física y deporte social y comunitario en el Departamento del Quindío._x000a_Tasa de consumo de sustancias psicoactivas X100.000 habitantes en el Departamento del Quindío"/>
    <n v="4301037"/>
    <s v="Servicio de promoción de la actividad física, la recreación y el deporte"/>
    <n v="4301037"/>
    <s v="Servicio de promoción de la actividad física, la recreación y el deporte"/>
    <s v="430103704"/>
    <s v="Municipios implementando  programas de recreación, actividad física y deporte social comunitario"/>
    <s v="430103704"/>
    <s v="Municipios implementando  programas de recreación, actividad física y deporte social comunitario"/>
    <s v="A"/>
    <n v="12"/>
    <m/>
    <n v="12"/>
    <x v="128"/>
    <s v="Fortalecimiento, hábitos y estilos de vida saludable como instrumento SALVAVIDAS en el departamento del Quindío"/>
    <s v="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
    <n v="925444483.22000003"/>
    <n v="372772283.75"/>
    <m/>
    <n v="182089696.69"/>
    <m/>
    <m/>
    <n v="233511408.05000001"/>
    <m/>
    <n v="500000000"/>
    <n v="2213817871.71"/>
    <s v="Gerente INDEPORTES QUINDÍO"/>
  </r>
  <r>
    <n v="319"/>
    <x v="13"/>
    <n v="1"/>
    <s v="Inclusión Social y Equidad"/>
    <n v="43"/>
    <s v="Deporte y recreación"/>
    <n v="4301"/>
    <s v="Fomento a la recreación, la actividad física y el deporte  &quot;Tú y yo en la recreación y el deporte&quot;"/>
    <n v="4301"/>
    <s v="Fomento a la recreación, la actividad física y el deporte para desarrollar entornos de convivencia y paz"/>
    <s v="Cobertura de municipios qué participan en programas de recreación, actividad física y deporte social y comunitario en el Departamento del Quindío._x000a_Tasa de consumo de sustancias psicoactivas X100.000 habitantes en el Departamento del Quindío"/>
    <s v="ND"/>
    <s v="Formular e  implementar una  política pública para el desarrollo y acceso al deporte, la recreación, la actividad física, la educación física y en uso adecuado del tiempo libre, como ejes de transformación humana y social en el departamento del Quindío"/>
    <n v="4301006"/>
    <s v="Documentos normativos"/>
    <s v="ND"/>
    <s v="Política pública formulada e implementada"/>
    <n v="430100600"/>
    <s v="Documentos normativos realizados"/>
    <s v="A"/>
    <n v="1"/>
    <m/>
    <n v="1"/>
    <x v="128"/>
    <s v="Fortalecimiento, hábitos y estilos de vida saludable como instrumento SALVAVIDAS en el departamento del Quindío"/>
    <s v="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
    <m/>
    <n v="50000000"/>
    <m/>
    <n v="6000000"/>
    <m/>
    <m/>
    <m/>
    <m/>
    <m/>
    <n v="56000000"/>
    <s v="Gerente INDEPORTES QUINDÍO"/>
  </r>
  <r>
    <n v="319"/>
    <x v="13"/>
    <n v="1"/>
    <s v="Inclusión Social y Equidad"/>
    <n v="43"/>
    <s v="Deporte y recreación"/>
    <n v="4302"/>
    <s v="Formación y preparación de deportistas. &quot;Tú y yo campeones&quot;"/>
    <n v="4302"/>
    <s v="Formación y preparación de deportistas"/>
    <s v="Cobertura de ligas apoyadas en el departamento del Quindío._x000a_Porcentaje de medallería del departamento del Quindío en los Juegos Nacionales."/>
    <n v="4302075"/>
    <s v="Servicio de asistencia técnica para la promoción del deporte"/>
    <n v="4302075"/>
    <s v="Servicio de asistencia técnica para la promoción del deporte"/>
    <n v="430207500"/>
    <s v="Organismos deportivos asistidos "/>
    <n v="430207500"/>
    <s v="Organismos deportivos asistidos "/>
    <s v="A"/>
    <n v="25"/>
    <m/>
    <n v="25"/>
    <x v="129"/>
    <s v="Fortalecimiento al deporte competitivo y de altos logros &quot;TU Y    YO SOMOS SALVAVIDAS POR UN QUINDIO GANADOR&quot; en el Departamento del Quindío"/>
    <s v="Incrementar la cobertura de municipios qué participan en programas de recreación, actividad física , deporte social y comunitario, además de la  disminución de las tasas de sustancias psicoactivas en el Departamento del Quindío, a través  de  la definición de  nuevas metodologías para el desarrollo del deporte formativo y competitivo  "/>
    <n v="3648182366.1399999"/>
    <n v="937114172.07999992"/>
    <m/>
    <n v="377083000"/>
    <m/>
    <m/>
    <n v="659464416"/>
    <m/>
    <m/>
    <n v="5621843954.2199993"/>
    <s v="Gerente INDEPORTES QUINDÍO"/>
  </r>
  <r>
    <n v="320"/>
    <x v="14"/>
    <n v="1"/>
    <s v="Inclusión Social y Equidad"/>
    <n v="43"/>
    <s v="Deporte y recreación"/>
    <n v="4301"/>
    <s v="Fomento a la recreación, la actividad física y el deporte  &quot;Tú y yo en la recreación y el deporte&quot;"/>
    <n v="4301"/>
    <s v="Fomento a la recreación, la actividad física y el deporte para desarrollar entornos de convivencia y paz"/>
    <s v="Cobertura de municipios qué participan en programas de recreación, actividad física y deporte social y comunitario en el Departamento del Quindío._x000a_Cobertura de ligas apoyadas en el departamento del Quindío._x000a_Porcentaje de medallería del departamento del Quindío en los Juegos Nacionales."/>
    <s v="ND"/>
    <s v="Infraestructura  deportiva y/o recreativa con procesos   constructivos, mejorados,  ampliados, mantenidos y/o  reforzados "/>
    <n v="4301004"/>
    <s v="Servicio de mantenimiento a la infraestructura deportiva"/>
    <s v="ND"/>
    <s v="Infraestructura   deportiva y/o recreativa construida, mejorada, ampliada, mantenida, y/o  reforzada "/>
    <n v="430100401"/>
    <s v="Intervenciones realizadas a infraestructura deportiva"/>
    <s v="N.A."/>
    <n v="3"/>
    <m/>
    <n v="3"/>
    <x v="130"/>
    <s v="Mantenimiento de obras complementarias de la infraestructura  deportiva y recreativa en el Departamento del Quindío."/>
    <s v="Incrementar la cobertura de municipios qué participan en programas de recreación, actividad física y deporte social y comunitario en el Departamento del Quindío, a través del   mantenimiento de obras complementarias de infraestructura deportiva y recreativa en el Departamento del Quindío con el propósito de generar espacio para la utilización del tiempo libre."/>
    <n v="1766021823.6100001"/>
    <m/>
    <m/>
    <m/>
    <m/>
    <m/>
    <m/>
    <m/>
    <m/>
    <n v="1766021823.6100001"/>
    <s v="Gerente General Proyecta para el Desarrollo Territorial"/>
  </r>
  <r>
    <n v="320"/>
    <x v="14"/>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_x000a_Tasa de deserción escolar intra-anual"/>
    <s v="ND"/>
    <s v="Infraestructura de Instituciones Educativas con procesos constructivos, mejorados, ampliados, mantenidos, y/o reforzados."/>
    <n v="2201062"/>
    <s v="Infraestructura educativa mantenida"/>
    <s v="ND"/>
    <s v="Infraestructura de Instituciones Educativas construida, mejorada, ampliada, mantenida, y/o reforzada."/>
    <n v="220106200"/>
    <s v="Sedes mantenidas"/>
    <s v="N.A."/>
    <n v="15"/>
    <m/>
    <n v="15"/>
    <x v="131"/>
    <s v="Mantenimiento de obras complementarias en la Infraestructura educativa en el Departamento del Quindío."/>
    <s v="Incrementar las tasas de cobertura bruta en preescolar, educación básica y media, a través de esfuerzos interinstitucionales para realizar  obras complementarias en  Infraestructura educativa  mantenida, en el Departamento del Quindío."/>
    <n v="2181834000"/>
    <m/>
    <m/>
    <m/>
    <m/>
    <m/>
    <m/>
    <m/>
    <m/>
    <n v="2181834000"/>
    <s v="Gerente General Proyecta para el Desarrollo Territorial"/>
  </r>
  <r>
    <n v="320"/>
    <x v="14"/>
    <n v="3"/>
    <s v="Territorio, Ambiente y Desarrollo Sostenible"/>
    <n v="24"/>
    <s v="Transporte"/>
    <n v="2402"/>
    <s v="Infraestructura red vial regional. &quot;Tú y yo con movilidad vial&quot;"/>
    <n v="2402"/>
    <s v="Infraestructura red vial regional "/>
    <s v="índice de competitividad  en el sector de infraestructura vial "/>
    <s v="ND"/>
    <s v="Infraestructura   vial  con procesos  de construcción, mejoramiento, ampliación, mantenimiento y/o  reforzamiento."/>
    <n v="2402041"/>
    <s v="Vía terciaria mejorada "/>
    <s v="ND"/>
    <s v="Infraestructura  vial    construida, mejorada, ampliada,  mantenida, y/o  reforzada "/>
    <n v="240204100"/>
    <s v="Vía terciaria mejorada"/>
    <s v="A"/>
    <n v="70.379000000000005"/>
    <m/>
    <n v="70.379000000000005"/>
    <x v="132"/>
    <s v=" Mantenimiento de obras complementarias a la infraestructura vial en el Departamento del Quindío"/>
    <s v="Incrementar en índice de competitividad  en el sector de infraestructura vial,    a través de obras físicas complementarias, garantizando condiciones de eficiencia, seguridad y confort a los a sus usuarios"/>
    <m/>
    <m/>
    <m/>
    <m/>
    <m/>
    <m/>
    <m/>
    <n v="1000481000"/>
    <m/>
    <n v="1000481000"/>
    <s v="Gerente General Proyecta para el Desarrollo Territorial"/>
  </r>
  <r>
    <n v="320"/>
    <x v="14"/>
    <n v="3"/>
    <s v="Territorio, Ambiente y Desarrollo Sostenible"/>
    <n v="40"/>
    <s v="Vivienda, ciudad y territorio"/>
    <n v="4001"/>
    <s v="Acceso a soluciones de vivienda. &quot;Tú y yo con vivienda digna&quot;"/>
    <n v="4001"/>
    <s v="Acceso a soluciones de vivienda"/>
    <s v="Déficit cualitativo de viviendas por hogares"/>
    <n v="4001001"/>
    <s v="Servicio de asistencia técnica y jurídica en saneamiento y titulación de predios "/>
    <n v="4001001"/>
    <s v="Servicio de asistencia técnica y jurídica en saneamiento y titulación de predios "/>
    <s v="400100100"/>
    <s v="Entidades territoriales asistidas técnica y jurídicamente"/>
    <s v="400100100"/>
    <s v="Entidades territoriales asistidas técnica y jurídicamente"/>
    <s v="N.A."/>
    <n v="3"/>
    <m/>
    <n v="3"/>
    <x v="133"/>
    <s v="Apoyo en la formulación y ejecución de proyectos de vivienda en el Departamento del Quindío  "/>
    <s v="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
    <m/>
    <m/>
    <m/>
    <m/>
    <m/>
    <m/>
    <m/>
    <n v="55000000"/>
    <m/>
    <n v="55000000"/>
    <s v="Gerente General Proyecta para el Desarrollo Territorial"/>
  </r>
  <r>
    <n v="320"/>
    <x v="14"/>
    <n v="3"/>
    <s v="Territorio, Ambiente y Desarrollo Sostenible"/>
    <n v="40"/>
    <s v="Vivienda, ciudad y territorio"/>
    <n v="4001"/>
    <s v="Acceso a soluciones de vivienda. &quot;Tú y yo con vivienda digna&quot;"/>
    <n v="4001"/>
    <s v="Acceso a soluciones de vivienda"/>
    <s v="Déficit cualitativo de viviendas por hogares"/>
    <n v="4001018"/>
    <s v="Viviendas de Interés Prioritario urbanas mejoradas "/>
    <n v="4001018"/>
    <s v="Viviendas de Interés Prioritario urbanas mejoradas "/>
    <s v="400101800"/>
    <s v="Viviendas de Interés Prioritario urbanas mejoradas"/>
    <s v="400101800"/>
    <s v="Viviendas de Interés Prioritario urbanas mejoradas"/>
    <s v="N.A."/>
    <n v="75"/>
    <m/>
    <n v="75"/>
    <x v="133"/>
    <s v="Apoyo en la formulación y ejecución de proyectos de vivienda en el Departamento del Quindío  "/>
    <s v="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
    <n v="600000000"/>
    <m/>
    <m/>
    <m/>
    <m/>
    <m/>
    <m/>
    <m/>
    <m/>
    <n v="600000000"/>
    <s v="Gerente General Proyecta para el Desarrollo Territorial"/>
  </r>
  <r>
    <n v="320"/>
    <x v="14"/>
    <n v="3"/>
    <s v="Territorio, Ambiente y Desarrollo Sostenible"/>
    <n v="40"/>
    <s v="Vivienda, ciudad y territorio"/>
    <n v="4001"/>
    <s v="Acceso a soluciones de vivienda. &quot;Tú y yo con vivienda digna&quot;"/>
    <n v="4001"/>
    <s v="Acceso a soluciones de vivienda"/>
    <s v="Déficit cualitativo de viviendas por hogares"/>
    <n v="4001030"/>
    <s v="Estudios de preinversión e inversión"/>
    <n v="4001030"/>
    <s v="Estudios de preinversión e inversión"/>
    <s v="400103000"/>
    <s v="Estudios o diseños realizados "/>
    <s v="400103000"/>
    <s v="Estudios o diseños realizados "/>
    <s v="N.A."/>
    <n v="3"/>
    <m/>
    <n v="3"/>
    <x v="133"/>
    <s v="Apoyo en la formulación y ejecución de proyectos de vivienda en el Departamento del Quindío  "/>
    <s v="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
    <m/>
    <m/>
    <m/>
    <m/>
    <m/>
    <m/>
    <m/>
    <n v="171000000"/>
    <m/>
    <n v="171000000"/>
    <s v="Gerente General Proyecta para el Desarrollo Territorial"/>
  </r>
  <r>
    <n v="320"/>
    <x v="14"/>
    <n v="3"/>
    <s v="Territorio, Ambiente y Desarrollo Sostenible"/>
    <n v="40"/>
    <s v="Vivienda, ciudad y territorio"/>
    <n v="4001"/>
    <s v="Acceso a soluciones de vivienda. &quot;Tú y yo con vivienda digna&quot;"/>
    <n v="4001"/>
    <s v="Acceso a soluciones de vivienda"/>
    <s v="Déficit cualitativo de viviendas por hogares"/>
    <s v="4001015"/>
    <s v="Viviendas de Interés Social urbanas mejoradas"/>
    <s v="4001015"/>
    <s v="Viviendas de Interés Social urbanas mejoradas"/>
    <n v="400101500"/>
    <s v="Viviendas de Interés Social urbanas mejoradas"/>
    <n v="400101500"/>
    <s v="Viviendas de Interés Social urbanas mejoradas"/>
    <s v="N.A."/>
    <n v="120"/>
    <m/>
    <n v="120"/>
    <x v="133"/>
    <s v="Apoyo en la formulación y ejecución de proyectos de vivienda en el Departamento del Quindío  "/>
    <s v="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
    <n v="400000000"/>
    <m/>
    <m/>
    <m/>
    <m/>
    <m/>
    <m/>
    <m/>
    <m/>
    <n v="400000000"/>
    <s v="Gerente General Proyecta para el Desarrollo Territorial"/>
  </r>
  <r>
    <n v="320"/>
    <x v="14"/>
    <n v="4"/>
    <s v="Liderazgo, Gobernabilidad y Transparecia"/>
    <n v="45"/>
    <s v="Gobierno territorial"/>
    <s v="ND"/>
    <s v="Fortalecimiento de la gestión y desempeño institucional. “Quindío con una administración al servicio de la ciudadanía”. "/>
    <n v="4599"/>
    <s v="Fortalecimiento a la gestión y dirección de la administración pública territorial "/>
    <s v="Índice de Gestión del Modelo Integrado de Planeación y de Gestión MIPG  de la Administración Departamental"/>
    <s v="ND"/>
    <s v="Infraestructura institucional o  de edificios públicos de atención  de servicios ciudadanos con procesos constructivos mejorados,  ampliados,  mantenidos, y/o  reforzados"/>
    <s v="4599016"/>
    <s v="Sedes mantenidas"/>
    <s v="ND"/>
    <s v="Infraestructura institucional o edificios públicos construida, mejorada, ampliada, mantenida, y/o reforzada"/>
    <n v="459901600"/>
    <s v="Sedes mantenidas"/>
    <s v="N.A."/>
    <n v="4"/>
    <m/>
    <n v="4"/>
    <x v="134"/>
    <s v="Mantenimiento de los edificios públicos y/o equipamientos colectivos y comunitarios en el Departamento del Quindío."/>
    <s v="Mantener  la  infraestructura institucional o de edificios públicos, con el propósito de propiciar un excelente servicio al ciudadano y bienestar al servidor público, con infraestructura moderna y amigable."/>
    <m/>
    <m/>
    <m/>
    <m/>
    <m/>
    <m/>
    <m/>
    <n v="427285680.02000004"/>
    <m/>
    <n v="427285680.02000004"/>
    <s v="Gerente General Proyecta para el Desarrollo Territorial"/>
  </r>
  <r>
    <n v="320"/>
    <x v="14"/>
    <n v="3"/>
    <s v=" Territorio, Ambiente y Desarrollo Sostenible "/>
    <n v="40"/>
    <s v=" Vivienda, ciudad y territorio "/>
    <n v="4003"/>
    <s v=" Acceso de la población a los servicios de agua potable y saneamiento básico. &quot;Tú y yo con calidad del agua&quot; "/>
    <n v="4003"/>
    <s v=" Acceso de la población a los servicios de agua potable y saneamiento básico "/>
    <s v=" Cobertura de acueducto_x000a_Cobertura  de alcantarillado  "/>
    <n v="4003025"/>
    <s v=" Servicios de apoyo financiero para la ejecución de proyectos de acueductos y alcantarillado "/>
    <n v="4003025"/>
    <s v=" Servicios de apoyo financiero para la ejecución de proyectos de acueductos y alcantarillado "/>
    <n v="400302500"/>
    <s v=" Proyectos de acueducto y alcantarillado en área urbana financiados "/>
    <n v="400302500"/>
    <s v=" Proyectos de acueducto y alcantarillado en área urbana financiados "/>
    <s v=" N.A. "/>
    <n v="1"/>
    <m/>
    <n v="1"/>
    <x v="135"/>
    <s v="Construcción y/o mejoramiento de las redes de acueducto y alcantarillado en los municipios del departamento del Quindío"/>
    <s v="Realizar mantenimiento preventivo y correctivo a las redes de acueducto y alcantarillado"/>
    <n v="750000000"/>
    <m/>
    <m/>
    <m/>
    <m/>
    <m/>
    <m/>
    <m/>
    <m/>
    <n v="750000000"/>
    <s v="Gerente General Proyecta para el Desarrollo Territorial"/>
  </r>
  <r>
    <n v="321"/>
    <x v="15"/>
    <n v="3"/>
    <s v="Territorio, Ambiente y Desarrollo Sostenible"/>
    <n v="24"/>
    <s v="Transporte"/>
    <n v="2409"/>
    <s v="Seguridad de Transporte. &quot;Tú y yo seguros en la vía&quot;"/>
    <n v="2409"/>
    <s v="Seguridad de transporte"/>
    <s v="Tasa de lesionados por siniestros viales por cada 100 habitantes._x000a_Tasa de fallecidos por siniestros viales por cada 100 habitantes."/>
    <s v="ND"/>
    <s v="Formular e Implementar una estrategia de movilidad saludable, segura y sostenible."/>
    <n v="2409009"/>
    <s v="Servicio de promoción y difusión para la seguridad de transporte"/>
    <s v="ND"/>
    <s v="Estrategia de movilidad saludable, segura y sostenible  formulada e implementada "/>
    <n v="240900900"/>
    <s v="Estrategias implementadas "/>
    <s v="A"/>
    <n v="1"/>
    <m/>
    <n v="1"/>
    <x v="136"/>
    <s v="Implementación del programa de seguridad vial en el Departamento del Quindío  &quot;TU Y YO POR LA SEGURIDAD VIAL&quot;"/>
    <s v="Disminuir las tasa de lesionados por siniestros viales y fallecidos por siniestros viales  a través de acciones de fortalecimiento de la seguridad vial en el Departamento del Quindío."/>
    <m/>
    <m/>
    <m/>
    <m/>
    <m/>
    <m/>
    <m/>
    <n v="30542364.719999999"/>
    <m/>
    <n v="30542364.719999999"/>
    <s v="Director IDTQ"/>
  </r>
  <r>
    <n v="321"/>
    <x v="15"/>
    <n v="3"/>
    <s v="Territorio, Ambiente y Desarrollo Sostenible"/>
    <n v="24"/>
    <s v="Transporte"/>
    <n v="2409"/>
    <s v="Seguridad de Transporte. &quot;Tú y yo seguros en la vía&quot;"/>
    <n v="2409"/>
    <s v="Seguridad de transporte"/>
    <s v="Tasa de lesionados por siniestros viales por cada 100 habitantes._x000a_Tasa de fallecidos por siniestros viales por cada 100 habitantes."/>
    <s v="ND"/>
    <s v="Formular e Implementar un programa de formación en normas de tránsito y fomento de cultura  de la seguridad en la vía."/>
    <n v="2409022"/>
    <s v="Servicio de educación informal en seguridad vial "/>
    <s v="ND"/>
    <s v="Programa de formación cultural  de la seguridad en la vía formulado e implementado."/>
    <n v="240902202"/>
    <s v="Estrategias de promoción de la cultura ciudadana implementadas"/>
    <s v="A"/>
    <n v="1"/>
    <m/>
    <n v="1"/>
    <x v="136"/>
    <s v="Implementación del programa de seguridad vial en el Departamento del Quindío  &quot;TU Y YO POR LA SEGURIDAD VIAL&quot;"/>
    <s v="Disminuir las tasa de lesionados por siniestros viales y fallecidos por siniestros viales  a través de acciones de fortalecimiento de la seguridad vial en el Departamento del Quindío."/>
    <m/>
    <m/>
    <m/>
    <m/>
    <m/>
    <m/>
    <m/>
    <n v="47955646.380000003"/>
    <m/>
    <n v="47955646.380000003"/>
    <s v="Director IDTQ"/>
  </r>
  <r>
    <n v="321"/>
    <x v="15"/>
    <n v="3"/>
    <s v="Territorio, Ambiente y Desarrollo Sostenible"/>
    <n v="24"/>
    <s v="Transporte"/>
    <n v="2409"/>
    <s v="Seguridad de Transporte. &quot;Tú y yo seguros en la vía&quot;"/>
    <n v="2409"/>
    <s v="Seguridad de transporte"/>
    <s v="Tasa de lesionados por siniestros viales por cada 100 habitantes._x000a_Tasa de fallecidos por siniestros viales por cada 100 habitantes."/>
    <s v="ND"/>
    <s v="Formular e Implementar un programa de control, prevención y atención del tránsito y el transporte en los municipios y vías de jurisdicción del IDTQ."/>
    <n v="2409014"/>
    <s v="Documentos de planeación"/>
    <s v="ND"/>
    <s v="Programa de control y atención del tránsito y en transporte formulado e implementado"/>
    <n v="240901400"/>
    <s v="Documentos de planeación realizados"/>
    <s v="A"/>
    <n v="1"/>
    <m/>
    <n v="1"/>
    <x v="136"/>
    <s v="Implementación del programa de seguridad vial en el Departamento del Quindío  &quot;TU Y YO POR LA SEGURIDAD VIAL&quot;"/>
    <s v="Disminuir las tasa de lesionados por siniestros viales y fallecidos por siniestros viales  a través de acciones de fortalecimiento de la seguridad vial en el Departamento del Quindío."/>
    <m/>
    <m/>
    <m/>
    <m/>
    <m/>
    <m/>
    <m/>
    <n v="29925000"/>
    <m/>
    <n v="29925000"/>
    <s v="Director IDTQ"/>
  </r>
  <r>
    <n v="321"/>
    <x v="15"/>
    <n v="3"/>
    <s v="Territorio, Ambiente y Desarrollo Sostenible"/>
    <n v="24"/>
    <s v="Transporte"/>
    <n v="2409"/>
    <s v="Seguridad de Transporte. &quot;Tú y yo seguros en la vía&quot;"/>
    <n v="2409"/>
    <s v="Seguridad de transporte"/>
    <s v="Tasa de lesionados por siniestros viales por cada 100 habitantes._x000a_Tasa de fallecidos por siniestros viales por cada 100 habitantes."/>
    <s v="ND"/>
    <s v="Diseñar e Implementar un programa de señalización y demarcación en los municipios y vías de jurisdicción del IDTQ."/>
    <n v="2409039"/>
    <s v="Vías con dispositivos de control y señalización"/>
    <s v="ND"/>
    <s v="Programa de Señalización y demarcación en los municipios y vías de jurisdicción del IDTQ diseñado e Implementado"/>
    <n v="240903905"/>
    <s v="Demarcación horizontal longitudinal realizada "/>
    <s v="A"/>
    <n v="1"/>
    <m/>
    <n v="1"/>
    <x v="136"/>
    <s v="Implementación del programa de seguridad vial en el Departamento del Quindío  &quot;TU Y YO POR LA SEGURIDAD VIAL&quot;"/>
    <s v="Disminuir las tasa de lesionados por siniestros viales y fallecidos por siniestros viales  a través de acciones de fortalecimiento de la seguridad vial en el Departamento del Quindío."/>
    <m/>
    <m/>
    <m/>
    <m/>
    <m/>
    <m/>
    <m/>
    <n v="87160209.900000006"/>
    <m/>
    <n v="87160209.900000006"/>
    <s v="Director IDTQ"/>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location ref="A1:C155" firstHeaderRow="1" firstDataRow="1" firstDataCol="2"/>
  <pivotFields count="37">
    <pivotField compact="0" outline="0" showAll="0"/>
    <pivotField axis="axisRow" compact="0" outline="0" showAll="0">
      <items count="18">
        <item x="13"/>
        <item x="15"/>
        <item x="14"/>
        <item x="0"/>
        <item x="7"/>
        <item x="3"/>
        <item x="5"/>
        <item x="9"/>
        <item x="10"/>
        <item x="2"/>
        <item x="1"/>
        <item x="11"/>
        <item x="6"/>
        <item x="4"/>
        <item x="8"/>
        <item x="12"/>
        <item m="1" x="16"/>
        <item t="default"/>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axis="axisRow" compact="0" outline="0" showAll="0">
      <items count="157">
        <item m="1" x="147"/>
        <item x="3"/>
        <item x="0"/>
        <item x="1"/>
        <item x="9"/>
        <item x="128"/>
        <item x="129"/>
        <item x="75"/>
        <item x="91"/>
        <item m="1" x="143"/>
        <item x="22"/>
        <item m="1" x="141"/>
        <item x="71"/>
        <item x="13"/>
        <item x="39"/>
        <item x="38"/>
        <item x="49"/>
        <item x="47"/>
        <item x="56"/>
        <item x="52"/>
        <item x="55"/>
        <item x="58"/>
        <item x="60"/>
        <item x="62"/>
        <item x="63"/>
        <item x="67"/>
        <item x="82"/>
        <item x="83"/>
        <item x="90"/>
        <item x="88"/>
        <item x="89"/>
        <item x="122"/>
        <item x="124"/>
        <item x="126"/>
        <item x="4"/>
        <item m="1" x="137"/>
        <item x="5"/>
        <item x="6"/>
        <item x="7"/>
        <item x="8"/>
        <item x="11"/>
        <item x="12"/>
        <item x="14"/>
        <item x="17"/>
        <item x="18"/>
        <item m="1" x="148"/>
        <item x="21"/>
        <item x="26"/>
        <item x="27"/>
        <item x="28"/>
        <item x="29"/>
        <item x="30"/>
        <item x="31"/>
        <item x="32"/>
        <item x="36"/>
        <item x="33"/>
        <item x="34"/>
        <item x="35"/>
        <item x="37"/>
        <item x="40"/>
        <item x="41"/>
        <item x="42"/>
        <item m="1" x="139"/>
        <item x="43"/>
        <item x="44"/>
        <item x="45"/>
        <item x="46"/>
        <item x="48"/>
        <item x="50"/>
        <item x="51"/>
        <item x="53"/>
        <item x="54"/>
        <item x="57"/>
        <item x="59"/>
        <item x="61"/>
        <item x="64"/>
        <item x="66"/>
        <item x="68"/>
        <item x="69"/>
        <item x="70"/>
        <item x="72"/>
        <item x="73"/>
        <item x="74"/>
        <item m="1" x="155"/>
        <item x="76"/>
        <item x="77"/>
        <item x="78"/>
        <item x="79"/>
        <item x="80"/>
        <item x="84"/>
        <item x="85"/>
        <item x="86"/>
        <item x="87"/>
        <item x="92"/>
        <item x="98"/>
        <item x="99"/>
        <item x="93"/>
        <item x="94"/>
        <item x="95"/>
        <item x="100"/>
        <item x="101"/>
        <item x="102"/>
        <item x="103"/>
        <item x="104"/>
        <item x="105"/>
        <item x="106"/>
        <item x="107"/>
        <item x="108"/>
        <item x="109"/>
        <item x="110"/>
        <item x="111"/>
        <item x="112"/>
        <item x="113"/>
        <item m="1" x="138"/>
        <item x="120"/>
        <item x="121"/>
        <item x="114"/>
        <item x="115"/>
        <item x="116"/>
        <item x="117"/>
        <item x="118"/>
        <item x="119"/>
        <item x="123"/>
        <item x="125"/>
        <item x="127"/>
        <item x="130"/>
        <item x="131"/>
        <item x="132"/>
        <item x="133"/>
        <item x="136"/>
        <item x="15"/>
        <item x="20"/>
        <item x="23"/>
        <item x="19"/>
        <item x="65"/>
        <item x="24"/>
        <item x="97"/>
        <item x="96"/>
        <item x="81"/>
        <item m="1" x="154"/>
        <item m="1" x="153"/>
        <item m="1" x="152"/>
        <item m="1" x="149"/>
        <item x="134"/>
        <item x="16"/>
        <item m="1" x="146"/>
        <item m="1" x="145"/>
        <item m="1" x="144"/>
        <item x="2"/>
        <item m="1" x="142"/>
        <item m="1" x="140"/>
        <item m="1" x="151"/>
        <item x="25"/>
        <item m="1" x="150"/>
        <item x="10"/>
        <item x="135"/>
        <item t="default"/>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compact="0" outline="0" showAll="0"/>
  </pivotFields>
  <rowFields count="2">
    <field x="1"/>
    <field x="23"/>
  </rowFields>
  <rowItems count="154">
    <i>
      <x/>
      <x v="5"/>
    </i>
    <i r="1">
      <x v="6"/>
    </i>
    <i t="default">
      <x/>
    </i>
    <i>
      <x v="1"/>
      <x v="129"/>
    </i>
    <i t="default">
      <x v="1"/>
    </i>
    <i>
      <x v="2"/>
      <x v="125"/>
    </i>
    <i r="1">
      <x v="126"/>
    </i>
    <i r="1">
      <x v="127"/>
    </i>
    <i r="1">
      <x v="128"/>
    </i>
    <i r="1">
      <x v="143"/>
    </i>
    <i r="1">
      <x v="155"/>
    </i>
    <i t="default">
      <x v="2"/>
    </i>
    <i>
      <x v="3"/>
      <x v="1"/>
    </i>
    <i r="1">
      <x v="2"/>
    </i>
    <i r="1">
      <x v="3"/>
    </i>
    <i r="1">
      <x v="148"/>
    </i>
    <i t="default">
      <x v="3"/>
    </i>
    <i>
      <x v="4"/>
      <x v="16"/>
    </i>
    <i r="1">
      <x v="17"/>
    </i>
    <i r="1">
      <x v="18"/>
    </i>
    <i r="1">
      <x v="19"/>
    </i>
    <i r="1">
      <x v="20"/>
    </i>
    <i r="1">
      <x v="21"/>
    </i>
    <i r="1">
      <x v="22"/>
    </i>
    <i r="1">
      <x v="23"/>
    </i>
    <i r="1">
      <x v="24"/>
    </i>
    <i r="1">
      <x v="66"/>
    </i>
    <i r="1">
      <x v="67"/>
    </i>
    <i r="1">
      <x v="68"/>
    </i>
    <i r="1">
      <x v="69"/>
    </i>
    <i r="1">
      <x v="70"/>
    </i>
    <i r="1">
      <x v="71"/>
    </i>
    <i r="1">
      <x v="72"/>
    </i>
    <i r="1">
      <x v="73"/>
    </i>
    <i r="1">
      <x v="74"/>
    </i>
    <i r="1">
      <x v="75"/>
    </i>
    <i t="default">
      <x v="4"/>
    </i>
    <i>
      <x v="5"/>
      <x v="10"/>
    </i>
    <i r="1">
      <x v="13"/>
    </i>
    <i r="1">
      <x v="42"/>
    </i>
    <i r="1">
      <x v="43"/>
    </i>
    <i r="1">
      <x v="44"/>
    </i>
    <i r="1">
      <x v="46"/>
    </i>
    <i r="1">
      <x v="130"/>
    </i>
    <i r="1">
      <x v="131"/>
    </i>
    <i r="1">
      <x v="132"/>
    </i>
    <i r="1">
      <x v="133"/>
    </i>
    <i r="1">
      <x v="135"/>
    </i>
    <i r="1">
      <x v="144"/>
    </i>
    <i r="1">
      <x v="152"/>
    </i>
    <i t="default">
      <x v="5"/>
    </i>
    <i>
      <x v="6"/>
      <x v="14"/>
    </i>
    <i r="1">
      <x v="15"/>
    </i>
    <i r="1">
      <x v="59"/>
    </i>
    <i r="1">
      <x v="60"/>
    </i>
    <i t="default">
      <x v="6"/>
    </i>
    <i>
      <x v="7"/>
      <x v="12"/>
    </i>
    <i r="1">
      <x v="77"/>
    </i>
    <i r="1">
      <x v="78"/>
    </i>
    <i r="1">
      <x v="79"/>
    </i>
    <i r="1">
      <x v="80"/>
    </i>
    <i r="1">
      <x v="81"/>
    </i>
    <i r="1">
      <x v="82"/>
    </i>
    <i t="default">
      <x v="7"/>
    </i>
    <i>
      <x v="8"/>
      <x v="7"/>
    </i>
    <i r="1">
      <x v="8"/>
    </i>
    <i r="1">
      <x v="26"/>
    </i>
    <i r="1">
      <x v="27"/>
    </i>
    <i r="1">
      <x v="28"/>
    </i>
    <i r="1">
      <x v="29"/>
    </i>
    <i r="1">
      <x v="30"/>
    </i>
    <i r="1">
      <x v="84"/>
    </i>
    <i r="1">
      <x v="85"/>
    </i>
    <i r="1">
      <x v="86"/>
    </i>
    <i r="1">
      <x v="87"/>
    </i>
    <i r="1">
      <x v="88"/>
    </i>
    <i r="1">
      <x v="89"/>
    </i>
    <i r="1">
      <x v="90"/>
    </i>
    <i r="1">
      <x v="91"/>
    </i>
    <i r="1">
      <x v="92"/>
    </i>
    <i r="1">
      <x v="93"/>
    </i>
    <i r="1">
      <x v="94"/>
    </i>
    <i r="1">
      <x v="95"/>
    </i>
    <i r="1">
      <x v="96"/>
    </i>
    <i r="1">
      <x v="97"/>
    </i>
    <i r="1">
      <x v="98"/>
    </i>
    <i r="1">
      <x v="136"/>
    </i>
    <i r="1">
      <x v="137"/>
    </i>
    <i r="1">
      <x v="138"/>
    </i>
    <i t="default">
      <x v="8"/>
    </i>
    <i>
      <x v="9"/>
      <x v="40"/>
    </i>
    <i r="1">
      <x v="41"/>
    </i>
    <i t="default">
      <x v="9"/>
    </i>
    <i>
      <x v="10"/>
      <x v="4"/>
    </i>
    <i r="1">
      <x v="34"/>
    </i>
    <i r="1">
      <x v="36"/>
    </i>
    <i r="1">
      <x v="37"/>
    </i>
    <i r="1">
      <x v="38"/>
    </i>
    <i r="1">
      <x v="39"/>
    </i>
    <i r="1">
      <x v="154"/>
    </i>
    <i t="default">
      <x v="10"/>
    </i>
    <i>
      <x v="11"/>
      <x v="99"/>
    </i>
    <i r="1">
      <x v="100"/>
    </i>
    <i r="1">
      <x v="101"/>
    </i>
    <i r="1">
      <x v="102"/>
    </i>
    <i r="1">
      <x v="103"/>
    </i>
    <i r="1">
      <x v="104"/>
    </i>
    <i r="1">
      <x v="105"/>
    </i>
    <i r="1">
      <x v="106"/>
    </i>
    <i r="1">
      <x v="107"/>
    </i>
    <i r="1">
      <x v="108"/>
    </i>
    <i r="1">
      <x v="109"/>
    </i>
    <i r="1">
      <x v="110"/>
    </i>
    <i r="1">
      <x v="111"/>
    </i>
    <i r="1">
      <x v="112"/>
    </i>
    <i r="1">
      <x v="114"/>
    </i>
    <i r="1">
      <x v="115"/>
    </i>
    <i r="1">
      <x v="116"/>
    </i>
    <i r="1">
      <x v="117"/>
    </i>
    <i r="1">
      <x v="118"/>
    </i>
    <i r="1">
      <x v="119"/>
    </i>
    <i r="1">
      <x v="120"/>
    </i>
    <i r="1">
      <x v="121"/>
    </i>
    <i t="default">
      <x v="11"/>
    </i>
    <i>
      <x v="12"/>
      <x v="61"/>
    </i>
    <i r="1">
      <x v="63"/>
    </i>
    <i r="1">
      <x v="64"/>
    </i>
    <i r="1">
      <x v="65"/>
    </i>
    <i t="default">
      <x v="12"/>
    </i>
    <i>
      <x v="13"/>
      <x v="47"/>
    </i>
    <i r="1">
      <x v="48"/>
    </i>
    <i r="1">
      <x v="49"/>
    </i>
    <i r="1">
      <x v="50"/>
    </i>
    <i r="1">
      <x v="51"/>
    </i>
    <i r="1">
      <x v="52"/>
    </i>
    <i r="1">
      <x v="53"/>
    </i>
    <i r="1">
      <x v="54"/>
    </i>
    <i r="1">
      <x v="55"/>
    </i>
    <i r="1">
      <x v="56"/>
    </i>
    <i r="1">
      <x v="57"/>
    </i>
    <i r="1">
      <x v="58"/>
    </i>
    <i t="default">
      <x v="13"/>
    </i>
    <i>
      <x v="14"/>
      <x v="25"/>
    </i>
    <i r="1">
      <x v="76"/>
    </i>
    <i r="1">
      <x v="134"/>
    </i>
    <i t="default">
      <x v="14"/>
    </i>
    <i>
      <x v="15"/>
      <x v="31"/>
    </i>
    <i r="1">
      <x v="32"/>
    </i>
    <i r="1">
      <x v="33"/>
    </i>
    <i r="1">
      <x v="122"/>
    </i>
    <i r="1">
      <x v="123"/>
    </i>
    <i r="1">
      <x v="124"/>
    </i>
    <i t="default">
      <x v="15"/>
    </i>
    <i t="grand">
      <x/>
    </i>
  </rowItems>
  <colItems count="1">
    <i/>
  </colItems>
  <dataFields count="1">
    <dataField name="Suma de  TOTAL PRESUPUESTO_x000a_2024" fld="35" baseField="0" baseItem="0" numFmtId="164"/>
  </dataFields>
  <formats count="32">
    <format dxfId="31">
      <pivotArea dataOnly="0" labelOnly="1" outline="0" fieldPosition="0">
        <references count="1">
          <reference field="1" count="1" defaultSubtotal="1">
            <x v="0"/>
          </reference>
        </references>
      </pivotArea>
    </format>
    <format dxfId="30">
      <pivotArea dataOnly="0" labelOnly="1" outline="0" fieldPosition="0">
        <references count="1">
          <reference field="1" count="1" defaultSubtotal="1">
            <x v="1"/>
          </reference>
        </references>
      </pivotArea>
    </format>
    <format dxfId="29">
      <pivotArea dataOnly="0" labelOnly="1" outline="0" fieldPosition="0">
        <references count="1">
          <reference field="1" count="1" defaultSubtotal="1">
            <x v="2"/>
          </reference>
        </references>
      </pivotArea>
    </format>
    <format dxfId="28">
      <pivotArea dataOnly="0" labelOnly="1" outline="0" fieldPosition="0">
        <references count="1">
          <reference field="1" count="1" defaultSubtotal="1">
            <x v="3"/>
          </reference>
        </references>
      </pivotArea>
    </format>
    <format dxfId="27">
      <pivotArea dataOnly="0" labelOnly="1" outline="0" fieldPosition="0">
        <references count="1">
          <reference field="1" count="1" defaultSubtotal="1">
            <x v="4"/>
          </reference>
        </references>
      </pivotArea>
    </format>
    <format dxfId="26">
      <pivotArea dataOnly="0" labelOnly="1" outline="0" fieldPosition="0">
        <references count="1">
          <reference field="1" count="1" defaultSubtotal="1">
            <x v="5"/>
          </reference>
        </references>
      </pivotArea>
    </format>
    <format dxfId="25">
      <pivotArea dataOnly="0" labelOnly="1" outline="0" fieldPosition="0">
        <references count="1">
          <reference field="1" count="1" defaultSubtotal="1">
            <x v="6"/>
          </reference>
        </references>
      </pivotArea>
    </format>
    <format dxfId="24">
      <pivotArea dataOnly="0" labelOnly="1" outline="0" fieldPosition="0">
        <references count="1">
          <reference field="1" count="1" defaultSubtotal="1">
            <x v="7"/>
          </reference>
        </references>
      </pivotArea>
    </format>
    <format dxfId="23">
      <pivotArea dataOnly="0" labelOnly="1" outline="0" fieldPosition="0">
        <references count="1">
          <reference field="1" count="1" defaultSubtotal="1">
            <x v="8"/>
          </reference>
        </references>
      </pivotArea>
    </format>
    <format dxfId="22">
      <pivotArea dataOnly="0" labelOnly="1" outline="0" fieldPosition="0">
        <references count="1">
          <reference field="1" count="1" defaultSubtotal="1">
            <x v="9"/>
          </reference>
        </references>
      </pivotArea>
    </format>
    <format dxfId="21">
      <pivotArea dataOnly="0" labelOnly="1" outline="0" fieldPosition="0">
        <references count="1">
          <reference field="1" count="1" defaultSubtotal="1">
            <x v="10"/>
          </reference>
        </references>
      </pivotArea>
    </format>
    <format dxfId="20">
      <pivotArea dataOnly="0" labelOnly="1" outline="0" fieldPosition="0">
        <references count="1">
          <reference field="1" count="1" defaultSubtotal="1">
            <x v="11"/>
          </reference>
        </references>
      </pivotArea>
    </format>
    <format dxfId="19">
      <pivotArea dataOnly="0" labelOnly="1" outline="0" fieldPosition="0">
        <references count="1">
          <reference field="1" count="1" defaultSubtotal="1">
            <x v="12"/>
          </reference>
        </references>
      </pivotArea>
    </format>
    <format dxfId="18">
      <pivotArea dataOnly="0" labelOnly="1" outline="0" fieldPosition="0">
        <references count="1">
          <reference field="1" count="1" defaultSubtotal="1">
            <x v="13"/>
          </reference>
        </references>
      </pivotArea>
    </format>
    <format dxfId="17">
      <pivotArea dataOnly="0" labelOnly="1" outline="0" fieldPosition="0">
        <references count="1">
          <reference field="1" count="1" defaultSubtotal="1">
            <x v="14"/>
          </reference>
        </references>
      </pivotArea>
    </format>
    <format dxfId="16">
      <pivotArea dataOnly="0" labelOnly="1" outline="0" fieldPosition="0">
        <references count="2">
          <reference field="1" count="1" selected="0">
            <x v="0"/>
          </reference>
          <reference field="23" count="3">
            <x v="5"/>
            <x v="6"/>
            <x v="9"/>
          </reference>
        </references>
      </pivotArea>
    </format>
    <format dxfId="15">
      <pivotArea dataOnly="0" labelOnly="1" outline="0" fieldPosition="0">
        <references count="2">
          <reference field="1" count="1" selected="0">
            <x v="1"/>
          </reference>
          <reference field="23" count="1">
            <x v="129"/>
          </reference>
        </references>
      </pivotArea>
    </format>
    <format dxfId="14">
      <pivotArea dataOnly="0" labelOnly="1" outline="0" fieldPosition="0">
        <references count="2">
          <reference field="1" count="1" selected="0">
            <x v="2"/>
          </reference>
          <reference field="23" count="6">
            <x v="125"/>
            <x v="126"/>
            <x v="127"/>
            <x v="128"/>
            <x v="143"/>
            <x v="151"/>
          </reference>
        </references>
      </pivotArea>
    </format>
    <format dxfId="13">
      <pivotArea dataOnly="0" labelOnly="1" outline="0" fieldPosition="0">
        <references count="2">
          <reference field="1" count="1" selected="0">
            <x v="3"/>
          </reference>
          <reference field="23" count="4">
            <x v="1"/>
            <x v="2"/>
            <x v="3"/>
            <x v="148"/>
          </reference>
        </references>
      </pivotArea>
    </format>
    <format dxfId="12">
      <pivotArea dataOnly="0" labelOnly="1" outline="0" fieldPosition="0">
        <references count="2">
          <reference field="1" count="1" selected="0">
            <x v="4"/>
          </reference>
          <reference field="23" count="19">
            <x v="16"/>
            <x v="17"/>
            <x v="18"/>
            <x v="19"/>
            <x v="20"/>
            <x v="21"/>
            <x v="22"/>
            <x v="23"/>
            <x v="24"/>
            <x v="66"/>
            <x v="67"/>
            <x v="68"/>
            <x v="69"/>
            <x v="70"/>
            <x v="71"/>
            <x v="72"/>
            <x v="73"/>
            <x v="74"/>
            <x v="75"/>
          </reference>
        </references>
      </pivotArea>
    </format>
    <format dxfId="11">
      <pivotArea dataOnly="0" labelOnly="1" outline="0" fieldPosition="0">
        <references count="2">
          <reference field="1" count="1" selected="0">
            <x v="5"/>
          </reference>
          <reference field="23" count="23">
            <x v="0"/>
            <x v="10"/>
            <x v="13"/>
            <x v="42"/>
            <x v="43"/>
            <x v="44"/>
            <x v="45"/>
            <x v="46"/>
            <x v="130"/>
            <x v="131"/>
            <x v="132"/>
            <x v="133"/>
            <x v="135"/>
            <x v="139"/>
            <x v="140"/>
            <x v="141"/>
            <x v="142"/>
            <x v="144"/>
            <x v="145"/>
            <x v="146"/>
            <x v="147"/>
            <x v="152"/>
            <x v="153"/>
          </reference>
        </references>
      </pivotArea>
    </format>
    <format dxfId="10">
      <pivotArea dataOnly="0" labelOnly="1" outline="0" fieldPosition="0">
        <references count="2">
          <reference field="1" count="1" selected="0">
            <x v="6"/>
          </reference>
          <reference field="23" count="4">
            <x v="14"/>
            <x v="15"/>
            <x v="59"/>
            <x v="60"/>
          </reference>
        </references>
      </pivotArea>
    </format>
    <format dxfId="9">
      <pivotArea dataOnly="0" labelOnly="1" outline="0" fieldPosition="0">
        <references count="2">
          <reference field="1" count="1" selected="0">
            <x v="7"/>
          </reference>
          <reference field="23" count="9">
            <x v="11"/>
            <x v="12"/>
            <x v="77"/>
            <x v="78"/>
            <x v="79"/>
            <x v="80"/>
            <x v="81"/>
            <x v="82"/>
            <x v="83"/>
          </reference>
        </references>
      </pivotArea>
    </format>
    <format dxfId="8">
      <pivotArea dataOnly="0" labelOnly="1" outline="0" fieldPosition="0">
        <references count="2">
          <reference field="1" count="1" selected="0">
            <x v="8"/>
          </reference>
          <reference field="23" count="25">
            <x v="7"/>
            <x v="8"/>
            <x v="26"/>
            <x v="27"/>
            <x v="28"/>
            <x v="29"/>
            <x v="30"/>
            <x v="84"/>
            <x v="85"/>
            <x v="86"/>
            <x v="87"/>
            <x v="88"/>
            <x v="89"/>
            <x v="90"/>
            <x v="91"/>
            <x v="92"/>
            <x v="93"/>
            <x v="94"/>
            <x v="95"/>
            <x v="96"/>
            <x v="97"/>
            <x v="98"/>
            <x v="136"/>
            <x v="137"/>
            <x v="138"/>
          </reference>
        </references>
      </pivotArea>
    </format>
    <format dxfId="7">
      <pivotArea dataOnly="0" labelOnly="1" outline="0" fieldPosition="0">
        <references count="2">
          <reference field="1" count="1" selected="0">
            <x v="9"/>
          </reference>
          <reference field="23" count="2">
            <x v="40"/>
            <x v="41"/>
          </reference>
        </references>
      </pivotArea>
    </format>
    <format dxfId="6">
      <pivotArea dataOnly="0" labelOnly="1" outline="0" fieldPosition="0">
        <references count="2">
          <reference field="1" count="1" selected="0">
            <x v="10"/>
          </reference>
          <reference field="23" count="8">
            <x v="4"/>
            <x v="34"/>
            <x v="35"/>
            <x v="36"/>
            <x v="37"/>
            <x v="38"/>
            <x v="39"/>
            <x v="154"/>
          </reference>
        </references>
      </pivotArea>
    </format>
    <format dxfId="5">
      <pivotArea dataOnly="0" labelOnly="1" outline="0" fieldPosition="0">
        <references count="2">
          <reference field="1" count="1" selected="0">
            <x v="11"/>
          </reference>
          <reference field="23" count="23">
            <x v="99"/>
            <x v="100"/>
            <x v="101"/>
            <x v="102"/>
            <x v="103"/>
            <x v="104"/>
            <x v="105"/>
            <x v="106"/>
            <x v="107"/>
            <x v="108"/>
            <x v="109"/>
            <x v="110"/>
            <x v="111"/>
            <x v="112"/>
            <x v="113"/>
            <x v="114"/>
            <x v="115"/>
            <x v="116"/>
            <x v="117"/>
            <x v="118"/>
            <x v="119"/>
            <x v="120"/>
            <x v="121"/>
          </reference>
        </references>
      </pivotArea>
    </format>
    <format dxfId="4">
      <pivotArea dataOnly="0" labelOnly="1" outline="0" fieldPosition="0">
        <references count="2">
          <reference field="1" count="1" selected="0">
            <x v="12"/>
          </reference>
          <reference field="23" count="6">
            <x v="61"/>
            <x v="62"/>
            <x v="63"/>
            <x v="64"/>
            <x v="65"/>
            <x v="150"/>
          </reference>
        </references>
      </pivotArea>
    </format>
    <format dxfId="3">
      <pivotArea dataOnly="0" labelOnly="1" outline="0" fieldPosition="0">
        <references count="2">
          <reference field="1" count="1" selected="0">
            <x v="13"/>
          </reference>
          <reference field="23" count="12">
            <x v="47"/>
            <x v="48"/>
            <x v="49"/>
            <x v="50"/>
            <x v="51"/>
            <x v="52"/>
            <x v="53"/>
            <x v="54"/>
            <x v="55"/>
            <x v="56"/>
            <x v="57"/>
            <x v="58"/>
          </reference>
        </references>
      </pivotArea>
    </format>
    <format dxfId="2">
      <pivotArea dataOnly="0" labelOnly="1" outline="0" fieldPosition="0">
        <references count="2">
          <reference field="1" count="1" selected="0">
            <x v="14"/>
          </reference>
          <reference field="23" count="4">
            <x v="25"/>
            <x v="76"/>
            <x v="134"/>
            <x v="149"/>
          </reference>
        </references>
      </pivotArea>
    </format>
    <format dxfId="1">
      <pivotArea dataOnly="0" labelOnly="1" outline="0" fieldPosition="0">
        <references count="2">
          <reference field="1" count="1" selected="0">
            <x v="15"/>
          </reference>
          <reference field="23" count="6">
            <x v="31"/>
            <x v="32"/>
            <x v="33"/>
            <x v="122"/>
            <x v="123"/>
            <x v="124"/>
          </reference>
        </references>
      </pivotArea>
    </format>
    <format dxfId="0">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U9" dT="2024-05-30T16:52:29.61" personId="{181DE6E3-275C-4A1F-A6B2-E5FC285624D9}" id="{28136D91-47FA-40EA-8660-27828DC4A9B9}">
    <text>estaba programa 5 y se cambia por 1, pq el proyecto tiene para ejecucción meta fisica 1  MGA-POAI 2023</text>
  </threadedComment>
  <threadedComment ref="AG23" dT="2024-02-28T15:45:43.36" personId="{181DE6E3-275C-4A1F-A6B2-E5FC285624D9}" id="{45D44941-42B4-4CB0-93B3-D82EE8F8769F}">
    <text>Adición según decreto 0422 21/02/2024
Adición según decreto 0510 22/03/2024</text>
  </threadedComment>
  <threadedComment ref="AH23" dT="2024-04-06T01:37:30.10" personId="{181DE6E3-275C-4A1F-A6B2-E5FC285624D9}" id="{7721EDFE-E49E-4F9B-940A-52A19F8100CD}">
    <text>Adición según decreto 0510 22/03/2024 FONPET</text>
  </threadedComment>
  <threadedComment ref="AL23" dT="2024-02-28T15:46:12.57" personId="{181DE6E3-275C-4A1F-A6B2-E5FC285624D9}" id="{3BBCE55C-3C35-4013-9047-D8212FFBA218}">
    <text>Adición según decreto 0422 21/02/2024
Adición según decreto 0510 22/03/2024 RO
Adición según decreto 0510 22/03/2024 FONPET</text>
  </threadedComment>
  <threadedComment ref="AG24" dT="2024-02-28T15:45:16.02" personId="{181DE6E3-275C-4A1F-A6B2-E5FC285624D9}" id="{6A450128-C35C-44E6-BB14-200B29AE60E8}">
    <text>Adición según decreto 0422 21/02/2024
Adición según decreto 0510 22/03/2024 RO</text>
  </threadedComment>
  <threadedComment ref="AL24" dT="2024-02-28T15:46:17.71" personId="{181DE6E3-275C-4A1F-A6B2-E5FC285624D9}" id="{C5EDD766-C50E-40E7-A4CC-1818706C377E}">
    <text>Adición según decreto 0422 21/02/2024
Adición según decreto 0510 22/03/2024 RO</text>
  </threadedComment>
  <threadedComment ref="AG25" dT="2024-04-13T02:10:06.43" personId="{181DE6E3-275C-4A1F-A6B2-E5FC285624D9}" id="{8DD07829-630F-4CC4-8C2A-22C5498F1725}">
    <text>Contracredito segun decreto 553 11-04-2024</text>
  </threadedComment>
  <threadedComment ref="AO25" dT="2024-04-13T02:13:40.88" personId="{181DE6E3-275C-4A1F-A6B2-E5FC285624D9}" id="{D62FD44B-8E14-4F10-A815-3093A905EE18}">
    <text>contraredito segun decreto 553 11-04-2024</text>
  </threadedComment>
  <threadedComment ref="AP25" dT="2024-04-10T21:56:45.99" personId="{181DE6E3-275C-4A1F-A6B2-E5FC285624D9}" id="{F9A5E181-50A3-40D3-BD72-C420C9F33831}">
    <text>Contracredito</text>
  </threadedComment>
  <threadedComment ref="AA26" dT="2024-02-22T21:06:49.26" personId="{181DE6E3-275C-4A1F-A6B2-E5FC285624D9}" id="{1BFADC05-8929-4E5B-990C-F47F9EBE473E}">
    <text xml:space="preserve">Adición según decreto 0412 Recursos del Balance 16/02/2024 </text>
  </threadedComment>
  <threadedComment ref="AL26" dT="2024-02-22T21:08:40.20" personId="{181DE6E3-275C-4A1F-A6B2-E5FC285624D9}" id="{3DD47FBD-419F-4E7D-9197-E712007B710E}">
    <text xml:space="preserve">Adición según decreto 0412 Recursos del Balance 16/02/2024 </text>
  </threadedComment>
  <threadedComment ref="AG27" dT="2024-04-13T02:10:49.79" personId="{181DE6E3-275C-4A1F-A6B2-E5FC285624D9}" id="{DAA9C7A5-06A2-42D3-A8FF-D61382EF8F2B}">
    <text>Contracredito segun decreto 553 11-04-2024</text>
  </threadedComment>
  <threadedComment ref="AO27" dT="2024-04-13T02:13:33.61" personId="{181DE6E3-275C-4A1F-A6B2-E5FC285624D9}" id="{EAA0A302-9BC6-4D75-80C5-6AE80D913DEA}">
    <text>contraredito segun decreto 553 11-04-2024</text>
  </threadedComment>
  <threadedComment ref="AP27" dT="2024-04-10T21:56:17.10" personId="{181DE6E3-275C-4A1F-A6B2-E5FC285624D9}" id="{7A3DA112-9BB0-435D-8374-0027EAD3AEF8}">
    <text xml:space="preserve">Contracredito </text>
  </threadedComment>
  <threadedComment ref="AG28" dT="2024-02-27T17:12:31.61" personId="{181DE6E3-275C-4A1F-A6B2-E5FC285624D9}" id="{62DAD6C5-9530-47B6-A600-4BF7A5E3488B}">
    <text xml:space="preserve">Contracredito según decreto 0431 23/02/2024 </text>
  </threadedComment>
  <threadedComment ref="AO28" dT="2024-02-27T17:12:54.35" personId="{181DE6E3-275C-4A1F-A6B2-E5FC285624D9}" id="{AAA7860F-07F8-409F-8B12-36829A492DBB}">
    <text xml:space="preserve">Contracredito según decreto 0431 23/02/2024 </text>
  </threadedComment>
  <threadedComment ref="AA29" dT="2024-02-22T21:14:11.02" personId="{181DE6E3-275C-4A1F-A6B2-E5FC285624D9}" id="{4685C122-EAC4-464F-B868-A0FC35486042}">
    <text>Adición según decreto 0412 Recursos del Balance 16/02/2024</text>
  </threadedComment>
  <threadedComment ref="AL29" dT="2024-02-22T21:14:53.47" personId="{181DE6E3-275C-4A1F-A6B2-E5FC285624D9}" id="{E8896D3A-7F6E-44FF-9F4F-A3F760043681}">
    <text>Adición según decreto 0412 Recursos del Balance 16/02/2024</text>
  </threadedComment>
  <threadedComment ref="AG30" dT="2024-02-22T22:11:46.09" personId="{181DE6E3-275C-4A1F-A6B2-E5FC285624D9}" id="{F56068DC-F582-4633-BAD4-C33EF0B6377B}">
    <text>Adición según decreto 0412 Recursos Balance 16/02/2024
Credito según decreto 0431 23/02/2024 
Adición según decreto 0510 22/03/2024</text>
  </threadedComment>
  <threadedComment ref="AH30" dT="2024-02-26T16:42:53.07" personId="{181DE6E3-275C-4A1F-A6B2-E5FC285624D9}" id="{9D5A920C-A753-4CE6-9261-76758E2987F4}">
    <text>Adición según decreto 0412 Recursos Balance 16/02/2024
Adición según decreto 0510 22/03/2024 Recursos FONPET</text>
  </threadedComment>
  <threadedComment ref="AI30" dT="2024-02-22T22:00:22.10" personId="{181DE6E3-275C-4A1F-A6B2-E5FC285624D9}" id="{70DAEBFB-C238-4479-84F5-7EAA3BBD6312}">
    <text>Adición según decreto 0412 Recursos Balance 16/02/2024</text>
  </threadedComment>
  <threadedComment ref="AL30" dT="2024-02-22T22:00:22.10" personId="{181DE6E3-275C-4A1F-A6B2-E5FC285624D9}" id="{F8D478F0-2CC8-4D10-A63E-43418A5D5E4E}">
    <text xml:space="preserve">Adición según decreto 0412 Recursos Balance 16/02/2024.
Credito según decreto 0431 23/02/2024 
Adición según decreto 0510 22/03/2024 Recurso Ordinario y FONPET
</text>
  </threadedComment>
  <threadedComment ref="AN30" dT="2024-02-27T17:16:48.87" personId="{181DE6E3-275C-4A1F-A6B2-E5FC285624D9}" id="{845BE78D-9383-433F-BC49-1BBCFBD605A4}">
    <text xml:space="preserve">Credito según decreto 0431 23/02/2024 </text>
  </threadedComment>
  <threadedComment ref="AA36" dT="2024-02-23T18:38:44.79" personId="{181DE6E3-275C-4A1F-A6B2-E5FC285624D9}" id="{5DFF9C73-EE3D-4C84-B969-05ADB70E501B}">
    <text>Adición según decreto 0412 Recursos del balance 16/02/2024</text>
  </threadedComment>
  <threadedComment ref="AF36" dT="2024-02-23T18:42:26.87" personId="{181DE6E3-275C-4A1F-A6B2-E5FC285624D9}" id="{DDDC25F9-EBC6-4220-A8E1-6D411585C082}">
    <text>Adición según decreto 0412 Recursos del balance 16/02/2024</text>
  </threadedComment>
  <threadedComment ref="AL36" dT="2024-02-23T18:40:58.80" personId="{181DE6E3-275C-4A1F-A6B2-E5FC285624D9}" id="{5C102F2C-4723-4C69-8274-A072A78436B5}">
    <text>Adición según decreto 0412 Recursos del balance 16/02/2024</text>
  </threadedComment>
  <threadedComment ref="AG40" dT="2024-02-27T17:19:07.92" personId="{181DE6E3-275C-4A1F-A6B2-E5FC285624D9}" id="{CF7D5972-C753-4A6F-9AAB-C407F5145DF4}">
    <text xml:space="preserve">Credito según decreto 0431 23/02/2024 </text>
  </threadedComment>
  <threadedComment ref="AG40" dT="2024-04-13T02:11:05.01" personId="{181DE6E3-275C-4A1F-A6B2-E5FC285624D9}" id="{7498D47F-B6BE-4D4F-9F56-ACCEE20FFB26}" parentId="{CF7D5972-C753-4A6F-9AAB-C407F5145DF4}">
    <text>Credito segun decreto 553 11-04-2024</text>
  </threadedComment>
  <threadedComment ref="AN40" dT="2024-02-27T17:19:22.72" personId="{181DE6E3-275C-4A1F-A6B2-E5FC285624D9}" id="{92B10827-BC2C-4F11-9810-950D84E7D1EC}">
    <text xml:space="preserve">Credito según decreto 0431 23/02/2024 </text>
  </threadedComment>
  <threadedComment ref="AO40" dT="2024-04-10T21:57:17.02" personId="{181DE6E3-275C-4A1F-A6B2-E5FC285624D9}" id="{0F5EEE32-229F-447C-913C-A02FDEBDD601}">
    <text>Credito segun decreto 553 11-04-2024</text>
  </threadedComment>
  <threadedComment ref="AP40" dT="2024-04-10T21:57:17.02" personId="{181DE6E3-275C-4A1F-A6B2-E5FC285624D9}" id="{82304D2F-83EF-49CF-946E-37536B28118A}">
    <text>Credito</text>
  </threadedComment>
  <threadedComment ref="AH41" dT="2024-02-22T21:01:47.99" personId="{181DE6E3-275C-4A1F-A6B2-E5FC285624D9}" id="{2FF22634-7805-4C0D-8B3A-8469B2DDE969}">
    <text>Adición según decreto 0412 Recursos del Balance16/02/2024</text>
  </threadedComment>
  <threadedComment ref="AL41" dT="2024-02-22T21:01:47.99" personId="{181DE6E3-275C-4A1F-A6B2-E5FC285624D9}" id="{6CFE9C14-CC9D-460A-93B2-3842E85650DE}">
    <text>Adición según decreto 0412 Recursos del Balance16/02/2024</text>
  </threadedComment>
  <threadedComment ref="AG43" dT="2024-04-05T19:21:30.09" personId="{181DE6E3-275C-4A1F-A6B2-E5FC285624D9}" id="{7DF4BF96-94C9-487F-A52E-482AEFBD62B2}">
    <text>Adición según decreto 0510 22/03/2024 Recurso Ordinario - FONPET</text>
  </threadedComment>
  <threadedComment ref="AH43" dT="2024-06-12T15:30:28.50" personId="{181DE6E3-275C-4A1F-A6B2-E5FC285624D9}" id="{F6AF65E3-9512-4158-9898-DCFF5C0D2259}">
    <text>Adición según decreto 0510 22/03/2024 Recurso Ordinario - FONPET</text>
  </threadedComment>
  <threadedComment ref="AL43" dT="2024-04-05T19:23:22.01" personId="{181DE6E3-275C-4A1F-A6B2-E5FC285624D9}" id="{53E430E9-659F-457D-8F6C-B6FDD9FE349D}">
    <text>Adición según decreto 0510 22/03/2024 Recurso Ordinario - FONPET</text>
  </threadedComment>
  <threadedComment ref="AG44" dT="2024-04-05T19:29:41.28" personId="{181DE6E3-275C-4A1F-A6B2-E5FC285624D9}" id="{755C3B2A-EDBE-4F7C-8BA1-444AC263E601}">
    <text>Adicion según decreto 22/03/2024 0510 RO</text>
  </threadedComment>
  <threadedComment ref="AL44" dT="2024-04-05T19:30:20.90" personId="{181DE6E3-275C-4A1F-A6B2-E5FC285624D9}" id="{9763BD0E-5995-4A39-BC1F-BB1C543E525D}">
    <text>Adicion según decreto 22/03/2024 0510 RO</text>
  </threadedComment>
  <threadedComment ref="AG45" dT="2024-04-05T19:34:36.29" personId="{181DE6E3-275C-4A1F-A6B2-E5FC285624D9}" id="{1C7C203B-B519-42D9-87FC-BFE804532E69}">
    <text>Adición según decreto 0510 22/03/2024 RO</text>
  </threadedComment>
  <threadedComment ref="AL45" dT="2024-04-05T19:35:10.20" personId="{181DE6E3-275C-4A1F-A6B2-E5FC285624D9}" id="{3AA3007E-24AF-435E-AEA4-0B0FA75E040B}">
    <text>Adición según decreto 0510 22/03/2024 RO</text>
  </threadedComment>
  <threadedComment ref="AG46" dT="2024-04-05T19:37:59.90" personId="{181DE6E3-275C-4A1F-A6B2-E5FC285624D9}" id="{92B7D42B-2514-403C-A6E9-0C66D2A62EFD}">
    <text>Adición según decreto 510 22/03/2024 RO</text>
  </threadedComment>
  <threadedComment ref="AG46" dT="2024-04-23T14:15:31.73" personId="{181DE6E3-275C-4A1F-A6B2-E5FC285624D9}" id="{0C28A682-5C25-4C53-83C1-E7C949C21AA4}" parentId="{92B7D42B-2514-403C-A6E9-0C66D2A62EFD}">
    <text>Contracredito según decreto 0583 16/04/2024 $13.000.000</text>
  </threadedComment>
  <threadedComment ref="AL46" dT="2024-04-05T19:38:16.76" personId="{181DE6E3-275C-4A1F-A6B2-E5FC285624D9}" id="{F5CB7C26-1F3C-4776-83B6-AB234A425193}">
    <text>Adición según decreto 510 22/03/2024 RO</text>
  </threadedComment>
  <threadedComment ref="AO46" dT="2024-04-23T14:16:04.33" personId="{181DE6E3-275C-4A1F-A6B2-E5FC285624D9}" id="{F18DB55E-9FAF-4D9C-A156-5D1E56F185D9}">
    <text>Contracredito según decreto 0583 $13.000.000</text>
  </threadedComment>
  <threadedComment ref="AG47" dT="2024-04-05T23:53:28.99" personId="{181DE6E3-275C-4A1F-A6B2-E5FC285624D9}" id="{D0065FA5-3276-463B-AA04-876D140A913D}">
    <text>Adición según deccreto 0510 22-03-2024 RO</text>
  </threadedComment>
  <threadedComment ref="AL47" dT="2024-04-05T23:53:47.80" personId="{181DE6E3-275C-4A1F-A6B2-E5FC285624D9}" id="{45D7BFA8-89E2-4841-AC35-C43620E08ACE}">
    <text xml:space="preserve">Adición según deccreto 0510 22-03-2024 </text>
  </threadedComment>
  <threadedComment ref="AG48" dT="2024-04-06T00:02:18.40" personId="{181DE6E3-275C-4A1F-A6B2-E5FC285624D9}" id="{432A0CBE-5B16-4A32-9FB5-B357E93B3FE1}">
    <text>Adición según deccreto 0510 22-03-2024 RO</text>
  </threadedComment>
  <threadedComment ref="AL48" dT="2024-04-06T00:02:44.12" personId="{181DE6E3-275C-4A1F-A6B2-E5FC285624D9}" id="{64904393-5C63-40DC-8C3F-744E94E9C158}">
    <text xml:space="preserve">Adición según deccreto 0510 22-03-2024 </text>
  </threadedComment>
  <threadedComment ref="AG49" dT="2024-04-06T00:00:15.21" personId="{181DE6E3-275C-4A1F-A6B2-E5FC285624D9}" id="{46F5668D-E6A8-4A85-9888-D5BDF97422AC}">
    <text>Adición según deccreto 0510 22-03-2024 RO</text>
  </threadedComment>
  <threadedComment ref="AL49" dT="2024-04-06T00:00:32.01" personId="{181DE6E3-275C-4A1F-A6B2-E5FC285624D9}" id="{7034C6A4-BC29-442A-A320-A3A56C25562A}">
    <text xml:space="preserve">Adición según deccreto 0510 22-03-2024 </text>
  </threadedComment>
  <threadedComment ref="AG51" dT="2024-04-05T23:56:49.29" personId="{181DE6E3-275C-4A1F-A6B2-E5FC285624D9}" id="{DD34D261-C9BA-482C-9AAF-124E60D5BC56}">
    <text>Adición según deccreto 0510 22-03-2024 RO</text>
  </threadedComment>
  <threadedComment ref="AL51" dT="2024-04-05T23:57:13.43" personId="{181DE6E3-275C-4A1F-A6B2-E5FC285624D9}" id="{07333F48-0973-479D-B207-11FA4E133326}">
    <text>Adición según deccreto 0510 22-03-2024 RO</text>
  </threadedComment>
  <threadedComment ref="AG52" dT="2024-04-06T00:17:18.60" personId="{181DE6E3-275C-4A1F-A6B2-E5FC285624D9}" id="{C0F4D506-EAF2-47A8-863A-C92A9E2B0C33}">
    <text>Adición según decreto 0510 22/03/2024 RO</text>
  </threadedComment>
  <threadedComment ref="AL52" dT="2024-04-06T00:17:38.23" personId="{181DE6E3-275C-4A1F-A6B2-E5FC285624D9}" id="{0E6B6682-2FE0-4218-815C-440A8E8BA7EC}">
    <text>Adición según decreto 0510 22/03/2024 RO</text>
  </threadedComment>
  <threadedComment ref="AH53" dT="2024-03-07T17:11:45.69" personId="{181DE6E3-275C-4A1F-A6B2-E5FC285624D9}" id="{D399E2C6-DCF7-42EF-AD58-01CC78BC0588}">
    <text>Adición según decreto 0435 26/02/2024</text>
  </threadedComment>
  <threadedComment ref="AL53" dT="2024-03-07T17:12:42.25" personId="{181DE6E3-275C-4A1F-A6B2-E5FC285624D9}" id="{BAA818B3-D22D-4532-826A-03B73168E204}">
    <text>Adición según decreto 0435 26/02/2024</text>
  </threadedComment>
  <threadedComment ref="AG54" dT="2024-04-06T00:27:47.70" personId="{181DE6E3-275C-4A1F-A6B2-E5FC285624D9}" id="{4DEF49A7-5B8E-44E1-AAD0-206796784C76}">
    <text>Adición segun decreto 0510 22/03/2024 RO</text>
  </threadedComment>
  <threadedComment ref="AL54" dT="2024-04-06T00:28:05.34" personId="{181DE6E3-275C-4A1F-A6B2-E5FC285624D9}" id="{CB56ACC7-09A5-4679-B1E2-BEA1E3725D94}">
    <text>Adición segun decreto 0510 22/03/2024 $2.000.000</text>
  </threadedComment>
  <threadedComment ref="AG55" dT="2024-04-23T13:59:59.21" personId="{181DE6E3-275C-4A1F-A6B2-E5FC285624D9}" id="{6AB5D4D0-6E1F-4E67-8497-F47C54BE679A}">
    <text>Contracredito según decreto 583 16/04/2024</text>
  </threadedComment>
  <threadedComment ref="AO55" dT="2024-04-23T14:00:34.32" personId="{181DE6E3-275C-4A1F-A6B2-E5FC285624D9}" id="{FBF7E867-E925-453F-A7C0-C9A51B641CF0}">
    <text>Contracredito según decreto 583 16/04/2024</text>
  </threadedComment>
  <threadedComment ref="AG56" dT="2024-04-06T00:33:52.80" personId="{181DE6E3-275C-4A1F-A6B2-E5FC285624D9}" id="{053131DC-42C3-41AF-A1B7-49B032702055}">
    <text>Adición según decreto 0510 22/03/2024 RO</text>
  </threadedComment>
  <threadedComment ref="AG56" dT="2024-04-22T22:43:08.31" personId="{181DE6E3-275C-4A1F-A6B2-E5FC285624D9}" id="{3DE1F76A-1653-4059-8D22-AB4F54C2502B}" parentId="{053131DC-42C3-41AF-A1B7-49B032702055}">
    <text>Contracredito  583 16/04/2024</text>
  </threadedComment>
  <threadedComment ref="AL56" dT="2024-04-06T00:34:13.00" personId="{181DE6E3-275C-4A1F-A6B2-E5FC285624D9}" id="{F3738ADC-963F-4870-8B39-288C1AC9B45B}">
    <text>Adición según decreto 0510 22/03/2024 RO</text>
  </threadedComment>
  <threadedComment ref="AO56" dT="2024-04-23T14:02:47.06" personId="{181DE6E3-275C-4A1F-A6B2-E5FC285624D9}" id="{4696C8DF-B5E8-4E04-9BF7-B30D426CEAF6}">
    <text xml:space="preserve">Contracredito según decreto 0583 16/04/2024 </text>
  </threadedComment>
  <threadedComment ref="AG57" dT="2024-03-21T19:40:04.58" personId="{181DE6E3-275C-4A1F-A6B2-E5FC285624D9}" id="{3EAD342C-297B-4C9A-BD74-A471B1D34793}">
    <text>Adición según decreto 0488 14/03/2024 
Adición según decreto 0510 22/03/2024 RO</text>
  </threadedComment>
  <threadedComment ref="AG57" dT="2024-04-22T22:43:59.34" personId="{181DE6E3-275C-4A1F-A6B2-E5FC285624D9}" id="{80B3C18F-FBCB-47E0-9781-BFE04D3E45CA}" parentId="{3EAD342C-297B-4C9A-BD74-A471B1D34793}">
    <text xml:space="preserve">Contracredito  583 16/04/2024 </text>
  </threadedComment>
  <threadedComment ref="AL57" dT="2024-03-21T19:40:33.92" personId="{181DE6E3-275C-4A1F-A6B2-E5FC285624D9}" id="{DDD6181B-E003-44C1-B5FE-15896A1F7048}">
    <text>Adición según decreto 0488 14/03/2024 
Adición según decreto 0510 22/03/2024 RO</text>
  </threadedComment>
  <threadedComment ref="AO57" dT="2024-04-23T14:02:51.28" personId="{181DE6E3-275C-4A1F-A6B2-E5FC285624D9}" id="{6FDF3220-DBF6-40D3-8EB8-6BB3E3CFD63E}">
    <text xml:space="preserve">Contracredito según decreto 0583 16/04/2024 </text>
  </threadedComment>
  <threadedComment ref="AG58" dT="2024-04-22T22:45:06.85" personId="{181DE6E3-275C-4A1F-A6B2-E5FC285624D9}" id="{EFA282BC-369C-4FC8-9DB5-4BEA0E9ED15B}">
    <text>Crédito  583 16/04/2024</text>
  </threadedComment>
  <threadedComment ref="AL58" dT="2024-04-22T22:45:31.44" personId="{181DE6E3-275C-4A1F-A6B2-E5FC285624D9}" id="{DBB5DA30-9783-48A9-98B6-1AFDAE2D6301}">
    <text>Crédito  583 16/04/2024</text>
  </threadedComment>
  <threadedComment ref="AG59" dT="2024-04-06T00:22:48.93" personId="{181DE6E3-275C-4A1F-A6B2-E5FC285624D9}" id="{DB698E48-59B5-4EEB-8EBC-38D7C9B7FA74}">
    <text>Adición según decreto 0510 22/03/2024 RO</text>
  </threadedComment>
  <threadedComment ref="AL59" dT="2024-04-06T00:23:04.99" personId="{181DE6E3-275C-4A1F-A6B2-E5FC285624D9}" id="{D7D03376-2513-45B8-BA73-847D2B8F6D02}">
    <text>Adición según decreto 0510 22/03/2024 RO</text>
  </threadedComment>
  <threadedComment ref="AG60" dT="2024-02-27T16:47:57.17" personId="{181DE6E3-275C-4A1F-A6B2-E5FC285624D9}" id="{81945189-E0F9-41E7-A801-03DD1C008256}">
    <text xml:space="preserve">Adición Segun decreto 0422 21/02/2024 
Contracredito segun decreto 0490 15/03/2024 
Adición segun decreto 0510 22/03/2024
</text>
  </threadedComment>
  <threadedComment ref="AG60" dT="2024-05-28T16:16:39.77" personId="{181DE6E3-275C-4A1F-A6B2-E5FC285624D9}" id="{B7B4886A-FB08-4FD2-ADA4-3E939D420D0C}" parentId="{81945189-E0F9-41E7-A801-03DD1C008256}">
    <text xml:space="preserve">TRASLADO ENTRE INDICADORES CREDITO </text>
  </threadedComment>
  <threadedComment ref="AL60" dT="2024-02-27T16:48:16.61" personId="{181DE6E3-275C-4A1F-A6B2-E5FC285624D9}" id="{F4075FFA-F092-4D15-A0E0-446EA47F2B38}">
    <text>Adición Segun decreto 0422 21/02/2024 
Adición segun decreto 0510 22/03/2024</text>
  </threadedComment>
  <threadedComment ref="AO60" dT="2024-05-03T16:36:53.26" personId="{181DE6E3-275C-4A1F-A6B2-E5FC285624D9}" id="{DF0759C0-EA44-4EF5-A232-34AE3292558F}">
    <text xml:space="preserve">Contracredito segun decreto 0490 15/03/2024 </text>
  </threadedComment>
  <threadedComment ref="AG61" dT="2024-04-06T00:57:40.55" personId="{181DE6E3-275C-4A1F-A6B2-E5FC285624D9}" id="{E570459B-D94E-4001-BFDF-0F61708B527B}">
    <text>Adición segun decreto 0510 22/03/2024</text>
  </threadedComment>
  <threadedComment ref="AG61" dT="2024-05-28T16:17:30.08" personId="{181DE6E3-275C-4A1F-A6B2-E5FC285624D9}" id="{C08C6700-3B99-4B15-803E-750BC2343C0A}" parentId="{E570459B-D94E-4001-BFDF-0F61708B527B}">
    <text xml:space="preserve">TRASLADO ENTRE INDICADORES CREDITO </text>
  </threadedComment>
  <threadedComment ref="AL61" dT="2024-04-06T00:58:06.63" personId="{181DE6E3-275C-4A1F-A6B2-E5FC285624D9}" id="{DB56436F-EA01-4817-85D4-1CEDAA5F699F}">
    <text>Adición segun decreto 0510 22/03/2024RO</text>
  </threadedComment>
  <threadedComment ref="AG62" dT="2024-03-21T16:22:54.16" personId="{181DE6E3-275C-4A1F-A6B2-E5FC285624D9}" id="{90641560-FC4C-4119-A90E-AF5221DDC56C}">
    <text xml:space="preserve">Adición según decreto 0488 14/03/2024
credito segun decreto 0490 15/03/2024 </text>
  </threadedComment>
  <threadedComment ref="AL62" dT="2024-03-21T16:24:25.22" personId="{181DE6E3-275C-4A1F-A6B2-E5FC285624D9}" id="{A4D440A8-6931-4B70-A1BC-1798770F5E36}">
    <text>Adición según decreto 0488 14/03/2024</text>
  </threadedComment>
  <threadedComment ref="AN62" dT="2024-05-03T16:38:53.68" personId="{181DE6E3-275C-4A1F-A6B2-E5FC285624D9}" id="{3D7294BA-2306-4DD8-AEEE-09642C8B9D30}">
    <text xml:space="preserve">credito segun decreto 0490 15/03/2024 </text>
  </threadedComment>
  <threadedComment ref="AH64" dT="2024-04-06T01:14:43.71" personId="{181DE6E3-275C-4A1F-A6B2-E5FC285624D9}" id="{787B5865-D04D-47F6-8048-549B6981B806}">
    <text>Adición según decreto  510 22/02/2024 FONPET</text>
  </threadedComment>
  <threadedComment ref="AL64" dT="2024-04-06T01:15:10.30" personId="{181DE6E3-275C-4A1F-A6B2-E5FC285624D9}" id="{97EFFB0A-0444-4D0A-A9FA-D885CCFF5F80}">
    <text>Adición según decreto  510 22/02/2024 FONPET</text>
  </threadedComment>
  <threadedComment ref="AA65" dT="2024-03-21T20:20:34.88" personId="{181DE6E3-275C-4A1F-A6B2-E5FC285624D9}" id="{67BE7F71-079B-42EF-B2CD-62BD3B86478E}">
    <text>Adición según decreto 0435 26/02/2024</text>
  </threadedComment>
  <threadedComment ref="AG65" dT="2024-04-06T01:16:34.11" personId="{181DE6E3-275C-4A1F-A6B2-E5FC285624D9}" id="{EC6AF58E-F293-45F9-BBD4-57F9A93F1B3B}">
    <text>Adición según decreto  510 22/02/2024 RO</text>
  </threadedComment>
  <threadedComment ref="AH65" dT="2024-04-06T01:18:16.04" personId="{181DE6E3-275C-4A1F-A6B2-E5FC285624D9}" id="{C7AAA433-58CF-48DA-BA0C-D2A29527BABF}">
    <text>Adición según decreto  510 22/02/2024 FONPET</text>
  </threadedComment>
  <threadedComment ref="AL65" dT="2024-03-21T20:20:52.31" personId="{181DE6E3-275C-4A1F-A6B2-E5FC285624D9}" id="{A80BACBE-E2BE-43B7-A8DD-CD58A6E5827E}">
    <text>Adición según decreto 0435 26/02/2024
Adición según decreto  510 22/02/2024 RO
Adición según decreto  510 22/02/2024 FONPET</text>
  </threadedComment>
  <threadedComment ref="AA69" dT="2024-03-19T14:47:23.36" personId="{181DE6E3-275C-4A1F-A6B2-E5FC285624D9}" id="{94C0BCFE-B234-423D-A2EE-3DA5C26B72D8}">
    <text>Adición según decreto 0435 26/02/2024</text>
  </threadedComment>
  <threadedComment ref="AL69" dT="2024-03-19T14:48:52.15" personId="{181DE6E3-275C-4A1F-A6B2-E5FC285624D9}" id="{3C05B6B2-A65D-4593-B633-DB45D0344402}">
    <text>Adición según decreto 0435 26/02/2024</text>
  </threadedComment>
  <threadedComment ref="AA71" dT="2024-03-19T15:17:26.46" personId="{181DE6E3-275C-4A1F-A6B2-E5FC285624D9}" id="{F37304FA-40D2-4A42-981B-884FBB222018}">
    <text xml:space="preserve">Adición según decreto 0435 26/02/2024 </text>
  </threadedComment>
  <threadedComment ref="AL71" dT="2024-03-19T15:17:59.63" personId="{181DE6E3-275C-4A1F-A6B2-E5FC285624D9}" id="{F9E5A123-DBDD-4DD9-91BC-340B27275B19}">
    <text xml:space="preserve">Adición según decreto 0435 26/02/2024 </text>
  </threadedComment>
  <threadedComment ref="AH73" dT="2024-03-19T14:58:41.96" personId="{181DE6E3-275C-4A1F-A6B2-E5FC285624D9}" id="{C4204EBF-1E1A-453E-B3F6-0ED0D05DA318}">
    <text>Adición según decreto 0435 26/02/2024</text>
  </threadedComment>
  <threadedComment ref="AH73" dT="2024-05-29T19:29:54.67" personId="{181DE6E3-275C-4A1F-A6B2-E5FC285624D9}" id="{FCE71597-E7E1-41F6-B685-3A8828F0DF1C}" parentId="{C4204EBF-1E1A-453E-B3F6-0ED0D05DA318}">
    <text>Adición según decreto 666 17/05/2024</text>
  </threadedComment>
  <threadedComment ref="AL73" dT="2024-03-19T14:59:28.22" personId="{181DE6E3-275C-4A1F-A6B2-E5FC285624D9}" id="{A2B7E040-A566-4B88-B526-4456D2F50960}">
    <text xml:space="preserve">Adición según decreto 0435 26/02/2024 </text>
  </threadedComment>
  <threadedComment ref="AL73" dT="2024-05-29T19:30:11.25" personId="{181DE6E3-275C-4A1F-A6B2-E5FC285624D9}" id="{914A30DB-A371-486A-89D4-66C5067D3362}" parentId="{A2B7E040-A566-4B88-B526-4456D2F50960}">
    <text>Adición según decreto 666 17/05/2024</text>
  </threadedComment>
  <threadedComment ref="AH76" dT="2024-04-06T02:27:55.47" personId="{181DE6E3-275C-4A1F-A6B2-E5FC285624D9}" id="{D491E63B-D0BA-459B-86BB-852E163C90C7}">
    <text>Adición según decreto 0510 22-03-2024 FONPET</text>
  </threadedComment>
  <threadedComment ref="AL76" dT="2024-04-06T02:28:11.62" personId="{181DE6E3-275C-4A1F-A6B2-E5FC285624D9}" id="{C16BEE4E-473E-4DD5-AF3C-D3DBCD2F23D5}">
    <text>Adición según decreto 0510 22-03-2024 FONPET</text>
  </threadedComment>
  <threadedComment ref="AG77" dT="2024-04-06T02:39:06.00" personId="{181DE6E3-275C-4A1F-A6B2-E5FC285624D9}" id="{38AB050C-98E3-4563-A7FA-BF765EFE6533}">
    <text>Adición según decreto 0510 22-03-2024 RO</text>
  </threadedComment>
  <threadedComment ref="AH77" dT="2024-04-06T02:40:11.77" personId="{181DE6E3-275C-4A1F-A6B2-E5FC285624D9}" id="{06196D3B-6E2B-40A7-BFDC-81DA152FA73F}">
    <text>Adición según decreto 0510 22-03-2024 FONPET</text>
  </threadedComment>
  <threadedComment ref="AH77" dT="2024-04-09T19:03:04.12" personId="{181DE6E3-275C-4A1F-A6B2-E5FC285624D9}" id="{EE2DCDE3-628C-4452-B1CE-BA3EDA3BF93C}" parentId="{06196D3B-6E2B-40A7-BFDC-81DA152FA73F}">
    <text>Adición según decreto 0520 01/04/2024 IMPTO REG.</text>
  </threadedComment>
  <threadedComment ref="AL77" dT="2024-04-06T02:39:26.05" personId="{181DE6E3-275C-4A1F-A6B2-E5FC285624D9}" id="{5B114909-1A95-47D2-9E1F-5C4F82396384}">
    <text>Adición según decreto 0510 22-03-2024 RO
Adición según decreto 0510 22-03-2024 FONPET</text>
  </threadedComment>
  <threadedComment ref="AL77" dT="2024-04-09T19:03:46.51" personId="{181DE6E3-275C-4A1F-A6B2-E5FC285624D9}" id="{4E84A9C0-33E6-490A-84E8-321851C7E282}" parentId="{5B114909-1A95-47D2-9E1F-5C4F82396384}">
    <text>Adición según decreto 0520 01/04/2024 IMPTO REG.</text>
  </threadedComment>
  <threadedComment ref="AG78" dT="2024-04-06T02:34:14.52" personId="{181DE6E3-275C-4A1F-A6B2-E5FC285624D9}" id="{440999F4-624D-4036-BBA3-69CD66A03ABC}">
    <text>Adición según decreto 0510 22-03-2024 RO</text>
  </threadedComment>
  <threadedComment ref="AL78" dT="2024-04-06T02:34:33.15" personId="{181DE6E3-275C-4A1F-A6B2-E5FC285624D9}" id="{E248A647-CD6D-4C79-9C3E-51234E8F3057}">
    <text>Adición según decreto 0510 22-03-2024 RO</text>
  </threadedComment>
  <threadedComment ref="AH93" dT="2024-04-06T02:19:50.57" personId="{181DE6E3-275C-4A1F-A6B2-E5FC285624D9}" id="{667CACD8-0B6F-4426-BFD5-B3EA5C14F424}">
    <text>Adición según decreto 0510 22-03-2024 FONPET</text>
  </threadedComment>
  <threadedComment ref="AL93" dT="2024-04-06T02:20:03.97" personId="{181DE6E3-275C-4A1F-A6B2-E5FC285624D9}" id="{121FDE67-93F8-4773-A0C5-79C1846DC9A4}">
    <text>Adición según decreto 0510 22-03-2024 FONPET</text>
  </threadedComment>
  <threadedComment ref="AG108" dT="2024-03-07T19:53:27.68" personId="{181DE6E3-275C-4A1F-A6B2-E5FC285624D9}" id="{930092D4-C0CA-434D-96FC-CF8BB0671DE9}">
    <text xml:space="preserve">Adición según decreto 0435 26/02/2024 </text>
  </threadedComment>
  <threadedComment ref="AL108" dT="2024-03-07T19:54:50.30" personId="{181DE6E3-275C-4A1F-A6B2-E5FC285624D9}" id="{1939E592-C3DD-4FC1-8641-1E86EFB10553}">
    <text xml:space="preserve">Adición según decreto 0435 26/02/2024 </text>
  </threadedComment>
  <threadedComment ref="AG109" dT="2024-03-07T19:54:03.10" personId="{181DE6E3-275C-4A1F-A6B2-E5FC285624D9}" id="{6CF85082-1382-4AF2-85B2-A73D486E176C}">
    <text xml:space="preserve">Adición según decreto 0435 26/02/2024 </text>
  </threadedComment>
  <threadedComment ref="AL109" dT="2024-03-07T19:54:56.07" personId="{181DE6E3-275C-4A1F-A6B2-E5FC285624D9}" id="{012E047C-DE80-409B-A28B-D3DF5493CF68}">
    <text xml:space="preserve">Adición según decreto 0435 26/02/2024 </text>
  </threadedComment>
  <threadedComment ref="AG120" dT="2024-04-06T04:12:52.66" personId="{181DE6E3-275C-4A1F-A6B2-E5FC285624D9}" id="{141CC0A7-0E04-46D6-864B-8B4EF2C4EF9E}">
    <text>Adición según decreto 0510 22/03/2024 RO</text>
  </threadedComment>
  <threadedComment ref="AL120" dT="2024-04-06T04:13:21.69" personId="{181DE6E3-275C-4A1F-A6B2-E5FC285624D9}" id="{7619314F-38D1-4F83-909F-646095FD54A1}">
    <text>Adición según decreto 0510 22/03/2024 RO</text>
  </threadedComment>
  <threadedComment ref="AH121" dT="2024-04-06T01:59:36.72" personId="{181DE6E3-275C-4A1F-A6B2-E5FC285624D9}" id="{6EBD3837-293B-407F-B3F8-B14A4F659599}">
    <text>Adición según decreto 0510 22/03/2024 FONPET</text>
  </threadedComment>
  <threadedComment ref="AL121" dT="2024-04-06T01:59:47.78" personId="{181DE6E3-275C-4A1F-A6B2-E5FC285624D9}" id="{BA5C0259-3649-4030-9B15-A86CE235822B}">
    <text>Adición según decreto 0510 22/03/2024 FONPET</text>
  </threadedComment>
  <threadedComment ref="AE122" dT="2024-04-26T23:42:09.45" personId="{181DE6E3-275C-4A1F-A6B2-E5FC285624D9}" id="{B256D940-0F19-4B0B-BDBF-A1936BED05A0}">
    <text>Reducciòn segun decreto 576 15-04-2024</text>
  </threadedComment>
  <threadedComment ref="AM122" dT="2024-04-26T23:43:36.39" personId="{181DE6E3-275C-4A1F-A6B2-E5FC285624D9}" id="{A422622D-F84C-4420-9901-1135ED091DB5}">
    <text>Reducciòn segun decreto 576 15-04-2024</text>
  </threadedComment>
  <threadedComment ref="AE123" dT="2024-04-26T23:45:48.55" personId="{181DE6E3-275C-4A1F-A6B2-E5FC285624D9}" id="{D708CC8E-6EF2-4296-9494-DDD579DA7AC2}">
    <text>Reducciòn segun decreto 576 15-04-2024</text>
  </threadedComment>
  <threadedComment ref="AM123" dT="2024-04-26T23:46:07.01" personId="{181DE6E3-275C-4A1F-A6B2-E5FC285624D9}" id="{991F4202-0193-4369-B4F0-216D51E13B56}">
    <text>Reducciòn segun decreto 576 15-04-2024</text>
  </threadedComment>
  <threadedComment ref="AG124" dT="2024-04-19T18:14:24.43" personId="{181DE6E3-275C-4A1F-A6B2-E5FC285624D9}" id="{13AE0F4C-1FCB-463B-B713-FF76002EC1B1}">
    <text>Contracredito según decreto 553 11-04-2024 $20.000.000</text>
  </threadedComment>
  <threadedComment ref="AO124" dT="2024-04-19T18:14:40.24" personId="{181DE6E3-275C-4A1F-A6B2-E5FC285624D9}" id="{3CEE77EE-F05C-47B4-BC40-F217D7E33FDF}">
    <text>Contracredito según decreto 553 11-04-2024 $20.000.000</text>
  </threadedComment>
  <threadedComment ref="AB125" dT="2024-01-03T21:46:43.96" personId="{00000000-0000-0000-0000-000000000000}" id="{FEF828E8-D53E-47B8-BB93-96D9913BF19A}">
    <text>ADICIÓN SUPERAVIT MONOPOLIO, DECRETO 002 DE ENERO 01/2024</text>
  </threadedComment>
  <threadedComment ref="AG125" dT="2024-04-05T21:50:12.29" personId="{181DE6E3-275C-4A1F-A6B2-E5FC285624D9}" id="{2BF8D5DE-6175-4805-9E51-ADCE91BD01E8}">
    <text>Contracredito según decreto 0519 1/04/2024</text>
  </threadedComment>
  <threadedComment ref="AI125" dT="2024-01-18T14:41:10.66" personId="{00000000-0000-0000-0000-000000000000}" id="{AEE9924C-83EC-4CFC-9DED-A77A6044AA17}">
    <text>Adición según Decreto 264 de 11/01/2024</text>
  </threadedComment>
  <threadedComment ref="AI125" dT="2024-05-23T22:39:53.93" personId="{181DE6E3-275C-4A1F-A6B2-E5FC285624D9}" id="{F906C968-BF7A-4C58-BA63-91D47BEA6570}" parentId="{AEE9924C-83EC-4CFC-9DED-A77A6044AA17}">
    <text>Adición segun decreto 0651 09-05-2024</text>
  </threadedComment>
  <threadedComment ref="AL125" dT="2024-01-03T21:46:43.96" personId="{00000000-0000-0000-0000-000000000000}" id="{195F16F9-3A26-445C-94AA-62EB5489E8A3}">
    <text xml:space="preserve">ADICIÓN SUPERAVIT MONOPOLIO, DECRETO 002 DE ENERO 01/2024
Adición según Decreto 264 de 11/01/2024
</text>
  </threadedComment>
  <threadedComment ref="AL125" dT="2024-05-23T22:41:36.45" personId="{181DE6E3-275C-4A1F-A6B2-E5FC285624D9}" id="{A1275876-7DF5-477C-B07E-844EF803296C}" parentId="{195F16F9-3A26-445C-94AA-62EB5489E8A3}">
    <text>Adición segun decreto 0651 09-05-2024</text>
  </threadedComment>
  <threadedComment ref="AO125" dT="2024-04-05T21:50:34.01" personId="{181DE6E3-275C-4A1F-A6B2-E5FC285624D9}" id="{A1A0AB0B-3346-4BD9-9EFD-3C5CA81E2846}">
    <text>Contracredito según decreto 0519 1/04/2024</text>
  </threadedComment>
  <threadedComment ref="AP125" dT="2024-05-28T14:28:08.38" personId="{181DE6E3-275C-4A1F-A6B2-E5FC285624D9}" id="{1E68D64D-44E9-40FF-9100-E0626E916AF0}">
    <text>Adición segun decreto 0651 09-05-2024</text>
  </threadedComment>
  <threadedComment ref="AG126" dT="2024-03-07T17:37:39.66" personId="{181DE6E3-275C-4A1F-A6B2-E5FC285624D9}" id="{27749BE3-9779-4EC1-90E8-D5400D97DB29}">
    <text xml:space="preserve">Adición según decreto 0435 26/02/2024 </text>
  </threadedComment>
  <threadedComment ref="AL126" dT="2024-03-07T17:37:53.06" personId="{181DE6E3-275C-4A1F-A6B2-E5FC285624D9}" id="{1931DB1E-56EF-43BA-B70A-85B55FCA8790}">
    <text xml:space="preserve">Adición según decreto 0435 26/02/2024 </text>
  </threadedComment>
  <threadedComment ref="AE127" dT="2024-01-18T14:47:47.23" personId="{00000000-0000-0000-0000-000000000000}" id="{B3449781-9DFB-44AF-89F4-0BED7EA78981}">
    <text>Adición según Decreto 264 de 11/01/2024</text>
  </threadedComment>
  <threadedComment ref="AE127" dT="2024-04-26T23:49:48.39" personId="{181DE6E3-275C-4A1F-A6B2-E5FC285624D9}" id="{C0CD4C0F-31E7-4E72-9959-3719662F4E8F}" parentId="{B3449781-9DFB-44AF-89F4-0BED7EA78981}">
    <text>Reduccion segùn decreto 576 15-04-2024</text>
  </threadedComment>
  <threadedComment ref="AL127" dT="2024-01-18T14:47:47.23" personId="{00000000-0000-0000-0000-000000000000}" id="{CA699983-393C-4866-90B7-1B4EA65283DD}">
    <text>Adición según Decreto 264 de 11/01/2024</text>
  </threadedComment>
  <threadedComment ref="AM127" dT="2024-04-26T23:50:00.44" personId="{181DE6E3-275C-4A1F-A6B2-E5FC285624D9}" id="{CB0F8748-1BE6-4134-AA2F-5C80BE37D81C}">
    <text>Reduccion segùn decreto 576 15-04-2024</text>
  </threadedComment>
  <threadedComment ref="AG128" dT="2024-02-27T17:53:12.90" personId="{181DE6E3-275C-4A1F-A6B2-E5FC285624D9}" id="{A8855F09-2143-4A32-BBC7-0D7BDC9E6845}">
    <text xml:space="preserve">Adición según decreto 0422 21/02/2024. </text>
  </threadedComment>
  <threadedComment ref="AL128" dT="2024-02-27T17:53:33.34" personId="{181DE6E3-275C-4A1F-A6B2-E5FC285624D9}" id="{B69BA484-774B-4B92-9822-84317AD38326}">
    <text xml:space="preserve">Adición según decreto 0422 21/02/2024. </text>
  </threadedComment>
  <threadedComment ref="AG129" dT="2024-04-19T18:16:19.51" personId="{181DE6E3-275C-4A1F-A6B2-E5FC285624D9}" id="{569AA2AF-F7B7-4345-87F4-72898D4ED69D}">
    <text>Contracredito según decreto 553 11-04-2024 $20.000.000</text>
  </threadedComment>
  <threadedComment ref="AO129" dT="2024-04-19T18:16:33.25" personId="{181DE6E3-275C-4A1F-A6B2-E5FC285624D9}" id="{73C5E554-2418-42C1-B2D2-88C6C6AC6A19}">
    <text>Contracredito según decreto 553 11-04-2024 $20.000.000</text>
  </threadedComment>
  <threadedComment ref="AG130" dT="2024-04-19T18:16:23.47" personId="{181DE6E3-275C-4A1F-A6B2-E5FC285624D9}" id="{C48577B8-686D-46BC-8A0D-F0B22E499C12}">
    <text>Contracredito según decreto 553 11-04-2024 $20.000.000</text>
  </threadedComment>
  <threadedComment ref="AO130" dT="2024-04-19T18:16:38.03" personId="{181DE6E3-275C-4A1F-A6B2-E5FC285624D9}" id="{9DC33C1B-1CBB-4A55-A928-F8DE236ADF90}">
    <text>Contracredito según decreto 553 11-04-2024 $20.000.000</text>
  </threadedComment>
  <threadedComment ref="AG132" dT="2024-02-27T17:45:23.47" personId="{181DE6E3-275C-4A1F-A6B2-E5FC285624D9}" id="{B8CB8417-EEFF-4770-A5ED-1F4A2B96C916}">
    <text>Contracredito según decreto 0431 23/02/2024
Crédito según decreto 0519 01/04/2024</text>
  </threadedComment>
  <threadedComment ref="AG132" dT="2024-04-19T18:18:10.94" personId="{181DE6E3-275C-4A1F-A6B2-E5FC285624D9}" id="{89A13476-A960-4016-A6F9-49B10F50D5A8}" parentId="{B8CB8417-EEFF-4770-A5ED-1F4A2B96C916}">
    <text>credito según decreto 553 11-04-2024 $80.000.000</text>
  </threadedComment>
  <threadedComment ref="AL132" dT="2024-04-05T21:44:15.40" personId="{181DE6E3-275C-4A1F-A6B2-E5FC285624D9}" id="{0EB02A2F-6A50-4025-8640-9F61DCFF8538}">
    <text>Crédito según decreto 0519 01/04/2024</text>
  </threadedComment>
  <threadedComment ref="AL132" dT="2024-04-19T18:18:50.41" personId="{181DE6E3-275C-4A1F-A6B2-E5FC285624D9}" id="{740F1DC4-558E-473F-8E83-1BD4F595B9B9}" parentId="{0EB02A2F-6A50-4025-8640-9F61DCFF8538}">
    <text>credito según decreto 553 11-04-2024 $80.000.000</text>
  </threadedComment>
  <threadedComment ref="AN132" dT="2024-05-28T18:44:06.89" personId="{181DE6E3-275C-4A1F-A6B2-E5FC285624D9}" id="{EE463FB1-E5A7-4E9A-B0A7-1FF178560F51}">
    <text>credito según decreto 553 11-04-2024 $80.000.000</text>
  </threadedComment>
  <threadedComment ref="AO132" dT="2024-02-27T17:46:22.53" personId="{181DE6E3-275C-4A1F-A6B2-E5FC285624D9}" id="{4518379B-DA74-4C86-8490-0B6DB95CCBCC}">
    <text>contracredito según decreto 0431 23/02/2024</text>
  </threadedComment>
  <threadedComment ref="AB133" dT="2024-02-22T20:46:28.50" personId="{181DE6E3-275C-4A1F-A6B2-E5FC285624D9}" id="{30D55774-C508-4B92-BD26-CE50E74D9B23}">
    <text>Adición según decreto 0395 12/02/2024</text>
  </threadedComment>
  <threadedComment ref="AE133" dT="2024-04-05T20:15:44.90" personId="{181DE6E3-275C-4A1F-A6B2-E5FC285624D9}" id="{61D381DD-82AD-4184-A2AC-60D2EDA5A97A}">
    <text>Adición Rec. BAlance por 139116291,99, según Decreto 0264 de 11/01/2024</text>
  </threadedComment>
  <threadedComment ref="AG133" dT="2024-01-23T14:58:00.81" personId="{00000000-0000-0000-0000-000000000000}" id="{7E9A3022-4906-41BF-BCBB-9384622EE3C0}">
    <text>Credito según decreto 0431 23/02/2024
Adición según decreto 435 26/02/2024</text>
  </threadedComment>
  <threadedComment ref="AL133" dT="2024-02-22T16:52:07.12" personId="{181DE6E3-275C-4A1F-A6B2-E5FC285624D9}" id="{6720811F-1F28-4AE5-B624-E9F5CF7F845E}">
    <text>Adición Rec. BAlance por según Decreto 0264 de 11/01/2024
Adición Rec. Superavit según decreto 0395 12/02/2024
Adición Rec. Superavit según decreto 0435 26/02/2024</text>
  </threadedComment>
  <threadedComment ref="AN133" dT="2024-02-27T17:46:29.67" personId="{181DE6E3-275C-4A1F-A6B2-E5FC285624D9}" id="{4124FF3D-1AC5-4C7A-AC82-DD9710E9CAE0}">
    <text>credito según decreto 0431 23/02/2024</text>
  </threadedComment>
  <threadedComment ref="AE134" dT="2024-04-30T14:58:25.06" personId="{181DE6E3-275C-4A1F-A6B2-E5FC285624D9}" id="{6545B451-4A73-4F10-B83E-BBA973670716}">
    <text>Contracredito según decreto  576 15-04-2024</text>
  </threadedComment>
  <threadedComment ref="AO134" dT="2024-04-30T14:59:02.34" personId="{181DE6E3-275C-4A1F-A6B2-E5FC285624D9}" id="{A20F3E9E-A00E-4AB2-9A35-4FD916895B66}">
    <text>Contracredito según decreto  576 15-04-2024</text>
  </threadedComment>
  <threadedComment ref="AG135" dT="2024-04-19T18:12:24.41" personId="{181DE6E3-275C-4A1F-A6B2-E5FC285624D9}" id="{60BFF270-668E-42BD-8342-5A5411D3A0F5}">
    <text>Contracredito según decreto 553 11-04-2024 $20.000.000</text>
  </threadedComment>
  <threadedComment ref="AO135" dT="2024-04-19T18:12:41.74" personId="{181DE6E3-275C-4A1F-A6B2-E5FC285624D9}" id="{EB348498-0559-43E1-8DAB-F9F4B6893FDB}">
    <text>Contracredito según decreto 553 11-04-2024 $20.000.000</text>
  </threadedComment>
  <threadedComment ref="AG143" dT="2024-02-28T21:28:30.55" personId="{181DE6E3-275C-4A1F-A6B2-E5FC285624D9}" id="{2A68D139-E453-4AEA-8DB7-9FF989B55901}">
    <text>Adición segun decreto 0420 20/02/2024
Adición según decreto 0510 22/03/2024 RO</text>
  </threadedComment>
  <threadedComment ref="AL143" dT="2024-02-28T21:47:34.84" personId="{181DE6E3-275C-4A1F-A6B2-E5FC285624D9}" id="{5061C095-E45F-481F-8F27-A1FBFED91722}">
    <text>Adición segun decreto 0420 20/02/2024
Adición según decreto 0510 22/03/2024 RO</text>
  </threadedComment>
  <threadedComment ref="AG144" dT="2024-04-06T03:21:24.61" personId="{181DE6E3-275C-4A1F-A6B2-E5FC285624D9}" id="{7ABE39CD-77A8-42ED-BE39-512ED5386537}">
    <text>Adición según decreto 0510 22/03/2024 RO</text>
  </threadedComment>
  <threadedComment ref="AL144" dT="2024-04-06T03:21:41.98" personId="{181DE6E3-275C-4A1F-A6B2-E5FC285624D9}" id="{C78873FB-15F9-4540-AA0A-EBA96F7919EE}">
    <text>Adición según decreto 0510 22/03/2024 RO</text>
  </threadedComment>
  <threadedComment ref="AG149" dT="2024-04-06T03:24:45.60" personId="{181DE6E3-275C-4A1F-A6B2-E5FC285624D9}" id="{EF9F5A76-601B-45EF-BB29-B3A0A1ABC8E7}">
    <text>Adición según decreto 0510 22/03/2024 RO</text>
  </threadedComment>
  <threadedComment ref="AH149" dT="2024-04-06T03:25:53.43" personId="{181DE6E3-275C-4A1F-A6B2-E5FC285624D9}" id="{BEF6CC14-2A25-44F5-8BC5-F5309ED4852A}">
    <text>Adición según decreto0510 22-03-2024 FONPET</text>
  </threadedComment>
  <threadedComment ref="AL149" dT="2024-04-06T03:26:14.75" personId="{181DE6E3-275C-4A1F-A6B2-E5FC285624D9}" id="{9A608DE5-C823-47B8-8FEA-3C0E008D5F7C}">
    <text>Adición según decreto0510 22-03-2024 RO
Adición según decreto0510 22-03-2024 FONPET</text>
  </threadedComment>
  <threadedComment ref="AG150" dT="2024-04-06T03:30:03.41" personId="{181DE6E3-275C-4A1F-A6B2-E5FC285624D9}" id="{B4FC24D8-94BA-4564-9987-ED6DE9D59E25}">
    <text>Adición según decreto 0510 22-03-2024 RO</text>
  </threadedComment>
  <threadedComment ref="AL150" dT="2024-04-06T03:30:18.38" personId="{181DE6E3-275C-4A1F-A6B2-E5FC285624D9}" id="{E77F7598-B23D-4F27-8046-BD2BA1BA91B2}">
    <text>Adición según decreto 0510 22-03-2024 RO</text>
  </threadedComment>
  <threadedComment ref="AG151" dT="2024-04-06T03:34:02.67" personId="{181DE6E3-275C-4A1F-A6B2-E5FC285624D9}" id="{AD23E14D-30C5-441D-AED1-6B3B865EA3EC}">
    <text>Adición según decreto 0510 22-03-2024 RO</text>
  </threadedComment>
  <threadedComment ref="AL151" dT="2024-04-06T03:34:23.67" personId="{181DE6E3-275C-4A1F-A6B2-E5FC285624D9}" id="{512F9BA4-0379-45D8-9461-F2283514F08E}">
    <text>Adición según decreto 0510 22-03-2024 RO</text>
  </threadedComment>
  <threadedComment ref="AH152" dT="2024-04-06T03:37:56.14" personId="{181DE6E3-275C-4A1F-A6B2-E5FC285624D9}" id="{26309B2B-AA6A-44E5-B406-BDC80AA8509F}">
    <text>Adición según decreto 0510 22-03-2024 FONPET</text>
  </threadedComment>
  <threadedComment ref="AL152" dT="2024-04-06T03:37:56.14" personId="{181DE6E3-275C-4A1F-A6B2-E5FC285624D9}" id="{8B74C12C-A9C3-46EB-ABD2-4ADF60C2EA2F}">
    <text>Adición según decreto 0510 22-03-2024 FONPET</text>
  </threadedComment>
  <threadedComment ref="AG153" dT="2024-04-06T03:07:35.44" personId="{181DE6E3-275C-4A1F-A6B2-E5FC285624D9}" id="{8C13D6F7-5325-4145-BC0A-F3B767A9C6F1}">
    <text>Adición según decreto 0510 22-03-2024 RO</text>
  </threadedComment>
  <threadedComment ref="AL153" dT="2024-04-06T03:08:08.18" personId="{181DE6E3-275C-4A1F-A6B2-E5FC285624D9}" id="{CACEBE0A-2A3F-4C44-A0D1-AEC60FAED94D}">
    <text>Adición según decreto 0510 22-03-2024 RO</text>
  </threadedComment>
  <threadedComment ref="AG154" dT="2024-04-06T03:07:47.44" personId="{181DE6E3-275C-4A1F-A6B2-E5FC285624D9}" id="{CE659009-63E7-48A9-89A8-A040AEE1E55F}">
    <text>Adición según decreto 0510 22-03-2024 RO</text>
  </threadedComment>
  <threadedComment ref="AL154" dT="2024-04-06T03:08:13.59" personId="{181DE6E3-275C-4A1F-A6B2-E5FC285624D9}" id="{08FF51DE-1925-4F6A-9B2C-A94C7538923B}">
    <text>Adición según decreto 0510 22-03-2024 RO</text>
  </threadedComment>
  <threadedComment ref="AG155" dT="2024-04-06T03:12:23.05" personId="{181DE6E3-275C-4A1F-A6B2-E5FC285624D9}" id="{D4F51C90-F15E-41D3-9AAA-705E3ABEEF7B}">
    <text>Adición según decreto 0510 22-03-2024 RO</text>
  </threadedComment>
  <threadedComment ref="AL155" dT="2024-04-06T03:12:49.30" personId="{181DE6E3-275C-4A1F-A6B2-E5FC285624D9}" id="{AD492EE6-B819-48C6-A9DA-0D12B19805A3}">
    <text>Adición según decreto 0510 22-03-2024RO</text>
  </threadedComment>
  <threadedComment ref="AG156" dT="2024-04-06T02:55:13.20" personId="{181DE6E3-275C-4A1F-A6B2-E5FC285624D9}" id="{A543387A-E4B6-44EA-93EB-17B31AE6B3EF}">
    <text>Adición según decreto 0510 22-03-2024 RO</text>
  </threadedComment>
  <threadedComment ref="AL156" dT="2024-04-06T02:55:26.84" personId="{181DE6E3-275C-4A1F-A6B2-E5FC285624D9}" id="{8C404D69-BA19-41DF-83DC-6F54E97A8B34}">
    <text>Adición según decreto 0510 22-03-2024 RO</text>
  </threadedComment>
  <threadedComment ref="AG157" dT="2024-04-06T03:02:31.06" personId="{181DE6E3-275C-4A1F-A6B2-E5FC285624D9}" id="{CFE10172-116C-4975-ABB0-15F511F9F9C6}">
    <text>Adición según decreto 0510 22-03-2024 RO</text>
  </threadedComment>
  <threadedComment ref="AG158" dT="2024-02-28T21:26:58.74" personId="{181DE6E3-275C-4A1F-A6B2-E5FC285624D9}" id="{E57D24B6-E615-4658-B852-5609A1712EEA}">
    <text>Adición segun decreto 0420 20/02/2024</text>
  </threadedComment>
  <threadedComment ref="AL158" dT="2024-02-28T21:27:10.60" personId="{181DE6E3-275C-4A1F-A6B2-E5FC285624D9}" id="{47FC196A-FD67-43BF-9732-DF8C013576E1}">
    <text>Adición segun decreto 0420 20/02/2024</text>
  </threadedComment>
  <threadedComment ref="AG159" dT="2024-04-06T03:43:42.20" personId="{181DE6E3-275C-4A1F-A6B2-E5FC285624D9}" id="{65EBC618-C979-47BA-9F86-BE3E0E4A0F85}">
    <text>Adición según decreto 0510 22-03-2024 RO</text>
  </threadedComment>
  <threadedComment ref="AL159" dT="2024-04-06T03:43:47.70" personId="{181DE6E3-275C-4A1F-A6B2-E5FC285624D9}" id="{C07FD12D-04BA-4B7D-8CC2-FCD090ECD463}">
    <text>Adición según decreto 0510 22-03-2024 RO</text>
  </threadedComment>
  <threadedComment ref="AA160" dT="2024-04-19T18:31:01.63" personId="{181DE6E3-275C-4A1F-A6B2-E5FC285624D9}" id="{9F07500C-881A-421C-8D08-6701BE10DD4C}">
    <text>Adición según decreto 557 12-04-2024</text>
  </threadedComment>
  <threadedComment ref="AL160" dT="2024-04-19T18:31:26.99" personId="{181DE6E3-275C-4A1F-A6B2-E5FC285624D9}" id="{6D98502A-E3AD-45B9-916C-E899F2CABCE9}">
    <text>Adición según decreto 557 12-04-2024</text>
  </threadedComment>
  <threadedComment ref="AG164" dT="2024-04-06T03:52:49.97" personId="{181DE6E3-275C-4A1F-A6B2-E5FC285624D9}" id="{BC82BF40-2398-4772-BDE4-AE27EFAC45BA}">
    <text>Adición según decreto 0510 22-03-2024 RO</text>
  </threadedComment>
  <threadedComment ref="AL164" dT="2024-04-06T03:53:02.39" personId="{181DE6E3-275C-4A1F-A6B2-E5FC285624D9}" id="{08095FF8-D2C1-4437-9F3D-A981EB780DA6}">
    <text>Adición según decreto 0510 22-03-2024 RO</text>
  </threadedComment>
  <threadedComment ref="AG165" dT="2024-04-06T03:49:03.03" personId="{181DE6E3-275C-4A1F-A6B2-E5FC285624D9}" id="{93AEE38C-3604-4A23-9A0D-A5C15434A2C2}">
    <text>Adición según decreto 0510 22-03-2024 RO</text>
  </threadedComment>
  <threadedComment ref="AL165" dT="2024-04-06T03:49:21.60" personId="{181DE6E3-275C-4A1F-A6B2-E5FC285624D9}" id="{D5DBB961-B5B6-4F70-950F-1CC6B4B5EAE3}">
    <text>Adición según decreto 0510 22-03-2024 RO</text>
  </threadedComment>
  <threadedComment ref="AH173" dT="2024-03-22T19:27:10.04" personId="{181DE6E3-275C-4A1F-A6B2-E5FC285624D9}" id="{75373447-4DCE-4EB3-8757-2E1B16DE5623}">
    <text>Adición de superavit según decreto 0464 06/03/2024</text>
  </threadedComment>
  <threadedComment ref="AL173" dT="2024-03-22T19:28:34.76" personId="{181DE6E3-275C-4A1F-A6B2-E5FC285624D9}" id="{48DD842C-C58C-46C0-AA4C-240668AF8B0F}">
    <text>Adición de superavit según decreto 0464 06/03/2024</text>
  </threadedComment>
  <threadedComment ref="AC198" dT="2024-05-01T00:05:54.63" personId="{181DE6E3-275C-4A1F-A6B2-E5FC285624D9}" id="{2543FD32-0BB9-49D8-8B98-F4E9190A7618}">
    <text>Adición según decreto 0612 26-04-2024</text>
  </threadedComment>
  <threadedComment ref="AL198" dT="2024-05-01T00:06:10.77" personId="{181DE6E3-275C-4A1F-A6B2-E5FC285624D9}" id="{290A966A-A49E-4C9B-9FBD-53867F00B676}">
    <text>Adición según decreto 0612 26-04-2024</text>
  </threadedComment>
  <threadedComment ref="AP198" dT="2024-04-13T02:05:23.26" personId="{181DE6E3-275C-4A1F-A6B2-E5FC285624D9}" id="{CD135139-125E-47B1-99EB-0767224D3335}">
    <text>Superavit SGP</text>
  </threadedComment>
  <threadedComment ref="AC200" dT="2024-05-01T00:06:42.44" personId="{181DE6E3-275C-4A1F-A6B2-E5FC285624D9}" id="{B5DAF27E-ACE3-4FC1-B321-64A6D9FFA8FD}">
    <text>Adición según decreto 0612 26-04-2024</text>
  </threadedComment>
  <threadedComment ref="AP200" dT="2024-04-13T02:06:04.20" personId="{181DE6E3-275C-4A1F-A6B2-E5FC285624D9}" id="{D2F885B8-978F-416F-95BC-31AB2C9116E7}">
    <text>Superavit SGP</text>
  </threadedComment>
  <threadedComment ref="AC201" dT="2024-05-02T09:58:40.94" personId="{181DE6E3-275C-4A1F-A6B2-E5FC285624D9}" id="{A3EFBE75-2236-4F2F-8158-C7DFC18980D3}">
    <text>Adición segun decreto 612 26-04-2024 R.B</text>
  </threadedComment>
  <threadedComment ref="AL201" dT="2024-05-02T10:00:59.71" personId="{181DE6E3-275C-4A1F-A6B2-E5FC285624D9}" id="{8E4E6949-BF6D-473E-9BAA-597FDEC5A2B2}">
    <text>Adición segun decreto 612 26-04-2024  R.B</text>
  </threadedComment>
  <threadedComment ref="AP201" dT="2024-04-13T02:07:09.94" personId="{181DE6E3-275C-4A1F-A6B2-E5FC285624D9}" id="{97E2C925-8CF5-4D4B-9F2C-55F810DDD802}">
    <text>Superavit SGP</text>
  </threadedComment>
  <threadedComment ref="AG206" dT="2024-01-09T16:02:45.13" personId="{00000000-0000-0000-0000-000000000000}" id="{848A6673-6FBA-456C-B0E2-D1BEE9E9F5B8}">
    <text>AJUSTE  ADICIÓN DECRETO 003 DE 01/01/2024</text>
  </threadedComment>
  <threadedComment ref="AL206" dT="2024-01-09T16:02:45.13" personId="{00000000-0000-0000-0000-000000000000}" id="{7E803C87-62A8-4B2F-BE7C-16F41016FCD1}">
    <text>AJUSTE  ADICIÓN DECRETO 003 DE 01/01/2024</text>
  </threadedComment>
  <threadedComment ref="AD207" dT="2024-03-22T19:57:17.07" personId="{181DE6E3-275C-4A1F-A6B2-E5FC285624D9}" id="{6E8E0F6A-5477-48FD-AE67-E465A26EA9D6}">
    <text xml:space="preserve">Adición según decreto 0464 06/03/2024 </text>
  </threadedComment>
  <threadedComment ref="AL207" dT="2024-03-22T19:58:31.69" personId="{181DE6E3-275C-4A1F-A6B2-E5FC285624D9}" id="{36E13289-5CE5-471F-8014-33908498168B}">
    <text xml:space="preserve">Adición según decreto 0464 06/03/2024 </text>
  </threadedComment>
  <threadedComment ref="AC208" dT="2024-03-22T19:59:48.57" personId="{181DE6E3-275C-4A1F-A6B2-E5FC285624D9}" id="{6E9CE6E9-CD8A-4E65-A089-33B9BEB68557}">
    <text xml:space="preserve">Adición según decreto 0464 06/03/2024 </text>
  </threadedComment>
  <threadedComment ref="AL208" dT="2024-03-22T20:00:06.24" personId="{181DE6E3-275C-4A1F-A6B2-E5FC285624D9}" id="{80063565-7947-4FBD-BF48-9863B799788A}">
    <text xml:space="preserve">Adición según decreto 0464 06/03/2024 </text>
  </threadedComment>
  <threadedComment ref="AB209" dT="2024-03-21T20:36:22.09" personId="{181DE6E3-275C-4A1F-A6B2-E5FC285624D9}" id="{CB6EEB45-622B-423E-91C6-D1EF6E6D0A1E}">
    <text xml:space="preserve">Adición según decreto 0464 8/03/2024 </text>
  </threadedComment>
  <threadedComment ref="AL209" dT="2024-03-21T20:36:22.09" personId="{181DE6E3-275C-4A1F-A6B2-E5FC285624D9}" id="{0AA3EC7C-B4F6-4EA6-8A59-562DCB8E429A}">
    <text xml:space="preserve">Adición según decreto 0464 8/03/2024 </text>
  </threadedComment>
  <threadedComment ref="AC214" dT="2024-05-28T14:58:58.24" personId="{181DE6E3-275C-4A1F-A6B2-E5FC285624D9}" id="{9489EF6D-75D3-4CB6-B5F1-F6FC1D38D537}">
    <text>Adición segun decreto 612 26-04-2024 R.B</text>
  </threadedComment>
  <threadedComment ref="AL214" dT="2024-05-02T10:01:10.72" personId="{181DE6E3-275C-4A1F-A6B2-E5FC285624D9}" id="{E53A364D-EB48-4017-864A-9054B740F495}">
    <text>Adición segun decreto 612 26-04-2024 R.B</text>
  </threadedComment>
  <threadedComment ref="AP214" dT="2024-04-13T02:07:41.92" personId="{181DE6E3-275C-4A1F-A6B2-E5FC285624D9}" id="{8528A06A-E74E-4962-8068-3F028040B547}">
    <text>Superavit SGP</text>
  </threadedComment>
  <threadedComment ref="AG219" dT="2024-02-26T21:46:45.62" personId="{181DE6E3-275C-4A1F-A6B2-E5FC285624D9}" id="{A586E215-7EC2-450D-8337-2646F4CAC737}">
    <text>Contracredito según decreto 0431 de 23/02/2024</text>
  </threadedComment>
  <threadedComment ref="AO219" dT="2024-02-26T21:48:38.45" personId="{181DE6E3-275C-4A1F-A6B2-E5FC285624D9}" id="{C0AF62DB-94ED-476B-B807-11DEDDB8EB4E}">
    <text>Contracredito según decreto 0431 de 23/02/2024</text>
  </threadedComment>
  <threadedComment ref="AG220" dT="2024-02-26T21:48:10.51" personId="{181DE6E3-275C-4A1F-A6B2-E5FC285624D9}" id="{1B56A693-F581-4100-B175-8293C02D1486}">
    <text>credito según decreto 0431 de 23/02/2024</text>
  </threadedComment>
  <threadedComment ref="AG220" dT="2024-04-29T22:19:01.45" personId="{181DE6E3-275C-4A1F-A6B2-E5FC285624D9}" id="{130A3049-53DC-455C-97CF-3B9BC6AB7D37}" parentId="{1B56A693-F581-4100-B175-8293C02D1486}">
    <text xml:space="preserve">Credito según decreto 613 26/04/2024 </text>
  </threadedComment>
  <threadedComment ref="AN220" dT="2024-02-26T21:48:58.67" personId="{181DE6E3-275C-4A1F-A6B2-E5FC285624D9}" id="{66B998F2-4F21-4314-9558-B4646D58FAD3}">
    <text>credito según decreto 0431 de 23/02/2024</text>
  </threadedComment>
  <threadedComment ref="AN220" dT="2024-04-29T22:19:57.04" personId="{181DE6E3-275C-4A1F-A6B2-E5FC285624D9}" id="{C6B02BB8-2AC9-420F-95EA-F43C2D08AD77}" parentId="{66B998F2-4F21-4314-9558-B4646D58FAD3}">
    <text/>
  </threadedComment>
  <threadedComment ref="AO220" dT="2024-04-29T22:20:41.61" personId="{181DE6E3-275C-4A1F-A6B2-E5FC285624D9}" id="{8BC0979F-01E2-481D-AEE8-CEE91918B871}">
    <text xml:space="preserve">contra Credito según decreto 613 26/04/2024 </text>
  </threadedComment>
  <threadedComment ref="AG222" dT="2024-04-29T22:17:37.65" personId="{181DE6E3-275C-4A1F-A6B2-E5FC285624D9}" id="{449C084C-296A-4E0A-AC59-744FE5C16F26}">
    <text xml:space="preserve">Credito según decreto 613 26/04/2024 </text>
  </threadedComment>
  <threadedComment ref="AN222" dT="2024-04-29T22:17:48.20" personId="{181DE6E3-275C-4A1F-A6B2-E5FC285624D9}" id="{29B9C06E-386F-489D-AB29-405A4BDB16DB}">
    <text xml:space="preserve">Credito según decreto 613 26/04/2024 </text>
  </threadedComment>
  <threadedComment ref="AD242" dT="2024-06-10T16:15:32.66" personId="{181DE6E3-275C-4A1F-A6B2-E5FC285624D9}" id="{EDF94EB1-D55F-45CF-A9C7-7D8460FC821B}">
    <text>Adición según Resolucion 152 27-05-2024</text>
  </threadedComment>
  <threadedComment ref="AG242" dT="2024-04-14T02:17:45.51" personId="{181DE6E3-275C-4A1F-A6B2-E5FC285624D9}" id="{9E30F9D0-7B62-40DB-9F4C-161CFCDC27B6}">
    <text>Contracredito segun Resolucion 048 23-02-2024 $ 20.000.000</text>
  </threadedComment>
  <threadedComment ref="AG242" dT="2024-04-14T02:17:56.21" personId="{181DE6E3-275C-4A1F-A6B2-E5FC285624D9}" id="{A7233C83-451B-46DC-B153-B34EC93E75A6}" parentId="{9E30F9D0-7B62-40DB-9F4C-161CFCDC27B6}">
    <text>Contracredito segun Resolucion 049  $ 20.000.000</text>
  </threadedComment>
  <threadedComment ref="AL242" dT="2024-06-10T16:23:45.54" personId="{181DE6E3-275C-4A1F-A6B2-E5FC285624D9}" id="{CCD92CA4-A37E-4689-A628-A1E0E6188AA4}">
    <text>Adición según Resolucion 157 24-05-2024</text>
  </threadedComment>
  <threadedComment ref="AN242" dT="2024-04-14T02:19:23.31" personId="{181DE6E3-275C-4A1F-A6B2-E5FC285624D9}" id="{FE3891B4-3D3A-4DD7-BD74-072734684213}">
    <text>Creditos segun Resolucion 049 $20.000.000</text>
  </threadedComment>
  <threadedComment ref="AO242" dT="2024-04-14T02:19:23.31" personId="{181DE6E3-275C-4A1F-A6B2-E5FC285624D9}" id="{B159E7FF-AEA1-4131-9136-775377AA9AC3}">
    <text>contraCredito segun Resolucion 048 23-02-2024 $20.000.000</text>
  </threadedComment>
  <threadedComment ref="AA243" dT="2024-05-16T20:10:54.16" personId="{181DE6E3-275C-4A1F-A6B2-E5FC285624D9}" id="{AAB2F6B2-A353-4C53-A8CD-E97D0D367463}">
    <text>Traslado según resolución 092</text>
  </threadedComment>
  <threadedComment ref="AB243" dT="2024-05-16T20:11:57.88" personId="{181DE6E3-275C-4A1F-A6B2-E5FC285624D9}" id="{3227E10D-C162-4BA2-917F-173DFEBB20CD}">
    <text>Traslado segun Resolucion 049
Traslado segun Resolucion 092</text>
  </threadedComment>
  <threadedComment ref="AG243" dT="2024-04-14T02:21:17.74" personId="{181DE6E3-275C-4A1F-A6B2-E5FC285624D9}" id="{9DFCC334-8C03-4686-B11C-3EC06F3C018F}">
    <text>Credito segun Resolucion 048 23-02-2024  $ 20.000.000</text>
  </threadedComment>
  <threadedComment ref="AG243" dT="2024-04-14T02:21:45.65" personId="{181DE6E3-275C-4A1F-A6B2-E5FC285624D9}" id="{4CB74A0C-1CB4-4A2E-8238-6BA20580D733}" parentId="{9DFCC334-8C03-4686-B11C-3EC06F3C018F}">
    <text>Contracredito segun Resolucion 049 $ 20.000.000</text>
  </threadedComment>
  <threadedComment ref="AG243" dT="2024-05-16T20:13:00.27" personId="{181DE6E3-275C-4A1F-A6B2-E5FC285624D9}" id="{1D76D0C6-8F4E-469B-8554-1CC115CFCC42}" parentId="{9DFCC334-8C03-4686-B11C-3EC06F3C018F}">
    <text>Traslado segun Resolucion 092</text>
  </threadedComment>
  <threadedComment ref="AN243" dT="2024-04-14T02:19:23.31" personId="{181DE6E3-275C-4A1F-A6B2-E5FC285624D9}" id="{1C8F353C-5DB3-4703-82E6-37DE9FA1A48F}">
    <text>Creditos segun Resolucion 048 23-02-2024 $20.000.000</text>
  </threadedComment>
  <threadedComment ref="AO243" dT="2024-04-14T02:19:23.31" personId="{181DE6E3-275C-4A1F-A6B2-E5FC285624D9}" id="{B5D924F8-BDCA-41C2-B6A8-93125B30E748}">
    <text>contraCredito segun Resolucion 049  $20.000.000</text>
  </threadedComment>
  <threadedComment ref="AA244" dT="2024-05-16T20:16:32.34" personId="{181DE6E3-275C-4A1F-A6B2-E5FC285624D9}" id="{B26DBD72-A68B-4584-9B4E-3FE939D99AA5}">
    <text>Traslado credito segun resolucion 049</text>
  </threadedComment>
  <threadedComment ref="AA244" dT="2024-05-24T21:58:36.84" personId="{181DE6E3-275C-4A1F-A6B2-E5FC285624D9}" id="{176F8FC9-73BA-41F4-9B59-4C72E72C5E9B}" parentId="{B26DBD72-A68B-4584-9B4E-3FE939D99AA5}">
    <text>Adición según Resolución 116 30-04-2024</text>
  </threadedComment>
  <threadedComment ref="AB244" dT="2024-05-16T20:15:40.42" personId="{181DE6E3-275C-4A1F-A6B2-E5FC285624D9}" id="{85577CD8-3CAF-4875-9C3B-5023FDB28911}">
    <text>Traslado credito segun resolucion 049
Traslado credito segun resolucion 092</text>
  </threadedComment>
  <threadedComment ref="AB244" dT="2024-05-24T21:58:27.95" personId="{181DE6E3-275C-4A1F-A6B2-E5FC285624D9}" id="{599E1D1A-9031-4E53-82E4-BEB8132AB459}" parentId="{85577CD8-3CAF-4875-9C3B-5023FDB28911}">
    <text>Adición según Resolución 116 30-04-2024</text>
  </threadedComment>
  <threadedComment ref="AB244" dT="2024-06-10T16:38:10.92" personId="{181DE6E3-275C-4A1F-A6B2-E5FC285624D9}" id="{ED183BEE-7870-4D18-95E0-588EDFCCF6D0}" parentId="{85577CD8-3CAF-4875-9C3B-5023FDB28911}">
    <text>Adición según Resolucion 152 27-05-2024 $4.685.230</text>
  </threadedComment>
  <threadedComment ref="AD244" dT="2024-05-24T21:58:42.67" personId="{181DE6E3-275C-4A1F-A6B2-E5FC285624D9}" id="{FA247ABF-C895-4A52-9D3F-98D118AB2D22}">
    <text>Adición según Resolución 116 30-04-2024</text>
  </threadedComment>
  <threadedComment ref="AD244" dT="2024-06-10T16:21:54.66" personId="{181DE6E3-275C-4A1F-A6B2-E5FC285624D9}" id="{2C2D48B5-09B6-4809-9B1E-065F5A17BAF2}" parentId="{FA247ABF-C895-4A52-9D3F-98D118AB2D22}">
    <text>Adición según Resolucion 152 27-05-2024</text>
  </threadedComment>
  <threadedComment ref="AG244" dT="2024-05-16T20:13:52.24" personId="{181DE6E3-275C-4A1F-A6B2-E5FC285624D9}" id="{A9390632-604A-4A3E-9A33-95A9FB16E63E}">
    <text xml:space="preserve">
Traslado según Resolucion 048
Traslado según Resolucion 092 </text>
  </threadedComment>
  <threadedComment ref="AG244" dT="2024-06-10T16:24:57.72" personId="{181DE6E3-275C-4A1F-A6B2-E5FC285624D9}" id="{75277174-C15D-49BA-86B0-244E62E87120}" parentId="{A9390632-604A-4A3E-9A33-95A9FB16E63E}">
    <text>Adición según Resolucion 152 27-05-2024</text>
  </threadedComment>
  <threadedComment ref="AL244" dT="2024-06-10T16:23:50.23" personId="{181DE6E3-275C-4A1F-A6B2-E5FC285624D9}" id="{A7789975-A18F-4661-931D-85C6FA6455A0}">
    <text>Adición según Resolucion 157 24-05-2024</text>
  </threadedComment>
  <threadedComment ref="AA246" dT="2024-06-10T16:04:57.31" personId="{181DE6E3-275C-4A1F-A6B2-E5FC285624D9}" id="{0F0CB99B-7660-41BE-9B22-3D6AE38881D7}">
    <text xml:space="preserve">Adición según Resolución 116 30-04-2024
</text>
  </threadedComment>
  <threadedComment ref="AA246" dT="2024-06-10T16:05:11.15" personId="{181DE6E3-275C-4A1F-A6B2-E5FC285624D9}" id="{BA74FE84-F0D5-4860-A219-4F38168D24EE}" parentId="{0F0CB99B-7660-41BE-9B22-3D6AE38881D7}">
    <text>Adición según Resolución 157 24-05-2024</text>
  </threadedComment>
  <threadedComment ref="AB246" dT="2024-06-10T16:07:40.68" personId="{181DE6E3-275C-4A1F-A6B2-E5FC285624D9}" id="{56721D2B-67DF-4850-8691-9F3B483F2B0B}">
    <text>Adición según Resolución 157 24-05-2024</text>
  </threadedComment>
  <threadedComment ref="AD246" dT="2024-06-10T16:09:40.23" personId="{181DE6E3-275C-4A1F-A6B2-E5FC285624D9}" id="{EB6C089A-8490-4C40-A2E7-6675A8402F04}">
    <text>Adición según Resolución 157 24-05-2024 Rendimientos</text>
  </threadedComment>
  <threadedComment ref="AL246" dT="2024-05-28T14:00:42.30" personId="{181DE6E3-275C-4A1F-A6B2-E5FC285624D9}" id="{2D860C04-490D-426D-A904-F2BA18238C4B}">
    <text>Adición según Resolución 116 30-04-2024</text>
  </threadedComment>
  <threadedComment ref="AL246" dT="2024-06-10T16:06:53.58" personId="{181DE6E3-275C-4A1F-A6B2-E5FC285624D9}" id="{ADDEB0C7-73FC-4E52-BFEA-4C41BD05A0F4}" parentId="{2D860C04-490D-426D-A904-F2BA18238C4B}">
    <text>Adición según Resolución 157 24-05-2024</text>
  </threadedComment>
  <threadedComment ref="AA247" dT="2024-06-18T13:30:02.15" personId="{181DE6E3-275C-4A1F-A6B2-E5FC285624D9}" id="{043471D5-5969-469C-B105-FD1694A0A9DA}">
    <text xml:space="preserve">Adición según Resolución 0057 30/05/2024 </text>
  </threadedComment>
  <threadedComment ref="AL247" dT="2024-06-18T13:30:11.33" personId="{181DE6E3-275C-4A1F-A6B2-E5FC285624D9}" id="{70A2F1E0-934F-46EF-8F3F-EE5714B2F550}">
    <text xml:space="preserve">Adición según Resolución 0057 30/05/2024 </text>
  </threadedComment>
  <threadedComment ref="AA248" dT="2024-05-28T14:11:15.84" personId="{181DE6E3-275C-4A1F-A6B2-E5FC285624D9}" id="{F555DB60-F7E3-4D68-96DB-D6C485581970}">
    <text>Traslado contracredito según Resolución 037 2-04-2024</text>
  </threadedComment>
  <threadedComment ref="AA248" dT="2024-06-10T13:28:46.72" personId="{181DE6E3-275C-4A1F-A6B2-E5FC285624D9}" id="{FAD80DA1-AEC5-4B39-AB36-153207860A47}" parentId="{F555DB60-F7E3-4D68-96DB-D6C485581970}">
    <text>Adición segun Resolucion 057 24-05-2024</text>
  </threadedComment>
  <threadedComment ref="AL248" dT="2024-06-10T13:29:13.29" personId="{181DE6E3-275C-4A1F-A6B2-E5FC285624D9}" id="{A0399351-4193-4336-B423-90E5F95DC658}">
    <text>Adición segun Resolucion 057 24-05-2024</text>
  </threadedComment>
  <threadedComment ref="AO248" dT="2024-05-28T14:12:18.21" personId="{181DE6E3-275C-4A1F-A6B2-E5FC285624D9}" id="{7EE53684-F33D-4112-94D9-9282D89DDF8C}">
    <text>Traslado contracredito según Resolución 037 2-04-2024</text>
  </threadedComment>
  <threadedComment ref="AP248" dT="2024-04-10T22:25:47.34" personId="{181DE6E3-275C-4A1F-A6B2-E5FC285624D9}" id="{74432001-4E6A-4BA9-B6F8-C7C806C55E9E}">
    <text>CONTRACREDITO, PARA EL PROYECTO  2023003630001 SE VA ACREDITAR EL RECURSO 250.000.000 META 4003025</text>
  </threadedComment>
  <threadedComment ref="AA251" dT="2024-06-10T13:30:56.54" personId="{181DE6E3-275C-4A1F-A6B2-E5FC285624D9}" id="{ADB4A63C-59AD-4EFE-AEA6-FD0CA70CCCF3}">
    <text>Adición segun Resolucion 057 24-05-2024</text>
  </threadedComment>
  <threadedComment ref="AL251" dT="2024-06-10T13:31:16.67" personId="{181DE6E3-275C-4A1F-A6B2-E5FC285624D9}" id="{17965DD8-FD7C-4AD1-B323-A0730FF01DAA}">
    <text>Adición segun Resolucion 057 24-05-2024</text>
  </threadedComment>
  <threadedComment ref="AA253" dT="2024-06-10T13:32:09.54" personId="{181DE6E3-275C-4A1F-A6B2-E5FC285624D9}" id="{C7443C3B-7905-4778-B4F0-6AACAB4707FC}">
    <text>Adición segun Resolucion 057 24-05-2024</text>
  </threadedComment>
  <threadedComment ref="AL253" dT="2024-06-10T13:32:26.97" personId="{181DE6E3-275C-4A1F-A6B2-E5FC285624D9}" id="{CC9C0BA1-D696-4680-9D16-57B524A408F2}">
    <text>Adición segun Resolucion 057 24-05-2024</text>
  </threadedComment>
  <threadedComment ref="AH254" dT="2024-03-22T21:30:00.93" personId="{181DE6E3-275C-4A1F-A6B2-E5FC285624D9}" id="{687C658E-383E-4FC1-A56D-BA89B18C2417}">
    <text>Redución según Resolución 005 02/021/2024</text>
  </threadedComment>
  <threadedComment ref="AH254" dT="2024-06-10T13:39:50.78" personId="{181DE6E3-275C-4A1F-A6B2-E5FC285624D9}" id="{9268774A-F37C-4CB4-8CB7-88406B4E4963}" parentId="{687C658E-383E-4FC1-A56D-BA89B18C2417}">
    <text>Adición segun Resolucion 057 24-05-2024</text>
  </threadedComment>
  <threadedComment ref="AL254" dT="2024-06-10T13:38:10.92" personId="{181DE6E3-275C-4A1F-A6B2-E5FC285624D9}" id="{095B9A59-0E17-4EF5-8024-DA1107D84FE1}">
    <text>Adición segun Resolucion 057 24-05-2024</text>
  </threadedComment>
  <threadedComment ref="AA255" dT="2024-05-28T14:11:31.95" personId="{181DE6E3-275C-4A1F-A6B2-E5FC285624D9}" id="{1DB1F491-F979-43F9-8962-3F130D11B83C}">
    <text>Traslado credito según Resolución 037 2-04-2024</text>
  </threadedComment>
  <threadedComment ref="AA255" dT="2024-06-10T13:33:30.98" personId="{181DE6E3-275C-4A1F-A6B2-E5FC285624D9}" id="{A43A0F51-5DC6-43C0-B313-40468338E09F}" parentId="{1DB1F491-F979-43F9-8962-3F130D11B83C}">
    <text>Adición segun Resolucion 057 24-05-2024</text>
  </threadedComment>
  <threadedComment ref="AL255" dT="2024-06-10T13:33:59.80" personId="{181DE6E3-275C-4A1F-A6B2-E5FC285624D9}" id="{8B8092C0-4749-43AE-BA43-ED0716492FB1}">
    <text>Adición segun Resolucion 057 24-05-2024</text>
  </threadedComment>
  <threadedComment ref="AN255" dT="2024-05-28T14:12:38.72" personId="{181DE6E3-275C-4A1F-A6B2-E5FC285624D9}" id="{6397A2D3-7956-41E2-B4E1-4E75B2095E9D}">
    <text>Traslado credito según Resolución 037 2-04-2024</text>
  </threadedComment>
  <threadedComment ref="AP255" dT="2024-05-28T14:12:38.72" personId="{181DE6E3-275C-4A1F-A6B2-E5FC285624D9}" id="{FD860FE8-B5D2-4595-94AE-25B3E24B9536}">
    <text>Traslado credito según Resolución 037 2-04-2024</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675"/>
  <sheetViews>
    <sheetView showGridLines="0" tabSelected="1" zoomScale="80" zoomScaleNormal="80" workbookViewId="0">
      <selection activeCell="C2" sqref="C2:AI2"/>
    </sheetView>
  </sheetViews>
  <sheetFormatPr baseColWidth="10" defaultColWidth="11.42578125" defaultRowHeight="15" customHeight="1"/>
  <cols>
    <col min="1" max="1" width="12.7109375" style="20" customWidth="1"/>
    <col min="2" max="2" width="18" style="1" customWidth="1"/>
    <col min="3" max="3" width="10" style="21" customWidth="1"/>
    <col min="4" max="4" width="26" style="22" customWidth="1"/>
    <col min="5" max="5" width="12.42578125" style="23" customWidth="1"/>
    <col min="6" max="6" width="17.85546875" style="22" customWidth="1"/>
    <col min="7" max="7" width="14.42578125" style="23" customWidth="1"/>
    <col min="8" max="8" width="38.140625" style="1" customWidth="1"/>
    <col min="9" max="9" width="13.42578125" style="1" customWidth="1"/>
    <col min="10" max="10" width="35.7109375" style="1" customWidth="1"/>
    <col min="11" max="11" width="60.5703125" style="22" customWidth="1"/>
    <col min="12" max="12" width="15.42578125" style="23" customWidth="1"/>
    <col min="13" max="13" width="47.7109375" style="22" customWidth="1"/>
    <col min="14" max="14" width="15.42578125" style="24" customWidth="1"/>
    <col min="15" max="15" width="39.42578125" style="22" customWidth="1"/>
    <col min="16" max="16" width="18.7109375" style="22" customWidth="1"/>
    <col min="17" max="17" width="45.5703125" style="1" customWidth="1"/>
    <col min="18" max="18" width="17.85546875" style="23" customWidth="1"/>
    <col min="19" max="19" width="29.85546875" style="1" customWidth="1"/>
    <col min="20" max="20" width="18.28515625" style="25" customWidth="1"/>
    <col min="21" max="21" width="15.7109375" style="23" customWidth="1"/>
    <col min="22" max="23" width="17.85546875" style="23" customWidth="1"/>
    <col min="24" max="24" width="17.85546875" style="26" customWidth="1"/>
    <col min="25" max="25" width="59" style="1" bestFit="1" customWidth="1"/>
    <col min="26" max="26" width="83.140625" style="1" customWidth="1"/>
    <col min="27" max="27" width="24.42578125" style="3" customWidth="1"/>
    <col min="28" max="28" width="26.85546875" style="3" customWidth="1"/>
    <col min="29" max="29" width="25.85546875" style="3" customWidth="1"/>
    <col min="30" max="30" width="26.85546875" style="3" customWidth="1"/>
    <col min="31" max="31" width="25.5703125" style="27" customWidth="1"/>
    <col min="32" max="32" width="23.42578125" style="3" customWidth="1"/>
    <col min="33" max="33" width="25.28515625" style="28" customWidth="1"/>
    <col min="34" max="34" width="36.28515625" style="3" customWidth="1"/>
    <col min="35" max="35" width="25.5703125" style="3" customWidth="1"/>
    <col min="36" max="36" width="28.5703125" style="198" customWidth="1"/>
    <col min="37" max="37" width="26" style="29" customWidth="1"/>
    <col min="38" max="16384" width="11.42578125" style="3"/>
  </cols>
  <sheetData>
    <row r="1" spans="1:37" ht="24.75" customHeight="1">
      <c r="A1" s="1"/>
      <c r="C1" s="374" t="s">
        <v>0</v>
      </c>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c r="AE1" s="375"/>
      <c r="AF1" s="375"/>
      <c r="AG1" s="375"/>
      <c r="AH1" s="375"/>
      <c r="AI1" s="376"/>
      <c r="AJ1" s="196" t="s">
        <v>1</v>
      </c>
      <c r="AK1" s="2" t="s">
        <v>2</v>
      </c>
    </row>
    <row r="2" spans="1:37" ht="24.75" customHeight="1">
      <c r="A2" s="1"/>
      <c r="C2" s="377" t="s">
        <v>1430</v>
      </c>
      <c r="D2" s="378"/>
      <c r="E2" s="378"/>
      <c r="F2" s="378"/>
      <c r="G2" s="378"/>
      <c r="H2" s="378"/>
      <c r="I2" s="378"/>
      <c r="J2" s="378"/>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379"/>
      <c r="AJ2" s="4" t="s">
        <v>3</v>
      </c>
      <c r="AK2" s="5">
        <v>6</v>
      </c>
    </row>
    <row r="3" spans="1:37" ht="24.75" customHeight="1">
      <c r="A3" s="1"/>
      <c r="C3" s="360"/>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c r="AG3" s="361"/>
      <c r="AH3" s="220"/>
      <c r="AI3" s="6"/>
      <c r="AJ3" s="4" t="s">
        <v>4</v>
      </c>
      <c r="AK3" s="7">
        <v>44714</v>
      </c>
    </row>
    <row r="4" spans="1:37" ht="24.75" customHeight="1">
      <c r="A4" s="1"/>
      <c r="C4" s="362"/>
      <c r="D4" s="363"/>
      <c r="E4" s="363"/>
      <c r="F4" s="363"/>
      <c r="G4" s="363"/>
      <c r="H4" s="363"/>
      <c r="I4" s="363"/>
      <c r="J4" s="363"/>
      <c r="K4" s="363"/>
      <c r="L4" s="363"/>
      <c r="M4" s="363"/>
      <c r="N4" s="363"/>
      <c r="O4" s="363"/>
      <c r="P4" s="363"/>
      <c r="Q4" s="363"/>
      <c r="R4" s="363"/>
      <c r="S4" s="363"/>
      <c r="T4" s="363"/>
      <c r="U4" s="363"/>
      <c r="V4" s="363"/>
      <c r="W4" s="363"/>
      <c r="X4" s="363"/>
      <c r="Y4" s="363"/>
      <c r="Z4" s="363"/>
      <c r="AA4" s="363"/>
      <c r="AB4" s="363"/>
      <c r="AC4" s="363"/>
      <c r="AD4" s="363"/>
      <c r="AE4" s="363"/>
      <c r="AF4" s="363"/>
      <c r="AG4" s="363"/>
      <c r="AH4" s="363"/>
      <c r="AI4" s="364"/>
      <c r="AJ4" s="196" t="s">
        <v>5</v>
      </c>
      <c r="AK4" s="8" t="s">
        <v>6</v>
      </c>
    </row>
    <row r="5" spans="1:37" s="9" customFormat="1" ht="31.5" customHeight="1">
      <c r="A5" s="365" t="s">
        <v>7</v>
      </c>
      <c r="B5" s="366"/>
      <c r="C5" s="367" t="s">
        <v>8</v>
      </c>
      <c r="D5" s="367"/>
      <c r="E5" s="367" t="s">
        <v>9</v>
      </c>
      <c r="F5" s="367"/>
      <c r="G5" s="368" t="s">
        <v>10</v>
      </c>
      <c r="H5" s="369"/>
      <c r="I5" s="369"/>
      <c r="J5" s="369"/>
      <c r="K5" s="370"/>
      <c r="L5" s="368" t="s">
        <v>11</v>
      </c>
      <c r="M5" s="369"/>
      <c r="N5" s="369"/>
      <c r="O5" s="370"/>
      <c r="P5" s="368" t="s">
        <v>12</v>
      </c>
      <c r="Q5" s="369"/>
      <c r="R5" s="369"/>
      <c r="S5" s="370"/>
      <c r="T5" s="368" t="s">
        <v>13</v>
      </c>
      <c r="U5" s="369"/>
      <c r="V5" s="369"/>
      <c r="W5" s="370"/>
      <c r="X5" s="367" t="s">
        <v>14</v>
      </c>
      <c r="Y5" s="367"/>
      <c r="Z5" s="367"/>
      <c r="AA5" s="371" t="s">
        <v>15</v>
      </c>
      <c r="AB5" s="372"/>
      <c r="AC5" s="372"/>
      <c r="AD5" s="372"/>
      <c r="AE5" s="372"/>
      <c r="AF5" s="372"/>
      <c r="AG5" s="372"/>
      <c r="AH5" s="372"/>
      <c r="AI5" s="373"/>
      <c r="AJ5" s="197"/>
      <c r="AK5" s="32"/>
    </row>
    <row r="6" spans="1:37" s="9" customFormat="1" ht="75.75" customHeight="1">
      <c r="A6" s="10" t="s">
        <v>16</v>
      </c>
      <c r="B6" s="11" t="s">
        <v>17</v>
      </c>
      <c r="C6" s="12" t="s">
        <v>16</v>
      </c>
      <c r="D6" s="13" t="s">
        <v>17</v>
      </c>
      <c r="E6" s="14" t="s">
        <v>16</v>
      </c>
      <c r="F6" s="15" t="s">
        <v>17</v>
      </c>
      <c r="G6" s="12" t="s">
        <v>18</v>
      </c>
      <c r="H6" s="13" t="s">
        <v>19</v>
      </c>
      <c r="I6" s="12" t="s">
        <v>20</v>
      </c>
      <c r="J6" s="12" t="s">
        <v>21</v>
      </c>
      <c r="K6" s="16" t="s">
        <v>22</v>
      </c>
      <c r="L6" s="12" t="s">
        <v>23</v>
      </c>
      <c r="M6" s="12" t="s">
        <v>24</v>
      </c>
      <c r="N6" s="12" t="s">
        <v>25</v>
      </c>
      <c r="O6" s="186" t="s">
        <v>26</v>
      </c>
      <c r="P6" s="225" t="s">
        <v>23</v>
      </c>
      <c r="Q6" s="225" t="s">
        <v>27</v>
      </c>
      <c r="R6" s="225" t="s">
        <v>28</v>
      </c>
      <c r="S6" s="225" t="s">
        <v>29</v>
      </c>
      <c r="T6" s="186" t="s">
        <v>30</v>
      </c>
      <c r="U6" s="186" t="s">
        <v>31</v>
      </c>
      <c r="V6" s="226" t="s">
        <v>32</v>
      </c>
      <c r="W6" s="226" t="s">
        <v>33</v>
      </c>
      <c r="X6" s="227" t="s">
        <v>34</v>
      </c>
      <c r="Y6" s="225" t="s">
        <v>35</v>
      </c>
      <c r="Z6" s="225" t="s">
        <v>36</v>
      </c>
      <c r="AA6" s="187" t="s">
        <v>37</v>
      </c>
      <c r="AB6" s="187" t="s">
        <v>38</v>
      </c>
      <c r="AC6" s="187" t="s">
        <v>39</v>
      </c>
      <c r="AD6" s="187" t="s">
        <v>40</v>
      </c>
      <c r="AE6" s="187" t="s">
        <v>41</v>
      </c>
      <c r="AF6" s="187" t="s">
        <v>42</v>
      </c>
      <c r="AG6" s="187" t="s">
        <v>43</v>
      </c>
      <c r="AH6" s="187" t="s">
        <v>1431</v>
      </c>
      <c r="AI6" s="187" t="s">
        <v>44</v>
      </c>
      <c r="AJ6" s="187" t="s">
        <v>45</v>
      </c>
      <c r="AK6" s="186" t="s">
        <v>46</v>
      </c>
    </row>
    <row r="7" spans="1:37" s="224" customFormat="1" ht="85.9" customHeight="1">
      <c r="A7" s="228">
        <v>304</v>
      </c>
      <c r="B7" s="229" t="s">
        <v>47</v>
      </c>
      <c r="C7" s="228">
        <v>4</v>
      </c>
      <c r="D7" s="229" t="s">
        <v>48</v>
      </c>
      <c r="E7" s="228">
        <v>45</v>
      </c>
      <c r="F7" s="229" t="s">
        <v>49</v>
      </c>
      <c r="G7" s="228" t="s">
        <v>50</v>
      </c>
      <c r="H7" s="229" t="s">
        <v>51</v>
      </c>
      <c r="I7" s="228">
        <v>4599</v>
      </c>
      <c r="J7" s="229" t="s">
        <v>52</v>
      </c>
      <c r="K7" s="229" t="s">
        <v>53</v>
      </c>
      <c r="L7" s="228" t="s">
        <v>50</v>
      </c>
      <c r="M7" s="229" t="s">
        <v>54</v>
      </c>
      <c r="N7" s="228">
        <v>4599023</v>
      </c>
      <c r="O7" s="229" t="s">
        <v>55</v>
      </c>
      <c r="P7" s="228" t="s">
        <v>50</v>
      </c>
      <c r="Q7" s="230" t="s">
        <v>56</v>
      </c>
      <c r="R7" s="231">
        <v>459902300</v>
      </c>
      <c r="S7" s="230" t="s">
        <v>57</v>
      </c>
      <c r="T7" s="232" t="s">
        <v>58</v>
      </c>
      <c r="U7" s="233">
        <v>5</v>
      </c>
      <c r="V7" s="233"/>
      <c r="W7" s="233">
        <f>U7</f>
        <v>5</v>
      </c>
      <c r="X7" s="231">
        <v>2020003630006</v>
      </c>
      <c r="Y7" s="229" t="s">
        <v>59</v>
      </c>
      <c r="Z7" s="229" t="s">
        <v>60</v>
      </c>
      <c r="AA7" s="234"/>
      <c r="AB7" s="234"/>
      <c r="AC7" s="234"/>
      <c r="AD7" s="234"/>
      <c r="AE7" s="234"/>
      <c r="AF7" s="234"/>
      <c r="AG7" s="234">
        <f>104040000</f>
        <v>104040000</v>
      </c>
      <c r="AH7" s="235"/>
      <c r="AI7" s="234"/>
      <c r="AJ7" s="236">
        <f t="shared" ref="AJ7:AJ60" si="0">SUM(AA7,AB7,AC7,AD7,AE7,AF7,AG7,AH7,AI7)</f>
        <v>104040000</v>
      </c>
      <c r="AK7" s="237" t="s">
        <v>61</v>
      </c>
    </row>
    <row r="8" spans="1:37" s="224" customFormat="1" ht="85.9" customHeight="1">
      <c r="A8" s="228">
        <v>304</v>
      </c>
      <c r="B8" s="229" t="s">
        <v>47</v>
      </c>
      <c r="C8" s="228">
        <v>4</v>
      </c>
      <c r="D8" s="229" t="s">
        <v>48</v>
      </c>
      <c r="E8" s="228">
        <v>45</v>
      </c>
      <c r="F8" s="229" t="s">
        <v>49</v>
      </c>
      <c r="G8" s="228" t="s">
        <v>50</v>
      </c>
      <c r="H8" s="229" t="s">
        <v>51</v>
      </c>
      <c r="I8" s="228">
        <v>4599</v>
      </c>
      <c r="J8" s="229" t="s">
        <v>52</v>
      </c>
      <c r="K8" s="229" t="s">
        <v>53</v>
      </c>
      <c r="L8" s="228" t="s">
        <v>50</v>
      </c>
      <c r="M8" s="229" t="s">
        <v>62</v>
      </c>
      <c r="N8" s="228">
        <v>4599002</v>
      </c>
      <c r="O8" s="229" t="s">
        <v>63</v>
      </c>
      <c r="P8" s="228" t="s">
        <v>50</v>
      </c>
      <c r="Q8" s="230" t="s">
        <v>64</v>
      </c>
      <c r="R8" s="231">
        <v>459900200</v>
      </c>
      <c r="S8" s="230" t="s">
        <v>65</v>
      </c>
      <c r="T8" s="232" t="s">
        <v>58</v>
      </c>
      <c r="U8" s="233">
        <v>4</v>
      </c>
      <c r="V8" s="233"/>
      <c r="W8" s="233">
        <f t="shared" ref="W8:W71" si="1">U8</f>
        <v>4</v>
      </c>
      <c r="X8" s="231">
        <v>2020003630007</v>
      </c>
      <c r="Y8" s="229" t="s">
        <v>66</v>
      </c>
      <c r="Z8" s="229" t="s">
        <v>67</v>
      </c>
      <c r="AA8" s="234"/>
      <c r="AB8" s="234"/>
      <c r="AC8" s="234"/>
      <c r="AD8" s="234"/>
      <c r="AE8" s="234"/>
      <c r="AF8" s="234"/>
      <c r="AG8" s="234">
        <v>53750000</v>
      </c>
      <c r="AH8" s="238"/>
      <c r="AI8" s="234"/>
      <c r="AJ8" s="236">
        <f t="shared" si="0"/>
        <v>53750000</v>
      </c>
      <c r="AK8" s="237" t="s">
        <v>61</v>
      </c>
    </row>
    <row r="9" spans="1:37" s="224" customFormat="1" ht="85.9" customHeight="1">
      <c r="A9" s="239">
        <v>304</v>
      </c>
      <c r="B9" s="240" t="s">
        <v>47</v>
      </c>
      <c r="C9" s="239">
        <v>4</v>
      </c>
      <c r="D9" s="240" t="s">
        <v>48</v>
      </c>
      <c r="E9" s="239">
        <v>45</v>
      </c>
      <c r="F9" s="240" t="s">
        <v>49</v>
      </c>
      <c r="G9" s="241" t="s">
        <v>50</v>
      </c>
      <c r="H9" s="240" t="s">
        <v>51</v>
      </c>
      <c r="I9" s="239">
        <v>4599</v>
      </c>
      <c r="J9" s="240" t="s">
        <v>52</v>
      </c>
      <c r="K9" s="240" t="s">
        <v>53</v>
      </c>
      <c r="L9" s="241" t="s">
        <v>50</v>
      </c>
      <c r="M9" s="240" t="s">
        <v>54</v>
      </c>
      <c r="N9" s="239">
        <v>4599023</v>
      </c>
      <c r="O9" s="240" t="s">
        <v>55</v>
      </c>
      <c r="P9" s="241" t="s">
        <v>50</v>
      </c>
      <c r="Q9" s="242" t="s">
        <v>56</v>
      </c>
      <c r="R9" s="239">
        <v>459902300</v>
      </c>
      <c r="S9" s="242" t="s">
        <v>57</v>
      </c>
      <c r="T9" s="232" t="s">
        <v>58</v>
      </c>
      <c r="U9" s="233">
        <v>1</v>
      </c>
      <c r="V9" s="233"/>
      <c r="W9" s="233">
        <f t="shared" si="1"/>
        <v>1</v>
      </c>
      <c r="X9" s="239">
        <v>2022003630011</v>
      </c>
      <c r="Y9" s="240" t="s">
        <v>68</v>
      </c>
      <c r="Z9" s="240" t="s">
        <v>69</v>
      </c>
      <c r="AA9" s="234"/>
      <c r="AB9" s="234"/>
      <c r="AC9" s="234"/>
      <c r="AD9" s="234"/>
      <c r="AE9" s="234"/>
      <c r="AF9" s="234"/>
      <c r="AG9" s="243">
        <v>22354454.760000002</v>
      </c>
      <c r="AH9" s="234"/>
      <c r="AI9" s="234"/>
      <c r="AJ9" s="236">
        <f t="shared" si="0"/>
        <v>22354454.760000002</v>
      </c>
      <c r="AK9" s="237" t="s">
        <v>61</v>
      </c>
    </row>
    <row r="10" spans="1:37" s="224" customFormat="1" ht="85.9" customHeight="1">
      <c r="A10" s="228">
        <v>304</v>
      </c>
      <c r="B10" s="229" t="s">
        <v>47</v>
      </c>
      <c r="C10" s="228">
        <v>4</v>
      </c>
      <c r="D10" s="229" t="s">
        <v>48</v>
      </c>
      <c r="E10" s="228">
        <v>45</v>
      </c>
      <c r="F10" s="229" t="s">
        <v>49</v>
      </c>
      <c r="G10" s="228">
        <v>4502</v>
      </c>
      <c r="H10" s="229" t="s">
        <v>70</v>
      </c>
      <c r="I10" s="228">
        <v>4502</v>
      </c>
      <c r="J10" s="229" t="s">
        <v>71</v>
      </c>
      <c r="K10" s="229" t="s">
        <v>72</v>
      </c>
      <c r="L10" s="228" t="s">
        <v>50</v>
      </c>
      <c r="M10" s="229" t="s">
        <v>73</v>
      </c>
      <c r="N10" s="228">
        <v>4502033</v>
      </c>
      <c r="O10" s="229" t="s">
        <v>74</v>
      </c>
      <c r="P10" s="228" t="s">
        <v>50</v>
      </c>
      <c r="Q10" s="230" t="s">
        <v>75</v>
      </c>
      <c r="R10" s="244">
        <v>450203300</v>
      </c>
      <c r="S10" s="230" t="s">
        <v>76</v>
      </c>
      <c r="T10" s="232" t="s">
        <v>58</v>
      </c>
      <c r="U10" s="233">
        <v>1</v>
      </c>
      <c r="V10" s="233"/>
      <c r="W10" s="233">
        <f t="shared" si="1"/>
        <v>1</v>
      </c>
      <c r="X10" s="231">
        <v>2020003630005</v>
      </c>
      <c r="Y10" s="229" t="s">
        <v>77</v>
      </c>
      <c r="Z10" s="229" t="s">
        <v>78</v>
      </c>
      <c r="AA10" s="234"/>
      <c r="AB10" s="234"/>
      <c r="AC10" s="234"/>
      <c r="AD10" s="234"/>
      <c r="AE10" s="234"/>
      <c r="AF10" s="234"/>
      <c r="AG10" s="234">
        <v>43500000</v>
      </c>
      <c r="AH10" s="234"/>
      <c r="AI10" s="234"/>
      <c r="AJ10" s="236">
        <f t="shared" si="0"/>
        <v>43500000</v>
      </c>
      <c r="AK10" s="237" t="s">
        <v>61</v>
      </c>
    </row>
    <row r="11" spans="1:37" s="224" customFormat="1" ht="120.75" customHeight="1">
      <c r="A11" s="231">
        <v>305</v>
      </c>
      <c r="B11" s="245" t="s">
        <v>79</v>
      </c>
      <c r="C11" s="231">
        <v>4</v>
      </c>
      <c r="D11" s="245" t="s">
        <v>48</v>
      </c>
      <c r="E11" s="231">
        <v>45</v>
      </c>
      <c r="F11" s="245" t="s">
        <v>49</v>
      </c>
      <c r="G11" s="231">
        <v>4502</v>
      </c>
      <c r="H11" s="245" t="s">
        <v>70</v>
      </c>
      <c r="I11" s="231">
        <v>4502</v>
      </c>
      <c r="J11" s="245" t="s">
        <v>71</v>
      </c>
      <c r="K11" s="245" t="s">
        <v>80</v>
      </c>
      <c r="L11" s="231" t="s">
        <v>50</v>
      </c>
      <c r="M11" s="245" t="s">
        <v>81</v>
      </c>
      <c r="N11" s="231">
        <v>4502001</v>
      </c>
      <c r="O11" s="245" t="s">
        <v>82</v>
      </c>
      <c r="P11" s="231" t="s">
        <v>50</v>
      </c>
      <c r="Q11" s="245" t="s">
        <v>83</v>
      </c>
      <c r="R11" s="246">
        <v>450200100</v>
      </c>
      <c r="S11" s="245" t="s">
        <v>84</v>
      </c>
      <c r="T11" s="231" t="s">
        <v>58</v>
      </c>
      <c r="U11" s="231">
        <v>1</v>
      </c>
      <c r="V11" s="231"/>
      <c r="W11" s="233">
        <f t="shared" si="1"/>
        <v>1</v>
      </c>
      <c r="X11" s="231">
        <v>2020003630042</v>
      </c>
      <c r="Y11" s="245" t="s">
        <v>85</v>
      </c>
      <c r="Z11" s="245" t="s">
        <v>86</v>
      </c>
      <c r="AA11" s="234"/>
      <c r="AB11" s="234"/>
      <c r="AC11" s="234"/>
      <c r="AD11" s="234"/>
      <c r="AE11" s="234"/>
      <c r="AF11" s="234"/>
      <c r="AG11" s="247">
        <f>160000000+40000000</f>
        <v>200000000</v>
      </c>
      <c r="AH11" s="234"/>
      <c r="AI11" s="234"/>
      <c r="AJ11" s="236">
        <f t="shared" si="0"/>
        <v>200000000</v>
      </c>
      <c r="AK11" s="245" t="s">
        <v>87</v>
      </c>
    </row>
    <row r="12" spans="1:37" s="224" customFormat="1" ht="132" customHeight="1">
      <c r="A12" s="231">
        <v>305</v>
      </c>
      <c r="B12" s="245" t="s">
        <v>79</v>
      </c>
      <c r="C12" s="231">
        <v>4</v>
      </c>
      <c r="D12" s="245" t="s">
        <v>48</v>
      </c>
      <c r="E12" s="231">
        <v>45</v>
      </c>
      <c r="F12" s="245" t="s">
        <v>49</v>
      </c>
      <c r="G12" s="231" t="s">
        <v>50</v>
      </c>
      <c r="H12" s="245" t="s">
        <v>51</v>
      </c>
      <c r="I12" s="231">
        <v>4599</v>
      </c>
      <c r="J12" s="245" t="s">
        <v>52</v>
      </c>
      <c r="K12" s="245" t="s">
        <v>53</v>
      </c>
      <c r="L12" s="231" t="s">
        <v>50</v>
      </c>
      <c r="M12" s="245" t="s">
        <v>88</v>
      </c>
      <c r="N12" s="231">
        <v>4599018</v>
      </c>
      <c r="O12" s="245" t="s">
        <v>89</v>
      </c>
      <c r="P12" s="231" t="s">
        <v>50</v>
      </c>
      <c r="Q12" s="245" t="s">
        <v>90</v>
      </c>
      <c r="R12" s="231">
        <v>459901800</v>
      </c>
      <c r="S12" s="245" t="s">
        <v>91</v>
      </c>
      <c r="T12" s="231" t="s">
        <v>92</v>
      </c>
      <c r="U12" s="231">
        <v>5</v>
      </c>
      <c r="V12" s="231"/>
      <c r="W12" s="233">
        <f t="shared" si="1"/>
        <v>5</v>
      </c>
      <c r="X12" s="231">
        <v>2020003630044</v>
      </c>
      <c r="Y12" s="245" t="s">
        <v>93</v>
      </c>
      <c r="Z12" s="245" t="s">
        <v>94</v>
      </c>
      <c r="AA12" s="234"/>
      <c r="AB12" s="234"/>
      <c r="AC12" s="234"/>
      <c r="AD12" s="234"/>
      <c r="AE12" s="234"/>
      <c r="AF12" s="234"/>
      <c r="AG12" s="247">
        <f>220000000-50000000</f>
        <v>170000000</v>
      </c>
      <c r="AH12" s="234"/>
      <c r="AI12" s="234"/>
      <c r="AJ12" s="236">
        <f t="shared" si="0"/>
        <v>170000000</v>
      </c>
      <c r="AK12" s="245" t="s">
        <v>87</v>
      </c>
    </row>
    <row r="13" spans="1:37" s="224" customFormat="1" ht="85.9" customHeight="1">
      <c r="A13" s="231">
        <v>305</v>
      </c>
      <c r="B13" s="245" t="s">
        <v>79</v>
      </c>
      <c r="C13" s="231">
        <v>4</v>
      </c>
      <c r="D13" s="245" t="s">
        <v>48</v>
      </c>
      <c r="E13" s="231">
        <v>45</v>
      </c>
      <c r="F13" s="245" t="s">
        <v>49</v>
      </c>
      <c r="G13" s="231" t="s">
        <v>50</v>
      </c>
      <c r="H13" s="245" t="s">
        <v>51</v>
      </c>
      <c r="I13" s="231">
        <v>4599</v>
      </c>
      <c r="J13" s="245" t="s">
        <v>52</v>
      </c>
      <c r="K13" s="245" t="s">
        <v>53</v>
      </c>
      <c r="L13" s="231" t="s">
        <v>50</v>
      </c>
      <c r="M13" s="245" t="s">
        <v>95</v>
      </c>
      <c r="N13" s="231">
        <v>4599025</v>
      </c>
      <c r="O13" s="245" t="s">
        <v>96</v>
      </c>
      <c r="P13" s="231" t="s">
        <v>50</v>
      </c>
      <c r="Q13" s="245" t="s">
        <v>97</v>
      </c>
      <c r="R13" s="231">
        <v>459902500</v>
      </c>
      <c r="S13" s="245" t="s">
        <v>98</v>
      </c>
      <c r="T13" s="231" t="s">
        <v>92</v>
      </c>
      <c r="U13" s="231">
        <v>1</v>
      </c>
      <c r="V13" s="231"/>
      <c r="W13" s="233">
        <f t="shared" si="1"/>
        <v>1</v>
      </c>
      <c r="X13" s="231">
        <v>2020003630045</v>
      </c>
      <c r="Y13" s="245" t="s">
        <v>99</v>
      </c>
      <c r="Z13" s="245" t="s">
        <v>100</v>
      </c>
      <c r="AA13" s="234"/>
      <c r="AB13" s="234"/>
      <c r="AC13" s="234"/>
      <c r="AD13" s="234"/>
      <c r="AE13" s="234"/>
      <c r="AF13" s="234"/>
      <c r="AG13" s="247">
        <v>106000000</v>
      </c>
      <c r="AH13" s="234"/>
      <c r="AI13" s="234"/>
      <c r="AJ13" s="236">
        <f t="shared" si="0"/>
        <v>106000000</v>
      </c>
      <c r="AK13" s="245" t="s">
        <v>87</v>
      </c>
    </row>
    <row r="14" spans="1:37" s="224" customFormat="1" ht="85.9" customHeight="1">
      <c r="A14" s="231">
        <v>305</v>
      </c>
      <c r="B14" s="245" t="s">
        <v>79</v>
      </c>
      <c r="C14" s="231">
        <v>4</v>
      </c>
      <c r="D14" s="245" t="s">
        <v>48</v>
      </c>
      <c r="E14" s="231">
        <v>45</v>
      </c>
      <c r="F14" s="245" t="s">
        <v>49</v>
      </c>
      <c r="G14" s="231" t="s">
        <v>50</v>
      </c>
      <c r="H14" s="245" t="s">
        <v>51</v>
      </c>
      <c r="I14" s="231">
        <v>4599</v>
      </c>
      <c r="J14" s="245" t="s">
        <v>52</v>
      </c>
      <c r="K14" s="245" t="s">
        <v>53</v>
      </c>
      <c r="L14" s="231" t="s">
        <v>50</v>
      </c>
      <c r="M14" s="245" t="s">
        <v>101</v>
      </c>
      <c r="N14" s="231">
        <v>4599025</v>
      </c>
      <c r="O14" s="245" t="s">
        <v>96</v>
      </c>
      <c r="P14" s="231" t="s">
        <v>50</v>
      </c>
      <c r="Q14" s="245" t="s">
        <v>102</v>
      </c>
      <c r="R14" s="231">
        <v>459902500</v>
      </c>
      <c r="S14" s="245" t="s">
        <v>98</v>
      </c>
      <c r="T14" s="231" t="s">
        <v>92</v>
      </c>
      <c r="U14" s="231">
        <v>1</v>
      </c>
      <c r="V14" s="231"/>
      <c r="W14" s="233">
        <f t="shared" si="1"/>
        <v>1</v>
      </c>
      <c r="X14" s="231">
        <v>2020003630046</v>
      </c>
      <c r="Y14" s="245" t="s">
        <v>103</v>
      </c>
      <c r="Z14" s="245" t="s">
        <v>104</v>
      </c>
      <c r="AA14" s="234"/>
      <c r="AB14" s="234"/>
      <c r="AC14" s="234"/>
      <c r="AD14" s="234"/>
      <c r="AE14" s="234"/>
      <c r="AF14" s="234"/>
      <c r="AG14" s="247">
        <f>450000000+2246787-100000000+23000000</f>
        <v>375246787</v>
      </c>
      <c r="AH14" s="234"/>
      <c r="AI14" s="234"/>
      <c r="AJ14" s="236">
        <f t="shared" si="0"/>
        <v>375246787</v>
      </c>
      <c r="AK14" s="245" t="s">
        <v>87</v>
      </c>
    </row>
    <row r="15" spans="1:37" s="224" customFormat="1" ht="85.9" customHeight="1">
      <c r="A15" s="231">
        <v>305</v>
      </c>
      <c r="B15" s="245" t="s">
        <v>79</v>
      </c>
      <c r="C15" s="231">
        <v>4</v>
      </c>
      <c r="D15" s="245" t="s">
        <v>48</v>
      </c>
      <c r="E15" s="231">
        <v>45</v>
      </c>
      <c r="F15" s="245" t="s">
        <v>49</v>
      </c>
      <c r="G15" s="231" t="s">
        <v>50</v>
      </c>
      <c r="H15" s="245" t="s">
        <v>51</v>
      </c>
      <c r="I15" s="231">
        <v>4599</v>
      </c>
      <c r="J15" s="245" t="s">
        <v>52</v>
      </c>
      <c r="K15" s="245" t="s">
        <v>105</v>
      </c>
      <c r="L15" s="231" t="s">
        <v>50</v>
      </c>
      <c r="M15" s="245" t="s">
        <v>106</v>
      </c>
      <c r="N15" s="231">
        <v>4599031</v>
      </c>
      <c r="O15" s="245" t="s">
        <v>107</v>
      </c>
      <c r="P15" s="231" t="s">
        <v>50</v>
      </c>
      <c r="Q15" s="245" t="s">
        <v>108</v>
      </c>
      <c r="R15" s="231">
        <v>459903101</v>
      </c>
      <c r="S15" s="245" t="s">
        <v>109</v>
      </c>
      <c r="T15" s="231" t="s">
        <v>92</v>
      </c>
      <c r="U15" s="231">
        <v>12</v>
      </c>
      <c r="V15" s="231"/>
      <c r="W15" s="233">
        <f t="shared" si="1"/>
        <v>12</v>
      </c>
      <c r="X15" s="231">
        <v>2020003630047</v>
      </c>
      <c r="Y15" s="245" t="s">
        <v>110</v>
      </c>
      <c r="Z15" s="245" t="s">
        <v>111</v>
      </c>
      <c r="AA15" s="234"/>
      <c r="AB15" s="234"/>
      <c r="AC15" s="234"/>
      <c r="AD15" s="234"/>
      <c r="AE15" s="234"/>
      <c r="AF15" s="234"/>
      <c r="AG15" s="247">
        <v>56000000</v>
      </c>
      <c r="AH15" s="234"/>
      <c r="AI15" s="234"/>
      <c r="AJ15" s="236">
        <f t="shared" si="0"/>
        <v>56000000</v>
      </c>
      <c r="AK15" s="245" t="s">
        <v>87</v>
      </c>
    </row>
    <row r="16" spans="1:37" s="224" customFormat="1" ht="85.9" customHeight="1">
      <c r="A16" s="231">
        <v>305</v>
      </c>
      <c r="B16" s="245" t="s">
        <v>79</v>
      </c>
      <c r="C16" s="231">
        <v>4</v>
      </c>
      <c r="D16" s="245" t="s">
        <v>48</v>
      </c>
      <c r="E16" s="231">
        <v>45</v>
      </c>
      <c r="F16" s="245" t="s">
        <v>49</v>
      </c>
      <c r="G16" s="231" t="s">
        <v>50</v>
      </c>
      <c r="H16" s="245" t="s">
        <v>51</v>
      </c>
      <c r="I16" s="231">
        <v>4599</v>
      </c>
      <c r="J16" s="245" t="s">
        <v>52</v>
      </c>
      <c r="K16" s="245" t="s">
        <v>105</v>
      </c>
      <c r="L16" s="231" t="s">
        <v>50</v>
      </c>
      <c r="M16" s="245" t="s">
        <v>112</v>
      </c>
      <c r="N16" s="231">
        <v>4599031</v>
      </c>
      <c r="O16" s="245" t="s">
        <v>107</v>
      </c>
      <c r="P16" s="231" t="s">
        <v>50</v>
      </c>
      <c r="Q16" s="245" t="s">
        <v>113</v>
      </c>
      <c r="R16" s="231">
        <v>459903101</v>
      </c>
      <c r="S16" s="245" t="s">
        <v>109</v>
      </c>
      <c r="T16" s="231" t="s">
        <v>92</v>
      </c>
      <c r="U16" s="231">
        <v>12</v>
      </c>
      <c r="V16" s="231"/>
      <c r="W16" s="233">
        <f t="shared" si="1"/>
        <v>12</v>
      </c>
      <c r="X16" s="231">
        <v>2020003630047</v>
      </c>
      <c r="Y16" s="245" t="s">
        <v>110</v>
      </c>
      <c r="Z16" s="245" t="s">
        <v>111</v>
      </c>
      <c r="AA16" s="234"/>
      <c r="AB16" s="234"/>
      <c r="AC16" s="234"/>
      <c r="AD16" s="234"/>
      <c r="AE16" s="234"/>
      <c r="AF16" s="234"/>
      <c r="AG16" s="247">
        <v>46000000</v>
      </c>
      <c r="AH16" s="234"/>
      <c r="AI16" s="234"/>
      <c r="AJ16" s="236">
        <f t="shared" si="0"/>
        <v>46000000</v>
      </c>
      <c r="AK16" s="245" t="s">
        <v>87</v>
      </c>
    </row>
    <row r="17" spans="1:42" s="224" customFormat="1" ht="85.9" customHeight="1">
      <c r="A17" s="231">
        <v>305</v>
      </c>
      <c r="B17" s="245" t="s">
        <v>79</v>
      </c>
      <c r="C17" s="231">
        <v>4</v>
      </c>
      <c r="D17" s="245" t="s">
        <v>48</v>
      </c>
      <c r="E17" s="231">
        <v>45</v>
      </c>
      <c r="F17" s="245" t="s">
        <v>49</v>
      </c>
      <c r="G17" s="231" t="s">
        <v>50</v>
      </c>
      <c r="H17" s="245" t="s">
        <v>51</v>
      </c>
      <c r="I17" s="231">
        <v>4599</v>
      </c>
      <c r="J17" s="245" t="s">
        <v>52</v>
      </c>
      <c r="K17" s="245" t="s">
        <v>105</v>
      </c>
      <c r="L17" s="231" t="s">
        <v>50</v>
      </c>
      <c r="M17" s="245" t="s">
        <v>114</v>
      </c>
      <c r="N17" s="231">
        <v>4599031</v>
      </c>
      <c r="O17" s="245" t="s">
        <v>107</v>
      </c>
      <c r="P17" s="231" t="s">
        <v>50</v>
      </c>
      <c r="Q17" s="245" t="s">
        <v>115</v>
      </c>
      <c r="R17" s="231">
        <v>459903101</v>
      </c>
      <c r="S17" s="245" t="s">
        <v>109</v>
      </c>
      <c r="T17" s="231" t="s">
        <v>92</v>
      </c>
      <c r="U17" s="231">
        <v>12</v>
      </c>
      <c r="V17" s="231"/>
      <c r="W17" s="233">
        <f t="shared" si="1"/>
        <v>12</v>
      </c>
      <c r="X17" s="231">
        <v>2020003630047</v>
      </c>
      <c r="Y17" s="245" t="s">
        <v>110</v>
      </c>
      <c r="Z17" s="245" t="s">
        <v>111</v>
      </c>
      <c r="AA17" s="234"/>
      <c r="AB17" s="234"/>
      <c r="AC17" s="234"/>
      <c r="AD17" s="234"/>
      <c r="AE17" s="234"/>
      <c r="AF17" s="234"/>
      <c r="AG17" s="247">
        <v>46000000</v>
      </c>
      <c r="AH17" s="234"/>
      <c r="AI17" s="234"/>
      <c r="AJ17" s="236">
        <f t="shared" si="0"/>
        <v>46000000</v>
      </c>
      <c r="AK17" s="245" t="s">
        <v>87</v>
      </c>
    </row>
    <row r="18" spans="1:42" s="224" customFormat="1" ht="85.9" customHeight="1">
      <c r="A18" s="231">
        <v>305</v>
      </c>
      <c r="B18" s="245" t="s">
        <v>79</v>
      </c>
      <c r="C18" s="231">
        <v>4</v>
      </c>
      <c r="D18" s="245" t="s">
        <v>48</v>
      </c>
      <c r="E18" s="231">
        <v>45</v>
      </c>
      <c r="F18" s="245" t="s">
        <v>49</v>
      </c>
      <c r="G18" s="231" t="s">
        <v>50</v>
      </c>
      <c r="H18" s="245" t="s">
        <v>51</v>
      </c>
      <c r="I18" s="231">
        <v>4599</v>
      </c>
      <c r="J18" s="245" t="s">
        <v>52</v>
      </c>
      <c r="K18" s="245" t="s">
        <v>105</v>
      </c>
      <c r="L18" s="231" t="s">
        <v>50</v>
      </c>
      <c r="M18" s="245" t="s">
        <v>116</v>
      </c>
      <c r="N18" s="231">
        <v>4599031</v>
      </c>
      <c r="O18" s="245" t="s">
        <v>107</v>
      </c>
      <c r="P18" s="231" t="s">
        <v>50</v>
      </c>
      <c r="Q18" s="245" t="s">
        <v>115</v>
      </c>
      <c r="R18" s="231">
        <v>459903101</v>
      </c>
      <c r="S18" s="245" t="s">
        <v>109</v>
      </c>
      <c r="T18" s="231" t="s">
        <v>92</v>
      </c>
      <c r="U18" s="231">
        <v>12</v>
      </c>
      <c r="V18" s="231"/>
      <c r="W18" s="233">
        <f t="shared" si="1"/>
        <v>12</v>
      </c>
      <c r="X18" s="231">
        <v>2020003630047</v>
      </c>
      <c r="Y18" s="245" t="s">
        <v>110</v>
      </c>
      <c r="Z18" s="245" t="s">
        <v>111</v>
      </c>
      <c r="AA18" s="234"/>
      <c r="AB18" s="234"/>
      <c r="AC18" s="234"/>
      <c r="AD18" s="234"/>
      <c r="AE18" s="234"/>
      <c r="AF18" s="234"/>
      <c r="AG18" s="247">
        <v>46000000</v>
      </c>
      <c r="AH18" s="234"/>
      <c r="AI18" s="234"/>
      <c r="AJ18" s="236">
        <f t="shared" si="0"/>
        <v>46000000</v>
      </c>
      <c r="AK18" s="245" t="s">
        <v>87</v>
      </c>
    </row>
    <row r="19" spans="1:42" s="224" customFormat="1" ht="85.9" customHeight="1">
      <c r="A19" s="231">
        <v>305</v>
      </c>
      <c r="B19" s="245" t="s">
        <v>79</v>
      </c>
      <c r="C19" s="231">
        <v>4</v>
      </c>
      <c r="D19" s="245" t="s">
        <v>48</v>
      </c>
      <c r="E19" s="231">
        <v>45</v>
      </c>
      <c r="F19" s="245" t="s">
        <v>49</v>
      </c>
      <c r="G19" s="231" t="s">
        <v>50</v>
      </c>
      <c r="H19" s="245" t="s">
        <v>51</v>
      </c>
      <c r="I19" s="231">
        <v>4599</v>
      </c>
      <c r="J19" s="245" t="s">
        <v>52</v>
      </c>
      <c r="K19" s="245" t="s">
        <v>105</v>
      </c>
      <c r="L19" s="231" t="s">
        <v>50</v>
      </c>
      <c r="M19" s="245" t="s">
        <v>117</v>
      </c>
      <c r="N19" s="231">
        <v>4599031</v>
      </c>
      <c r="O19" s="245" t="s">
        <v>107</v>
      </c>
      <c r="P19" s="231" t="s">
        <v>50</v>
      </c>
      <c r="Q19" s="245" t="s">
        <v>115</v>
      </c>
      <c r="R19" s="231">
        <v>459903101</v>
      </c>
      <c r="S19" s="245" t="s">
        <v>109</v>
      </c>
      <c r="T19" s="231" t="s">
        <v>92</v>
      </c>
      <c r="U19" s="231">
        <v>12</v>
      </c>
      <c r="V19" s="231"/>
      <c r="W19" s="233">
        <f t="shared" si="1"/>
        <v>12</v>
      </c>
      <c r="X19" s="231">
        <v>2020003630047</v>
      </c>
      <c r="Y19" s="245" t="s">
        <v>110</v>
      </c>
      <c r="Z19" s="245" t="s">
        <v>111</v>
      </c>
      <c r="AA19" s="234"/>
      <c r="AB19" s="234"/>
      <c r="AC19" s="234"/>
      <c r="AD19" s="234"/>
      <c r="AE19" s="234"/>
      <c r="AF19" s="234"/>
      <c r="AG19" s="247">
        <v>46000000</v>
      </c>
      <c r="AH19" s="234"/>
      <c r="AI19" s="234"/>
      <c r="AJ19" s="236">
        <f t="shared" si="0"/>
        <v>46000000</v>
      </c>
      <c r="AK19" s="245" t="s">
        <v>87</v>
      </c>
    </row>
    <row r="20" spans="1:42" s="224" customFormat="1" ht="85.9" customHeight="1">
      <c r="A20" s="231">
        <v>305</v>
      </c>
      <c r="B20" s="245" t="s">
        <v>79</v>
      </c>
      <c r="C20" s="231">
        <v>4</v>
      </c>
      <c r="D20" s="245" t="s">
        <v>48</v>
      </c>
      <c r="E20" s="231">
        <v>45</v>
      </c>
      <c r="F20" s="245" t="s">
        <v>49</v>
      </c>
      <c r="G20" s="231" t="s">
        <v>50</v>
      </c>
      <c r="H20" s="245" t="s">
        <v>51</v>
      </c>
      <c r="I20" s="231">
        <v>4599</v>
      </c>
      <c r="J20" s="245" t="s">
        <v>52</v>
      </c>
      <c r="K20" s="245" t="s">
        <v>105</v>
      </c>
      <c r="L20" s="231" t="s">
        <v>50</v>
      </c>
      <c r="M20" s="245" t="s">
        <v>118</v>
      </c>
      <c r="N20" s="231">
        <v>4599031</v>
      </c>
      <c r="O20" s="245" t="s">
        <v>107</v>
      </c>
      <c r="P20" s="231" t="s">
        <v>50</v>
      </c>
      <c r="Q20" s="245" t="s">
        <v>115</v>
      </c>
      <c r="R20" s="231">
        <v>459903101</v>
      </c>
      <c r="S20" s="245" t="s">
        <v>109</v>
      </c>
      <c r="T20" s="231" t="s">
        <v>92</v>
      </c>
      <c r="U20" s="231">
        <v>12</v>
      </c>
      <c r="V20" s="231"/>
      <c r="W20" s="233">
        <f t="shared" si="1"/>
        <v>12</v>
      </c>
      <c r="X20" s="231">
        <v>2020003630047</v>
      </c>
      <c r="Y20" s="245" t="s">
        <v>110</v>
      </c>
      <c r="Z20" s="245" t="s">
        <v>111</v>
      </c>
      <c r="AA20" s="234"/>
      <c r="AB20" s="234"/>
      <c r="AC20" s="234"/>
      <c r="AD20" s="234"/>
      <c r="AE20" s="234"/>
      <c r="AF20" s="234"/>
      <c r="AG20" s="247">
        <v>46000000</v>
      </c>
      <c r="AH20" s="234"/>
      <c r="AI20" s="234"/>
      <c r="AJ20" s="236">
        <f t="shared" si="0"/>
        <v>46000000</v>
      </c>
      <c r="AK20" s="245" t="s">
        <v>87</v>
      </c>
    </row>
    <row r="21" spans="1:42" s="224" customFormat="1" ht="85.9" customHeight="1">
      <c r="A21" s="231">
        <v>305</v>
      </c>
      <c r="B21" s="245" t="s">
        <v>79</v>
      </c>
      <c r="C21" s="231">
        <v>4</v>
      </c>
      <c r="D21" s="245" t="s">
        <v>48</v>
      </c>
      <c r="E21" s="231">
        <v>45</v>
      </c>
      <c r="F21" s="245" t="s">
        <v>49</v>
      </c>
      <c r="G21" s="231" t="s">
        <v>50</v>
      </c>
      <c r="H21" s="245" t="s">
        <v>51</v>
      </c>
      <c r="I21" s="231">
        <v>4599</v>
      </c>
      <c r="J21" s="245" t="s">
        <v>52</v>
      </c>
      <c r="K21" s="245" t="s">
        <v>53</v>
      </c>
      <c r="L21" s="231" t="s">
        <v>50</v>
      </c>
      <c r="M21" s="245" t="s">
        <v>54</v>
      </c>
      <c r="N21" s="231">
        <v>4599023</v>
      </c>
      <c r="O21" s="245" t="s">
        <v>119</v>
      </c>
      <c r="P21" s="231" t="s">
        <v>50</v>
      </c>
      <c r="Q21" s="245" t="s">
        <v>120</v>
      </c>
      <c r="R21" s="231">
        <v>459902300</v>
      </c>
      <c r="S21" s="245" t="s">
        <v>57</v>
      </c>
      <c r="T21" s="231" t="s">
        <v>92</v>
      </c>
      <c r="U21" s="231">
        <v>18</v>
      </c>
      <c r="V21" s="231"/>
      <c r="W21" s="233">
        <f t="shared" si="1"/>
        <v>18</v>
      </c>
      <c r="X21" s="231">
        <v>2020003630008</v>
      </c>
      <c r="Y21" s="245" t="s">
        <v>121</v>
      </c>
      <c r="Z21" s="245" t="s">
        <v>122</v>
      </c>
      <c r="AA21" s="234"/>
      <c r="AB21" s="234"/>
      <c r="AC21" s="234"/>
      <c r="AD21" s="234"/>
      <c r="AE21" s="234"/>
      <c r="AF21" s="234"/>
      <c r="AG21" s="247">
        <v>92000000</v>
      </c>
      <c r="AH21" s="234"/>
      <c r="AI21" s="234"/>
      <c r="AJ21" s="236">
        <f t="shared" si="0"/>
        <v>92000000</v>
      </c>
      <c r="AK21" s="245" t="s">
        <v>87</v>
      </c>
    </row>
    <row r="22" spans="1:42" s="224" customFormat="1" ht="85.9" customHeight="1">
      <c r="A22" s="231">
        <v>305</v>
      </c>
      <c r="B22" s="245" t="s">
        <v>79</v>
      </c>
      <c r="C22" s="231">
        <v>4</v>
      </c>
      <c r="D22" s="245" t="s">
        <v>48</v>
      </c>
      <c r="E22" s="231">
        <v>45</v>
      </c>
      <c r="F22" s="245" t="s">
        <v>49</v>
      </c>
      <c r="G22" s="231" t="s">
        <v>50</v>
      </c>
      <c r="H22" s="245" t="s">
        <v>51</v>
      </c>
      <c r="I22" s="231">
        <v>4599</v>
      </c>
      <c r="J22" s="245" t="s">
        <v>52</v>
      </c>
      <c r="K22" s="245" t="s">
        <v>53</v>
      </c>
      <c r="L22" s="231">
        <v>4599018</v>
      </c>
      <c r="M22" s="245" t="s">
        <v>123</v>
      </c>
      <c r="N22" s="231">
        <v>4599018</v>
      </c>
      <c r="O22" s="245" t="s">
        <v>123</v>
      </c>
      <c r="P22" s="231">
        <v>459901800</v>
      </c>
      <c r="Q22" s="245" t="s">
        <v>124</v>
      </c>
      <c r="R22" s="231">
        <v>459901800</v>
      </c>
      <c r="S22" s="245" t="s">
        <v>124</v>
      </c>
      <c r="T22" s="231" t="s">
        <v>125</v>
      </c>
      <c r="U22" s="231">
        <v>1</v>
      </c>
      <c r="V22" s="231"/>
      <c r="W22" s="233">
        <f t="shared" si="1"/>
        <v>1</v>
      </c>
      <c r="X22" s="231">
        <v>2023003630007</v>
      </c>
      <c r="Y22" s="245" t="s">
        <v>126</v>
      </c>
      <c r="Z22" s="245" t="s">
        <v>127</v>
      </c>
      <c r="AA22" s="234"/>
      <c r="AB22" s="234"/>
      <c r="AC22" s="234"/>
      <c r="AD22" s="234"/>
      <c r="AE22" s="234"/>
      <c r="AF22" s="234"/>
      <c r="AG22" s="247">
        <f>250000000+20000000</f>
        <v>270000000</v>
      </c>
      <c r="AH22" s="234"/>
      <c r="AI22" s="234"/>
      <c r="AJ22" s="236">
        <f t="shared" si="0"/>
        <v>270000000</v>
      </c>
      <c r="AK22" s="245" t="s">
        <v>87</v>
      </c>
    </row>
    <row r="23" spans="1:42" s="224" customFormat="1" ht="85.9" customHeight="1">
      <c r="A23" s="228">
        <v>307</v>
      </c>
      <c r="B23" s="229" t="s">
        <v>128</v>
      </c>
      <c r="C23" s="228">
        <v>4</v>
      </c>
      <c r="D23" s="229" t="s">
        <v>48</v>
      </c>
      <c r="E23" s="228">
        <v>45</v>
      </c>
      <c r="F23" s="229" t="s">
        <v>49</v>
      </c>
      <c r="G23" s="228" t="s">
        <v>50</v>
      </c>
      <c r="H23" s="229" t="s">
        <v>51</v>
      </c>
      <c r="I23" s="228">
        <v>4599</v>
      </c>
      <c r="J23" s="229" t="s">
        <v>52</v>
      </c>
      <c r="K23" s="229" t="s">
        <v>129</v>
      </c>
      <c r="L23" s="228" t="s">
        <v>50</v>
      </c>
      <c r="M23" s="248" t="s">
        <v>130</v>
      </c>
      <c r="N23" s="228">
        <v>4599002</v>
      </c>
      <c r="O23" s="248" t="s">
        <v>63</v>
      </c>
      <c r="P23" s="228" t="s">
        <v>50</v>
      </c>
      <c r="Q23" s="230" t="s">
        <v>131</v>
      </c>
      <c r="R23" s="228">
        <v>459900201</v>
      </c>
      <c r="S23" s="230" t="s">
        <v>132</v>
      </c>
      <c r="T23" s="232" t="s">
        <v>58</v>
      </c>
      <c r="U23" s="249">
        <v>1</v>
      </c>
      <c r="V23" s="249"/>
      <c r="W23" s="233">
        <f t="shared" si="1"/>
        <v>1</v>
      </c>
      <c r="X23" s="231">
        <v>2020003630048</v>
      </c>
      <c r="Y23" s="229" t="s">
        <v>133</v>
      </c>
      <c r="Z23" s="229" t="s">
        <v>134</v>
      </c>
      <c r="AA23" s="250"/>
      <c r="AB23" s="250"/>
      <c r="AC23" s="250"/>
      <c r="AD23" s="250"/>
      <c r="AE23" s="250"/>
      <c r="AF23" s="250"/>
      <c r="AG23" s="247">
        <f>1509256833.35+1000000000+450000000+150000000</f>
        <v>3109256833.3499999</v>
      </c>
      <c r="AH23" s="247">
        <v>350000000</v>
      </c>
      <c r="AI23" s="234">
        <v>500000000</v>
      </c>
      <c r="AJ23" s="236">
        <f t="shared" si="0"/>
        <v>3959256833.3499999</v>
      </c>
      <c r="AK23" s="251" t="s">
        <v>135</v>
      </c>
    </row>
    <row r="24" spans="1:42" s="224" customFormat="1" ht="85.9" customHeight="1">
      <c r="A24" s="228">
        <v>307</v>
      </c>
      <c r="B24" s="229" t="s">
        <v>128</v>
      </c>
      <c r="C24" s="228">
        <v>4</v>
      </c>
      <c r="D24" s="229" t="s">
        <v>48</v>
      </c>
      <c r="E24" s="228">
        <v>45</v>
      </c>
      <c r="F24" s="229" t="s">
        <v>49</v>
      </c>
      <c r="G24" s="228" t="s">
        <v>50</v>
      </c>
      <c r="H24" s="229" t="s">
        <v>51</v>
      </c>
      <c r="I24" s="228">
        <v>4599</v>
      </c>
      <c r="J24" s="229" t="s">
        <v>52</v>
      </c>
      <c r="K24" s="229" t="s">
        <v>129</v>
      </c>
      <c r="L24" s="228" t="s">
        <v>50</v>
      </c>
      <c r="M24" s="248" t="s">
        <v>136</v>
      </c>
      <c r="N24" s="228">
        <v>4599002</v>
      </c>
      <c r="O24" s="248" t="s">
        <v>137</v>
      </c>
      <c r="P24" s="228" t="s">
        <v>50</v>
      </c>
      <c r="Q24" s="230" t="s">
        <v>138</v>
      </c>
      <c r="R24" s="228">
        <v>459900200</v>
      </c>
      <c r="S24" s="230" t="s">
        <v>139</v>
      </c>
      <c r="T24" s="232" t="s">
        <v>58</v>
      </c>
      <c r="U24" s="249">
        <v>1</v>
      </c>
      <c r="V24" s="249"/>
      <c r="W24" s="233">
        <f t="shared" si="1"/>
        <v>1</v>
      </c>
      <c r="X24" s="231">
        <v>2020003630049</v>
      </c>
      <c r="Y24" s="229" t="s">
        <v>140</v>
      </c>
      <c r="Z24" s="229" t="s">
        <v>141</v>
      </c>
      <c r="AA24" s="234"/>
      <c r="AB24" s="234"/>
      <c r="AC24" s="234"/>
      <c r="AD24" s="234"/>
      <c r="AE24" s="234"/>
      <c r="AF24" s="234"/>
      <c r="AG24" s="247">
        <f>800000000-500000000+350000000+496285800</f>
        <v>1146285800</v>
      </c>
      <c r="AH24" s="234"/>
      <c r="AI24" s="234"/>
      <c r="AJ24" s="236">
        <f t="shared" si="0"/>
        <v>1146285800</v>
      </c>
      <c r="AK24" s="251" t="s">
        <v>135</v>
      </c>
    </row>
    <row r="25" spans="1:42" s="224" customFormat="1" ht="207" customHeight="1">
      <c r="A25" s="228">
        <v>308</v>
      </c>
      <c r="B25" s="229" t="s">
        <v>142</v>
      </c>
      <c r="C25" s="228">
        <v>1</v>
      </c>
      <c r="D25" s="229" t="s">
        <v>143</v>
      </c>
      <c r="E25" s="228">
        <v>12</v>
      </c>
      <c r="F25" s="229" t="s">
        <v>144</v>
      </c>
      <c r="G25" s="228">
        <v>1202</v>
      </c>
      <c r="H25" s="229" t="s">
        <v>145</v>
      </c>
      <c r="I25" s="228">
        <v>1202</v>
      </c>
      <c r="J25" s="229" t="s">
        <v>146</v>
      </c>
      <c r="K25" s="229" t="s">
        <v>147</v>
      </c>
      <c r="L25" s="228" t="s">
        <v>50</v>
      </c>
      <c r="M25" s="252" t="s">
        <v>148</v>
      </c>
      <c r="N25" s="228">
        <v>1202019</v>
      </c>
      <c r="O25" s="252" t="s">
        <v>149</v>
      </c>
      <c r="P25" s="228" t="s">
        <v>50</v>
      </c>
      <c r="Q25" s="252" t="s">
        <v>150</v>
      </c>
      <c r="R25" s="233">
        <v>120201900</v>
      </c>
      <c r="S25" s="252" t="s">
        <v>151</v>
      </c>
      <c r="T25" s="232" t="s">
        <v>152</v>
      </c>
      <c r="U25" s="253">
        <v>4</v>
      </c>
      <c r="V25" s="253"/>
      <c r="W25" s="233">
        <f t="shared" si="1"/>
        <v>4</v>
      </c>
      <c r="X25" s="231">
        <v>2020003630017</v>
      </c>
      <c r="Y25" s="229" t="s">
        <v>153</v>
      </c>
      <c r="Z25" s="251" t="s">
        <v>154</v>
      </c>
      <c r="AA25" s="234"/>
      <c r="AB25" s="234"/>
      <c r="AC25" s="234"/>
      <c r="AD25" s="234"/>
      <c r="AE25" s="234"/>
      <c r="AF25" s="234"/>
      <c r="AG25" s="247">
        <f>100000000-52200000</f>
        <v>47800000</v>
      </c>
      <c r="AH25" s="234"/>
      <c r="AI25" s="234"/>
      <c r="AJ25" s="236">
        <f t="shared" si="0"/>
        <v>47800000</v>
      </c>
      <c r="AK25" s="251" t="s">
        <v>155</v>
      </c>
    </row>
    <row r="26" spans="1:42" s="224" customFormat="1" ht="85.9" customHeight="1">
      <c r="A26" s="228">
        <v>308</v>
      </c>
      <c r="B26" s="229" t="s">
        <v>142</v>
      </c>
      <c r="C26" s="228">
        <v>1</v>
      </c>
      <c r="D26" s="229" t="s">
        <v>143</v>
      </c>
      <c r="E26" s="228">
        <v>22</v>
      </c>
      <c r="F26" s="229" t="s">
        <v>156</v>
      </c>
      <c r="G26" s="228">
        <v>2201</v>
      </c>
      <c r="H26" s="229" t="s">
        <v>157</v>
      </c>
      <c r="I26" s="228">
        <v>2201</v>
      </c>
      <c r="J26" s="229" t="s">
        <v>158</v>
      </c>
      <c r="K26" s="229" t="s">
        <v>159</v>
      </c>
      <c r="L26" s="228" t="s">
        <v>50</v>
      </c>
      <c r="M26" s="229" t="s">
        <v>160</v>
      </c>
      <c r="N26" s="228">
        <v>2201062</v>
      </c>
      <c r="O26" s="229" t="s">
        <v>161</v>
      </c>
      <c r="P26" s="228" t="s">
        <v>50</v>
      </c>
      <c r="Q26" s="230" t="s">
        <v>162</v>
      </c>
      <c r="R26" s="228">
        <v>220106200</v>
      </c>
      <c r="S26" s="230" t="s">
        <v>163</v>
      </c>
      <c r="T26" s="232" t="s">
        <v>152</v>
      </c>
      <c r="U26" s="253">
        <v>15</v>
      </c>
      <c r="V26" s="253"/>
      <c r="W26" s="233">
        <f t="shared" si="1"/>
        <v>15</v>
      </c>
      <c r="X26" s="231">
        <v>2020003630050</v>
      </c>
      <c r="Y26" s="229" t="s">
        <v>164</v>
      </c>
      <c r="Z26" s="251" t="s">
        <v>165</v>
      </c>
      <c r="AA26" s="254">
        <f>3539723000+516575548.97</f>
        <v>4056298548.9700003</v>
      </c>
      <c r="AB26" s="234"/>
      <c r="AC26" s="234"/>
      <c r="AD26" s="234"/>
      <c r="AE26" s="234"/>
      <c r="AF26" s="234"/>
      <c r="AG26" s="247">
        <f>50000000-50000000</f>
        <v>0</v>
      </c>
      <c r="AH26" s="234"/>
      <c r="AI26" s="234"/>
      <c r="AJ26" s="236">
        <f t="shared" si="0"/>
        <v>4056298548.9700003</v>
      </c>
      <c r="AK26" s="251" t="s">
        <v>155</v>
      </c>
    </row>
    <row r="27" spans="1:42" s="224" customFormat="1" ht="85.9" customHeight="1">
      <c r="A27" s="228">
        <v>308</v>
      </c>
      <c r="B27" s="229" t="s">
        <v>142</v>
      </c>
      <c r="C27" s="228">
        <v>1</v>
      </c>
      <c r="D27" s="229" t="s">
        <v>143</v>
      </c>
      <c r="E27" s="228">
        <v>33</v>
      </c>
      <c r="F27" s="229" t="s">
        <v>166</v>
      </c>
      <c r="G27" s="228">
        <v>3301</v>
      </c>
      <c r="H27" s="229" t="s">
        <v>167</v>
      </c>
      <c r="I27" s="228">
        <v>3301</v>
      </c>
      <c r="J27" s="229" t="s">
        <v>168</v>
      </c>
      <c r="K27" s="229" t="s">
        <v>169</v>
      </c>
      <c r="L27" s="228" t="s">
        <v>170</v>
      </c>
      <c r="M27" s="229" t="s">
        <v>171</v>
      </c>
      <c r="N27" s="228" t="s">
        <v>170</v>
      </c>
      <c r="O27" s="229" t="s">
        <v>171</v>
      </c>
      <c r="P27" s="233" t="s">
        <v>172</v>
      </c>
      <c r="Q27" s="252" t="s">
        <v>173</v>
      </c>
      <c r="R27" s="233" t="s">
        <v>172</v>
      </c>
      <c r="S27" s="252" t="s">
        <v>173</v>
      </c>
      <c r="T27" s="232" t="s">
        <v>152</v>
      </c>
      <c r="U27" s="253">
        <v>3</v>
      </c>
      <c r="V27" s="253"/>
      <c r="W27" s="233">
        <f t="shared" si="1"/>
        <v>3</v>
      </c>
      <c r="X27" s="255">
        <v>2021003630001</v>
      </c>
      <c r="Y27" s="251" t="s">
        <v>174</v>
      </c>
      <c r="Z27" s="251" t="s">
        <v>175</v>
      </c>
      <c r="AA27" s="234"/>
      <c r="AB27" s="234"/>
      <c r="AC27" s="234"/>
      <c r="AD27" s="234"/>
      <c r="AE27" s="234"/>
      <c r="AF27" s="234"/>
      <c r="AG27" s="247">
        <f>100000000-52200000</f>
        <v>47800000</v>
      </c>
      <c r="AH27" s="234"/>
      <c r="AI27" s="234"/>
      <c r="AJ27" s="236">
        <f t="shared" si="0"/>
        <v>47800000</v>
      </c>
      <c r="AK27" s="251" t="s">
        <v>155</v>
      </c>
    </row>
    <row r="28" spans="1:42" s="262" customFormat="1" ht="85.9" customHeight="1">
      <c r="A28" s="228">
        <v>308</v>
      </c>
      <c r="B28" s="240" t="s">
        <v>142</v>
      </c>
      <c r="C28" s="228">
        <v>1</v>
      </c>
      <c r="D28" s="229" t="s">
        <v>143</v>
      </c>
      <c r="E28" s="228">
        <v>41</v>
      </c>
      <c r="F28" s="229" t="s">
        <v>176</v>
      </c>
      <c r="G28" s="228">
        <v>4104</v>
      </c>
      <c r="H28" s="229" t="s">
        <v>177</v>
      </c>
      <c r="I28" s="228">
        <v>4104</v>
      </c>
      <c r="J28" s="240" t="s">
        <v>178</v>
      </c>
      <c r="K28" s="240" t="s">
        <v>179</v>
      </c>
      <c r="L28" s="256">
        <v>4104036</v>
      </c>
      <c r="M28" s="242" t="s">
        <v>180</v>
      </c>
      <c r="N28" s="256">
        <v>4104036</v>
      </c>
      <c r="O28" s="240" t="s">
        <v>181</v>
      </c>
      <c r="P28" s="257">
        <v>410403600</v>
      </c>
      <c r="Q28" s="242" t="s">
        <v>182</v>
      </c>
      <c r="R28" s="257">
        <v>410403600</v>
      </c>
      <c r="S28" s="258" t="s">
        <v>183</v>
      </c>
      <c r="T28" s="241" t="s">
        <v>152</v>
      </c>
      <c r="U28" s="253" t="s">
        <v>184</v>
      </c>
      <c r="V28" s="253"/>
      <c r="W28" s="233" t="str">
        <f t="shared" si="1"/>
        <v>NP</v>
      </c>
      <c r="X28" s="239">
        <v>2022003630007</v>
      </c>
      <c r="Y28" s="240" t="s">
        <v>185</v>
      </c>
      <c r="Z28" s="259" t="s">
        <v>186</v>
      </c>
      <c r="AA28" s="243"/>
      <c r="AB28" s="243"/>
      <c r="AC28" s="243"/>
      <c r="AD28" s="243"/>
      <c r="AE28" s="243"/>
      <c r="AF28" s="243"/>
      <c r="AG28" s="260">
        <f>100000000+500000000+1630000000+150000000+50000000+50000000+120000000+200000000+200000000-1100000000</f>
        <v>1900000000</v>
      </c>
      <c r="AH28" s="260"/>
      <c r="AI28" s="261"/>
      <c r="AJ28" s="236">
        <f t="shared" si="0"/>
        <v>1900000000</v>
      </c>
      <c r="AK28" s="240" t="s">
        <v>155</v>
      </c>
    </row>
    <row r="29" spans="1:42" s="224" customFormat="1" ht="125.25" customHeight="1">
      <c r="A29" s="228">
        <v>308</v>
      </c>
      <c r="B29" s="229" t="s">
        <v>142</v>
      </c>
      <c r="C29" s="228">
        <v>1</v>
      </c>
      <c r="D29" s="229" t="s">
        <v>143</v>
      </c>
      <c r="E29" s="228">
        <v>43</v>
      </c>
      <c r="F29" s="229" t="s">
        <v>187</v>
      </c>
      <c r="G29" s="228">
        <v>4301</v>
      </c>
      <c r="H29" s="229" t="s">
        <v>188</v>
      </c>
      <c r="I29" s="228">
        <v>4301</v>
      </c>
      <c r="J29" s="229" t="s">
        <v>189</v>
      </c>
      <c r="K29" s="229" t="s">
        <v>190</v>
      </c>
      <c r="L29" s="228" t="s">
        <v>50</v>
      </c>
      <c r="M29" s="252" t="s">
        <v>191</v>
      </c>
      <c r="N29" s="228">
        <v>4301004</v>
      </c>
      <c r="O29" s="252" t="s">
        <v>192</v>
      </c>
      <c r="P29" s="228" t="s">
        <v>50</v>
      </c>
      <c r="Q29" s="252" t="s">
        <v>193</v>
      </c>
      <c r="R29" s="228">
        <v>430100401</v>
      </c>
      <c r="S29" s="252" t="s">
        <v>194</v>
      </c>
      <c r="T29" s="232" t="s">
        <v>152</v>
      </c>
      <c r="U29" s="253">
        <v>3</v>
      </c>
      <c r="V29" s="253"/>
      <c r="W29" s="233">
        <f t="shared" si="1"/>
        <v>3</v>
      </c>
      <c r="X29" s="231">
        <v>2020003630052</v>
      </c>
      <c r="Y29" s="251" t="s">
        <v>195</v>
      </c>
      <c r="Z29" s="251" t="s">
        <v>196</v>
      </c>
      <c r="AA29" s="254">
        <f>2200000000+3485000000</f>
        <v>5685000000</v>
      </c>
      <c r="AB29" s="234"/>
      <c r="AC29" s="234"/>
      <c r="AD29" s="234"/>
      <c r="AE29" s="234"/>
      <c r="AF29" s="234"/>
      <c r="AG29" s="247">
        <f>50000000-50000000</f>
        <v>0</v>
      </c>
      <c r="AH29" s="234"/>
      <c r="AI29" s="234"/>
      <c r="AJ29" s="236">
        <f t="shared" si="0"/>
        <v>5685000000</v>
      </c>
      <c r="AK29" s="251" t="s">
        <v>155</v>
      </c>
    </row>
    <row r="30" spans="1:42" s="224" customFormat="1" ht="85.9" customHeight="1">
      <c r="A30" s="228">
        <v>308</v>
      </c>
      <c r="B30" s="229" t="s">
        <v>142</v>
      </c>
      <c r="C30" s="228">
        <v>3</v>
      </c>
      <c r="D30" s="229" t="s">
        <v>197</v>
      </c>
      <c r="E30" s="228">
        <v>24</v>
      </c>
      <c r="F30" s="229" t="s">
        <v>198</v>
      </c>
      <c r="G30" s="228">
        <v>2402</v>
      </c>
      <c r="H30" s="251" t="s">
        <v>199</v>
      </c>
      <c r="I30" s="228">
        <v>2402</v>
      </c>
      <c r="J30" s="251" t="s">
        <v>200</v>
      </c>
      <c r="K30" s="252" t="s">
        <v>201</v>
      </c>
      <c r="L30" s="228" t="s">
        <v>50</v>
      </c>
      <c r="M30" s="252" t="s">
        <v>202</v>
      </c>
      <c r="N30" s="263">
        <v>2402041</v>
      </c>
      <c r="O30" s="252" t="s">
        <v>203</v>
      </c>
      <c r="P30" s="228" t="s">
        <v>50</v>
      </c>
      <c r="Q30" s="252" t="s">
        <v>204</v>
      </c>
      <c r="R30" s="233">
        <v>240204100</v>
      </c>
      <c r="S30" s="252" t="s">
        <v>205</v>
      </c>
      <c r="T30" s="232" t="s">
        <v>58</v>
      </c>
      <c r="U30" s="264">
        <v>70.379000000000005</v>
      </c>
      <c r="V30" s="264"/>
      <c r="W30" s="233">
        <f t="shared" si="1"/>
        <v>70.379000000000005</v>
      </c>
      <c r="X30" s="231">
        <v>2020003630053</v>
      </c>
      <c r="Y30" s="229" t="s">
        <v>206</v>
      </c>
      <c r="Z30" s="229" t="s">
        <v>207</v>
      </c>
      <c r="AA30" s="234"/>
      <c r="AB30" s="234"/>
      <c r="AC30" s="234"/>
      <c r="AD30" s="234"/>
      <c r="AE30" s="234"/>
      <c r="AF30" s="234"/>
      <c r="AG30" s="247">
        <f>300000000+2313998370.23+1000000000+6245063000</f>
        <v>9859061370.2299995</v>
      </c>
      <c r="AH30" s="265">
        <f>307956000+150448.76+825000000+68732107.31+1754937000</f>
        <v>2956775556.0699997</v>
      </c>
      <c r="AI30" s="234">
        <v>10125448251.4</v>
      </c>
      <c r="AJ30" s="236">
        <f t="shared" si="0"/>
        <v>22941285177.699997</v>
      </c>
      <c r="AK30" s="251" t="s">
        <v>155</v>
      </c>
    </row>
    <row r="31" spans="1:42" s="224" customFormat="1" ht="85.9" customHeight="1">
      <c r="A31" s="228">
        <v>308</v>
      </c>
      <c r="B31" s="229" t="s">
        <v>142</v>
      </c>
      <c r="C31" s="228">
        <v>3</v>
      </c>
      <c r="D31" s="229" t="s">
        <v>197</v>
      </c>
      <c r="E31" s="228">
        <v>32</v>
      </c>
      <c r="F31" s="229" t="s">
        <v>208</v>
      </c>
      <c r="G31" s="228">
        <v>3205</v>
      </c>
      <c r="H31" s="229" t="s">
        <v>209</v>
      </c>
      <c r="I31" s="228">
        <v>3205</v>
      </c>
      <c r="J31" s="229" t="s">
        <v>210</v>
      </c>
      <c r="K31" s="229" t="s">
        <v>211</v>
      </c>
      <c r="L31" s="233">
        <v>3205010</v>
      </c>
      <c r="M31" s="229" t="s">
        <v>212</v>
      </c>
      <c r="N31" s="233">
        <v>3205010</v>
      </c>
      <c r="O31" s="229" t="s">
        <v>212</v>
      </c>
      <c r="P31" s="233" t="s">
        <v>213</v>
      </c>
      <c r="Q31" s="230" t="s">
        <v>214</v>
      </c>
      <c r="R31" s="233" t="s">
        <v>213</v>
      </c>
      <c r="S31" s="230" t="s">
        <v>214</v>
      </c>
      <c r="T31" s="232" t="s">
        <v>152</v>
      </c>
      <c r="U31" s="253">
        <v>3</v>
      </c>
      <c r="V31" s="253"/>
      <c r="W31" s="233">
        <f t="shared" si="1"/>
        <v>3</v>
      </c>
      <c r="X31" s="255">
        <v>2021003630004</v>
      </c>
      <c r="Y31" s="230" t="s">
        <v>215</v>
      </c>
      <c r="Z31" s="229" t="s">
        <v>216</v>
      </c>
      <c r="AA31" s="234"/>
      <c r="AB31" s="234"/>
      <c r="AC31" s="234"/>
      <c r="AD31" s="234"/>
      <c r="AE31" s="234"/>
      <c r="AF31" s="234"/>
      <c r="AG31" s="247">
        <v>50000000</v>
      </c>
      <c r="AH31" s="247">
        <v>190000000</v>
      </c>
      <c r="AI31" s="234"/>
      <c r="AJ31" s="236">
        <f t="shared" si="0"/>
        <v>240000000</v>
      </c>
      <c r="AK31" s="251" t="s">
        <v>155</v>
      </c>
      <c r="AL31" s="221"/>
      <c r="AM31" s="221"/>
      <c r="AN31" s="221"/>
      <c r="AO31" s="221"/>
      <c r="AP31" s="221"/>
    </row>
    <row r="32" spans="1:42" s="224" customFormat="1" ht="121.5" customHeight="1">
      <c r="A32" s="228">
        <v>308</v>
      </c>
      <c r="B32" s="229" t="s">
        <v>142</v>
      </c>
      <c r="C32" s="228">
        <v>3</v>
      </c>
      <c r="D32" s="229" t="s">
        <v>197</v>
      </c>
      <c r="E32" s="228">
        <v>32</v>
      </c>
      <c r="F32" s="229" t="s">
        <v>208</v>
      </c>
      <c r="G32" s="228">
        <v>3205</v>
      </c>
      <c r="H32" s="229" t="s">
        <v>209</v>
      </c>
      <c r="I32" s="228">
        <v>3205</v>
      </c>
      <c r="J32" s="229" t="s">
        <v>210</v>
      </c>
      <c r="K32" s="229" t="s">
        <v>217</v>
      </c>
      <c r="L32" s="233">
        <v>3205021</v>
      </c>
      <c r="M32" s="229" t="s">
        <v>218</v>
      </c>
      <c r="N32" s="233">
        <v>3205021</v>
      </c>
      <c r="O32" s="229" t="s">
        <v>218</v>
      </c>
      <c r="P32" s="233">
        <v>320502100</v>
      </c>
      <c r="Q32" s="230" t="s">
        <v>219</v>
      </c>
      <c r="R32" s="233">
        <v>320502100</v>
      </c>
      <c r="S32" s="230" t="s">
        <v>219</v>
      </c>
      <c r="T32" s="232" t="s">
        <v>152</v>
      </c>
      <c r="U32" s="253">
        <v>4</v>
      </c>
      <c r="V32" s="253"/>
      <c r="W32" s="233">
        <f t="shared" si="1"/>
        <v>4</v>
      </c>
      <c r="X32" s="255">
        <v>2021003630002</v>
      </c>
      <c r="Y32" s="230" t="s">
        <v>220</v>
      </c>
      <c r="Z32" s="251" t="s">
        <v>221</v>
      </c>
      <c r="AA32" s="234"/>
      <c r="AB32" s="234"/>
      <c r="AC32" s="234"/>
      <c r="AD32" s="234"/>
      <c r="AE32" s="234"/>
      <c r="AF32" s="234"/>
      <c r="AG32" s="247">
        <v>50000000</v>
      </c>
      <c r="AH32" s="247">
        <v>200000000</v>
      </c>
      <c r="AI32" s="234"/>
      <c r="AJ32" s="236">
        <f t="shared" si="0"/>
        <v>250000000</v>
      </c>
      <c r="AK32" s="251" t="s">
        <v>155</v>
      </c>
    </row>
    <row r="33" spans="1:37" s="224" customFormat="1" ht="85.9" customHeight="1">
      <c r="A33" s="228">
        <v>308</v>
      </c>
      <c r="B33" s="229" t="s">
        <v>142</v>
      </c>
      <c r="C33" s="228">
        <v>3</v>
      </c>
      <c r="D33" s="229" t="s">
        <v>197</v>
      </c>
      <c r="E33" s="228">
        <v>40</v>
      </c>
      <c r="F33" s="229" t="s">
        <v>222</v>
      </c>
      <c r="G33" s="228">
        <v>4001</v>
      </c>
      <c r="H33" s="229" t="s">
        <v>223</v>
      </c>
      <c r="I33" s="228">
        <v>4001</v>
      </c>
      <c r="J33" s="229" t="s">
        <v>224</v>
      </c>
      <c r="K33" s="229" t="s">
        <v>225</v>
      </c>
      <c r="L33" s="263">
        <v>4001015</v>
      </c>
      <c r="M33" s="229" t="s">
        <v>226</v>
      </c>
      <c r="N33" s="263">
        <v>4001015</v>
      </c>
      <c r="O33" s="229" t="s">
        <v>226</v>
      </c>
      <c r="P33" s="253" t="s">
        <v>227</v>
      </c>
      <c r="Q33" s="230" t="s">
        <v>228</v>
      </c>
      <c r="R33" s="253" t="s">
        <v>227</v>
      </c>
      <c r="S33" s="230" t="s">
        <v>228</v>
      </c>
      <c r="T33" s="232" t="s">
        <v>152</v>
      </c>
      <c r="U33" s="253">
        <v>120</v>
      </c>
      <c r="V33" s="253"/>
      <c r="W33" s="233">
        <f t="shared" si="1"/>
        <v>120</v>
      </c>
      <c r="X33" s="231">
        <v>2020003630057</v>
      </c>
      <c r="Y33" s="230" t="s">
        <v>229</v>
      </c>
      <c r="Z33" s="251" t="s">
        <v>230</v>
      </c>
      <c r="AA33" s="234">
        <v>300000000</v>
      </c>
      <c r="AB33" s="234"/>
      <c r="AC33" s="234"/>
      <c r="AD33" s="234"/>
      <c r="AE33" s="234"/>
      <c r="AF33" s="234"/>
      <c r="AG33" s="247">
        <f>35795909.35+0.03</f>
        <v>35795909.380000003</v>
      </c>
      <c r="AH33" s="247"/>
      <c r="AI33" s="234"/>
      <c r="AJ33" s="236">
        <f t="shared" si="0"/>
        <v>335795909.38</v>
      </c>
      <c r="AK33" s="251" t="s">
        <v>155</v>
      </c>
    </row>
    <row r="34" spans="1:37" s="224" customFormat="1" ht="85.9" customHeight="1">
      <c r="A34" s="228">
        <v>308</v>
      </c>
      <c r="B34" s="229" t="s">
        <v>142</v>
      </c>
      <c r="C34" s="228">
        <v>3</v>
      </c>
      <c r="D34" s="229" t="s">
        <v>197</v>
      </c>
      <c r="E34" s="228">
        <v>40</v>
      </c>
      <c r="F34" s="229" t="s">
        <v>222</v>
      </c>
      <c r="G34" s="228">
        <v>4003</v>
      </c>
      <c r="H34" s="229" t="s">
        <v>231</v>
      </c>
      <c r="I34" s="228">
        <v>4003</v>
      </c>
      <c r="J34" s="229" t="s">
        <v>232</v>
      </c>
      <c r="K34" s="252" t="s">
        <v>233</v>
      </c>
      <c r="L34" s="233" t="s">
        <v>50</v>
      </c>
      <c r="M34" s="229" t="s">
        <v>234</v>
      </c>
      <c r="N34" s="228">
        <v>4003006</v>
      </c>
      <c r="O34" s="229" t="s">
        <v>235</v>
      </c>
      <c r="P34" s="233" t="s">
        <v>50</v>
      </c>
      <c r="Q34" s="230" t="s">
        <v>236</v>
      </c>
      <c r="R34" s="228">
        <v>400300600</v>
      </c>
      <c r="S34" s="230" t="s">
        <v>237</v>
      </c>
      <c r="T34" s="232" t="s">
        <v>58</v>
      </c>
      <c r="U34" s="264">
        <v>1</v>
      </c>
      <c r="V34" s="264"/>
      <c r="W34" s="233">
        <f t="shared" si="1"/>
        <v>1</v>
      </c>
      <c r="X34" s="231">
        <v>2020003630014</v>
      </c>
      <c r="Y34" s="230" t="s">
        <v>238</v>
      </c>
      <c r="Z34" s="229" t="s">
        <v>239</v>
      </c>
      <c r="AA34" s="234"/>
      <c r="AB34" s="234"/>
      <c r="AC34" s="234"/>
      <c r="AD34" s="234"/>
      <c r="AE34" s="234"/>
      <c r="AF34" s="234">
        <v>100000000</v>
      </c>
      <c r="AG34" s="247"/>
      <c r="AH34" s="247"/>
      <c r="AI34" s="234"/>
      <c r="AJ34" s="236">
        <f t="shared" si="0"/>
        <v>100000000</v>
      </c>
      <c r="AK34" s="251" t="s">
        <v>155</v>
      </c>
    </row>
    <row r="35" spans="1:37" s="224" customFormat="1" ht="85.9" customHeight="1">
      <c r="A35" s="228">
        <v>308</v>
      </c>
      <c r="B35" s="229" t="s">
        <v>142</v>
      </c>
      <c r="C35" s="228">
        <v>3</v>
      </c>
      <c r="D35" s="229" t="s">
        <v>197</v>
      </c>
      <c r="E35" s="228">
        <v>40</v>
      </c>
      <c r="F35" s="229" t="s">
        <v>222</v>
      </c>
      <c r="G35" s="228">
        <v>4003</v>
      </c>
      <c r="H35" s="229" t="s">
        <v>231</v>
      </c>
      <c r="I35" s="228">
        <v>4003</v>
      </c>
      <c r="J35" s="229" t="s">
        <v>232</v>
      </c>
      <c r="K35" s="252" t="s">
        <v>240</v>
      </c>
      <c r="L35" s="233">
        <v>4003018</v>
      </c>
      <c r="M35" s="252" t="s">
        <v>241</v>
      </c>
      <c r="N35" s="233">
        <v>4003018</v>
      </c>
      <c r="O35" s="252" t="s">
        <v>241</v>
      </c>
      <c r="P35" s="233">
        <v>400301802</v>
      </c>
      <c r="Q35" s="230" t="s">
        <v>242</v>
      </c>
      <c r="R35" s="233">
        <v>400301802</v>
      </c>
      <c r="S35" s="230" t="s">
        <v>242</v>
      </c>
      <c r="T35" s="232" t="s">
        <v>152</v>
      </c>
      <c r="U35" s="264">
        <v>1</v>
      </c>
      <c r="V35" s="264"/>
      <c r="W35" s="233">
        <f t="shared" si="1"/>
        <v>1</v>
      </c>
      <c r="X35" s="231">
        <v>2020003630014</v>
      </c>
      <c r="Y35" s="230" t="s">
        <v>238</v>
      </c>
      <c r="Z35" s="229" t="s">
        <v>239</v>
      </c>
      <c r="AA35" s="234"/>
      <c r="AB35" s="234"/>
      <c r="AC35" s="234"/>
      <c r="AD35" s="234"/>
      <c r="AE35" s="234"/>
      <c r="AF35" s="234">
        <v>1000000000</v>
      </c>
      <c r="AG35" s="247"/>
      <c r="AH35" s="247"/>
      <c r="AI35" s="234"/>
      <c r="AJ35" s="236">
        <f t="shared" si="0"/>
        <v>1000000000</v>
      </c>
      <c r="AK35" s="251" t="s">
        <v>155</v>
      </c>
    </row>
    <row r="36" spans="1:37" s="224" customFormat="1" ht="85.9" customHeight="1">
      <c r="A36" s="228">
        <v>308</v>
      </c>
      <c r="B36" s="229" t="s">
        <v>142</v>
      </c>
      <c r="C36" s="228">
        <v>3</v>
      </c>
      <c r="D36" s="229" t="s">
        <v>197</v>
      </c>
      <c r="E36" s="228">
        <v>40</v>
      </c>
      <c r="F36" s="229" t="s">
        <v>222</v>
      </c>
      <c r="G36" s="228">
        <v>4003</v>
      </c>
      <c r="H36" s="229" t="s">
        <v>231</v>
      </c>
      <c r="I36" s="228">
        <v>4003</v>
      </c>
      <c r="J36" s="229" t="s">
        <v>232</v>
      </c>
      <c r="K36" s="252" t="s">
        <v>233</v>
      </c>
      <c r="L36" s="233">
        <v>4003025</v>
      </c>
      <c r="M36" s="252" t="s">
        <v>243</v>
      </c>
      <c r="N36" s="233">
        <v>4003025</v>
      </c>
      <c r="O36" s="252" t="s">
        <v>243</v>
      </c>
      <c r="P36" s="264">
        <v>400302500</v>
      </c>
      <c r="Q36" s="266" t="s">
        <v>244</v>
      </c>
      <c r="R36" s="264">
        <v>400302500</v>
      </c>
      <c r="S36" s="266" t="s">
        <v>244</v>
      </c>
      <c r="T36" s="232" t="s">
        <v>152</v>
      </c>
      <c r="U36" s="264">
        <v>3</v>
      </c>
      <c r="V36" s="264"/>
      <c r="W36" s="233">
        <f t="shared" si="1"/>
        <v>3</v>
      </c>
      <c r="X36" s="231">
        <v>2020003630014</v>
      </c>
      <c r="Y36" s="230" t="s">
        <v>238</v>
      </c>
      <c r="Z36" s="229" t="s">
        <v>239</v>
      </c>
      <c r="AA36" s="254">
        <f>1500000000+1800000000</f>
        <v>3300000000</v>
      </c>
      <c r="AB36" s="234"/>
      <c r="AC36" s="234"/>
      <c r="AD36" s="234"/>
      <c r="AE36" s="234"/>
      <c r="AF36" s="234">
        <f>857000000+45473661.21</f>
        <v>902473661.21000004</v>
      </c>
      <c r="AG36" s="247"/>
      <c r="AH36" s="247"/>
      <c r="AI36" s="234"/>
      <c r="AJ36" s="236">
        <f t="shared" si="0"/>
        <v>4202473661.21</v>
      </c>
      <c r="AK36" s="251" t="s">
        <v>155</v>
      </c>
    </row>
    <row r="37" spans="1:37" s="224" customFormat="1" ht="85.9" customHeight="1">
      <c r="A37" s="228">
        <v>308</v>
      </c>
      <c r="B37" s="229" t="s">
        <v>142</v>
      </c>
      <c r="C37" s="228">
        <v>3</v>
      </c>
      <c r="D37" s="229" t="s">
        <v>197</v>
      </c>
      <c r="E37" s="228">
        <v>40</v>
      </c>
      <c r="F37" s="229" t="s">
        <v>222</v>
      </c>
      <c r="G37" s="228">
        <v>4003</v>
      </c>
      <c r="H37" s="229" t="s">
        <v>231</v>
      </c>
      <c r="I37" s="228">
        <v>4003</v>
      </c>
      <c r="J37" s="229" t="s">
        <v>232</v>
      </c>
      <c r="K37" s="252" t="s">
        <v>233</v>
      </c>
      <c r="L37" s="233">
        <v>4003028</v>
      </c>
      <c r="M37" s="252" t="s">
        <v>245</v>
      </c>
      <c r="N37" s="233">
        <v>4003028</v>
      </c>
      <c r="O37" s="252" t="s">
        <v>245</v>
      </c>
      <c r="P37" s="233">
        <v>400302801</v>
      </c>
      <c r="Q37" s="230" t="s">
        <v>246</v>
      </c>
      <c r="R37" s="233">
        <v>400302801</v>
      </c>
      <c r="S37" s="230" t="s">
        <v>246</v>
      </c>
      <c r="T37" s="232" t="s">
        <v>58</v>
      </c>
      <c r="U37" s="264">
        <v>4</v>
      </c>
      <c r="V37" s="264"/>
      <c r="W37" s="233">
        <f t="shared" si="1"/>
        <v>4</v>
      </c>
      <c r="X37" s="231">
        <v>2020003630014</v>
      </c>
      <c r="Y37" s="230" t="s">
        <v>238</v>
      </c>
      <c r="Z37" s="229" t="s">
        <v>239</v>
      </c>
      <c r="AA37" s="234"/>
      <c r="AB37" s="234"/>
      <c r="AC37" s="234"/>
      <c r="AD37" s="234"/>
      <c r="AE37" s="234"/>
      <c r="AF37" s="234">
        <v>300000000</v>
      </c>
      <c r="AG37" s="247"/>
      <c r="AH37" s="247"/>
      <c r="AI37" s="234"/>
      <c r="AJ37" s="236">
        <f t="shared" si="0"/>
        <v>300000000</v>
      </c>
      <c r="AK37" s="251" t="s">
        <v>155</v>
      </c>
    </row>
    <row r="38" spans="1:37" s="224" customFormat="1" ht="85.9" customHeight="1">
      <c r="A38" s="228">
        <v>308</v>
      </c>
      <c r="B38" s="229" t="s">
        <v>142</v>
      </c>
      <c r="C38" s="228">
        <v>3</v>
      </c>
      <c r="D38" s="229" t="s">
        <v>197</v>
      </c>
      <c r="E38" s="228">
        <v>40</v>
      </c>
      <c r="F38" s="229" t="s">
        <v>222</v>
      </c>
      <c r="G38" s="228">
        <v>4003</v>
      </c>
      <c r="H38" s="229" t="s">
        <v>231</v>
      </c>
      <c r="I38" s="228">
        <v>4003</v>
      </c>
      <c r="J38" s="229" t="s">
        <v>232</v>
      </c>
      <c r="K38" s="252" t="s">
        <v>233</v>
      </c>
      <c r="L38" s="233">
        <v>4003042</v>
      </c>
      <c r="M38" s="252" t="s">
        <v>247</v>
      </c>
      <c r="N38" s="233">
        <v>4003042</v>
      </c>
      <c r="O38" s="252" t="s">
        <v>247</v>
      </c>
      <c r="P38" s="233">
        <v>400304200</v>
      </c>
      <c r="Q38" s="230" t="s">
        <v>248</v>
      </c>
      <c r="R38" s="233">
        <v>400304200</v>
      </c>
      <c r="S38" s="267" t="s">
        <v>248</v>
      </c>
      <c r="T38" s="232" t="s">
        <v>152</v>
      </c>
      <c r="U38" s="264">
        <v>2</v>
      </c>
      <c r="V38" s="264"/>
      <c r="W38" s="233">
        <f t="shared" si="1"/>
        <v>2</v>
      </c>
      <c r="X38" s="231">
        <v>2020003630014</v>
      </c>
      <c r="Y38" s="230" t="s">
        <v>238</v>
      </c>
      <c r="Z38" s="229" t="s">
        <v>239</v>
      </c>
      <c r="AA38" s="234"/>
      <c r="AB38" s="234"/>
      <c r="AC38" s="234"/>
      <c r="AD38" s="234"/>
      <c r="AE38" s="234"/>
      <c r="AF38" s="234">
        <v>300000000</v>
      </c>
      <c r="AG38" s="247"/>
      <c r="AH38" s="247"/>
      <c r="AI38" s="234"/>
      <c r="AJ38" s="236">
        <f t="shared" si="0"/>
        <v>300000000</v>
      </c>
      <c r="AK38" s="251" t="s">
        <v>155</v>
      </c>
    </row>
    <row r="39" spans="1:37" s="224" customFormat="1" ht="85.9" customHeight="1">
      <c r="A39" s="228">
        <v>308</v>
      </c>
      <c r="B39" s="229" t="s">
        <v>142</v>
      </c>
      <c r="C39" s="228">
        <v>3</v>
      </c>
      <c r="D39" s="229" t="s">
        <v>197</v>
      </c>
      <c r="E39" s="228">
        <v>40</v>
      </c>
      <c r="F39" s="229" t="s">
        <v>222</v>
      </c>
      <c r="G39" s="228">
        <v>4003</v>
      </c>
      <c r="H39" s="229" t="s">
        <v>231</v>
      </c>
      <c r="I39" s="228">
        <v>4003</v>
      </c>
      <c r="J39" s="229" t="s">
        <v>232</v>
      </c>
      <c r="K39" s="252" t="s">
        <v>233</v>
      </c>
      <c r="L39" s="233" t="s">
        <v>249</v>
      </c>
      <c r="M39" s="252" t="s">
        <v>250</v>
      </c>
      <c r="N39" s="233" t="s">
        <v>249</v>
      </c>
      <c r="O39" s="252" t="s">
        <v>250</v>
      </c>
      <c r="P39" s="264">
        <v>400302600</v>
      </c>
      <c r="Q39" s="266" t="s">
        <v>251</v>
      </c>
      <c r="R39" s="264">
        <v>400302600</v>
      </c>
      <c r="S39" s="266" t="s">
        <v>251</v>
      </c>
      <c r="T39" s="232" t="s">
        <v>152</v>
      </c>
      <c r="U39" s="264">
        <v>0.4</v>
      </c>
      <c r="V39" s="264"/>
      <c r="W39" s="233">
        <f t="shared" si="1"/>
        <v>0.4</v>
      </c>
      <c r="X39" s="231">
        <v>2020003630014</v>
      </c>
      <c r="Y39" s="230" t="s">
        <v>238</v>
      </c>
      <c r="Z39" s="229" t="s">
        <v>252</v>
      </c>
      <c r="AA39" s="234"/>
      <c r="AB39" s="234"/>
      <c r="AC39" s="234"/>
      <c r="AD39" s="234"/>
      <c r="AE39" s="234"/>
      <c r="AF39" s="234">
        <v>1502617000</v>
      </c>
      <c r="AG39" s="247"/>
      <c r="AH39" s="247"/>
      <c r="AI39" s="234"/>
      <c r="AJ39" s="236">
        <f t="shared" si="0"/>
        <v>1502617000</v>
      </c>
      <c r="AK39" s="251" t="s">
        <v>155</v>
      </c>
    </row>
    <row r="40" spans="1:37" s="224" customFormat="1" ht="85.9" customHeight="1">
      <c r="A40" s="228">
        <v>308</v>
      </c>
      <c r="B40" s="229" t="s">
        <v>142</v>
      </c>
      <c r="C40" s="228">
        <v>4</v>
      </c>
      <c r="D40" s="229" t="s">
        <v>48</v>
      </c>
      <c r="E40" s="228">
        <v>45</v>
      </c>
      <c r="F40" s="229" t="s">
        <v>49</v>
      </c>
      <c r="G40" s="228" t="s">
        <v>50</v>
      </c>
      <c r="H40" s="229" t="s">
        <v>51</v>
      </c>
      <c r="I40" s="228">
        <v>4599</v>
      </c>
      <c r="J40" s="229" t="s">
        <v>52</v>
      </c>
      <c r="K40" s="229" t="s">
        <v>53</v>
      </c>
      <c r="L40" s="228" t="s">
        <v>50</v>
      </c>
      <c r="M40" s="229" t="s">
        <v>253</v>
      </c>
      <c r="N40" s="233" t="s">
        <v>254</v>
      </c>
      <c r="O40" s="229" t="s">
        <v>163</v>
      </c>
      <c r="P40" s="228" t="s">
        <v>50</v>
      </c>
      <c r="Q40" s="230" t="s">
        <v>255</v>
      </c>
      <c r="R40" s="233">
        <v>459901600</v>
      </c>
      <c r="S40" s="251" t="s">
        <v>163</v>
      </c>
      <c r="T40" s="232" t="s">
        <v>58</v>
      </c>
      <c r="U40" s="253">
        <v>4</v>
      </c>
      <c r="V40" s="253"/>
      <c r="W40" s="233">
        <f t="shared" si="1"/>
        <v>4</v>
      </c>
      <c r="X40" s="255">
        <v>2021003630003</v>
      </c>
      <c r="Y40" s="230" t="s">
        <v>256</v>
      </c>
      <c r="Z40" s="230" t="s">
        <v>257</v>
      </c>
      <c r="AA40" s="234"/>
      <c r="AB40" s="234"/>
      <c r="AC40" s="234"/>
      <c r="AD40" s="234"/>
      <c r="AE40" s="234"/>
      <c r="AF40" s="234"/>
      <c r="AG40" s="247">
        <f>100000000+100000000+104400000</f>
        <v>304400000</v>
      </c>
      <c r="AH40" s="234"/>
      <c r="AI40" s="234"/>
      <c r="AJ40" s="236">
        <f t="shared" si="0"/>
        <v>304400000</v>
      </c>
      <c r="AK40" s="251" t="s">
        <v>155</v>
      </c>
    </row>
    <row r="41" spans="1:37" s="224" customFormat="1" ht="85.9" customHeight="1">
      <c r="A41" s="228">
        <v>308</v>
      </c>
      <c r="B41" s="229" t="s">
        <v>142</v>
      </c>
      <c r="C41" s="228">
        <v>4</v>
      </c>
      <c r="D41" s="229" t="s">
        <v>48</v>
      </c>
      <c r="E41" s="228">
        <v>45</v>
      </c>
      <c r="F41" s="229" t="s">
        <v>49</v>
      </c>
      <c r="G41" s="228">
        <v>4502</v>
      </c>
      <c r="H41" s="229" t="s">
        <v>70</v>
      </c>
      <c r="I41" s="228">
        <v>4502</v>
      </c>
      <c r="J41" s="229" t="s">
        <v>71</v>
      </c>
      <c r="K41" s="229" t="s">
        <v>80</v>
      </c>
      <c r="L41" s="233">
        <v>4502003</v>
      </c>
      <c r="M41" s="252" t="s">
        <v>258</v>
      </c>
      <c r="N41" s="233">
        <v>4502003</v>
      </c>
      <c r="O41" s="252" t="s">
        <v>259</v>
      </c>
      <c r="P41" s="233">
        <v>450200300</v>
      </c>
      <c r="Q41" s="230" t="s">
        <v>258</v>
      </c>
      <c r="R41" s="233">
        <v>450200300</v>
      </c>
      <c r="S41" s="230" t="s">
        <v>258</v>
      </c>
      <c r="T41" s="232" t="s">
        <v>152</v>
      </c>
      <c r="U41" s="253">
        <v>2</v>
      </c>
      <c r="V41" s="253"/>
      <c r="W41" s="233">
        <f t="shared" si="1"/>
        <v>2</v>
      </c>
      <c r="X41" s="255">
        <v>2021003630006</v>
      </c>
      <c r="Y41" s="230" t="s">
        <v>260</v>
      </c>
      <c r="Z41" s="230" t="s">
        <v>261</v>
      </c>
      <c r="AB41" s="234"/>
      <c r="AC41" s="234"/>
      <c r="AD41" s="234"/>
      <c r="AE41" s="234"/>
      <c r="AF41" s="234"/>
      <c r="AG41" s="247">
        <f>80000000-30000000</f>
        <v>50000000</v>
      </c>
      <c r="AH41" s="234">
        <v>6822431</v>
      </c>
      <c r="AI41" s="234"/>
      <c r="AJ41" s="236">
        <f t="shared" si="0"/>
        <v>56822431</v>
      </c>
      <c r="AK41" s="251" t="s">
        <v>155</v>
      </c>
    </row>
    <row r="42" spans="1:37" s="262" customFormat="1" ht="85.9" customHeight="1">
      <c r="A42" s="239">
        <v>308</v>
      </c>
      <c r="B42" s="240" t="s">
        <v>142</v>
      </c>
      <c r="C42" s="268">
        <v>1</v>
      </c>
      <c r="D42" s="229" t="s">
        <v>143</v>
      </c>
      <c r="E42" s="269">
        <v>19</v>
      </c>
      <c r="F42" s="270" t="s">
        <v>262</v>
      </c>
      <c r="G42" s="268">
        <v>1903</v>
      </c>
      <c r="H42" s="270" t="s">
        <v>263</v>
      </c>
      <c r="I42" s="239">
        <v>1903</v>
      </c>
      <c r="J42" s="240" t="s">
        <v>264</v>
      </c>
      <c r="K42" s="240" t="s">
        <v>265</v>
      </c>
      <c r="L42" s="222" t="s">
        <v>50</v>
      </c>
      <c r="M42" s="223" t="s">
        <v>253</v>
      </c>
      <c r="N42" s="268">
        <v>1903043</v>
      </c>
      <c r="O42" s="270" t="s">
        <v>266</v>
      </c>
      <c r="P42" s="271" t="s">
        <v>50</v>
      </c>
      <c r="Q42" s="242" t="s">
        <v>255</v>
      </c>
      <c r="R42" s="268">
        <v>190304300</v>
      </c>
      <c r="S42" s="270" t="s">
        <v>267</v>
      </c>
      <c r="T42" s="241"/>
      <c r="U42" s="272">
        <v>1</v>
      </c>
      <c r="V42" s="273"/>
      <c r="W42" s="233">
        <f t="shared" si="1"/>
        <v>1</v>
      </c>
      <c r="X42" s="268">
        <v>2023003630002</v>
      </c>
      <c r="Y42" s="270" t="s">
        <v>268</v>
      </c>
      <c r="Z42" s="242" t="s">
        <v>269</v>
      </c>
      <c r="AA42" s="243"/>
      <c r="AB42" s="243"/>
      <c r="AC42" s="243"/>
      <c r="AD42" s="243"/>
      <c r="AE42" s="243"/>
      <c r="AF42" s="243"/>
      <c r="AG42" s="260">
        <v>30000000</v>
      </c>
      <c r="AH42" s="274"/>
      <c r="AI42" s="243"/>
      <c r="AJ42" s="236">
        <f>SUM(AA42,AB42,AC42,AD42,AE42,AF42,AG42,AH42,AI42)</f>
        <v>30000000</v>
      </c>
      <c r="AK42" s="240" t="s">
        <v>155</v>
      </c>
    </row>
    <row r="43" spans="1:37" s="224" customFormat="1" ht="152.25" customHeight="1">
      <c r="A43" s="228">
        <v>309</v>
      </c>
      <c r="B43" s="229" t="s">
        <v>270</v>
      </c>
      <c r="C43" s="228">
        <v>1</v>
      </c>
      <c r="D43" s="229" t="s">
        <v>143</v>
      </c>
      <c r="E43" s="228">
        <v>12</v>
      </c>
      <c r="F43" s="229" t="s">
        <v>144</v>
      </c>
      <c r="G43" s="228">
        <v>1202</v>
      </c>
      <c r="H43" s="229" t="s">
        <v>145</v>
      </c>
      <c r="I43" s="228">
        <v>1202</v>
      </c>
      <c r="J43" s="229" t="s">
        <v>146</v>
      </c>
      <c r="K43" s="229" t="s">
        <v>147</v>
      </c>
      <c r="L43" s="228">
        <v>1202004</v>
      </c>
      <c r="M43" s="229" t="s">
        <v>271</v>
      </c>
      <c r="N43" s="228">
        <v>1202004</v>
      </c>
      <c r="O43" s="229" t="s">
        <v>271</v>
      </c>
      <c r="P43" s="233">
        <v>120200400</v>
      </c>
      <c r="Q43" s="230" t="s">
        <v>109</v>
      </c>
      <c r="R43" s="233">
        <v>120200400</v>
      </c>
      <c r="S43" s="230" t="s">
        <v>109</v>
      </c>
      <c r="T43" s="232" t="s">
        <v>58</v>
      </c>
      <c r="U43" s="253">
        <v>12</v>
      </c>
      <c r="V43" s="253"/>
      <c r="W43" s="233">
        <f t="shared" si="1"/>
        <v>12</v>
      </c>
      <c r="X43" s="231">
        <v>2020003630060</v>
      </c>
      <c r="Y43" s="230" t="s">
        <v>272</v>
      </c>
      <c r="Z43" s="230" t="s">
        <v>273</v>
      </c>
      <c r="AA43" s="234"/>
      <c r="AB43" s="234"/>
      <c r="AC43" s="234"/>
      <c r="AD43" s="234"/>
      <c r="AE43" s="234"/>
      <c r="AF43" s="234"/>
      <c r="AG43" s="247">
        <f>80000000+358200000</f>
        <v>438200000</v>
      </c>
      <c r="AH43" s="234">
        <v>200000000</v>
      </c>
      <c r="AI43" s="234"/>
      <c r="AJ43" s="236">
        <f t="shared" si="0"/>
        <v>638200000</v>
      </c>
      <c r="AK43" s="251" t="s">
        <v>274</v>
      </c>
    </row>
    <row r="44" spans="1:37" s="224" customFormat="1" ht="208.5" customHeight="1">
      <c r="A44" s="228">
        <v>309</v>
      </c>
      <c r="B44" s="229" t="s">
        <v>270</v>
      </c>
      <c r="C44" s="228">
        <v>1</v>
      </c>
      <c r="D44" s="229" t="s">
        <v>143</v>
      </c>
      <c r="E44" s="228">
        <v>12</v>
      </c>
      <c r="F44" s="229" t="s">
        <v>144</v>
      </c>
      <c r="G44" s="228">
        <v>1203</v>
      </c>
      <c r="H44" s="229" t="s">
        <v>275</v>
      </c>
      <c r="I44" s="228">
        <v>1203</v>
      </c>
      <c r="J44" s="229" t="s">
        <v>276</v>
      </c>
      <c r="K44" s="229" t="s">
        <v>147</v>
      </c>
      <c r="L44" s="228">
        <v>1203002</v>
      </c>
      <c r="M44" s="229" t="s">
        <v>277</v>
      </c>
      <c r="N44" s="228">
        <v>1203002</v>
      </c>
      <c r="O44" s="229" t="s">
        <v>277</v>
      </c>
      <c r="P44" s="228">
        <v>120300200</v>
      </c>
      <c r="Q44" s="230" t="s">
        <v>278</v>
      </c>
      <c r="R44" s="228">
        <v>120300200</v>
      </c>
      <c r="S44" s="230" t="s">
        <v>278</v>
      </c>
      <c r="T44" s="275" t="s">
        <v>152</v>
      </c>
      <c r="U44" s="253">
        <v>50</v>
      </c>
      <c r="V44" s="253"/>
      <c r="W44" s="233">
        <f t="shared" si="1"/>
        <v>50</v>
      </c>
      <c r="X44" s="231">
        <v>2020003630061</v>
      </c>
      <c r="Y44" s="230" t="s">
        <v>279</v>
      </c>
      <c r="Z44" s="230" t="s">
        <v>280</v>
      </c>
      <c r="AA44" s="234"/>
      <c r="AB44" s="234"/>
      <c r="AC44" s="234"/>
      <c r="AD44" s="234"/>
      <c r="AE44" s="234"/>
      <c r="AF44" s="234"/>
      <c r="AG44" s="247">
        <f>40000000+15000000</f>
        <v>55000000</v>
      </c>
      <c r="AH44" s="234"/>
      <c r="AI44" s="234"/>
      <c r="AJ44" s="236">
        <f t="shared" si="0"/>
        <v>55000000</v>
      </c>
      <c r="AK44" s="251" t="s">
        <v>274</v>
      </c>
    </row>
    <row r="45" spans="1:37" s="224" customFormat="1" ht="155.44999999999999" customHeight="1">
      <c r="A45" s="228">
        <v>309</v>
      </c>
      <c r="B45" s="229" t="s">
        <v>270</v>
      </c>
      <c r="C45" s="228">
        <v>1</v>
      </c>
      <c r="D45" s="229" t="s">
        <v>143</v>
      </c>
      <c r="E45" s="228">
        <v>12</v>
      </c>
      <c r="F45" s="229" t="s">
        <v>144</v>
      </c>
      <c r="G45" s="228">
        <v>1206</v>
      </c>
      <c r="H45" s="229" t="s">
        <v>281</v>
      </c>
      <c r="I45" s="228">
        <v>1206</v>
      </c>
      <c r="J45" s="229" t="s">
        <v>282</v>
      </c>
      <c r="K45" s="229" t="s">
        <v>147</v>
      </c>
      <c r="L45" s="228">
        <v>1206005</v>
      </c>
      <c r="M45" s="229" t="s">
        <v>283</v>
      </c>
      <c r="N45" s="228">
        <v>1206005</v>
      </c>
      <c r="O45" s="229" t="s">
        <v>283</v>
      </c>
      <c r="P45" s="233">
        <v>120600500</v>
      </c>
      <c r="Q45" s="251" t="s">
        <v>284</v>
      </c>
      <c r="R45" s="233">
        <v>120600500</v>
      </c>
      <c r="S45" s="230" t="s">
        <v>284</v>
      </c>
      <c r="T45" s="275" t="s">
        <v>152</v>
      </c>
      <c r="U45" s="253">
        <v>35</v>
      </c>
      <c r="V45" s="253"/>
      <c r="W45" s="233">
        <f t="shared" si="1"/>
        <v>35</v>
      </c>
      <c r="X45" s="231">
        <v>2020003630062</v>
      </c>
      <c r="Y45" s="230" t="s">
        <v>285</v>
      </c>
      <c r="Z45" s="251" t="s">
        <v>286</v>
      </c>
      <c r="AA45" s="234"/>
      <c r="AB45" s="234"/>
      <c r="AC45" s="234"/>
      <c r="AD45" s="234"/>
      <c r="AE45" s="234"/>
      <c r="AF45" s="234"/>
      <c r="AG45" s="265">
        <f>40000000+16000000</f>
        <v>56000000</v>
      </c>
      <c r="AH45" s="234"/>
      <c r="AI45" s="234"/>
      <c r="AJ45" s="236">
        <f t="shared" si="0"/>
        <v>56000000</v>
      </c>
      <c r="AK45" s="251" t="s">
        <v>274</v>
      </c>
    </row>
    <row r="46" spans="1:37" s="224" customFormat="1" ht="85.9" customHeight="1">
      <c r="A46" s="228">
        <v>309</v>
      </c>
      <c r="B46" s="229" t="s">
        <v>270</v>
      </c>
      <c r="C46" s="228">
        <v>1</v>
      </c>
      <c r="D46" s="229" t="s">
        <v>143</v>
      </c>
      <c r="E46" s="228">
        <v>22</v>
      </c>
      <c r="F46" s="229" t="s">
        <v>156</v>
      </c>
      <c r="G46" s="228">
        <v>2201</v>
      </c>
      <c r="H46" s="229" t="s">
        <v>287</v>
      </c>
      <c r="I46" s="228">
        <v>2201</v>
      </c>
      <c r="J46" s="229" t="s">
        <v>158</v>
      </c>
      <c r="K46" s="229" t="s">
        <v>288</v>
      </c>
      <c r="L46" s="263">
        <v>2201068</v>
      </c>
      <c r="M46" s="229" t="s">
        <v>289</v>
      </c>
      <c r="N46" s="263">
        <v>2201068</v>
      </c>
      <c r="O46" s="229" t="s">
        <v>289</v>
      </c>
      <c r="P46" s="233">
        <v>220106800</v>
      </c>
      <c r="Q46" s="230" t="s">
        <v>290</v>
      </c>
      <c r="R46" s="233">
        <v>220106800</v>
      </c>
      <c r="S46" s="230" t="s">
        <v>290</v>
      </c>
      <c r="T46" s="275" t="s">
        <v>152</v>
      </c>
      <c r="U46" s="253">
        <v>72</v>
      </c>
      <c r="V46" s="253"/>
      <c r="W46" s="233">
        <f t="shared" si="1"/>
        <v>72</v>
      </c>
      <c r="X46" s="231">
        <v>2020003630063</v>
      </c>
      <c r="Y46" s="230" t="s">
        <v>291</v>
      </c>
      <c r="Z46" s="251" t="s">
        <v>292</v>
      </c>
      <c r="AA46" s="234"/>
      <c r="AB46" s="234"/>
      <c r="AC46" s="234"/>
      <c r="AD46" s="234"/>
      <c r="AE46" s="234"/>
      <c r="AF46" s="234"/>
      <c r="AG46" s="247">
        <f>60000000+41300000-13000000</f>
        <v>88300000</v>
      </c>
      <c r="AH46" s="234"/>
      <c r="AI46" s="234"/>
      <c r="AJ46" s="236">
        <f t="shared" si="0"/>
        <v>88300000</v>
      </c>
      <c r="AK46" s="251" t="s">
        <v>274</v>
      </c>
    </row>
    <row r="47" spans="1:37" s="224" customFormat="1" ht="85.9" customHeight="1">
      <c r="A47" s="228">
        <v>309</v>
      </c>
      <c r="B47" s="229" t="s">
        <v>270</v>
      </c>
      <c r="C47" s="228">
        <v>1</v>
      </c>
      <c r="D47" s="229" t="s">
        <v>143</v>
      </c>
      <c r="E47" s="228">
        <v>41</v>
      </c>
      <c r="F47" s="229" t="s">
        <v>293</v>
      </c>
      <c r="G47" s="228">
        <v>4101</v>
      </c>
      <c r="H47" s="229" t="s">
        <v>294</v>
      </c>
      <c r="I47" s="228">
        <v>4101</v>
      </c>
      <c r="J47" s="229" t="s">
        <v>295</v>
      </c>
      <c r="K47" s="229" t="s">
        <v>296</v>
      </c>
      <c r="L47" s="233">
        <v>4101023</v>
      </c>
      <c r="M47" s="229" t="s">
        <v>297</v>
      </c>
      <c r="N47" s="233">
        <v>4101023</v>
      </c>
      <c r="O47" s="229" t="s">
        <v>297</v>
      </c>
      <c r="P47" s="233">
        <v>410102300</v>
      </c>
      <c r="Q47" s="230" t="s">
        <v>298</v>
      </c>
      <c r="R47" s="233">
        <v>410102300</v>
      </c>
      <c r="S47" s="230" t="s">
        <v>298</v>
      </c>
      <c r="T47" s="275" t="s">
        <v>152</v>
      </c>
      <c r="U47" s="253">
        <v>900</v>
      </c>
      <c r="V47" s="253"/>
      <c r="W47" s="233">
        <f t="shared" si="1"/>
        <v>900</v>
      </c>
      <c r="X47" s="231">
        <v>2020003630064</v>
      </c>
      <c r="Y47" s="230" t="s">
        <v>299</v>
      </c>
      <c r="Z47" s="229" t="s">
        <v>300</v>
      </c>
      <c r="AA47" s="234"/>
      <c r="AB47" s="234"/>
      <c r="AC47" s="234"/>
      <c r="AD47" s="234"/>
      <c r="AE47" s="234"/>
      <c r="AF47" s="234"/>
      <c r="AG47" s="247">
        <f>90000000+63500000</f>
        <v>153500000</v>
      </c>
      <c r="AH47" s="234"/>
      <c r="AI47" s="234"/>
      <c r="AJ47" s="236">
        <f t="shared" si="0"/>
        <v>153500000</v>
      </c>
      <c r="AK47" s="251" t="s">
        <v>274</v>
      </c>
    </row>
    <row r="48" spans="1:37" s="224" customFormat="1" ht="85.9" customHeight="1">
      <c r="A48" s="228">
        <v>309</v>
      </c>
      <c r="B48" s="229" t="s">
        <v>270</v>
      </c>
      <c r="C48" s="228">
        <v>1</v>
      </c>
      <c r="D48" s="229" t="s">
        <v>143</v>
      </c>
      <c r="E48" s="228">
        <v>41</v>
      </c>
      <c r="F48" s="229" t="s">
        <v>293</v>
      </c>
      <c r="G48" s="228">
        <v>4101</v>
      </c>
      <c r="H48" s="229" t="s">
        <v>294</v>
      </c>
      <c r="I48" s="228">
        <v>4101</v>
      </c>
      <c r="J48" s="229" t="s">
        <v>295</v>
      </c>
      <c r="K48" s="229" t="s">
        <v>296</v>
      </c>
      <c r="L48" s="264">
        <v>4101025</v>
      </c>
      <c r="M48" s="229" t="s">
        <v>301</v>
      </c>
      <c r="N48" s="233">
        <v>4101025</v>
      </c>
      <c r="O48" s="229" t="s">
        <v>301</v>
      </c>
      <c r="P48" s="233">
        <v>410102511</v>
      </c>
      <c r="Q48" s="230" t="s">
        <v>302</v>
      </c>
      <c r="R48" s="233">
        <v>410102511</v>
      </c>
      <c r="S48" s="230" t="s">
        <v>302</v>
      </c>
      <c r="T48" s="275" t="s">
        <v>152</v>
      </c>
      <c r="U48" s="253">
        <v>50</v>
      </c>
      <c r="V48" s="253"/>
      <c r="W48" s="233">
        <f t="shared" si="1"/>
        <v>50</v>
      </c>
      <c r="X48" s="231">
        <v>2020003630064</v>
      </c>
      <c r="Y48" s="230" t="s">
        <v>299</v>
      </c>
      <c r="Z48" s="229" t="s">
        <v>300</v>
      </c>
      <c r="AA48" s="234"/>
      <c r="AB48" s="234"/>
      <c r="AC48" s="234"/>
      <c r="AD48" s="234"/>
      <c r="AE48" s="234"/>
      <c r="AF48" s="234"/>
      <c r="AG48" s="247">
        <f>50000000+3000000</f>
        <v>53000000</v>
      </c>
      <c r="AH48" s="234"/>
      <c r="AI48" s="234"/>
      <c r="AJ48" s="236">
        <f t="shared" si="0"/>
        <v>53000000</v>
      </c>
      <c r="AK48" s="251" t="s">
        <v>274</v>
      </c>
    </row>
    <row r="49" spans="1:37" s="224" customFormat="1" ht="85.9" customHeight="1">
      <c r="A49" s="228">
        <v>309</v>
      </c>
      <c r="B49" s="229" t="s">
        <v>270</v>
      </c>
      <c r="C49" s="228">
        <v>1</v>
      </c>
      <c r="D49" s="229" t="s">
        <v>143</v>
      </c>
      <c r="E49" s="228">
        <v>41</v>
      </c>
      <c r="F49" s="229" t="s">
        <v>293</v>
      </c>
      <c r="G49" s="228">
        <v>4101</v>
      </c>
      <c r="H49" s="229" t="s">
        <v>294</v>
      </c>
      <c r="I49" s="228">
        <v>4101</v>
      </c>
      <c r="J49" s="229" t="s">
        <v>295</v>
      </c>
      <c r="K49" s="229" t="s">
        <v>296</v>
      </c>
      <c r="L49" s="233">
        <v>4101038</v>
      </c>
      <c r="M49" s="229" t="s">
        <v>303</v>
      </c>
      <c r="N49" s="233">
        <v>4101038</v>
      </c>
      <c r="O49" s="229" t="s">
        <v>303</v>
      </c>
      <c r="P49" s="233">
        <v>410103800</v>
      </c>
      <c r="Q49" s="230" t="s">
        <v>304</v>
      </c>
      <c r="R49" s="233">
        <v>410103800</v>
      </c>
      <c r="S49" s="230" t="s">
        <v>304</v>
      </c>
      <c r="T49" s="275" t="s">
        <v>152</v>
      </c>
      <c r="U49" s="253">
        <v>12</v>
      </c>
      <c r="V49" s="253"/>
      <c r="W49" s="233">
        <f t="shared" si="1"/>
        <v>12</v>
      </c>
      <c r="X49" s="231">
        <v>2020003630064</v>
      </c>
      <c r="Y49" s="230" t="s">
        <v>299</v>
      </c>
      <c r="Z49" s="229" t="s">
        <v>300</v>
      </c>
      <c r="AA49" s="234"/>
      <c r="AB49" s="234"/>
      <c r="AC49" s="234"/>
      <c r="AD49" s="234"/>
      <c r="AE49" s="234"/>
      <c r="AF49" s="234"/>
      <c r="AG49" s="247">
        <f>50000000+6000000</f>
        <v>56000000</v>
      </c>
      <c r="AH49" s="234"/>
      <c r="AI49" s="234"/>
      <c r="AJ49" s="236">
        <f t="shared" si="0"/>
        <v>56000000</v>
      </c>
      <c r="AK49" s="251" t="s">
        <v>274</v>
      </c>
    </row>
    <row r="50" spans="1:37" s="224" customFormat="1" ht="85.9" customHeight="1">
      <c r="A50" s="228">
        <v>309</v>
      </c>
      <c r="B50" s="229" t="s">
        <v>270</v>
      </c>
      <c r="C50" s="228">
        <v>1</v>
      </c>
      <c r="D50" s="229" t="s">
        <v>143</v>
      </c>
      <c r="E50" s="228">
        <v>41</v>
      </c>
      <c r="F50" s="229" t="s">
        <v>293</v>
      </c>
      <c r="G50" s="228">
        <v>4101</v>
      </c>
      <c r="H50" s="229" t="s">
        <v>294</v>
      </c>
      <c r="I50" s="228">
        <v>4101</v>
      </c>
      <c r="J50" s="229" t="s">
        <v>295</v>
      </c>
      <c r="K50" s="229" t="s">
        <v>305</v>
      </c>
      <c r="L50" s="233">
        <v>4101073</v>
      </c>
      <c r="M50" s="229" t="s">
        <v>306</v>
      </c>
      <c r="N50" s="233">
        <v>4101073</v>
      </c>
      <c r="O50" s="229" t="s">
        <v>306</v>
      </c>
      <c r="P50" s="233">
        <v>410107300</v>
      </c>
      <c r="Q50" s="230" t="s">
        <v>307</v>
      </c>
      <c r="R50" s="233">
        <v>410107300</v>
      </c>
      <c r="S50" s="230" t="s">
        <v>307</v>
      </c>
      <c r="T50" s="275" t="s">
        <v>152</v>
      </c>
      <c r="U50" s="253">
        <v>75</v>
      </c>
      <c r="V50" s="253"/>
      <c r="W50" s="233">
        <f t="shared" si="1"/>
        <v>75</v>
      </c>
      <c r="X50" s="231">
        <v>2020003630064</v>
      </c>
      <c r="Y50" s="230" t="s">
        <v>299</v>
      </c>
      <c r="Z50" s="229" t="s">
        <v>300</v>
      </c>
      <c r="AA50" s="234"/>
      <c r="AB50" s="234"/>
      <c r="AC50" s="234"/>
      <c r="AD50" s="234"/>
      <c r="AE50" s="234"/>
      <c r="AF50" s="234"/>
      <c r="AG50" s="247">
        <v>50000000</v>
      </c>
      <c r="AH50" s="234"/>
      <c r="AI50" s="234"/>
      <c r="AJ50" s="236">
        <f t="shared" si="0"/>
        <v>50000000</v>
      </c>
      <c r="AK50" s="251" t="s">
        <v>274</v>
      </c>
    </row>
    <row r="51" spans="1:37" s="224" customFormat="1" ht="85.9" customHeight="1">
      <c r="A51" s="228">
        <v>309</v>
      </c>
      <c r="B51" s="229" t="s">
        <v>270</v>
      </c>
      <c r="C51" s="228">
        <v>1</v>
      </c>
      <c r="D51" s="229" t="s">
        <v>143</v>
      </c>
      <c r="E51" s="228">
        <v>41</v>
      </c>
      <c r="F51" s="229" t="s">
        <v>293</v>
      </c>
      <c r="G51" s="228">
        <v>4101</v>
      </c>
      <c r="H51" s="229" t="s">
        <v>294</v>
      </c>
      <c r="I51" s="228">
        <v>4101</v>
      </c>
      <c r="J51" s="229" t="s">
        <v>295</v>
      </c>
      <c r="K51" s="229" t="s">
        <v>308</v>
      </c>
      <c r="L51" s="233">
        <v>4101011</v>
      </c>
      <c r="M51" s="229" t="s">
        <v>309</v>
      </c>
      <c r="N51" s="233">
        <v>4101011</v>
      </c>
      <c r="O51" s="229" t="s">
        <v>309</v>
      </c>
      <c r="P51" s="233">
        <v>410101100</v>
      </c>
      <c r="Q51" s="230" t="s">
        <v>310</v>
      </c>
      <c r="R51" s="233">
        <v>410101100</v>
      </c>
      <c r="S51" s="230" t="s">
        <v>310</v>
      </c>
      <c r="T51" s="275" t="s">
        <v>152</v>
      </c>
      <c r="U51" s="253">
        <v>3</v>
      </c>
      <c r="V51" s="253"/>
      <c r="W51" s="233">
        <f t="shared" si="1"/>
        <v>3</v>
      </c>
      <c r="X51" s="231">
        <v>2020003630064</v>
      </c>
      <c r="Y51" s="230" t="s">
        <v>299</v>
      </c>
      <c r="Z51" s="229" t="s">
        <v>300</v>
      </c>
      <c r="AA51" s="234"/>
      <c r="AB51" s="234"/>
      <c r="AC51" s="234"/>
      <c r="AD51" s="234"/>
      <c r="AE51" s="234"/>
      <c r="AF51" s="234"/>
      <c r="AG51" s="247">
        <f>20000000+10700000</f>
        <v>30700000</v>
      </c>
      <c r="AH51" s="234"/>
      <c r="AI51" s="234"/>
      <c r="AJ51" s="236">
        <f t="shared" si="0"/>
        <v>30700000</v>
      </c>
      <c r="AK51" s="251" t="s">
        <v>274</v>
      </c>
    </row>
    <row r="52" spans="1:37" s="224" customFormat="1" ht="85.9" customHeight="1">
      <c r="A52" s="228">
        <v>309</v>
      </c>
      <c r="B52" s="229" t="s">
        <v>270</v>
      </c>
      <c r="C52" s="228">
        <v>1</v>
      </c>
      <c r="D52" s="229" t="s">
        <v>143</v>
      </c>
      <c r="E52" s="228">
        <v>41</v>
      </c>
      <c r="F52" s="229" t="s">
        <v>293</v>
      </c>
      <c r="G52" s="228">
        <v>4103</v>
      </c>
      <c r="H52" s="229" t="s">
        <v>311</v>
      </c>
      <c r="I52" s="228">
        <v>4103</v>
      </c>
      <c r="J52" s="229" t="s">
        <v>312</v>
      </c>
      <c r="K52" s="229" t="s">
        <v>313</v>
      </c>
      <c r="L52" s="228" t="s">
        <v>50</v>
      </c>
      <c r="M52" s="229" t="s">
        <v>314</v>
      </c>
      <c r="N52" s="233">
        <v>4103052</v>
      </c>
      <c r="O52" s="229" t="s">
        <v>315</v>
      </c>
      <c r="P52" s="228" t="s">
        <v>50</v>
      </c>
      <c r="Q52" s="230" t="s">
        <v>316</v>
      </c>
      <c r="R52" s="233">
        <v>410305201</v>
      </c>
      <c r="S52" s="230" t="s">
        <v>317</v>
      </c>
      <c r="T52" s="275" t="s">
        <v>152</v>
      </c>
      <c r="U52" s="253">
        <v>25</v>
      </c>
      <c r="V52" s="253"/>
      <c r="W52" s="233">
        <f t="shared" si="1"/>
        <v>25</v>
      </c>
      <c r="X52" s="231">
        <v>2020003630065</v>
      </c>
      <c r="Y52" s="230" t="s">
        <v>318</v>
      </c>
      <c r="Z52" s="229" t="s">
        <v>319</v>
      </c>
      <c r="AA52" s="234"/>
      <c r="AB52" s="234"/>
      <c r="AC52" s="234"/>
      <c r="AD52" s="234"/>
      <c r="AE52" s="234"/>
      <c r="AF52" s="234"/>
      <c r="AG52" s="247">
        <f>25000000+11000000</f>
        <v>36000000</v>
      </c>
      <c r="AH52" s="234"/>
      <c r="AI52" s="234"/>
      <c r="AJ52" s="236">
        <f t="shared" si="0"/>
        <v>36000000</v>
      </c>
      <c r="AK52" s="251" t="s">
        <v>274</v>
      </c>
    </row>
    <row r="53" spans="1:37" s="224" customFormat="1" ht="133.15" customHeight="1">
      <c r="A53" s="228">
        <v>309</v>
      </c>
      <c r="B53" s="229" t="s">
        <v>270</v>
      </c>
      <c r="C53" s="228">
        <v>1</v>
      </c>
      <c r="D53" s="229" t="s">
        <v>143</v>
      </c>
      <c r="E53" s="228">
        <v>45</v>
      </c>
      <c r="F53" s="229" t="s">
        <v>49</v>
      </c>
      <c r="G53" s="228">
        <v>4501</v>
      </c>
      <c r="H53" s="229" t="s">
        <v>320</v>
      </c>
      <c r="I53" s="228">
        <v>4501</v>
      </c>
      <c r="J53" s="229" t="s">
        <v>321</v>
      </c>
      <c r="K53" s="229" t="s">
        <v>147</v>
      </c>
      <c r="L53" s="228" t="s">
        <v>50</v>
      </c>
      <c r="M53" s="229" t="s">
        <v>322</v>
      </c>
      <c r="N53" s="233">
        <v>4501029</v>
      </c>
      <c r="O53" s="229" t="s">
        <v>323</v>
      </c>
      <c r="P53" s="228" t="s">
        <v>50</v>
      </c>
      <c r="Q53" s="230" t="s">
        <v>324</v>
      </c>
      <c r="R53" s="233">
        <v>450102900</v>
      </c>
      <c r="S53" s="230" t="s">
        <v>325</v>
      </c>
      <c r="T53" s="275" t="s">
        <v>58</v>
      </c>
      <c r="U53" s="253">
        <v>5</v>
      </c>
      <c r="V53" s="253"/>
      <c r="W53" s="233">
        <f t="shared" si="1"/>
        <v>5</v>
      </c>
      <c r="X53" s="231">
        <v>2020003630066</v>
      </c>
      <c r="Y53" s="230" t="s">
        <v>326</v>
      </c>
      <c r="Z53" s="229" t="s">
        <v>327</v>
      </c>
      <c r="AA53" s="234"/>
      <c r="AB53" s="234"/>
      <c r="AC53" s="234"/>
      <c r="AD53" s="234"/>
      <c r="AE53" s="234"/>
      <c r="AF53" s="234"/>
      <c r="AG53" s="247"/>
      <c r="AH53" s="254">
        <f>30000000+2461968000+5836387658.26</f>
        <v>8328355658.2600002</v>
      </c>
      <c r="AI53" s="234"/>
      <c r="AJ53" s="236">
        <f t="shared" si="0"/>
        <v>8328355658.2600002</v>
      </c>
      <c r="AK53" s="251" t="s">
        <v>274</v>
      </c>
    </row>
    <row r="54" spans="1:37" s="224" customFormat="1" ht="132.6" customHeight="1">
      <c r="A54" s="228">
        <v>309</v>
      </c>
      <c r="B54" s="229" t="s">
        <v>270</v>
      </c>
      <c r="C54" s="228">
        <v>1</v>
      </c>
      <c r="D54" s="229" t="s">
        <v>143</v>
      </c>
      <c r="E54" s="228">
        <v>45</v>
      </c>
      <c r="F54" s="229" t="s">
        <v>49</v>
      </c>
      <c r="G54" s="228">
        <v>4501</v>
      </c>
      <c r="H54" s="229" t="s">
        <v>320</v>
      </c>
      <c r="I54" s="228">
        <v>4501</v>
      </c>
      <c r="J54" s="229" t="s">
        <v>321</v>
      </c>
      <c r="K54" s="229" t="s">
        <v>147</v>
      </c>
      <c r="L54" s="228">
        <v>4501001</v>
      </c>
      <c r="M54" s="229" t="s">
        <v>107</v>
      </c>
      <c r="N54" s="228">
        <v>4501001</v>
      </c>
      <c r="O54" s="229" t="s">
        <v>107</v>
      </c>
      <c r="P54" s="228">
        <v>450100100</v>
      </c>
      <c r="Q54" s="230" t="s">
        <v>328</v>
      </c>
      <c r="R54" s="228">
        <v>450100100</v>
      </c>
      <c r="S54" s="230" t="s">
        <v>328</v>
      </c>
      <c r="T54" s="275" t="s">
        <v>58</v>
      </c>
      <c r="U54" s="253">
        <v>12</v>
      </c>
      <c r="V54" s="253"/>
      <c r="W54" s="233">
        <f t="shared" si="1"/>
        <v>12</v>
      </c>
      <c r="X54" s="231">
        <v>2020003630068</v>
      </c>
      <c r="Y54" s="230" t="s">
        <v>329</v>
      </c>
      <c r="Z54" s="229" t="s">
        <v>330</v>
      </c>
      <c r="AA54" s="247"/>
      <c r="AB54" s="234"/>
      <c r="AC54" s="234"/>
      <c r="AD54" s="234"/>
      <c r="AE54" s="234"/>
      <c r="AF54" s="234"/>
      <c r="AG54" s="247">
        <f>50000000+35000000</f>
        <v>85000000</v>
      </c>
      <c r="AH54" s="234"/>
      <c r="AI54" s="234"/>
      <c r="AJ54" s="236">
        <f t="shared" si="0"/>
        <v>85000000</v>
      </c>
      <c r="AK54" s="251" t="s">
        <v>274</v>
      </c>
    </row>
    <row r="55" spans="1:37" s="224" customFormat="1" ht="85.9" customHeight="1">
      <c r="A55" s="228">
        <v>309</v>
      </c>
      <c r="B55" s="229" t="s">
        <v>270</v>
      </c>
      <c r="C55" s="228">
        <v>3</v>
      </c>
      <c r="D55" s="229" t="s">
        <v>197</v>
      </c>
      <c r="E55" s="228">
        <v>32</v>
      </c>
      <c r="F55" s="229" t="s">
        <v>208</v>
      </c>
      <c r="G55" s="228">
        <v>3205</v>
      </c>
      <c r="H55" s="229" t="s">
        <v>209</v>
      </c>
      <c r="I55" s="228">
        <v>3205</v>
      </c>
      <c r="J55" s="229" t="s">
        <v>210</v>
      </c>
      <c r="K55" s="229" t="s">
        <v>331</v>
      </c>
      <c r="L55" s="228">
        <v>3205002</v>
      </c>
      <c r="M55" s="229" t="s">
        <v>332</v>
      </c>
      <c r="N55" s="228">
        <v>3205002</v>
      </c>
      <c r="O55" s="229" t="s">
        <v>332</v>
      </c>
      <c r="P55" s="228">
        <v>320500200</v>
      </c>
      <c r="Q55" s="230" t="s">
        <v>333</v>
      </c>
      <c r="R55" s="228">
        <v>320500200</v>
      </c>
      <c r="S55" s="230" t="s">
        <v>333</v>
      </c>
      <c r="T55" s="275" t="s">
        <v>152</v>
      </c>
      <c r="U55" s="253">
        <v>3</v>
      </c>
      <c r="V55" s="253"/>
      <c r="W55" s="233">
        <f t="shared" si="1"/>
        <v>3</v>
      </c>
      <c r="X55" s="231">
        <v>2020003630069</v>
      </c>
      <c r="Y55" s="230" t="s">
        <v>334</v>
      </c>
      <c r="Z55" s="229" t="s">
        <v>335</v>
      </c>
      <c r="AA55" s="234"/>
      <c r="AB55" s="234"/>
      <c r="AC55" s="234"/>
      <c r="AD55" s="234"/>
      <c r="AE55" s="234"/>
      <c r="AF55" s="234"/>
      <c r="AG55" s="247">
        <f>100000000-35000000</f>
        <v>65000000</v>
      </c>
      <c r="AH55" s="234"/>
      <c r="AI55" s="234"/>
      <c r="AJ55" s="236">
        <f t="shared" si="0"/>
        <v>65000000</v>
      </c>
      <c r="AK55" s="251" t="s">
        <v>274</v>
      </c>
    </row>
    <row r="56" spans="1:37" s="224" customFormat="1" ht="85.9" customHeight="1">
      <c r="A56" s="228">
        <v>309</v>
      </c>
      <c r="B56" s="229" t="s">
        <v>270</v>
      </c>
      <c r="C56" s="228">
        <v>3</v>
      </c>
      <c r="D56" s="229" t="s">
        <v>197</v>
      </c>
      <c r="E56" s="228">
        <v>45</v>
      </c>
      <c r="F56" s="229" t="s">
        <v>49</v>
      </c>
      <c r="G56" s="228">
        <v>4503</v>
      </c>
      <c r="H56" s="229" t="s">
        <v>336</v>
      </c>
      <c r="I56" s="228">
        <v>4503</v>
      </c>
      <c r="J56" s="229" t="s">
        <v>337</v>
      </c>
      <c r="K56" s="229" t="s">
        <v>338</v>
      </c>
      <c r="L56" s="228">
        <v>4503002</v>
      </c>
      <c r="M56" s="229" t="s">
        <v>339</v>
      </c>
      <c r="N56" s="228">
        <v>4503002</v>
      </c>
      <c r="O56" s="229" t="s">
        <v>339</v>
      </c>
      <c r="P56" s="228">
        <v>450300200</v>
      </c>
      <c r="Q56" s="251" t="s">
        <v>340</v>
      </c>
      <c r="R56" s="228">
        <v>450300200</v>
      </c>
      <c r="S56" s="230" t="s">
        <v>340</v>
      </c>
      <c r="T56" s="275" t="s">
        <v>152</v>
      </c>
      <c r="U56" s="253">
        <v>5000</v>
      </c>
      <c r="V56" s="253"/>
      <c r="W56" s="233">
        <f t="shared" si="1"/>
        <v>5000</v>
      </c>
      <c r="X56" s="231">
        <v>2020003630070</v>
      </c>
      <c r="Y56" s="276" t="s">
        <v>341</v>
      </c>
      <c r="Z56" s="229" t="s">
        <v>342</v>
      </c>
      <c r="AA56" s="234"/>
      <c r="AB56" s="234"/>
      <c r="AC56" s="234"/>
      <c r="AD56" s="234"/>
      <c r="AE56" s="234"/>
      <c r="AF56" s="234"/>
      <c r="AG56" s="277">
        <f>65000000+24000000-24000000</f>
        <v>65000000</v>
      </c>
      <c r="AH56" s="234"/>
      <c r="AI56" s="234"/>
      <c r="AJ56" s="236">
        <f t="shared" si="0"/>
        <v>65000000</v>
      </c>
      <c r="AK56" s="251" t="s">
        <v>274</v>
      </c>
    </row>
    <row r="57" spans="1:37" s="224" customFormat="1" ht="85.9" customHeight="1">
      <c r="A57" s="228">
        <v>309</v>
      </c>
      <c r="B57" s="229" t="s">
        <v>270</v>
      </c>
      <c r="C57" s="228">
        <v>3</v>
      </c>
      <c r="D57" s="229" t="s">
        <v>197</v>
      </c>
      <c r="E57" s="228">
        <v>45</v>
      </c>
      <c r="F57" s="229" t="s">
        <v>49</v>
      </c>
      <c r="G57" s="228">
        <v>4503</v>
      </c>
      <c r="H57" s="229" t="s">
        <v>336</v>
      </c>
      <c r="I57" s="228">
        <v>4503</v>
      </c>
      <c r="J57" s="229" t="s">
        <v>337</v>
      </c>
      <c r="K57" s="229" t="s">
        <v>343</v>
      </c>
      <c r="L57" s="228">
        <v>4503003</v>
      </c>
      <c r="M57" s="229" t="s">
        <v>107</v>
      </c>
      <c r="N57" s="228">
        <v>4503003</v>
      </c>
      <c r="O57" s="229" t="s">
        <v>107</v>
      </c>
      <c r="P57" s="228">
        <v>450300300</v>
      </c>
      <c r="Q57" s="230" t="s">
        <v>344</v>
      </c>
      <c r="R57" s="228">
        <v>450300300</v>
      </c>
      <c r="S57" s="230" t="s">
        <v>344</v>
      </c>
      <c r="T57" s="232" t="s">
        <v>58</v>
      </c>
      <c r="U57" s="253">
        <v>12</v>
      </c>
      <c r="V57" s="253"/>
      <c r="W57" s="233">
        <f t="shared" si="1"/>
        <v>12</v>
      </c>
      <c r="X57" s="231">
        <v>2020003630070</v>
      </c>
      <c r="Y57" s="276" t="s">
        <v>341</v>
      </c>
      <c r="Z57" s="276" t="s">
        <v>342</v>
      </c>
      <c r="AA57" s="234"/>
      <c r="AB57" s="234"/>
      <c r="AC57" s="234"/>
      <c r="AD57" s="234"/>
      <c r="AE57" s="234"/>
      <c r="AF57" s="234"/>
      <c r="AG57" s="277">
        <f>195000000+100000000+90000000-18000000</f>
        <v>367000000</v>
      </c>
      <c r="AH57" s="234"/>
      <c r="AI57" s="234"/>
      <c r="AJ57" s="236">
        <f t="shared" si="0"/>
        <v>367000000</v>
      </c>
      <c r="AK57" s="251" t="s">
        <v>274</v>
      </c>
    </row>
    <row r="58" spans="1:37" s="224" customFormat="1" ht="85.9" customHeight="1">
      <c r="A58" s="228">
        <v>309</v>
      </c>
      <c r="B58" s="229" t="s">
        <v>270</v>
      </c>
      <c r="C58" s="228">
        <v>3</v>
      </c>
      <c r="D58" s="229" t="s">
        <v>197</v>
      </c>
      <c r="E58" s="228">
        <v>45</v>
      </c>
      <c r="F58" s="229" t="s">
        <v>49</v>
      </c>
      <c r="G58" s="228">
        <v>4503</v>
      </c>
      <c r="H58" s="229" t="s">
        <v>336</v>
      </c>
      <c r="I58" s="228">
        <v>4503</v>
      </c>
      <c r="J58" s="229" t="s">
        <v>337</v>
      </c>
      <c r="K58" s="229" t="s">
        <v>343</v>
      </c>
      <c r="L58" s="228">
        <v>4503004</v>
      </c>
      <c r="M58" s="229" t="s">
        <v>345</v>
      </c>
      <c r="N58" s="228">
        <v>4503016</v>
      </c>
      <c r="O58" s="229" t="s">
        <v>346</v>
      </c>
      <c r="P58" s="228" t="s">
        <v>50</v>
      </c>
      <c r="Q58" s="230" t="s">
        <v>347</v>
      </c>
      <c r="R58" s="228">
        <v>450301600</v>
      </c>
      <c r="S58" s="230" t="s">
        <v>348</v>
      </c>
      <c r="T58" s="232" t="s">
        <v>58</v>
      </c>
      <c r="U58" s="253">
        <v>1</v>
      </c>
      <c r="V58" s="253"/>
      <c r="W58" s="233">
        <f t="shared" si="1"/>
        <v>1</v>
      </c>
      <c r="X58" s="231">
        <v>2020003630070</v>
      </c>
      <c r="Y58" s="276" t="s">
        <v>341</v>
      </c>
      <c r="Z58" s="276" t="s">
        <v>342</v>
      </c>
      <c r="AA58" s="234"/>
      <c r="AB58" s="234"/>
      <c r="AC58" s="234"/>
      <c r="AD58" s="234"/>
      <c r="AE58" s="234"/>
      <c r="AF58" s="234"/>
      <c r="AG58" s="278">
        <f>35000000+90000000</f>
        <v>125000000</v>
      </c>
      <c r="AH58" s="234"/>
      <c r="AI58" s="234"/>
      <c r="AJ58" s="236">
        <f t="shared" si="0"/>
        <v>125000000</v>
      </c>
      <c r="AK58" s="251" t="s">
        <v>274</v>
      </c>
    </row>
    <row r="59" spans="1:37" s="224" customFormat="1" ht="85.9" customHeight="1">
      <c r="A59" s="228">
        <v>309</v>
      </c>
      <c r="B59" s="229" t="s">
        <v>270</v>
      </c>
      <c r="C59" s="228">
        <v>4</v>
      </c>
      <c r="D59" s="229" t="s">
        <v>48</v>
      </c>
      <c r="E59" s="228">
        <v>45</v>
      </c>
      <c r="F59" s="229" t="s">
        <v>49</v>
      </c>
      <c r="G59" s="228">
        <v>4502</v>
      </c>
      <c r="H59" s="229" t="s">
        <v>70</v>
      </c>
      <c r="I59" s="228">
        <v>4502</v>
      </c>
      <c r="J59" s="229" t="s">
        <v>71</v>
      </c>
      <c r="K59" s="229" t="s">
        <v>349</v>
      </c>
      <c r="L59" s="228">
        <v>4502024</v>
      </c>
      <c r="M59" s="229" t="s">
        <v>350</v>
      </c>
      <c r="N59" s="228">
        <v>4502024</v>
      </c>
      <c r="O59" s="229" t="s">
        <v>350</v>
      </c>
      <c r="P59" s="253">
        <v>450202400</v>
      </c>
      <c r="Q59" s="230" t="s">
        <v>351</v>
      </c>
      <c r="R59" s="253">
        <v>450202400</v>
      </c>
      <c r="S59" s="230" t="s">
        <v>351</v>
      </c>
      <c r="T59" s="232" t="s">
        <v>58</v>
      </c>
      <c r="U59" s="253">
        <v>10</v>
      </c>
      <c r="V59" s="253"/>
      <c r="W59" s="233">
        <f t="shared" si="1"/>
        <v>10</v>
      </c>
      <c r="X59" s="231">
        <v>2020003630067</v>
      </c>
      <c r="Y59" s="276" t="s">
        <v>352</v>
      </c>
      <c r="Z59" s="229" t="s">
        <v>353</v>
      </c>
      <c r="AA59" s="234"/>
      <c r="AB59" s="234"/>
      <c r="AC59" s="234"/>
      <c r="AD59" s="234"/>
      <c r="AE59" s="234"/>
      <c r="AF59" s="234"/>
      <c r="AG59" s="247">
        <f>80000000+43000000</f>
        <v>123000000</v>
      </c>
      <c r="AH59" s="234"/>
      <c r="AI59" s="234"/>
      <c r="AJ59" s="236">
        <f t="shared" si="0"/>
        <v>123000000</v>
      </c>
      <c r="AK59" s="251" t="s">
        <v>274</v>
      </c>
    </row>
    <row r="60" spans="1:37" s="224" customFormat="1" ht="85.9" customHeight="1">
      <c r="A60" s="228">
        <v>309</v>
      </c>
      <c r="B60" s="229" t="s">
        <v>270</v>
      </c>
      <c r="C60" s="228">
        <v>4</v>
      </c>
      <c r="D60" s="229" t="s">
        <v>48</v>
      </c>
      <c r="E60" s="228">
        <v>45</v>
      </c>
      <c r="F60" s="229" t="s">
        <v>49</v>
      </c>
      <c r="G60" s="228">
        <v>4502</v>
      </c>
      <c r="H60" s="229" t="s">
        <v>70</v>
      </c>
      <c r="I60" s="228">
        <v>4502</v>
      </c>
      <c r="J60" s="229" t="s">
        <v>71</v>
      </c>
      <c r="K60" s="229" t="s">
        <v>72</v>
      </c>
      <c r="L60" s="228">
        <v>4502001</v>
      </c>
      <c r="M60" s="229" t="s">
        <v>82</v>
      </c>
      <c r="N60" s="279">
        <v>4502001</v>
      </c>
      <c r="O60" s="229" t="s">
        <v>82</v>
      </c>
      <c r="P60" s="228">
        <v>450200100</v>
      </c>
      <c r="Q60" s="230" t="s">
        <v>354</v>
      </c>
      <c r="R60" s="228">
        <v>450200100</v>
      </c>
      <c r="S60" s="230" t="s">
        <v>84</v>
      </c>
      <c r="T60" s="275" t="s">
        <v>58</v>
      </c>
      <c r="U60" s="253">
        <v>3</v>
      </c>
      <c r="V60" s="253"/>
      <c r="W60" s="233">
        <f t="shared" si="1"/>
        <v>3</v>
      </c>
      <c r="X60" s="231">
        <v>2020003630071</v>
      </c>
      <c r="Y60" s="276" t="s">
        <v>355</v>
      </c>
      <c r="Z60" s="229" t="s">
        <v>356</v>
      </c>
      <c r="AA60" s="234"/>
      <c r="AB60" s="234"/>
      <c r="AC60" s="234"/>
      <c r="AD60" s="234"/>
      <c r="AE60" s="234"/>
      <c r="AF60" s="234"/>
      <c r="AG60" s="247">
        <f>190000000+800000000+49300000-800000000+15000000</f>
        <v>254300000</v>
      </c>
      <c r="AH60" s="234"/>
      <c r="AI60" s="234"/>
      <c r="AJ60" s="236">
        <f t="shared" si="0"/>
        <v>254300000</v>
      </c>
      <c r="AK60" s="251" t="s">
        <v>274</v>
      </c>
    </row>
    <row r="61" spans="1:37" s="224" customFormat="1" ht="85.9" customHeight="1">
      <c r="A61" s="228">
        <v>309</v>
      </c>
      <c r="B61" s="229" t="s">
        <v>270</v>
      </c>
      <c r="C61" s="228">
        <v>4</v>
      </c>
      <c r="D61" s="229" t="s">
        <v>48</v>
      </c>
      <c r="E61" s="228">
        <v>45</v>
      </c>
      <c r="F61" s="229" t="s">
        <v>49</v>
      </c>
      <c r="G61" s="228">
        <v>4502</v>
      </c>
      <c r="H61" s="229" t="s">
        <v>70</v>
      </c>
      <c r="I61" s="228">
        <v>4502</v>
      </c>
      <c r="J61" s="229" t="s">
        <v>71</v>
      </c>
      <c r="K61" s="229" t="s">
        <v>72</v>
      </c>
      <c r="L61" s="228" t="s">
        <v>50</v>
      </c>
      <c r="M61" s="229" t="s">
        <v>357</v>
      </c>
      <c r="N61" s="279">
        <v>4502001</v>
      </c>
      <c r="O61" s="229" t="s">
        <v>82</v>
      </c>
      <c r="P61" s="228" t="s">
        <v>50</v>
      </c>
      <c r="Q61" s="230" t="s">
        <v>358</v>
      </c>
      <c r="R61" s="279">
        <v>450200111</v>
      </c>
      <c r="S61" s="230" t="s">
        <v>359</v>
      </c>
      <c r="T61" s="275" t="s">
        <v>58</v>
      </c>
      <c r="U61" s="280">
        <v>1</v>
      </c>
      <c r="V61" s="280"/>
      <c r="W61" s="233">
        <f t="shared" si="1"/>
        <v>1</v>
      </c>
      <c r="X61" s="231">
        <v>2020003630071</v>
      </c>
      <c r="Y61" s="276" t="s">
        <v>355</v>
      </c>
      <c r="Z61" s="229" t="s">
        <v>356</v>
      </c>
      <c r="AA61" s="234"/>
      <c r="AB61" s="234"/>
      <c r="AC61" s="234"/>
      <c r="AD61" s="234"/>
      <c r="AE61" s="234"/>
      <c r="AF61" s="234"/>
      <c r="AG61" s="247">
        <f>50000000+100000000+34000000-15000000</f>
        <v>169000000</v>
      </c>
      <c r="AH61" s="234"/>
      <c r="AI61" s="234"/>
      <c r="AJ61" s="236">
        <f t="shared" ref="AJ61:AJ121" si="2">SUM(AA61,AB61,AC61,AD61,AE61,AF61,AG61,AH61,AI61)</f>
        <v>169000000</v>
      </c>
      <c r="AK61" s="251" t="s">
        <v>274</v>
      </c>
    </row>
    <row r="62" spans="1:37" s="224" customFormat="1" ht="85.9" customHeight="1">
      <c r="A62" s="228">
        <v>309</v>
      </c>
      <c r="B62" s="229" t="s">
        <v>270</v>
      </c>
      <c r="C62" s="228">
        <v>4</v>
      </c>
      <c r="D62" s="229" t="s">
        <v>48</v>
      </c>
      <c r="E62" s="228">
        <v>45</v>
      </c>
      <c r="F62" s="229" t="s">
        <v>49</v>
      </c>
      <c r="G62" s="228">
        <v>4502</v>
      </c>
      <c r="H62" s="229" t="s">
        <v>70</v>
      </c>
      <c r="I62" s="228">
        <v>4502</v>
      </c>
      <c r="J62" s="229" t="s">
        <v>71</v>
      </c>
      <c r="K62" s="229" t="s">
        <v>72</v>
      </c>
      <c r="L62" s="228" t="s">
        <v>50</v>
      </c>
      <c r="M62" s="229" t="s">
        <v>360</v>
      </c>
      <c r="N62" s="228">
        <v>4502001</v>
      </c>
      <c r="O62" s="229" t="s">
        <v>82</v>
      </c>
      <c r="P62" s="228" t="s">
        <v>50</v>
      </c>
      <c r="Q62" s="230" t="s">
        <v>361</v>
      </c>
      <c r="R62" s="228">
        <v>450200109</v>
      </c>
      <c r="S62" s="230" t="s">
        <v>362</v>
      </c>
      <c r="T62" s="275" t="s">
        <v>58</v>
      </c>
      <c r="U62" s="253">
        <v>12</v>
      </c>
      <c r="V62" s="253"/>
      <c r="W62" s="233">
        <f t="shared" si="1"/>
        <v>12</v>
      </c>
      <c r="X62" s="231">
        <v>2020003630071</v>
      </c>
      <c r="Y62" s="276" t="s">
        <v>355</v>
      </c>
      <c r="Z62" s="229" t="s">
        <v>356</v>
      </c>
      <c r="AA62" s="234"/>
      <c r="AB62" s="234"/>
      <c r="AC62" s="234"/>
      <c r="AD62" s="234"/>
      <c r="AE62" s="234"/>
      <c r="AF62" s="234"/>
      <c r="AG62" s="247">
        <f>35000000+800000000+800000000</f>
        <v>1635000000</v>
      </c>
      <c r="AH62" s="234"/>
      <c r="AI62" s="234"/>
      <c r="AJ62" s="236">
        <f t="shared" si="2"/>
        <v>1635000000</v>
      </c>
      <c r="AK62" s="251" t="s">
        <v>274</v>
      </c>
    </row>
    <row r="63" spans="1:37" s="224" customFormat="1" ht="85.9" customHeight="1">
      <c r="A63" s="228">
        <v>309</v>
      </c>
      <c r="B63" s="229" t="s">
        <v>270</v>
      </c>
      <c r="C63" s="228">
        <v>4</v>
      </c>
      <c r="D63" s="229" t="s">
        <v>48</v>
      </c>
      <c r="E63" s="228">
        <v>45</v>
      </c>
      <c r="F63" s="229" t="s">
        <v>49</v>
      </c>
      <c r="G63" s="228">
        <v>4502</v>
      </c>
      <c r="H63" s="229" t="s">
        <v>70</v>
      </c>
      <c r="I63" s="228">
        <v>4502</v>
      </c>
      <c r="J63" s="229" t="s">
        <v>71</v>
      </c>
      <c r="K63" s="229" t="s">
        <v>72</v>
      </c>
      <c r="L63" s="228" t="s">
        <v>50</v>
      </c>
      <c r="M63" s="229" t="s">
        <v>363</v>
      </c>
      <c r="N63" s="279">
        <v>4502035</v>
      </c>
      <c r="O63" s="229" t="s">
        <v>364</v>
      </c>
      <c r="P63" s="228" t="s">
        <v>50</v>
      </c>
      <c r="Q63" s="230" t="s">
        <v>365</v>
      </c>
      <c r="R63" s="279">
        <v>450203501</v>
      </c>
      <c r="S63" s="230" t="s">
        <v>366</v>
      </c>
      <c r="T63" s="275" t="s">
        <v>152</v>
      </c>
      <c r="U63" s="253">
        <v>0.2</v>
      </c>
      <c r="V63" s="253"/>
      <c r="W63" s="233">
        <f t="shared" si="1"/>
        <v>0.2</v>
      </c>
      <c r="X63" s="231">
        <v>2020003630071</v>
      </c>
      <c r="Y63" s="276" t="s">
        <v>355</v>
      </c>
      <c r="Z63" s="229" t="s">
        <v>356</v>
      </c>
      <c r="AA63" s="234"/>
      <c r="AB63" s="234"/>
      <c r="AC63" s="234"/>
      <c r="AD63" s="234"/>
      <c r="AE63" s="234"/>
      <c r="AF63" s="234"/>
      <c r="AG63" s="247">
        <v>59804619.640000001</v>
      </c>
      <c r="AH63" s="234"/>
      <c r="AI63" s="234"/>
      <c r="AJ63" s="236">
        <f t="shared" si="2"/>
        <v>59804619.640000001</v>
      </c>
      <c r="AK63" s="251" t="s">
        <v>274</v>
      </c>
    </row>
    <row r="64" spans="1:37" s="224" customFormat="1" ht="85.9" customHeight="1">
      <c r="A64" s="228">
        <v>310</v>
      </c>
      <c r="B64" s="229" t="s">
        <v>367</v>
      </c>
      <c r="C64" s="228">
        <v>1</v>
      </c>
      <c r="D64" s="229" t="s">
        <v>143</v>
      </c>
      <c r="E64" s="228">
        <v>33</v>
      </c>
      <c r="F64" s="229" t="s">
        <v>166</v>
      </c>
      <c r="G64" s="228">
        <v>3301</v>
      </c>
      <c r="H64" s="229" t="s">
        <v>167</v>
      </c>
      <c r="I64" s="228">
        <v>3301</v>
      </c>
      <c r="J64" s="229" t="s">
        <v>168</v>
      </c>
      <c r="K64" s="229" t="s">
        <v>368</v>
      </c>
      <c r="L64" s="228">
        <v>3301087</v>
      </c>
      <c r="M64" s="229" t="s">
        <v>369</v>
      </c>
      <c r="N64" s="228">
        <v>3301087</v>
      </c>
      <c r="O64" s="229" t="s">
        <v>369</v>
      </c>
      <c r="P64" s="228">
        <v>330108701</v>
      </c>
      <c r="Q64" s="251" t="s">
        <v>340</v>
      </c>
      <c r="R64" s="228">
        <v>330108701</v>
      </c>
      <c r="S64" s="230" t="s">
        <v>340</v>
      </c>
      <c r="T64" s="232" t="s">
        <v>152</v>
      </c>
      <c r="U64" s="253">
        <v>5750</v>
      </c>
      <c r="V64" s="253"/>
      <c r="W64" s="233">
        <f t="shared" si="1"/>
        <v>5750</v>
      </c>
      <c r="X64" s="231">
        <v>2020003630021</v>
      </c>
      <c r="Y64" s="276" t="s">
        <v>370</v>
      </c>
      <c r="Z64" s="229" t="s">
        <v>371</v>
      </c>
      <c r="AA64" s="234"/>
      <c r="AB64" s="234"/>
      <c r="AC64" s="234"/>
      <c r="AD64" s="234"/>
      <c r="AE64" s="234"/>
      <c r="AF64" s="234"/>
      <c r="AG64" s="247">
        <f>340000000-30000000</f>
        <v>310000000</v>
      </c>
      <c r="AH64" s="234">
        <v>130000000</v>
      </c>
      <c r="AI64" s="234"/>
      <c r="AJ64" s="236">
        <f t="shared" si="2"/>
        <v>440000000</v>
      </c>
      <c r="AK64" s="251" t="s">
        <v>372</v>
      </c>
    </row>
    <row r="65" spans="1:37" s="224" customFormat="1" ht="85.9" customHeight="1">
      <c r="A65" s="228">
        <v>310</v>
      </c>
      <c r="B65" s="229" t="s">
        <v>367</v>
      </c>
      <c r="C65" s="228">
        <v>1</v>
      </c>
      <c r="D65" s="229" t="s">
        <v>143</v>
      </c>
      <c r="E65" s="228">
        <v>33</v>
      </c>
      <c r="F65" s="229" t="s">
        <v>166</v>
      </c>
      <c r="G65" s="228">
        <v>3301</v>
      </c>
      <c r="H65" s="229" t="s">
        <v>167</v>
      </c>
      <c r="I65" s="228">
        <v>3301</v>
      </c>
      <c r="J65" s="229" t="s">
        <v>168</v>
      </c>
      <c r="K65" s="229" t="s">
        <v>373</v>
      </c>
      <c r="L65" s="228">
        <v>3301073</v>
      </c>
      <c r="M65" s="229" t="s">
        <v>374</v>
      </c>
      <c r="N65" s="228">
        <v>3301073</v>
      </c>
      <c r="O65" s="229" t="s">
        <v>374</v>
      </c>
      <c r="P65" s="228">
        <v>330107301</v>
      </c>
      <c r="Q65" s="230" t="s">
        <v>375</v>
      </c>
      <c r="R65" s="228">
        <v>330107301</v>
      </c>
      <c r="S65" s="230" t="s">
        <v>375</v>
      </c>
      <c r="T65" s="232" t="s">
        <v>152</v>
      </c>
      <c r="U65" s="253">
        <v>550</v>
      </c>
      <c r="V65" s="253"/>
      <c r="W65" s="233">
        <f t="shared" si="1"/>
        <v>550</v>
      </c>
      <c r="X65" s="231">
        <v>2020003630021</v>
      </c>
      <c r="Y65" s="276" t="s">
        <v>370</v>
      </c>
      <c r="Z65" s="229" t="s">
        <v>371</v>
      </c>
      <c r="AA65" s="234">
        <f>1906093000+751727382.73</f>
        <v>2657820382.73</v>
      </c>
      <c r="AB65" s="234"/>
      <c r="AC65" s="234"/>
      <c r="AD65" s="234"/>
      <c r="AE65" s="234"/>
      <c r="AF65" s="234"/>
      <c r="AG65" s="247">
        <f>242593784.2+858000000+250000000</f>
        <v>1350593784.2</v>
      </c>
      <c r="AH65" s="234">
        <v>120000000</v>
      </c>
      <c r="AI65" s="234"/>
      <c r="AJ65" s="236">
        <f t="shared" si="2"/>
        <v>4128414166.9300003</v>
      </c>
      <c r="AK65" s="251" t="s">
        <v>372</v>
      </c>
    </row>
    <row r="66" spans="1:37" s="224" customFormat="1" ht="85.9" customHeight="1">
      <c r="A66" s="228">
        <v>310</v>
      </c>
      <c r="B66" s="229" t="s">
        <v>367</v>
      </c>
      <c r="C66" s="228">
        <v>1</v>
      </c>
      <c r="D66" s="229" t="s">
        <v>143</v>
      </c>
      <c r="E66" s="228">
        <v>33</v>
      </c>
      <c r="F66" s="229" t="s">
        <v>166</v>
      </c>
      <c r="G66" s="228">
        <v>3301</v>
      </c>
      <c r="H66" s="229" t="s">
        <v>167</v>
      </c>
      <c r="I66" s="228">
        <v>3301</v>
      </c>
      <c r="J66" s="229" t="s">
        <v>168</v>
      </c>
      <c r="K66" s="230" t="s">
        <v>169</v>
      </c>
      <c r="L66" s="228" t="s">
        <v>50</v>
      </c>
      <c r="M66" s="229" t="s">
        <v>376</v>
      </c>
      <c r="N66" s="228">
        <v>3301070</v>
      </c>
      <c r="O66" s="229" t="s">
        <v>377</v>
      </c>
      <c r="P66" s="228" t="s">
        <v>50</v>
      </c>
      <c r="Q66" s="230" t="s">
        <v>378</v>
      </c>
      <c r="R66" s="228">
        <v>330107000</v>
      </c>
      <c r="S66" s="230" t="s">
        <v>91</v>
      </c>
      <c r="T66" s="232" t="s">
        <v>152</v>
      </c>
      <c r="U66" s="253">
        <v>0.3</v>
      </c>
      <c r="V66" s="253"/>
      <c r="W66" s="233">
        <f t="shared" si="1"/>
        <v>0.3</v>
      </c>
      <c r="X66" s="231">
        <v>2020003630021</v>
      </c>
      <c r="Y66" s="276" t="s">
        <v>370</v>
      </c>
      <c r="Z66" s="229" t="s">
        <v>371</v>
      </c>
      <c r="AA66" s="247"/>
      <c r="AB66" s="234"/>
      <c r="AC66" s="234"/>
      <c r="AD66" s="234"/>
      <c r="AE66" s="234"/>
      <c r="AF66" s="234"/>
      <c r="AG66" s="247">
        <v>30000000</v>
      </c>
      <c r="AH66" s="234"/>
      <c r="AI66" s="234"/>
      <c r="AJ66" s="236">
        <f t="shared" si="2"/>
        <v>30000000</v>
      </c>
      <c r="AK66" s="251" t="s">
        <v>372</v>
      </c>
    </row>
    <row r="67" spans="1:37" s="224" customFormat="1" ht="85.9" customHeight="1">
      <c r="A67" s="228">
        <v>310</v>
      </c>
      <c r="B67" s="229" t="s">
        <v>367</v>
      </c>
      <c r="C67" s="228">
        <v>1</v>
      </c>
      <c r="D67" s="229" t="s">
        <v>143</v>
      </c>
      <c r="E67" s="228">
        <v>33</v>
      </c>
      <c r="F67" s="229" t="s">
        <v>166</v>
      </c>
      <c r="G67" s="228">
        <v>3301</v>
      </c>
      <c r="H67" s="229" t="s">
        <v>167</v>
      </c>
      <c r="I67" s="228">
        <v>3301</v>
      </c>
      <c r="J67" s="229" t="s">
        <v>168</v>
      </c>
      <c r="K67" s="229" t="s">
        <v>373</v>
      </c>
      <c r="L67" s="228">
        <v>3301099</v>
      </c>
      <c r="M67" s="229" t="s">
        <v>379</v>
      </c>
      <c r="N67" s="228">
        <v>3301099</v>
      </c>
      <c r="O67" s="229" t="s">
        <v>379</v>
      </c>
      <c r="P67" s="228">
        <v>330109900</v>
      </c>
      <c r="Q67" s="230" t="s">
        <v>380</v>
      </c>
      <c r="R67" s="228">
        <v>330109900</v>
      </c>
      <c r="S67" s="230" t="s">
        <v>380</v>
      </c>
      <c r="T67" s="253" t="s">
        <v>58</v>
      </c>
      <c r="U67" s="253">
        <v>1</v>
      </c>
      <c r="V67" s="253"/>
      <c r="W67" s="233">
        <f t="shared" si="1"/>
        <v>1</v>
      </c>
      <c r="X67" s="231">
        <v>2020003630021</v>
      </c>
      <c r="Y67" s="276" t="s">
        <v>370</v>
      </c>
      <c r="Z67" s="229" t="s">
        <v>371</v>
      </c>
      <c r="AA67" s="247"/>
      <c r="AB67" s="234"/>
      <c r="AC67" s="234"/>
      <c r="AD67" s="234"/>
      <c r="AE67" s="234"/>
      <c r="AF67" s="234"/>
      <c r="AG67" s="247">
        <v>80000000</v>
      </c>
      <c r="AH67" s="234"/>
      <c r="AI67" s="234"/>
      <c r="AJ67" s="236">
        <f t="shared" si="2"/>
        <v>80000000</v>
      </c>
      <c r="AK67" s="251" t="s">
        <v>372</v>
      </c>
    </row>
    <row r="68" spans="1:37" s="224" customFormat="1" ht="85.9" customHeight="1">
      <c r="A68" s="228">
        <v>310</v>
      </c>
      <c r="B68" s="229" t="s">
        <v>367</v>
      </c>
      <c r="C68" s="228">
        <v>1</v>
      </c>
      <c r="D68" s="229" t="s">
        <v>143</v>
      </c>
      <c r="E68" s="228">
        <v>33</v>
      </c>
      <c r="F68" s="229" t="s">
        <v>166</v>
      </c>
      <c r="G68" s="228">
        <v>3301</v>
      </c>
      <c r="H68" s="229" t="s">
        <v>167</v>
      </c>
      <c r="I68" s="228">
        <v>3301</v>
      </c>
      <c r="J68" s="229" t="s">
        <v>168</v>
      </c>
      <c r="K68" s="229" t="s">
        <v>368</v>
      </c>
      <c r="L68" s="228">
        <v>3301052</v>
      </c>
      <c r="M68" s="229" t="s">
        <v>381</v>
      </c>
      <c r="N68" s="228">
        <v>3301052</v>
      </c>
      <c r="O68" s="229" t="s">
        <v>381</v>
      </c>
      <c r="P68" s="281">
        <v>330105203</v>
      </c>
      <c r="Q68" s="230" t="s">
        <v>382</v>
      </c>
      <c r="R68" s="281">
        <v>330105203</v>
      </c>
      <c r="S68" s="230" t="s">
        <v>382</v>
      </c>
      <c r="T68" s="253" t="s">
        <v>58</v>
      </c>
      <c r="U68" s="253">
        <v>135</v>
      </c>
      <c r="V68" s="253"/>
      <c r="W68" s="233">
        <f t="shared" si="1"/>
        <v>135</v>
      </c>
      <c r="X68" s="231">
        <v>2020003630021</v>
      </c>
      <c r="Y68" s="276" t="s">
        <v>370</v>
      </c>
      <c r="Z68" s="229" t="s">
        <v>371</v>
      </c>
      <c r="AA68" s="247"/>
      <c r="AB68" s="234"/>
      <c r="AC68" s="234"/>
      <c r="AD68" s="234"/>
      <c r="AE68" s="234"/>
      <c r="AF68" s="234"/>
      <c r="AG68" s="247">
        <v>20000000</v>
      </c>
      <c r="AH68" s="234"/>
      <c r="AI68" s="234"/>
      <c r="AJ68" s="236">
        <f t="shared" si="2"/>
        <v>20000000</v>
      </c>
      <c r="AK68" s="251" t="s">
        <v>372</v>
      </c>
    </row>
    <row r="69" spans="1:37" s="224" customFormat="1" ht="85.9" customHeight="1">
      <c r="A69" s="228">
        <v>310</v>
      </c>
      <c r="B69" s="229" t="s">
        <v>367</v>
      </c>
      <c r="C69" s="228">
        <v>1</v>
      </c>
      <c r="D69" s="229" t="s">
        <v>143</v>
      </c>
      <c r="E69" s="228">
        <v>33</v>
      </c>
      <c r="F69" s="229" t="s">
        <v>166</v>
      </c>
      <c r="G69" s="228">
        <v>3301</v>
      </c>
      <c r="H69" s="229" t="s">
        <v>167</v>
      </c>
      <c r="I69" s="228">
        <v>3301</v>
      </c>
      <c r="J69" s="229" t="s">
        <v>168</v>
      </c>
      <c r="K69" s="229" t="s">
        <v>383</v>
      </c>
      <c r="L69" s="228">
        <v>3301085</v>
      </c>
      <c r="M69" s="229" t="s">
        <v>384</v>
      </c>
      <c r="N69" s="228">
        <v>3301085</v>
      </c>
      <c r="O69" s="229" t="s">
        <v>384</v>
      </c>
      <c r="P69" s="228" t="s">
        <v>385</v>
      </c>
      <c r="Q69" s="230" t="s">
        <v>386</v>
      </c>
      <c r="R69" s="228" t="s">
        <v>385</v>
      </c>
      <c r="S69" s="230" t="s">
        <v>386</v>
      </c>
      <c r="T69" s="232" t="s">
        <v>152</v>
      </c>
      <c r="U69" s="282">
        <v>115000</v>
      </c>
      <c r="V69" s="282"/>
      <c r="W69" s="233">
        <f t="shared" si="1"/>
        <v>115000</v>
      </c>
      <c r="X69" s="231">
        <v>2020003630020</v>
      </c>
      <c r="Y69" s="276" t="s">
        <v>387</v>
      </c>
      <c r="Z69" s="276" t="s">
        <v>388</v>
      </c>
      <c r="AA69" s="247">
        <f>217682000+181500232.59</f>
        <v>399182232.59000003</v>
      </c>
      <c r="AB69" s="234"/>
      <c r="AC69" s="234"/>
      <c r="AD69" s="234"/>
      <c r="AE69" s="234"/>
      <c r="AF69" s="234"/>
      <c r="AG69" s="247">
        <v>260000000</v>
      </c>
      <c r="AH69" s="234"/>
      <c r="AI69" s="234"/>
      <c r="AJ69" s="236">
        <f t="shared" si="2"/>
        <v>659182232.59000003</v>
      </c>
      <c r="AK69" s="251" t="s">
        <v>372</v>
      </c>
    </row>
    <row r="70" spans="1:37" s="224" customFormat="1" ht="85.9" customHeight="1">
      <c r="A70" s="228">
        <v>310</v>
      </c>
      <c r="B70" s="229" t="s">
        <v>367</v>
      </c>
      <c r="C70" s="228">
        <v>1</v>
      </c>
      <c r="D70" s="229" t="s">
        <v>143</v>
      </c>
      <c r="E70" s="228">
        <v>33</v>
      </c>
      <c r="F70" s="229" t="s">
        <v>166</v>
      </c>
      <c r="G70" s="228">
        <v>3301</v>
      </c>
      <c r="H70" s="229" t="s">
        <v>167</v>
      </c>
      <c r="I70" s="228">
        <v>3301</v>
      </c>
      <c r="J70" s="229" t="s">
        <v>168</v>
      </c>
      <c r="K70" s="229" t="s">
        <v>383</v>
      </c>
      <c r="L70" s="228">
        <v>3301100</v>
      </c>
      <c r="M70" s="229" t="s">
        <v>389</v>
      </c>
      <c r="N70" s="228">
        <v>3301100</v>
      </c>
      <c r="O70" s="229" t="s">
        <v>389</v>
      </c>
      <c r="P70" s="281" t="s">
        <v>390</v>
      </c>
      <c r="Q70" s="230" t="s">
        <v>391</v>
      </c>
      <c r="R70" s="281" t="s">
        <v>390</v>
      </c>
      <c r="S70" s="230" t="s">
        <v>391</v>
      </c>
      <c r="T70" s="232" t="s">
        <v>152</v>
      </c>
      <c r="U70" s="253">
        <v>10</v>
      </c>
      <c r="V70" s="253"/>
      <c r="W70" s="233">
        <f t="shared" si="1"/>
        <v>10</v>
      </c>
      <c r="X70" s="231">
        <v>2020003630020</v>
      </c>
      <c r="Y70" s="251" t="s">
        <v>387</v>
      </c>
      <c r="Z70" s="276" t="s">
        <v>388</v>
      </c>
      <c r="AA70" s="247">
        <v>100000000</v>
      </c>
      <c r="AB70" s="234"/>
      <c r="AC70" s="234"/>
      <c r="AD70" s="234"/>
      <c r="AE70" s="234"/>
      <c r="AF70" s="234"/>
      <c r="AG70" s="234">
        <v>40000000</v>
      </c>
      <c r="AH70" s="234"/>
      <c r="AI70" s="234"/>
      <c r="AJ70" s="236">
        <f t="shared" si="2"/>
        <v>140000000</v>
      </c>
      <c r="AK70" s="251" t="s">
        <v>372</v>
      </c>
    </row>
    <row r="71" spans="1:37" s="224" customFormat="1" ht="85.9" customHeight="1">
      <c r="A71" s="228">
        <v>310</v>
      </c>
      <c r="B71" s="229" t="s">
        <v>367</v>
      </c>
      <c r="C71" s="228">
        <v>1</v>
      </c>
      <c r="D71" s="229" t="s">
        <v>143</v>
      </c>
      <c r="E71" s="228">
        <v>33</v>
      </c>
      <c r="F71" s="229" t="s">
        <v>166</v>
      </c>
      <c r="G71" s="228">
        <v>3301</v>
      </c>
      <c r="H71" s="229" t="s">
        <v>167</v>
      </c>
      <c r="I71" s="228">
        <v>3301</v>
      </c>
      <c r="J71" s="229" t="s">
        <v>168</v>
      </c>
      <c r="K71" s="229" t="s">
        <v>373</v>
      </c>
      <c r="L71" s="228">
        <v>3301095</v>
      </c>
      <c r="M71" s="229" t="s">
        <v>392</v>
      </c>
      <c r="N71" s="228">
        <v>3301095</v>
      </c>
      <c r="O71" s="229" t="s">
        <v>392</v>
      </c>
      <c r="P71" s="228" t="s">
        <v>393</v>
      </c>
      <c r="Q71" s="230" t="s">
        <v>394</v>
      </c>
      <c r="R71" s="228" t="s">
        <v>393</v>
      </c>
      <c r="S71" s="251" t="s">
        <v>394</v>
      </c>
      <c r="T71" s="232" t="s">
        <v>152</v>
      </c>
      <c r="U71" s="253">
        <v>150</v>
      </c>
      <c r="V71" s="253"/>
      <c r="W71" s="233">
        <f t="shared" si="1"/>
        <v>150</v>
      </c>
      <c r="X71" s="231">
        <v>2020003630072</v>
      </c>
      <c r="Y71" s="276" t="s">
        <v>395</v>
      </c>
      <c r="Z71" s="251" t="s">
        <v>396</v>
      </c>
      <c r="AA71" s="234">
        <f>317682000+139198689.57</f>
        <v>456880689.56999999</v>
      </c>
      <c r="AB71" s="234"/>
      <c r="AC71" s="234"/>
      <c r="AD71" s="234"/>
      <c r="AE71" s="234"/>
      <c r="AF71" s="234"/>
      <c r="AG71" s="247">
        <v>20000000</v>
      </c>
      <c r="AH71" s="234"/>
      <c r="AI71" s="234"/>
      <c r="AJ71" s="236">
        <f t="shared" si="2"/>
        <v>476880689.56999999</v>
      </c>
      <c r="AK71" s="251" t="s">
        <v>372</v>
      </c>
    </row>
    <row r="72" spans="1:37" s="224" customFormat="1" ht="85.9" customHeight="1">
      <c r="A72" s="228">
        <v>310</v>
      </c>
      <c r="B72" s="229" t="s">
        <v>367</v>
      </c>
      <c r="C72" s="228">
        <v>1</v>
      </c>
      <c r="D72" s="229" t="s">
        <v>143</v>
      </c>
      <c r="E72" s="228">
        <v>33</v>
      </c>
      <c r="F72" s="229" t="s">
        <v>166</v>
      </c>
      <c r="G72" s="228">
        <v>3302</v>
      </c>
      <c r="H72" s="229" t="s">
        <v>397</v>
      </c>
      <c r="I72" s="228">
        <v>3302</v>
      </c>
      <c r="J72" s="229" t="s">
        <v>398</v>
      </c>
      <c r="K72" s="229" t="s">
        <v>399</v>
      </c>
      <c r="L72" s="263">
        <v>3302042</v>
      </c>
      <c r="M72" s="229" t="s">
        <v>400</v>
      </c>
      <c r="N72" s="263">
        <v>3302042</v>
      </c>
      <c r="O72" s="229" t="s">
        <v>400</v>
      </c>
      <c r="P72" s="228" t="s">
        <v>401</v>
      </c>
      <c r="Q72" s="230" t="s">
        <v>402</v>
      </c>
      <c r="R72" s="228" t="s">
        <v>401</v>
      </c>
      <c r="S72" s="230" t="s">
        <v>402</v>
      </c>
      <c r="T72" s="232" t="s">
        <v>152</v>
      </c>
      <c r="U72" s="253">
        <v>12</v>
      </c>
      <c r="V72" s="253"/>
      <c r="W72" s="233">
        <f t="shared" ref="W72:W135" si="3">U72</f>
        <v>12</v>
      </c>
      <c r="X72" s="231">
        <v>2020003630073</v>
      </c>
      <c r="Y72" s="276" t="s">
        <v>403</v>
      </c>
      <c r="Z72" s="229" t="s">
        <v>404</v>
      </c>
      <c r="AA72" s="234"/>
      <c r="AB72" s="234"/>
      <c r="AC72" s="234"/>
      <c r="AD72" s="234"/>
      <c r="AE72" s="234"/>
      <c r="AF72" s="234"/>
      <c r="AG72" s="247">
        <v>70000000</v>
      </c>
      <c r="AH72" s="234"/>
      <c r="AI72" s="234"/>
      <c r="AJ72" s="236">
        <f t="shared" si="2"/>
        <v>70000000</v>
      </c>
      <c r="AK72" s="251" t="s">
        <v>372</v>
      </c>
    </row>
    <row r="73" spans="1:37" s="224" customFormat="1" ht="85.9" customHeight="1">
      <c r="A73" s="228">
        <v>310</v>
      </c>
      <c r="B73" s="229" t="s">
        <v>367</v>
      </c>
      <c r="C73" s="228">
        <v>1</v>
      </c>
      <c r="D73" s="229" t="s">
        <v>143</v>
      </c>
      <c r="E73" s="228">
        <v>33</v>
      </c>
      <c r="F73" s="229" t="s">
        <v>166</v>
      </c>
      <c r="G73" s="228">
        <v>3302</v>
      </c>
      <c r="H73" s="229" t="s">
        <v>397</v>
      </c>
      <c r="I73" s="228">
        <v>3302</v>
      </c>
      <c r="J73" s="229" t="s">
        <v>398</v>
      </c>
      <c r="K73" s="229" t="s">
        <v>399</v>
      </c>
      <c r="L73" s="263">
        <v>3302070</v>
      </c>
      <c r="M73" s="229" t="s">
        <v>405</v>
      </c>
      <c r="N73" s="263">
        <v>3302070</v>
      </c>
      <c r="O73" s="229" t="s">
        <v>405</v>
      </c>
      <c r="P73" s="281" t="s">
        <v>406</v>
      </c>
      <c r="Q73" s="230" t="s">
        <v>391</v>
      </c>
      <c r="R73" s="281" t="s">
        <v>406</v>
      </c>
      <c r="S73" s="230" t="s">
        <v>391</v>
      </c>
      <c r="T73" s="232" t="s">
        <v>58</v>
      </c>
      <c r="U73" s="253">
        <v>4</v>
      </c>
      <c r="V73" s="253"/>
      <c r="W73" s="233">
        <f t="shared" si="3"/>
        <v>4</v>
      </c>
      <c r="X73" s="231">
        <v>2020003630073</v>
      </c>
      <c r="Y73" s="276" t="s">
        <v>403</v>
      </c>
      <c r="Z73" s="229" t="s">
        <v>404</v>
      </c>
      <c r="AA73" s="234"/>
      <c r="AB73" s="234"/>
      <c r="AC73" s="234"/>
      <c r="AD73" s="234"/>
      <c r="AE73" s="234"/>
      <c r="AF73" s="234"/>
      <c r="AG73" s="247">
        <v>70000000</v>
      </c>
      <c r="AH73" s="283">
        <f>103859000+1009422.3+5642403</f>
        <v>110510825.3</v>
      </c>
      <c r="AI73" s="234"/>
      <c r="AJ73" s="236">
        <f t="shared" si="2"/>
        <v>180510825.30000001</v>
      </c>
      <c r="AK73" s="251" t="s">
        <v>372</v>
      </c>
    </row>
    <row r="74" spans="1:37" s="224" customFormat="1" ht="85.9" customHeight="1">
      <c r="A74" s="228">
        <v>311</v>
      </c>
      <c r="B74" s="229" t="s">
        <v>407</v>
      </c>
      <c r="C74" s="279">
        <v>2</v>
      </c>
      <c r="D74" s="229" t="s">
        <v>408</v>
      </c>
      <c r="E74" s="228">
        <v>35</v>
      </c>
      <c r="F74" s="229" t="s">
        <v>409</v>
      </c>
      <c r="G74" s="228">
        <v>3502</v>
      </c>
      <c r="H74" s="229" t="s">
        <v>410</v>
      </c>
      <c r="I74" s="228">
        <v>3502</v>
      </c>
      <c r="J74" s="229" t="s">
        <v>411</v>
      </c>
      <c r="K74" s="229" t="s">
        <v>412</v>
      </c>
      <c r="L74" s="228">
        <v>3502006</v>
      </c>
      <c r="M74" s="229" t="s">
        <v>413</v>
      </c>
      <c r="N74" s="279">
        <v>3502006</v>
      </c>
      <c r="O74" s="229" t="s">
        <v>413</v>
      </c>
      <c r="P74" s="228" t="s">
        <v>414</v>
      </c>
      <c r="Q74" s="230" t="s">
        <v>415</v>
      </c>
      <c r="R74" s="228" t="s">
        <v>414</v>
      </c>
      <c r="S74" s="230" t="s">
        <v>415</v>
      </c>
      <c r="T74" s="275" t="s">
        <v>152</v>
      </c>
      <c r="U74" s="253">
        <v>1</v>
      </c>
      <c r="V74" s="253"/>
      <c r="W74" s="233">
        <f t="shared" si="3"/>
        <v>1</v>
      </c>
      <c r="X74" s="231">
        <v>2020003630074</v>
      </c>
      <c r="Y74" s="276" t="s">
        <v>416</v>
      </c>
      <c r="Z74" s="229" t="s">
        <v>417</v>
      </c>
      <c r="AA74" s="234"/>
      <c r="AB74" s="234"/>
      <c r="AC74" s="234"/>
      <c r="AD74" s="234"/>
      <c r="AE74" s="234"/>
      <c r="AF74" s="234"/>
      <c r="AG74" s="234">
        <v>58000000</v>
      </c>
      <c r="AH74" s="234"/>
      <c r="AI74" s="234"/>
      <c r="AJ74" s="236">
        <f t="shared" si="2"/>
        <v>58000000</v>
      </c>
      <c r="AK74" s="251" t="s">
        <v>418</v>
      </c>
    </row>
    <row r="75" spans="1:37" s="224" customFormat="1" ht="85.9" customHeight="1">
      <c r="A75" s="228">
        <v>311</v>
      </c>
      <c r="B75" s="229" t="s">
        <v>407</v>
      </c>
      <c r="C75" s="279">
        <v>2</v>
      </c>
      <c r="D75" s="229" t="s">
        <v>408</v>
      </c>
      <c r="E75" s="228">
        <v>35</v>
      </c>
      <c r="F75" s="229" t="s">
        <v>409</v>
      </c>
      <c r="G75" s="228">
        <v>3502</v>
      </c>
      <c r="H75" s="229" t="s">
        <v>410</v>
      </c>
      <c r="I75" s="228">
        <v>3502</v>
      </c>
      <c r="J75" s="229" t="s">
        <v>411</v>
      </c>
      <c r="K75" s="229" t="s">
        <v>412</v>
      </c>
      <c r="L75" s="228">
        <v>3502007</v>
      </c>
      <c r="M75" s="229" t="s">
        <v>419</v>
      </c>
      <c r="N75" s="279">
        <v>3502007</v>
      </c>
      <c r="O75" s="229" t="s">
        <v>419</v>
      </c>
      <c r="P75" s="228" t="s">
        <v>420</v>
      </c>
      <c r="Q75" s="230" t="s">
        <v>421</v>
      </c>
      <c r="R75" s="228">
        <v>350200700</v>
      </c>
      <c r="S75" s="230" t="s">
        <v>421</v>
      </c>
      <c r="T75" s="275" t="s">
        <v>58</v>
      </c>
      <c r="U75" s="253">
        <v>7</v>
      </c>
      <c r="V75" s="253"/>
      <c r="W75" s="233">
        <f t="shared" si="3"/>
        <v>7</v>
      </c>
      <c r="X75" s="231">
        <v>2020003630074</v>
      </c>
      <c r="Y75" s="276" t="s">
        <v>416</v>
      </c>
      <c r="Z75" s="229" t="s">
        <v>417</v>
      </c>
      <c r="AA75" s="234"/>
      <c r="AB75" s="234"/>
      <c r="AC75" s="234"/>
      <c r="AD75" s="234"/>
      <c r="AE75" s="234"/>
      <c r="AF75" s="234"/>
      <c r="AG75" s="234">
        <v>30000000</v>
      </c>
      <c r="AH75" s="234"/>
      <c r="AI75" s="234"/>
      <c r="AJ75" s="236">
        <f t="shared" si="2"/>
        <v>30000000</v>
      </c>
      <c r="AK75" s="251" t="s">
        <v>418</v>
      </c>
    </row>
    <row r="76" spans="1:37" s="224" customFormat="1" ht="85.9" customHeight="1">
      <c r="A76" s="228">
        <v>311</v>
      </c>
      <c r="B76" s="229" t="s">
        <v>407</v>
      </c>
      <c r="C76" s="279">
        <v>2</v>
      </c>
      <c r="D76" s="229" t="s">
        <v>408</v>
      </c>
      <c r="E76" s="228">
        <v>35</v>
      </c>
      <c r="F76" s="229" t="s">
        <v>409</v>
      </c>
      <c r="G76" s="228">
        <v>3502</v>
      </c>
      <c r="H76" s="229" t="s">
        <v>410</v>
      </c>
      <c r="I76" s="228">
        <v>3502</v>
      </c>
      <c r="J76" s="229" t="s">
        <v>411</v>
      </c>
      <c r="K76" s="229" t="s">
        <v>422</v>
      </c>
      <c r="L76" s="233">
        <v>3502039</v>
      </c>
      <c r="M76" s="229" t="s">
        <v>423</v>
      </c>
      <c r="N76" s="233">
        <v>3502039</v>
      </c>
      <c r="O76" s="229" t="s">
        <v>423</v>
      </c>
      <c r="P76" s="228" t="s">
        <v>424</v>
      </c>
      <c r="Q76" s="230" t="s">
        <v>109</v>
      </c>
      <c r="R76" s="228" t="s">
        <v>424</v>
      </c>
      <c r="S76" s="230" t="s">
        <v>109</v>
      </c>
      <c r="T76" s="232" t="s">
        <v>58</v>
      </c>
      <c r="U76" s="253">
        <v>12</v>
      </c>
      <c r="V76" s="253"/>
      <c r="W76" s="233">
        <f t="shared" si="3"/>
        <v>12</v>
      </c>
      <c r="X76" s="231">
        <v>2020003630076</v>
      </c>
      <c r="Y76" s="276" t="s">
        <v>425</v>
      </c>
      <c r="Z76" s="229" t="s">
        <v>426</v>
      </c>
      <c r="AA76" s="234"/>
      <c r="AB76" s="234"/>
      <c r="AC76" s="234"/>
      <c r="AD76" s="234"/>
      <c r="AE76" s="234"/>
      <c r="AF76" s="234"/>
      <c r="AG76" s="234">
        <v>535133951.44999999</v>
      </c>
      <c r="AH76" s="234">
        <v>500000000</v>
      </c>
      <c r="AI76" s="234"/>
      <c r="AJ76" s="236">
        <f t="shared" si="2"/>
        <v>1035133951.45</v>
      </c>
      <c r="AK76" s="251" t="s">
        <v>418</v>
      </c>
    </row>
    <row r="77" spans="1:37" s="224" customFormat="1" ht="85.9" customHeight="1">
      <c r="A77" s="228">
        <v>311</v>
      </c>
      <c r="B77" s="229" t="s">
        <v>407</v>
      </c>
      <c r="C77" s="279">
        <v>2</v>
      </c>
      <c r="D77" s="229" t="s">
        <v>408</v>
      </c>
      <c r="E77" s="228">
        <v>35</v>
      </c>
      <c r="F77" s="229" t="s">
        <v>409</v>
      </c>
      <c r="G77" s="228">
        <v>3502</v>
      </c>
      <c r="H77" s="229" t="s">
        <v>410</v>
      </c>
      <c r="I77" s="228">
        <v>3502</v>
      </c>
      <c r="J77" s="229" t="s">
        <v>411</v>
      </c>
      <c r="K77" s="229" t="s">
        <v>422</v>
      </c>
      <c r="L77" s="233">
        <v>3502046</v>
      </c>
      <c r="M77" s="229" t="s">
        <v>427</v>
      </c>
      <c r="N77" s="233">
        <v>3502046</v>
      </c>
      <c r="O77" s="229" t="s">
        <v>427</v>
      </c>
      <c r="P77" s="228" t="s">
        <v>428</v>
      </c>
      <c r="Q77" s="230" t="s">
        <v>429</v>
      </c>
      <c r="R77" s="228" t="s">
        <v>428</v>
      </c>
      <c r="S77" s="230" t="s">
        <v>429</v>
      </c>
      <c r="T77" s="275" t="s">
        <v>152</v>
      </c>
      <c r="U77" s="253">
        <v>1</v>
      </c>
      <c r="V77" s="253"/>
      <c r="W77" s="233">
        <f t="shared" si="3"/>
        <v>1</v>
      </c>
      <c r="X77" s="231">
        <v>2020003630077</v>
      </c>
      <c r="Y77" s="276" t="s">
        <v>430</v>
      </c>
      <c r="Z77" s="229" t="s">
        <v>431</v>
      </c>
      <c r="AA77" s="234"/>
      <c r="AB77" s="234"/>
      <c r="AC77" s="234"/>
      <c r="AD77" s="234"/>
      <c r="AE77" s="234"/>
      <c r="AF77" s="234"/>
      <c r="AG77" s="234">
        <v>3300000000</v>
      </c>
      <c r="AH77" s="234">
        <f>1150987000+1500000000+63497927.57</f>
        <v>2714484927.5700002</v>
      </c>
      <c r="AI77" s="234"/>
      <c r="AJ77" s="236">
        <f t="shared" si="2"/>
        <v>6014484927.5699997</v>
      </c>
      <c r="AK77" s="251" t="s">
        <v>418</v>
      </c>
    </row>
    <row r="78" spans="1:37" s="224" customFormat="1" ht="85.9" customHeight="1">
      <c r="A78" s="228">
        <v>311</v>
      </c>
      <c r="B78" s="229" t="s">
        <v>407</v>
      </c>
      <c r="C78" s="279">
        <v>2</v>
      </c>
      <c r="D78" s="229" t="s">
        <v>408</v>
      </c>
      <c r="E78" s="228">
        <v>36</v>
      </c>
      <c r="F78" s="229" t="s">
        <v>432</v>
      </c>
      <c r="G78" s="228">
        <v>3602</v>
      </c>
      <c r="H78" s="229" t="s">
        <v>433</v>
      </c>
      <c r="I78" s="228">
        <v>3602</v>
      </c>
      <c r="J78" s="229" t="s">
        <v>434</v>
      </c>
      <c r="K78" s="229" t="s">
        <v>412</v>
      </c>
      <c r="L78" s="228">
        <v>3602018</v>
      </c>
      <c r="M78" s="229" t="s">
        <v>435</v>
      </c>
      <c r="N78" s="228">
        <v>3602018</v>
      </c>
      <c r="O78" s="229" t="s">
        <v>435</v>
      </c>
      <c r="P78" s="264" t="s">
        <v>436</v>
      </c>
      <c r="Q78" s="230" t="s">
        <v>437</v>
      </c>
      <c r="R78" s="264" t="s">
        <v>436</v>
      </c>
      <c r="S78" s="230" t="s">
        <v>437</v>
      </c>
      <c r="T78" s="275" t="s">
        <v>152</v>
      </c>
      <c r="U78" s="253">
        <v>4</v>
      </c>
      <c r="V78" s="253"/>
      <c r="W78" s="233">
        <f t="shared" si="3"/>
        <v>4</v>
      </c>
      <c r="X78" s="231">
        <v>2020003630078</v>
      </c>
      <c r="Y78" s="276" t="s">
        <v>438</v>
      </c>
      <c r="Z78" s="229" t="s">
        <v>439</v>
      </c>
      <c r="AA78" s="234"/>
      <c r="AB78" s="234"/>
      <c r="AC78" s="234"/>
      <c r="AD78" s="234"/>
      <c r="AE78" s="234"/>
      <c r="AF78" s="234"/>
      <c r="AG78" s="234">
        <f>310000000+500000000</f>
        <v>810000000</v>
      </c>
      <c r="AH78" s="234"/>
      <c r="AI78" s="234"/>
      <c r="AJ78" s="236">
        <f t="shared" si="2"/>
        <v>810000000</v>
      </c>
      <c r="AK78" s="251" t="s">
        <v>418</v>
      </c>
    </row>
    <row r="79" spans="1:37" s="224" customFormat="1" ht="85.9" customHeight="1">
      <c r="A79" s="228">
        <v>311</v>
      </c>
      <c r="B79" s="229" t="s">
        <v>407</v>
      </c>
      <c r="C79" s="279">
        <v>2</v>
      </c>
      <c r="D79" s="229" t="s">
        <v>408</v>
      </c>
      <c r="E79" s="228">
        <v>36</v>
      </c>
      <c r="F79" s="229" t="s">
        <v>432</v>
      </c>
      <c r="G79" s="228">
        <v>3602</v>
      </c>
      <c r="H79" s="229" t="s">
        <v>433</v>
      </c>
      <c r="I79" s="228">
        <v>3602</v>
      </c>
      <c r="J79" s="229" t="s">
        <v>434</v>
      </c>
      <c r="K79" s="229" t="s">
        <v>412</v>
      </c>
      <c r="L79" s="228">
        <v>3602032</v>
      </c>
      <c r="M79" s="229" t="s">
        <v>440</v>
      </c>
      <c r="N79" s="279">
        <v>3602032</v>
      </c>
      <c r="O79" s="229" t="s">
        <v>440</v>
      </c>
      <c r="P79" s="264" t="s">
        <v>441</v>
      </c>
      <c r="Q79" s="230" t="s">
        <v>442</v>
      </c>
      <c r="R79" s="264" t="s">
        <v>441</v>
      </c>
      <c r="S79" s="230" t="s">
        <v>442</v>
      </c>
      <c r="T79" s="253" t="s">
        <v>58</v>
      </c>
      <c r="U79" s="253">
        <v>14</v>
      </c>
      <c r="V79" s="253"/>
      <c r="W79" s="233">
        <f t="shared" si="3"/>
        <v>14</v>
      </c>
      <c r="X79" s="231">
        <v>2020003630078</v>
      </c>
      <c r="Y79" s="276" t="s">
        <v>438</v>
      </c>
      <c r="Z79" s="230" t="s">
        <v>439</v>
      </c>
      <c r="AA79" s="234"/>
      <c r="AB79" s="234"/>
      <c r="AC79" s="234"/>
      <c r="AD79" s="234"/>
      <c r="AE79" s="234"/>
      <c r="AF79" s="234"/>
      <c r="AG79" s="234">
        <v>70000000</v>
      </c>
      <c r="AH79" s="234"/>
      <c r="AI79" s="234"/>
      <c r="AJ79" s="236">
        <f t="shared" si="2"/>
        <v>70000000</v>
      </c>
      <c r="AK79" s="251" t="s">
        <v>418</v>
      </c>
    </row>
    <row r="80" spans="1:37" s="224" customFormat="1" ht="85.9" customHeight="1">
      <c r="A80" s="228">
        <v>311</v>
      </c>
      <c r="B80" s="229" t="s">
        <v>407</v>
      </c>
      <c r="C80" s="279">
        <v>2</v>
      </c>
      <c r="D80" s="229" t="s">
        <v>408</v>
      </c>
      <c r="E80" s="228">
        <v>36</v>
      </c>
      <c r="F80" s="229" t="s">
        <v>432</v>
      </c>
      <c r="G80" s="228">
        <v>3602</v>
      </c>
      <c r="H80" s="229" t="s">
        <v>433</v>
      </c>
      <c r="I80" s="228">
        <v>3602</v>
      </c>
      <c r="J80" s="229" t="s">
        <v>434</v>
      </c>
      <c r="K80" s="229" t="s">
        <v>412</v>
      </c>
      <c r="L80" s="228">
        <v>3602029</v>
      </c>
      <c r="M80" s="229" t="s">
        <v>443</v>
      </c>
      <c r="N80" s="279">
        <v>3602029</v>
      </c>
      <c r="O80" s="229" t="s">
        <v>443</v>
      </c>
      <c r="P80" s="264" t="s">
        <v>444</v>
      </c>
      <c r="Q80" s="230" t="s">
        <v>445</v>
      </c>
      <c r="R80" s="264" t="s">
        <v>444</v>
      </c>
      <c r="S80" s="230" t="s">
        <v>445</v>
      </c>
      <c r="T80" s="275" t="s">
        <v>152</v>
      </c>
      <c r="U80" s="253">
        <v>13</v>
      </c>
      <c r="V80" s="253"/>
      <c r="W80" s="233">
        <f t="shared" si="3"/>
        <v>13</v>
      </c>
      <c r="X80" s="231">
        <v>2020003630078</v>
      </c>
      <c r="Y80" s="230" t="s">
        <v>438</v>
      </c>
      <c r="Z80" s="230" t="s">
        <v>439</v>
      </c>
      <c r="AA80" s="234"/>
      <c r="AB80" s="234"/>
      <c r="AC80" s="234"/>
      <c r="AD80" s="234"/>
      <c r="AE80" s="234"/>
      <c r="AF80" s="234"/>
      <c r="AG80" s="234">
        <v>65000000</v>
      </c>
      <c r="AH80" s="234"/>
      <c r="AI80" s="234"/>
      <c r="AJ80" s="236">
        <f t="shared" si="2"/>
        <v>65000000</v>
      </c>
      <c r="AK80" s="251" t="s">
        <v>418</v>
      </c>
    </row>
    <row r="81" spans="1:37" s="224" customFormat="1" ht="85.9" customHeight="1">
      <c r="A81" s="228">
        <v>311</v>
      </c>
      <c r="B81" s="229" t="s">
        <v>407</v>
      </c>
      <c r="C81" s="279">
        <v>2</v>
      </c>
      <c r="D81" s="229" t="s">
        <v>408</v>
      </c>
      <c r="E81" s="228">
        <v>36</v>
      </c>
      <c r="F81" s="229" t="s">
        <v>432</v>
      </c>
      <c r="G81" s="228">
        <v>3602</v>
      </c>
      <c r="H81" s="229" t="s">
        <v>433</v>
      </c>
      <c r="I81" s="228">
        <v>3602</v>
      </c>
      <c r="J81" s="229" t="s">
        <v>434</v>
      </c>
      <c r="K81" s="229" t="s">
        <v>412</v>
      </c>
      <c r="L81" s="228">
        <v>3602030</v>
      </c>
      <c r="M81" s="229" t="s">
        <v>446</v>
      </c>
      <c r="N81" s="279">
        <v>3602030</v>
      </c>
      <c r="O81" s="229" t="s">
        <v>446</v>
      </c>
      <c r="P81" s="264" t="s">
        <v>447</v>
      </c>
      <c r="Q81" s="230" t="s">
        <v>448</v>
      </c>
      <c r="R81" s="264" t="s">
        <v>447</v>
      </c>
      <c r="S81" s="230" t="s">
        <v>448</v>
      </c>
      <c r="T81" s="275" t="s">
        <v>152</v>
      </c>
      <c r="U81" s="253">
        <v>4</v>
      </c>
      <c r="V81" s="253"/>
      <c r="W81" s="233">
        <f t="shared" si="3"/>
        <v>4</v>
      </c>
      <c r="X81" s="231">
        <v>2020003630078</v>
      </c>
      <c r="Y81" s="230" t="s">
        <v>438</v>
      </c>
      <c r="Z81" s="230" t="s">
        <v>439</v>
      </c>
      <c r="AA81" s="234"/>
      <c r="AB81" s="234"/>
      <c r="AC81" s="234"/>
      <c r="AD81" s="234"/>
      <c r="AE81" s="234"/>
      <c r="AF81" s="234"/>
      <c r="AG81" s="234">
        <v>25000000</v>
      </c>
      <c r="AH81" s="234"/>
      <c r="AI81" s="234"/>
      <c r="AJ81" s="236">
        <f t="shared" si="2"/>
        <v>25000000</v>
      </c>
      <c r="AK81" s="251" t="s">
        <v>418</v>
      </c>
    </row>
    <row r="82" spans="1:37" s="224" customFormat="1" ht="85.9" customHeight="1">
      <c r="A82" s="228">
        <v>312</v>
      </c>
      <c r="B82" s="229" t="s">
        <v>449</v>
      </c>
      <c r="C82" s="228">
        <v>2</v>
      </c>
      <c r="D82" s="229" t="s">
        <v>408</v>
      </c>
      <c r="E82" s="228">
        <v>17</v>
      </c>
      <c r="F82" s="229" t="s">
        <v>450</v>
      </c>
      <c r="G82" s="228">
        <v>1702</v>
      </c>
      <c r="H82" s="229" t="s">
        <v>451</v>
      </c>
      <c r="I82" s="228">
        <v>1702</v>
      </c>
      <c r="J82" s="229" t="s">
        <v>452</v>
      </c>
      <c r="K82" s="229" t="s">
        <v>453</v>
      </c>
      <c r="L82" s="233">
        <v>1702011</v>
      </c>
      <c r="M82" s="229" t="s">
        <v>454</v>
      </c>
      <c r="N82" s="233">
        <v>1702011</v>
      </c>
      <c r="O82" s="229" t="s">
        <v>454</v>
      </c>
      <c r="P82" s="228" t="s">
        <v>455</v>
      </c>
      <c r="Q82" s="251" t="s">
        <v>456</v>
      </c>
      <c r="R82" s="228" t="s">
        <v>455</v>
      </c>
      <c r="S82" s="230" t="s">
        <v>456</v>
      </c>
      <c r="T82" s="232" t="s">
        <v>58</v>
      </c>
      <c r="U82" s="253">
        <v>30</v>
      </c>
      <c r="V82" s="253"/>
      <c r="W82" s="233">
        <f t="shared" si="3"/>
        <v>30</v>
      </c>
      <c r="X82" s="231">
        <v>2020003630079</v>
      </c>
      <c r="Y82" s="229" t="s">
        <v>457</v>
      </c>
      <c r="Z82" s="229" t="s">
        <v>458</v>
      </c>
      <c r="AA82" s="234"/>
      <c r="AB82" s="234"/>
      <c r="AC82" s="234"/>
      <c r="AD82" s="234"/>
      <c r="AE82" s="234"/>
      <c r="AF82" s="234"/>
      <c r="AG82" s="247">
        <v>180000000</v>
      </c>
      <c r="AH82" s="234"/>
      <c r="AI82" s="234"/>
      <c r="AJ82" s="236">
        <f t="shared" si="2"/>
        <v>180000000</v>
      </c>
      <c r="AK82" s="284" t="s">
        <v>459</v>
      </c>
    </row>
    <row r="83" spans="1:37" s="224" customFormat="1" ht="85.9" customHeight="1">
      <c r="A83" s="228">
        <v>312</v>
      </c>
      <c r="B83" s="229" t="s">
        <v>449</v>
      </c>
      <c r="C83" s="228">
        <v>2</v>
      </c>
      <c r="D83" s="229" t="s">
        <v>408</v>
      </c>
      <c r="E83" s="228">
        <v>17</v>
      </c>
      <c r="F83" s="229" t="s">
        <v>450</v>
      </c>
      <c r="G83" s="228">
        <v>1702</v>
      </c>
      <c r="H83" s="229" t="s">
        <v>451</v>
      </c>
      <c r="I83" s="228">
        <v>1702</v>
      </c>
      <c r="J83" s="229" t="s">
        <v>452</v>
      </c>
      <c r="K83" s="229" t="s">
        <v>453</v>
      </c>
      <c r="L83" s="233">
        <v>1702007</v>
      </c>
      <c r="M83" s="229" t="s">
        <v>460</v>
      </c>
      <c r="N83" s="233">
        <v>1702007</v>
      </c>
      <c r="O83" s="229" t="s">
        <v>460</v>
      </c>
      <c r="P83" s="264" t="s">
        <v>461</v>
      </c>
      <c r="Q83" s="230" t="s">
        <v>462</v>
      </c>
      <c r="R83" s="264" t="s">
        <v>461</v>
      </c>
      <c r="S83" s="230" t="s">
        <v>462</v>
      </c>
      <c r="T83" s="285" t="s">
        <v>152</v>
      </c>
      <c r="U83" s="253">
        <v>3</v>
      </c>
      <c r="V83" s="253"/>
      <c r="W83" s="233">
        <f t="shared" si="3"/>
        <v>3</v>
      </c>
      <c r="X83" s="231">
        <v>2020003630079</v>
      </c>
      <c r="Y83" s="229" t="s">
        <v>457</v>
      </c>
      <c r="Z83" s="229" t="s">
        <v>458</v>
      </c>
      <c r="AA83" s="234"/>
      <c r="AB83" s="234"/>
      <c r="AC83" s="234"/>
      <c r="AD83" s="234"/>
      <c r="AE83" s="234"/>
      <c r="AF83" s="234"/>
      <c r="AG83" s="247">
        <v>390000000</v>
      </c>
      <c r="AH83" s="234"/>
      <c r="AI83" s="234"/>
      <c r="AJ83" s="236">
        <f t="shared" si="2"/>
        <v>390000000</v>
      </c>
      <c r="AK83" s="284" t="s">
        <v>459</v>
      </c>
    </row>
    <row r="84" spans="1:37" s="224" customFormat="1" ht="85.9" customHeight="1">
      <c r="A84" s="228">
        <v>312</v>
      </c>
      <c r="B84" s="229" t="s">
        <v>449</v>
      </c>
      <c r="C84" s="228">
        <v>2</v>
      </c>
      <c r="D84" s="229" t="s">
        <v>408</v>
      </c>
      <c r="E84" s="228">
        <v>17</v>
      </c>
      <c r="F84" s="229" t="s">
        <v>450</v>
      </c>
      <c r="G84" s="228">
        <v>1702</v>
      </c>
      <c r="H84" s="229" t="s">
        <v>451</v>
      </c>
      <c r="I84" s="228">
        <v>1702</v>
      </c>
      <c r="J84" s="229" t="s">
        <v>452</v>
      </c>
      <c r="K84" s="229" t="s">
        <v>453</v>
      </c>
      <c r="L84" s="233">
        <v>1702009</v>
      </c>
      <c r="M84" s="229" t="s">
        <v>463</v>
      </c>
      <c r="N84" s="233">
        <v>1702009</v>
      </c>
      <c r="O84" s="229" t="s">
        <v>463</v>
      </c>
      <c r="P84" s="264" t="s">
        <v>464</v>
      </c>
      <c r="Q84" s="230" t="s">
        <v>465</v>
      </c>
      <c r="R84" s="264" t="s">
        <v>464</v>
      </c>
      <c r="S84" s="230" t="s">
        <v>465</v>
      </c>
      <c r="T84" s="285" t="s">
        <v>152</v>
      </c>
      <c r="U84" s="253">
        <v>166</v>
      </c>
      <c r="V84" s="253"/>
      <c r="W84" s="233">
        <f t="shared" si="3"/>
        <v>166</v>
      </c>
      <c r="X84" s="231">
        <v>2020003630079</v>
      </c>
      <c r="Y84" s="229" t="s">
        <v>457</v>
      </c>
      <c r="Z84" s="229" t="s">
        <v>458</v>
      </c>
      <c r="AA84" s="234"/>
      <c r="AB84" s="234"/>
      <c r="AC84" s="234"/>
      <c r="AD84" s="234"/>
      <c r="AE84" s="234"/>
      <c r="AF84" s="234"/>
      <c r="AG84" s="247">
        <v>80000000</v>
      </c>
      <c r="AH84" s="234"/>
      <c r="AI84" s="234"/>
      <c r="AJ84" s="236">
        <f t="shared" si="2"/>
        <v>80000000</v>
      </c>
      <c r="AK84" s="284" t="s">
        <v>459</v>
      </c>
    </row>
    <row r="85" spans="1:37" s="224" customFormat="1" ht="85.9" customHeight="1">
      <c r="A85" s="228">
        <v>312</v>
      </c>
      <c r="B85" s="229" t="s">
        <v>449</v>
      </c>
      <c r="C85" s="228">
        <v>2</v>
      </c>
      <c r="D85" s="229" t="s">
        <v>408</v>
      </c>
      <c r="E85" s="228">
        <v>17</v>
      </c>
      <c r="F85" s="229" t="s">
        <v>450</v>
      </c>
      <c r="G85" s="228">
        <v>1702</v>
      </c>
      <c r="H85" s="229" t="s">
        <v>451</v>
      </c>
      <c r="I85" s="228">
        <v>1702</v>
      </c>
      <c r="J85" s="229" t="s">
        <v>452</v>
      </c>
      <c r="K85" s="229" t="s">
        <v>453</v>
      </c>
      <c r="L85" s="233">
        <v>1702017</v>
      </c>
      <c r="M85" s="229" t="s">
        <v>466</v>
      </c>
      <c r="N85" s="286">
        <v>1702017</v>
      </c>
      <c r="O85" s="229" t="s">
        <v>466</v>
      </c>
      <c r="P85" s="264" t="s">
        <v>467</v>
      </c>
      <c r="Q85" s="230" t="s">
        <v>468</v>
      </c>
      <c r="R85" s="264" t="s">
        <v>467</v>
      </c>
      <c r="S85" s="230" t="s">
        <v>468</v>
      </c>
      <c r="T85" s="285" t="s">
        <v>152</v>
      </c>
      <c r="U85" s="253">
        <v>100</v>
      </c>
      <c r="V85" s="253"/>
      <c r="W85" s="233">
        <f t="shared" si="3"/>
        <v>100</v>
      </c>
      <c r="X85" s="231">
        <v>2020003630023</v>
      </c>
      <c r="Y85" s="230" t="s">
        <v>469</v>
      </c>
      <c r="Z85" s="230" t="s">
        <v>470</v>
      </c>
      <c r="AA85" s="234"/>
      <c r="AB85" s="234"/>
      <c r="AC85" s="234"/>
      <c r="AD85" s="234"/>
      <c r="AE85" s="234"/>
      <c r="AF85" s="234"/>
      <c r="AG85" s="247">
        <v>190000000</v>
      </c>
      <c r="AH85" s="234"/>
      <c r="AI85" s="234"/>
      <c r="AJ85" s="236">
        <f t="shared" si="2"/>
        <v>190000000</v>
      </c>
      <c r="AK85" s="284" t="s">
        <v>459</v>
      </c>
    </row>
    <row r="86" spans="1:37" s="224" customFormat="1" ht="85.9" customHeight="1">
      <c r="A86" s="228">
        <v>312</v>
      </c>
      <c r="B86" s="229" t="s">
        <v>449</v>
      </c>
      <c r="C86" s="228">
        <v>2</v>
      </c>
      <c r="D86" s="229" t="s">
        <v>408</v>
      </c>
      <c r="E86" s="228">
        <v>17</v>
      </c>
      <c r="F86" s="229" t="s">
        <v>450</v>
      </c>
      <c r="G86" s="228">
        <v>1702</v>
      </c>
      <c r="H86" s="229" t="s">
        <v>451</v>
      </c>
      <c r="I86" s="228">
        <v>1702</v>
      </c>
      <c r="J86" s="229" t="s">
        <v>452</v>
      </c>
      <c r="K86" s="229" t="s">
        <v>453</v>
      </c>
      <c r="L86" s="233">
        <v>1702014</v>
      </c>
      <c r="M86" s="229" t="s">
        <v>471</v>
      </c>
      <c r="N86" s="233">
        <v>1702014</v>
      </c>
      <c r="O86" s="229" t="s">
        <v>471</v>
      </c>
      <c r="P86" s="264" t="s">
        <v>472</v>
      </c>
      <c r="Q86" s="230" t="s">
        <v>473</v>
      </c>
      <c r="R86" s="264" t="s">
        <v>472</v>
      </c>
      <c r="S86" s="230" t="s">
        <v>473</v>
      </c>
      <c r="T86" s="285" t="s">
        <v>152</v>
      </c>
      <c r="U86" s="253">
        <v>25</v>
      </c>
      <c r="V86" s="253"/>
      <c r="W86" s="233">
        <f t="shared" si="3"/>
        <v>25</v>
      </c>
      <c r="X86" s="231">
        <v>2020003630023</v>
      </c>
      <c r="Y86" s="230" t="s">
        <v>469</v>
      </c>
      <c r="Z86" s="230" t="s">
        <v>470</v>
      </c>
      <c r="AA86" s="234"/>
      <c r="AB86" s="234"/>
      <c r="AC86" s="234"/>
      <c r="AD86" s="234"/>
      <c r="AE86" s="234"/>
      <c r="AF86" s="234"/>
      <c r="AG86" s="247">
        <v>150000000</v>
      </c>
      <c r="AH86" s="234"/>
      <c r="AI86" s="234"/>
      <c r="AJ86" s="236">
        <f t="shared" si="2"/>
        <v>150000000</v>
      </c>
      <c r="AK86" s="284" t="s">
        <v>459</v>
      </c>
    </row>
    <row r="87" spans="1:37" s="224" customFormat="1" ht="85.9" customHeight="1">
      <c r="A87" s="228">
        <v>312</v>
      </c>
      <c r="B87" s="229" t="s">
        <v>449</v>
      </c>
      <c r="C87" s="228">
        <v>2</v>
      </c>
      <c r="D87" s="229" t="s">
        <v>408</v>
      </c>
      <c r="E87" s="228">
        <v>17</v>
      </c>
      <c r="F87" s="229" t="s">
        <v>450</v>
      </c>
      <c r="G87" s="228">
        <v>1702</v>
      </c>
      <c r="H87" s="229" t="s">
        <v>451</v>
      </c>
      <c r="I87" s="228">
        <v>1702</v>
      </c>
      <c r="J87" s="229" t="s">
        <v>452</v>
      </c>
      <c r="K87" s="229" t="s">
        <v>453</v>
      </c>
      <c r="L87" s="233">
        <v>1702021</v>
      </c>
      <c r="M87" s="229" t="s">
        <v>474</v>
      </c>
      <c r="N87" s="233">
        <v>1702021</v>
      </c>
      <c r="O87" s="229" t="s">
        <v>474</v>
      </c>
      <c r="P87" s="264" t="s">
        <v>475</v>
      </c>
      <c r="Q87" s="230" t="s">
        <v>476</v>
      </c>
      <c r="R87" s="264" t="s">
        <v>475</v>
      </c>
      <c r="S87" s="230" t="s">
        <v>476</v>
      </c>
      <c r="T87" s="285" t="s">
        <v>152</v>
      </c>
      <c r="U87" s="253">
        <v>150</v>
      </c>
      <c r="V87" s="253"/>
      <c r="W87" s="233">
        <f t="shared" si="3"/>
        <v>150</v>
      </c>
      <c r="X87" s="231">
        <v>2020003630023</v>
      </c>
      <c r="Y87" s="230" t="s">
        <v>469</v>
      </c>
      <c r="Z87" s="230" t="s">
        <v>470</v>
      </c>
      <c r="AA87" s="234"/>
      <c r="AB87" s="234"/>
      <c r="AC87" s="234"/>
      <c r="AD87" s="234"/>
      <c r="AE87" s="234"/>
      <c r="AF87" s="234"/>
      <c r="AG87" s="247">
        <v>62000000</v>
      </c>
      <c r="AH87" s="234"/>
      <c r="AI87" s="234"/>
      <c r="AJ87" s="236">
        <f t="shared" si="2"/>
        <v>62000000</v>
      </c>
      <c r="AK87" s="284" t="s">
        <v>459</v>
      </c>
    </row>
    <row r="88" spans="1:37" s="224" customFormat="1" ht="85.9" customHeight="1">
      <c r="A88" s="228">
        <v>312</v>
      </c>
      <c r="B88" s="229" t="s">
        <v>449</v>
      </c>
      <c r="C88" s="228">
        <v>2</v>
      </c>
      <c r="D88" s="229" t="s">
        <v>408</v>
      </c>
      <c r="E88" s="228">
        <v>17</v>
      </c>
      <c r="F88" s="229" t="s">
        <v>450</v>
      </c>
      <c r="G88" s="228">
        <v>1702</v>
      </c>
      <c r="H88" s="229" t="s">
        <v>451</v>
      </c>
      <c r="I88" s="228">
        <v>1702</v>
      </c>
      <c r="J88" s="229" t="s">
        <v>452</v>
      </c>
      <c r="K88" s="229" t="s">
        <v>453</v>
      </c>
      <c r="L88" s="233">
        <v>1702038</v>
      </c>
      <c r="M88" s="229" t="s">
        <v>477</v>
      </c>
      <c r="N88" s="233">
        <v>1702038</v>
      </c>
      <c r="O88" s="229" t="s">
        <v>477</v>
      </c>
      <c r="P88" s="228" t="s">
        <v>478</v>
      </c>
      <c r="Q88" s="230" t="s">
        <v>479</v>
      </c>
      <c r="R88" s="228" t="s">
        <v>478</v>
      </c>
      <c r="S88" s="230" t="s">
        <v>479</v>
      </c>
      <c r="T88" s="253" t="s">
        <v>58</v>
      </c>
      <c r="U88" s="253">
        <v>30</v>
      </c>
      <c r="V88" s="253"/>
      <c r="W88" s="233">
        <f t="shared" si="3"/>
        <v>30</v>
      </c>
      <c r="X88" s="231">
        <v>2020003630080</v>
      </c>
      <c r="Y88" s="252" t="s">
        <v>480</v>
      </c>
      <c r="Z88" s="229" t="s">
        <v>481</v>
      </c>
      <c r="AA88" s="234"/>
      <c r="AB88" s="234"/>
      <c r="AC88" s="234"/>
      <c r="AD88" s="234"/>
      <c r="AE88" s="234"/>
      <c r="AF88" s="234"/>
      <c r="AG88" s="247">
        <v>90000000</v>
      </c>
      <c r="AH88" s="234"/>
      <c r="AI88" s="234"/>
      <c r="AJ88" s="236">
        <f t="shared" si="2"/>
        <v>90000000</v>
      </c>
      <c r="AK88" s="284" t="s">
        <v>459</v>
      </c>
    </row>
    <row r="89" spans="1:37" s="224" customFormat="1" ht="85.9" customHeight="1">
      <c r="A89" s="228">
        <v>312</v>
      </c>
      <c r="B89" s="229" t="s">
        <v>449</v>
      </c>
      <c r="C89" s="228">
        <v>2</v>
      </c>
      <c r="D89" s="229" t="s">
        <v>408</v>
      </c>
      <c r="E89" s="228">
        <v>17</v>
      </c>
      <c r="F89" s="229" t="s">
        <v>450</v>
      </c>
      <c r="G89" s="228">
        <v>1702</v>
      </c>
      <c r="H89" s="229" t="s">
        <v>451</v>
      </c>
      <c r="I89" s="228">
        <v>1702</v>
      </c>
      <c r="J89" s="229" t="s">
        <v>452</v>
      </c>
      <c r="K89" s="229" t="s">
        <v>453</v>
      </c>
      <c r="L89" s="233">
        <v>1702038</v>
      </c>
      <c r="M89" s="229" t="s">
        <v>477</v>
      </c>
      <c r="N89" s="233">
        <v>1702038</v>
      </c>
      <c r="O89" s="229" t="s">
        <v>477</v>
      </c>
      <c r="P89" s="228" t="s">
        <v>482</v>
      </c>
      <c r="Q89" s="230" t="s">
        <v>483</v>
      </c>
      <c r="R89" s="228" t="s">
        <v>482</v>
      </c>
      <c r="S89" s="230" t="s">
        <v>483</v>
      </c>
      <c r="T89" s="285" t="s">
        <v>152</v>
      </c>
      <c r="U89" s="253">
        <v>80</v>
      </c>
      <c r="V89" s="253"/>
      <c r="W89" s="233">
        <f t="shared" si="3"/>
        <v>80</v>
      </c>
      <c r="X89" s="231">
        <v>2020003630080</v>
      </c>
      <c r="Y89" s="252" t="s">
        <v>480</v>
      </c>
      <c r="Z89" s="229" t="s">
        <v>481</v>
      </c>
      <c r="AA89" s="234"/>
      <c r="AB89" s="234"/>
      <c r="AC89" s="234"/>
      <c r="AD89" s="234"/>
      <c r="AE89" s="234"/>
      <c r="AF89" s="234"/>
      <c r="AG89" s="247">
        <v>98000000</v>
      </c>
      <c r="AH89" s="234"/>
      <c r="AI89" s="234"/>
      <c r="AJ89" s="236">
        <f t="shared" si="2"/>
        <v>98000000</v>
      </c>
      <c r="AK89" s="284" t="s">
        <v>459</v>
      </c>
    </row>
    <row r="90" spans="1:37" s="224" customFormat="1" ht="85.9" customHeight="1">
      <c r="A90" s="228">
        <v>312</v>
      </c>
      <c r="B90" s="229" t="s">
        <v>449</v>
      </c>
      <c r="C90" s="228">
        <v>2</v>
      </c>
      <c r="D90" s="229" t="s">
        <v>408</v>
      </c>
      <c r="E90" s="228">
        <v>17</v>
      </c>
      <c r="F90" s="229" t="s">
        <v>450</v>
      </c>
      <c r="G90" s="228">
        <v>1702</v>
      </c>
      <c r="H90" s="229" t="s">
        <v>451</v>
      </c>
      <c r="I90" s="228">
        <v>1702</v>
      </c>
      <c r="J90" s="229" t="s">
        <v>452</v>
      </c>
      <c r="K90" s="229" t="s">
        <v>453</v>
      </c>
      <c r="L90" s="233">
        <v>1702023</v>
      </c>
      <c r="M90" s="229" t="s">
        <v>235</v>
      </c>
      <c r="N90" s="233">
        <v>1702023</v>
      </c>
      <c r="O90" s="229" t="s">
        <v>235</v>
      </c>
      <c r="P90" s="228" t="s">
        <v>484</v>
      </c>
      <c r="Q90" s="230" t="s">
        <v>485</v>
      </c>
      <c r="R90" s="228" t="s">
        <v>484</v>
      </c>
      <c r="S90" s="251" t="s">
        <v>485</v>
      </c>
      <c r="T90" s="285" t="s">
        <v>58</v>
      </c>
      <c r="U90" s="253">
        <v>1</v>
      </c>
      <c r="V90" s="253"/>
      <c r="W90" s="233">
        <f t="shared" si="3"/>
        <v>1</v>
      </c>
      <c r="X90" s="231">
        <v>2020003630022</v>
      </c>
      <c r="Y90" s="276" t="s">
        <v>486</v>
      </c>
      <c r="Z90" s="229" t="s">
        <v>487</v>
      </c>
      <c r="AA90" s="234"/>
      <c r="AB90" s="234"/>
      <c r="AC90" s="234"/>
      <c r="AD90" s="234"/>
      <c r="AE90" s="234"/>
      <c r="AF90" s="234"/>
      <c r="AG90" s="247">
        <v>56000000</v>
      </c>
      <c r="AH90" s="234"/>
      <c r="AI90" s="234"/>
      <c r="AJ90" s="236">
        <f t="shared" si="2"/>
        <v>56000000</v>
      </c>
      <c r="AK90" s="284" t="s">
        <v>459</v>
      </c>
    </row>
    <row r="91" spans="1:37" s="224" customFormat="1" ht="85.9" customHeight="1">
      <c r="A91" s="228">
        <v>312</v>
      </c>
      <c r="B91" s="229" t="s">
        <v>449</v>
      </c>
      <c r="C91" s="228">
        <v>2</v>
      </c>
      <c r="D91" s="229" t="s">
        <v>408</v>
      </c>
      <c r="E91" s="228">
        <v>17</v>
      </c>
      <c r="F91" s="229" t="s">
        <v>450</v>
      </c>
      <c r="G91" s="228">
        <v>1702</v>
      </c>
      <c r="H91" s="229" t="s">
        <v>451</v>
      </c>
      <c r="I91" s="228">
        <v>1702</v>
      </c>
      <c r="J91" s="229" t="s">
        <v>452</v>
      </c>
      <c r="K91" s="229" t="s">
        <v>453</v>
      </c>
      <c r="L91" s="233">
        <v>1702024</v>
      </c>
      <c r="M91" s="229" t="s">
        <v>488</v>
      </c>
      <c r="N91" s="233">
        <v>1702024</v>
      </c>
      <c r="O91" s="229" t="s">
        <v>488</v>
      </c>
      <c r="P91" s="264" t="s">
        <v>489</v>
      </c>
      <c r="Q91" s="230" t="s">
        <v>490</v>
      </c>
      <c r="R91" s="264" t="s">
        <v>489</v>
      </c>
      <c r="S91" s="230" t="s">
        <v>490</v>
      </c>
      <c r="T91" s="285" t="s">
        <v>58</v>
      </c>
      <c r="U91" s="253">
        <v>12</v>
      </c>
      <c r="V91" s="253"/>
      <c r="W91" s="233">
        <f t="shared" si="3"/>
        <v>12</v>
      </c>
      <c r="X91" s="231">
        <v>2020003630022</v>
      </c>
      <c r="Y91" s="252" t="s">
        <v>486</v>
      </c>
      <c r="Z91" s="229" t="s">
        <v>487</v>
      </c>
      <c r="AA91" s="234"/>
      <c r="AB91" s="234"/>
      <c r="AC91" s="234"/>
      <c r="AD91" s="234"/>
      <c r="AE91" s="234"/>
      <c r="AF91" s="234"/>
      <c r="AG91" s="247">
        <v>95000000</v>
      </c>
      <c r="AH91" s="234"/>
      <c r="AI91" s="234"/>
      <c r="AJ91" s="236">
        <f t="shared" si="2"/>
        <v>95000000</v>
      </c>
      <c r="AK91" s="284" t="s">
        <v>459</v>
      </c>
    </row>
    <row r="92" spans="1:37" s="224" customFormat="1" ht="85.9" customHeight="1">
      <c r="A92" s="228">
        <v>312</v>
      </c>
      <c r="B92" s="229" t="s">
        <v>449</v>
      </c>
      <c r="C92" s="228">
        <v>2</v>
      </c>
      <c r="D92" s="229" t="s">
        <v>408</v>
      </c>
      <c r="E92" s="228">
        <v>17</v>
      </c>
      <c r="F92" s="229" t="s">
        <v>450</v>
      </c>
      <c r="G92" s="228">
        <v>1702</v>
      </c>
      <c r="H92" s="229" t="s">
        <v>451</v>
      </c>
      <c r="I92" s="228">
        <v>1702</v>
      </c>
      <c r="J92" s="229" t="s">
        <v>452</v>
      </c>
      <c r="K92" s="229" t="s">
        <v>453</v>
      </c>
      <c r="L92" s="233">
        <v>1702025</v>
      </c>
      <c r="M92" s="229" t="s">
        <v>491</v>
      </c>
      <c r="N92" s="233">
        <v>1702025</v>
      </c>
      <c r="O92" s="229" t="s">
        <v>491</v>
      </c>
      <c r="P92" s="264" t="s">
        <v>492</v>
      </c>
      <c r="Q92" s="230" t="s">
        <v>493</v>
      </c>
      <c r="R92" s="264" t="s">
        <v>492</v>
      </c>
      <c r="S92" s="230" t="s">
        <v>493</v>
      </c>
      <c r="T92" s="285" t="s">
        <v>152</v>
      </c>
      <c r="U92" s="253">
        <v>25</v>
      </c>
      <c r="V92" s="253"/>
      <c r="W92" s="233">
        <f t="shared" si="3"/>
        <v>25</v>
      </c>
      <c r="X92" s="231">
        <v>2020003630081</v>
      </c>
      <c r="Y92" s="276" t="s">
        <v>494</v>
      </c>
      <c r="Z92" s="229" t="s">
        <v>495</v>
      </c>
      <c r="AA92" s="234"/>
      <c r="AB92" s="234"/>
      <c r="AC92" s="234"/>
      <c r="AD92" s="234"/>
      <c r="AE92" s="234"/>
      <c r="AF92" s="234"/>
      <c r="AG92" s="247">
        <v>67000000</v>
      </c>
      <c r="AH92" s="234"/>
      <c r="AI92" s="234"/>
      <c r="AJ92" s="236">
        <f t="shared" si="2"/>
        <v>67000000</v>
      </c>
      <c r="AK92" s="284" t="s">
        <v>459</v>
      </c>
    </row>
    <row r="93" spans="1:37" s="224" customFormat="1" ht="85.9" customHeight="1">
      <c r="A93" s="228">
        <v>312</v>
      </c>
      <c r="B93" s="229" t="s">
        <v>449</v>
      </c>
      <c r="C93" s="228">
        <v>2</v>
      </c>
      <c r="D93" s="229" t="s">
        <v>408</v>
      </c>
      <c r="E93" s="228">
        <v>17</v>
      </c>
      <c r="F93" s="229" t="s">
        <v>450</v>
      </c>
      <c r="G93" s="228">
        <v>1703</v>
      </c>
      <c r="H93" s="229" t="s">
        <v>496</v>
      </c>
      <c r="I93" s="228">
        <v>1703</v>
      </c>
      <c r="J93" s="229" t="s">
        <v>497</v>
      </c>
      <c r="K93" s="229" t="s">
        <v>453</v>
      </c>
      <c r="L93" s="233">
        <v>1703013</v>
      </c>
      <c r="M93" s="229" t="s">
        <v>498</v>
      </c>
      <c r="N93" s="233">
        <v>1703013</v>
      </c>
      <c r="O93" s="229" t="s">
        <v>498</v>
      </c>
      <c r="P93" s="264" t="s">
        <v>499</v>
      </c>
      <c r="Q93" s="230" t="s">
        <v>500</v>
      </c>
      <c r="R93" s="264" t="s">
        <v>499</v>
      </c>
      <c r="S93" s="230" t="s">
        <v>500</v>
      </c>
      <c r="T93" s="285" t="s">
        <v>152</v>
      </c>
      <c r="U93" s="253">
        <v>55</v>
      </c>
      <c r="V93" s="253"/>
      <c r="W93" s="233">
        <f t="shared" si="3"/>
        <v>55</v>
      </c>
      <c r="X93" s="231">
        <v>2020003630082</v>
      </c>
      <c r="Y93" s="252" t="s">
        <v>501</v>
      </c>
      <c r="Z93" s="229" t="s">
        <v>502</v>
      </c>
      <c r="AA93" s="234"/>
      <c r="AB93" s="234"/>
      <c r="AC93" s="234"/>
      <c r="AD93" s="234"/>
      <c r="AE93" s="234"/>
      <c r="AF93" s="234"/>
      <c r="AG93" s="247">
        <v>65712654</v>
      </c>
      <c r="AH93" s="234">
        <v>200000000</v>
      </c>
      <c r="AI93" s="234"/>
      <c r="AJ93" s="236">
        <f t="shared" si="2"/>
        <v>265712654</v>
      </c>
      <c r="AK93" s="284" t="s">
        <v>459</v>
      </c>
    </row>
    <row r="94" spans="1:37" s="224" customFormat="1" ht="85.9" customHeight="1">
      <c r="A94" s="228">
        <v>312</v>
      </c>
      <c r="B94" s="229" t="s">
        <v>449</v>
      </c>
      <c r="C94" s="228">
        <v>2</v>
      </c>
      <c r="D94" s="229" t="s">
        <v>408</v>
      </c>
      <c r="E94" s="228">
        <v>17</v>
      </c>
      <c r="F94" s="229" t="s">
        <v>450</v>
      </c>
      <c r="G94" s="228">
        <v>1704</v>
      </c>
      <c r="H94" s="229" t="s">
        <v>503</v>
      </c>
      <c r="I94" s="228">
        <v>1704</v>
      </c>
      <c r="J94" s="229" t="s">
        <v>504</v>
      </c>
      <c r="K94" s="229" t="s">
        <v>453</v>
      </c>
      <c r="L94" s="233">
        <v>1704002</v>
      </c>
      <c r="M94" s="229" t="s">
        <v>89</v>
      </c>
      <c r="N94" s="233">
        <v>1704002</v>
      </c>
      <c r="O94" s="229" t="s">
        <v>89</v>
      </c>
      <c r="P94" s="228" t="s">
        <v>505</v>
      </c>
      <c r="Q94" s="230" t="s">
        <v>506</v>
      </c>
      <c r="R94" s="228" t="s">
        <v>505</v>
      </c>
      <c r="S94" s="230" t="s">
        <v>506</v>
      </c>
      <c r="T94" s="253" t="s">
        <v>58</v>
      </c>
      <c r="U94" s="253">
        <v>1</v>
      </c>
      <c r="V94" s="253"/>
      <c r="W94" s="233">
        <f t="shared" si="3"/>
        <v>1</v>
      </c>
      <c r="X94" s="231">
        <v>2020003630025</v>
      </c>
      <c r="Y94" s="252" t="s">
        <v>507</v>
      </c>
      <c r="Z94" s="229" t="s">
        <v>508</v>
      </c>
      <c r="AA94" s="287"/>
      <c r="AB94" s="234"/>
      <c r="AC94" s="234"/>
      <c r="AD94" s="234"/>
      <c r="AE94" s="234"/>
      <c r="AF94" s="234"/>
      <c r="AG94" s="234">
        <v>75000000</v>
      </c>
      <c r="AH94" s="234"/>
      <c r="AI94" s="234"/>
      <c r="AJ94" s="236">
        <f t="shared" si="2"/>
        <v>75000000</v>
      </c>
      <c r="AK94" s="284" t="s">
        <v>459</v>
      </c>
    </row>
    <row r="95" spans="1:37" s="224" customFormat="1" ht="85.9" customHeight="1">
      <c r="A95" s="228">
        <v>312</v>
      </c>
      <c r="B95" s="229" t="s">
        <v>449</v>
      </c>
      <c r="C95" s="228">
        <v>2</v>
      </c>
      <c r="D95" s="229" t="s">
        <v>408</v>
      </c>
      <c r="E95" s="228">
        <v>17</v>
      </c>
      <c r="F95" s="229" t="s">
        <v>450</v>
      </c>
      <c r="G95" s="228">
        <v>1704</v>
      </c>
      <c r="H95" s="229" t="s">
        <v>503</v>
      </c>
      <c r="I95" s="228">
        <v>1704</v>
      </c>
      <c r="J95" s="229" t="s">
        <v>504</v>
      </c>
      <c r="K95" s="229" t="s">
        <v>453</v>
      </c>
      <c r="L95" s="233">
        <v>1704017</v>
      </c>
      <c r="M95" s="229" t="s">
        <v>509</v>
      </c>
      <c r="N95" s="233">
        <v>1704017</v>
      </c>
      <c r="O95" s="229" t="s">
        <v>509</v>
      </c>
      <c r="P95" s="228" t="s">
        <v>510</v>
      </c>
      <c r="Q95" s="230" t="s">
        <v>511</v>
      </c>
      <c r="R95" s="228" t="s">
        <v>510</v>
      </c>
      <c r="S95" s="230" t="s">
        <v>511</v>
      </c>
      <c r="T95" s="285" t="s">
        <v>152</v>
      </c>
      <c r="U95" s="253">
        <v>150</v>
      </c>
      <c r="V95" s="253"/>
      <c r="W95" s="233">
        <f t="shared" si="3"/>
        <v>150</v>
      </c>
      <c r="X95" s="231">
        <v>2020003630025</v>
      </c>
      <c r="Y95" s="252" t="s">
        <v>507</v>
      </c>
      <c r="Z95" s="229" t="s">
        <v>508</v>
      </c>
      <c r="AA95" s="234"/>
      <c r="AB95" s="234"/>
      <c r="AC95" s="234"/>
      <c r="AD95" s="234"/>
      <c r="AE95" s="234"/>
      <c r="AF95" s="234"/>
      <c r="AG95" s="234">
        <v>78000000</v>
      </c>
      <c r="AH95" s="234"/>
      <c r="AI95" s="234"/>
      <c r="AJ95" s="236">
        <f t="shared" si="2"/>
        <v>78000000</v>
      </c>
      <c r="AK95" s="284" t="s">
        <v>459</v>
      </c>
    </row>
    <row r="96" spans="1:37" s="224" customFormat="1" ht="85.9" customHeight="1">
      <c r="A96" s="228">
        <v>312</v>
      </c>
      <c r="B96" s="229" t="s">
        <v>449</v>
      </c>
      <c r="C96" s="228">
        <v>2</v>
      </c>
      <c r="D96" s="229" t="s">
        <v>408</v>
      </c>
      <c r="E96" s="228">
        <v>17</v>
      </c>
      <c r="F96" s="229" t="s">
        <v>450</v>
      </c>
      <c r="G96" s="228">
        <v>1706</v>
      </c>
      <c r="H96" s="229" t="s">
        <v>512</v>
      </c>
      <c r="I96" s="228">
        <v>1706</v>
      </c>
      <c r="J96" s="229" t="s">
        <v>513</v>
      </c>
      <c r="K96" s="229" t="s">
        <v>453</v>
      </c>
      <c r="L96" s="233">
        <v>1706004</v>
      </c>
      <c r="M96" s="229" t="s">
        <v>514</v>
      </c>
      <c r="N96" s="233">
        <v>1706004</v>
      </c>
      <c r="O96" s="229" t="s">
        <v>514</v>
      </c>
      <c r="P96" s="228" t="s">
        <v>515</v>
      </c>
      <c r="Q96" s="230" t="s">
        <v>516</v>
      </c>
      <c r="R96" s="228" t="s">
        <v>515</v>
      </c>
      <c r="S96" s="230" t="s">
        <v>516</v>
      </c>
      <c r="T96" s="253" t="s">
        <v>58</v>
      </c>
      <c r="U96" s="253">
        <v>10</v>
      </c>
      <c r="V96" s="253"/>
      <c r="W96" s="233">
        <f t="shared" si="3"/>
        <v>10</v>
      </c>
      <c r="X96" s="231">
        <v>2020003630083</v>
      </c>
      <c r="Y96" s="252" t="s">
        <v>517</v>
      </c>
      <c r="Z96" s="229" t="s">
        <v>518</v>
      </c>
      <c r="AA96" s="234"/>
      <c r="AB96" s="234"/>
      <c r="AC96" s="234"/>
      <c r="AD96" s="234"/>
      <c r="AE96" s="234"/>
      <c r="AF96" s="234"/>
      <c r="AG96" s="234">
        <v>110000000</v>
      </c>
      <c r="AH96" s="234"/>
      <c r="AI96" s="234"/>
      <c r="AJ96" s="236">
        <f t="shared" si="2"/>
        <v>110000000</v>
      </c>
      <c r="AK96" s="284" t="s">
        <v>459</v>
      </c>
    </row>
    <row r="97" spans="1:37" s="224" customFormat="1" ht="85.9" customHeight="1">
      <c r="A97" s="228">
        <v>312</v>
      </c>
      <c r="B97" s="229" t="s">
        <v>449</v>
      </c>
      <c r="C97" s="228">
        <v>2</v>
      </c>
      <c r="D97" s="229" t="s">
        <v>408</v>
      </c>
      <c r="E97" s="228">
        <v>17</v>
      </c>
      <c r="F97" s="229" t="s">
        <v>450</v>
      </c>
      <c r="G97" s="228">
        <v>1707</v>
      </c>
      <c r="H97" s="229" t="s">
        <v>519</v>
      </c>
      <c r="I97" s="228">
        <v>1707</v>
      </c>
      <c r="J97" s="229" t="s">
        <v>520</v>
      </c>
      <c r="K97" s="229" t="s">
        <v>453</v>
      </c>
      <c r="L97" s="233">
        <v>1707069</v>
      </c>
      <c r="M97" s="229" t="s">
        <v>521</v>
      </c>
      <c r="N97" s="233">
        <v>1707069</v>
      </c>
      <c r="O97" s="229" t="s">
        <v>521</v>
      </c>
      <c r="P97" s="228" t="s">
        <v>522</v>
      </c>
      <c r="Q97" s="251" t="s">
        <v>523</v>
      </c>
      <c r="R97" s="228" t="s">
        <v>522</v>
      </c>
      <c r="S97" s="230" t="s">
        <v>523</v>
      </c>
      <c r="T97" s="285" t="s">
        <v>152</v>
      </c>
      <c r="U97" s="253">
        <v>5</v>
      </c>
      <c r="V97" s="253"/>
      <c r="W97" s="233">
        <f t="shared" si="3"/>
        <v>5</v>
      </c>
      <c r="X97" s="231">
        <v>2020003630084</v>
      </c>
      <c r="Y97" s="252" t="s">
        <v>524</v>
      </c>
      <c r="Z97" s="229" t="s">
        <v>525</v>
      </c>
      <c r="AA97" s="234"/>
      <c r="AB97" s="234"/>
      <c r="AC97" s="234"/>
      <c r="AD97" s="234"/>
      <c r="AE97" s="234"/>
      <c r="AF97" s="234"/>
      <c r="AG97" s="247">
        <v>143000000</v>
      </c>
      <c r="AH97" s="234"/>
      <c r="AI97" s="234"/>
      <c r="AJ97" s="236">
        <f t="shared" si="2"/>
        <v>143000000</v>
      </c>
      <c r="AK97" s="284" t="s">
        <v>459</v>
      </c>
    </row>
    <row r="98" spans="1:37" s="224" customFormat="1" ht="108" customHeight="1">
      <c r="A98" s="228">
        <v>312</v>
      </c>
      <c r="B98" s="229" t="s">
        <v>449</v>
      </c>
      <c r="C98" s="228">
        <v>2</v>
      </c>
      <c r="D98" s="229" t="s">
        <v>408</v>
      </c>
      <c r="E98" s="228">
        <v>17</v>
      </c>
      <c r="F98" s="229" t="s">
        <v>450</v>
      </c>
      <c r="G98" s="228">
        <v>1708</v>
      </c>
      <c r="H98" s="229" t="s">
        <v>526</v>
      </c>
      <c r="I98" s="228">
        <v>1708</v>
      </c>
      <c r="J98" s="229" t="s">
        <v>527</v>
      </c>
      <c r="K98" s="229" t="s">
        <v>453</v>
      </c>
      <c r="L98" s="233">
        <v>1708016</v>
      </c>
      <c r="M98" s="229" t="s">
        <v>89</v>
      </c>
      <c r="N98" s="233">
        <v>1708016</v>
      </c>
      <c r="O98" s="229" t="s">
        <v>89</v>
      </c>
      <c r="P98" s="264" t="s">
        <v>528</v>
      </c>
      <c r="Q98" s="230" t="s">
        <v>529</v>
      </c>
      <c r="R98" s="264" t="s">
        <v>528</v>
      </c>
      <c r="S98" s="230" t="s">
        <v>529</v>
      </c>
      <c r="T98" s="253" t="s">
        <v>58</v>
      </c>
      <c r="U98" s="253">
        <v>2</v>
      </c>
      <c r="V98" s="253"/>
      <c r="W98" s="233">
        <f t="shared" si="3"/>
        <v>2</v>
      </c>
      <c r="X98" s="231">
        <v>2020003630026</v>
      </c>
      <c r="Y98" s="252" t="s">
        <v>530</v>
      </c>
      <c r="Z98" s="229" t="s">
        <v>531</v>
      </c>
      <c r="AA98" s="234"/>
      <c r="AB98" s="234"/>
      <c r="AC98" s="234"/>
      <c r="AD98" s="234"/>
      <c r="AE98" s="234"/>
      <c r="AF98" s="234"/>
      <c r="AG98" s="234">
        <v>65000000</v>
      </c>
      <c r="AH98" s="234"/>
      <c r="AI98" s="234"/>
      <c r="AJ98" s="236">
        <f t="shared" si="2"/>
        <v>65000000</v>
      </c>
      <c r="AK98" s="284" t="s">
        <v>459</v>
      </c>
    </row>
    <row r="99" spans="1:37" s="224" customFormat="1" ht="112.5" customHeight="1">
      <c r="A99" s="228">
        <v>312</v>
      </c>
      <c r="B99" s="229" t="s">
        <v>449</v>
      </c>
      <c r="C99" s="228">
        <v>2</v>
      </c>
      <c r="D99" s="229" t="s">
        <v>408</v>
      </c>
      <c r="E99" s="228">
        <v>17</v>
      </c>
      <c r="F99" s="229" t="s">
        <v>450</v>
      </c>
      <c r="G99" s="228">
        <v>1708</v>
      </c>
      <c r="H99" s="229" t="s">
        <v>526</v>
      </c>
      <c r="I99" s="228">
        <v>1708</v>
      </c>
      <c r="J99" s="229" t="s">
        <v>527</v>
      </c>
      <c r="K99" s="229" t="s">
        <v>453</v>
      </c>
      <c r="L99" s="233">
        <v>1708051</v>
      </c>
      <c r="M99" s="229" t="s">
        <v>532</v>
      </c>
      <c r="N99" s="233">
        <v>1708051</v>
      </c>
      <c r="O99" s="229" t="s">
        <v>532</v>
      </c>
      <c r="P99" s="264" t="s">
        <v>533</v>
      </c>
      <c r="Q99" s="230" t="s">
        <v>534</v>
      </c>
      <c r="R99" s="264" t="s">
        <v>533</v>
      </c>
      <c r="S99" s="230" t="s">
        <v>534</v>
      </c>
      <c r="T99" s="232" t="s">
        <v>58</v>
      </c>
      <c r="U99" s="253">
        <v>1</v>
      </c>
      <c r="V99" s="253"/>
      <c r="W99" s="233">
        <f t="shared" si="3"/>
        <v>1</v>
      </c>
      <c r="X99" s="231">
        <v>2020003630026</v>
      </c>
      <c r="Y99" s="252" t="s">
        <v>530</v>
      </c>
      <c r="Z99" s="229" t="s">
        <v>531</v>
      </c>
      <c r="AA99" s="234"/>
      <c r="AB99" s="234"/>
      <c r="AC99" s="234"/>
      <c r="AD99" s="234"/>
      <c r="AE99" s="234"/>
      <c r="AF99" s="234"/>
      <c r="AG99" s="234">
        <v>65000000</v>
      </c>
      <c r="AH99" s="234"/>
      <c r="AI99" s="234"/>
      <c r="AJ99" s="236">
        <f t="shared" si="2"/>
        <v>65000000</v>
      </c>
      <c r="AK99" s="284" t="s">
        <v>459</v>
      </c>
    </row>
    <row r="100" spans="1:37" s="224" customFormat="1" ht="85.9" customHeight="1">
      <c r="A100" s="228">
        <v>312</v>
      </c>
      <c r="B100" s="229" t="s">
        <v>449</v>
      </c>
      <c r="C100" s="228">
        <v>2</v>
      </c>
      <c r="D100" s="229" t="s">
        <v>408</v>
      </c>
      <c r="E100" s="228">
        <v>17</v>
      </c>
      <c r="F100" s="229" t="s">
        <v>450</v>
      </c>
      <c r="G100" s="228">
        <v>1709</v>
      </c>
      <c r="H100" s="229" t="s">
        <v>535</v>
      </c>
      <c r="I100" s="228">
        <v>1709</v>
      </c>
      <c r="J100" s="229" t="s">
        <v>536</v>
      </c>
      <c r="K100" s="229" t="s">
        <v>453</v>
      </c>
      <c r="L100" s="233">
        <v>1709019</v>
      </c>
      <c r="M100" s="229" t="s">
        <v>537</v>
      </c>
      <c r="N100" s="233">
        <v>1709019</v>
      </c>
      <c r="O100" s="229" t="s">
        <v>537</v>
      </c>
      <c r="P100" s="264">
        <v>170901900</v>
      </c>
      <c r="Q100" s="230" t="s">
        <v>537</v>
      </c>
      <c r="R100" s="264">
        <v>170901900</v>
      </c>
      <c r="S100" s="230" t="s">
        <v>537</v>
      </c>
      <c r="T100" s="285" t="s">
        <v>152</v>
      </c>
      <c r="U100" s="253">
        <v>4</v>
      </c>
      <c r="V100" s="253"/>
      <c r="W100" s="233">
        <f t="shared" si="3"/>
        <v>4</v>
      </c>
      <c r="X100" s="231">
        <v>2020003630024</v>
      </c>
      <c r="Y100" s="252" t="s">
        <v>538</v>
      </c>
      <c r="Z100" s="229" t="s">
        <v>539</v>
      </c>
      <c r="AA100" s="234"/>
      <c r="AB100" s="234"/>
      <c r="AC100" s="234"/>
      <c r="AD100" s="234"/>
      <c r="AE100" s="234"/>
      <c r="AF100" s="234"/>
      <c r="AG100" s="234">
        <v>143000000</v>
      </c>
      <c r="AH100" s="234"/>
      <c r="AI100" s="234"/>
      <c r="AJ100" s="236">
        <f t="shared" si="2"/>
        <v>143000000</v>
      </c>
      <c r="AK100" s="284" t="s">
        <v>459</v>
      </c>
    </row>
    <row r="101" spans="1:37" s="224" customFormat="1" ht="85.9" customHeight="1">
      <c r="A101" s="228">
        <v>312</v>
      </c>
      <c r="B101" s="229" t="s">
        <v>449</v>
      </c>
      <c r="C101" s="228">
        <v>2</v>
      </c>
      <c r="D101" s="229" t="s">
        <v>408</v>
      </c>
      <c r="E101" s="228">
        <v>17</v>
      </c>
      <c r="F101" s="229" t="s">
        <v>450</v>
      </c>
      <c r="G101" s="228">
        <v>1709</v>
      </c>
      <c r="H101" s="229" t="s">
        <v>535</v>
      </c>
      <c r="I101" s="228">
        <v>1709</v>
      </c>
      <c r="J101" s="229" t="s">
        <v>536</v>
      </c>
      <c r="K101" s="229" t="s">
        <v>453</v>
      </c>
      <c r="L101" s="233">
        <v>1709034</v>
      </c>
      <c r="M101" s="229" t="s">
        <v>540</v>
      </c>
      <c r="N101" s="233">
        <v>1709034</v>
      </c>
      <c r="O101" s="229" t="s">
        <v>540</v>
      </c>
      <c r="P101" s="264" t="s">
        <v>541</v>
      </c>
      <c r="Q101" s="230" t="s">
        <v>540</v>
      </c>
      <c r="R101" s="264" t="s">
        <v>541</v>
      </c>
      <c r="S101" s="230" t="s">
        <v>540</v>
      </c>
      <c r="T101" s="285" t="s">
        <v>152</v>
      </c>
      <c r="U101" s="253">
        <v>3</v>
      </c>
      <c r="V101" s="253"/>
      <c r="W101" s="233">
        <f t="shared" si="3"/>
        <v>3</v>
      </c>
      <c r="X101" s="231">
        <v>2020003630024</v>
      </c>
      <c r="Y101" s="252" t="s">
        <v>538</v>
      </c>
      <c r="Z101" s="229" t="s">
        <v>539</v>
      </c>
      <c r="AA101" s="234"/>
      <c r="AB101" s="234"/>
      <c r="AC101" s="234"/>
      <c r="AD101" s="234"/>
      <c r="AE101" s="234"/>
      <c r="AF101" s="234"/>
      <c r="AG101" s="234">
        <v>113000000</v>
      </c>
      <c r="AH101" s="234"/>
      <c r="AI101" s="234"/>
      <c r="AJ101" s="236">
        <f t="shared" si="2"/>
        <v>113000000</v>
      </c>
      <c r="AK101" s="284" t="s">
        <v>459</v>
      </c>
    </row>
    <row r="102" spans="1:37" s="224" customFormat="1" ht="85.9" customHeight="1">
      <c r="A102" s="228">
        <v>312</v>
      </c>
      <c r="B102" s="229" t="s">
        <v>449</v>
      </c>
      <c r="C102" s="228">
        <v>2</v>
      </c>
      <c r="D102" s="229" t="s">
        <v>408</v>
      </c>
      <c r="E102" s="228">
        <v>17</v>
      </c>
      <c r="F102" s="229" t="s">
        <v>450</v>
      </c>
      <c r="G102" s="228">
        <v>1709</v>
      </c>
      <c r="H102" s="229" t="s">
        <v>535</v>
      </c>
      <c r="I102" s="228">
        <v>1709</v>
      </c>
      <c r="J102" s="229" t="s">
        <v>536</v>
      </c>
      <c r="K102" s="229" t="s">
        <v>453</v>
      </c>
      <c r="L102" s="233">
        <v>1709093</v>
      </c>
      <c r="M102" s="229" t="s">
        <v>542</v>
      </c>
      <c r="N102" s="233">
        <v>1709093</v>
      </c>
      <c r="O102" s="229" t="s">
        <v>542</v>
      </c>
      <c r="P102" s="228" t="s">
        <v>543</v>
      </c>
      <c r="Q102" s="230" t="s">
        <v>544</v>
      </c>
      <c r="R102" s="228" t="s">
        <v>543</v>
      </c>
      <c r="S102" s="230" t="s">
        <v>544</v>
      </c>
      <c r="T102" s="285" t="s">
        <v>152</v>
      </c>
      <c r="U102" s="253">
        <v>1</v>
      </c>
      <c r="V102" s="253"/>
      <c r="W102" s="233">
        <f t="shared" si="3"/>
        <v>1</v>
      </c>
      <c r="X102" s="231">
        <v>2020003630024</v>
      </c>
      <c r="Y102" s="252" t="s">
        <v>538</v>
      </c>
      <c r="Z102" s="229" t="s">
        <v>539</v>
      </c>
      <c r="AA102" s="234"/>
      <c r="AB102" s="234"/>
      <c r="AC102" s="234"/>
      <c r="AD102" s="234"/>
      <c r="AE102" s="234"/>
      <c r="AF102" s="234"/>
      <c r="AG102" s="234">
        <v>62000000</v>
      </c>
      <c r="AH102" s="234"/>
      <c r="AI102" s="234"/>
      <c r="AJ102" s="236">
        <f t="shared" si="2"/>
        <v>62000000</v>
      </c>
      <c r="AK102" s="284" t="s">
        <v>459</v>
      </c>
    </row>
    <row r="103" spans="1:37" s="224" customFormat="1" ht="85.9" customHeight="1">
      <c r="A103" s="288">
        <v>312</v>
      </c>
      <c r="B103" s="289" t="s">
        <v>449</v>
      </c>
      <c r="C103" s="288">
        <v>2</v>
      </c>
      <c r="D103" s="229" t="s">
        <v>408</v>
      </c>
      <c r="E103" s="288">
        <v>35</v>
      </c>
      <c r="F103" s="289" t="s">
        <v>409</v>
      </c>
      <c r="G103" s="288">
        <v>3502</v>
      </c>
      <c r="H103" s="289" t="s">
        <v>410</v>
      </c>
      <c r="I103" s="288">
        <v>3502</v>
      </c>
      <c r="J103" s="289" t="s">
        <v>411</v>
      </c>
      <c r="K103" s="289" t="s">
        <v>545</v>
      </c>
      <c r="L103" s="290">
        <v>3502017</v>
      </c>
      <c r="M103" s="289" t="s">
        <v>546</v>
      </c>
      <c r="N103" s="290">
        <v>3502017</v>
      </c>
      <c r="O103" s="289" t="s">
        <v>546</v>
      </c>
      <c r="P103" s="291" t="s">
        <v>547</v>
      </c>
      <c r="Q103" s="292" t="s">
        <v>548</v>
      </c>
      <c r="R103" s="291" t="s">
        <v>547</v>
      </c>
      <c r="S103" s="292" t="s">
        <v>548</v>
      </c>
      <c r="T103" s="293" t="s">
        <v>58</v>
      </c>
      <c r="U103" s="293">
        <v>6</v>
      </c>
      <c r="V103" s="293"/>
      <c r="W103" s="233">
        <f t="shared" si="3"/>
        <v>6</v>
      </c>
      <c r="X103" s="294">
        <v>2020003630085</v>
      </c>
      <c r="Y103" s="295" t="s">
        <v>549</v>
      </c>
      <c r="Z103" s="289" t="s">
        <v>550</v>
      </c>
      <c r="AA103" s="296"/>
      <c r="AB103" s="296"/>
      <c r="AC103" s="296"/>
      <c r="AD103" s="296"/>
      <c r="AE103" s="296"/>
      <c r="AF103" s="296"/>
      <c r="AG103" s="234">
        <v>98000000</v>
      </c>
      <c r="AH103" s="234"/>
      <c r="AI103" s="234"/>
      <c r="AJ103" s="236">
        <f t="shared" si="2"/>
        <v>98000000</v>
      </c>
      <c r="AK103" s="284" t="s">
        <v>459</v>
      </c>
    </row>
    <row r="104" spans="1:37" s="224" customFormat="1" ht="85.9" customHeight="1">
      <c r="A104" s="228">
        <v>312</v>
      </c>
      <c r="B104" s="229" t="s">
        <v>449</v>
      </c>
      <c r="C104" s="228">
        <v>2</v>
      </c>
      <c r="D104" s="229" t="s">
        <v>408</v>
      </c>
      <c r="E104" s="228">
        <v>35</v>
      </c>
      <c r="F104" s="229" t="s">
        <v>409</v>
      </c>
      <c r="G104" s="228">
        <v>3502</v>
      </c>
      <c r="H104" s="229" t="s">
        <v>410</v>
      </c>
      <c r="I104" s="228">
        <v>3502</v>
      </c>
      <c r="J104" s="229" t="s">
        <v>411</v>
      </c>
      <c r="K104" s="230" t="s">
        <v>412</v>
      </c>
      <c r="L104" s="233">
        <v>3502007</v>
      </c>
      <c r="M104" s="229" t="s">
        <v>551</v>
      </c>
      <c r="N104" s="233">
        <v>3502007</v>
      </c>
      <c r="O104" s="229" t="s">
        <v>551</v>
      </c>
      <c r="P104" s="228" t="s">
        <v>420</v>
      </c>
      <c r="Q104" s="230" t="s">
        <v>421</v>
      </c>
      <c r="R104" s="228" t="s">
        <v>420</v>
      </c>
      <c r="S104" s="251" t="s">
        <v>421</v>
      </c>
      <c r="T104" s="232" t="s">
        <v>58</v>
      </c>
      <c r="U104" s="228">
        <v>5</v>
      </c>
      <c r="V104" s="228"/>
      <c r="W104" s="233">
        <f t="shared" si="3"/>
        <v>5</v>
      </c>
      <c r="X104" s="231">
        <v>2020003630085</v>
      </c>
      <c r="Y104" s="252" t="s">
        <v>549</v>
      </c>
      <c r="Z104" s="229" t="s">
        <v>550</v>
      </c>
      <c r="AA104" s="234"/>
      <c r="AB104" s="234"/>
      <c r="AC104" s="234"/>
      <c r="AD104" s="234"/>
      <c r="AE104" s="234"/>
      <c r="AF104" s="234"/>
      <c r="AG104" s="234">
        <v>58000000</v>
      </c>
      <c r="AH104" s="234"/>
      <c r="AI104" s="234"/>
      <c r="AJ104" s="236">
        <f t="shared" si="2"/>
        <v>58000000</v>
      </c>
      <c r="AK104" s="284" t="s">
        <v>459</v>
      </c>
    </row>
    <row r="105" spans="1:37" s="224" customFormat="1" ht="85.9" customHeight="1">
      <c r="A105" s="228">
        <v>312</v>
      </c>
      <c r="B105" s="229" t="s">
        <v>449</v>
      </c>
      <c r="C105" s="228">
        <v>3</v>
      </c>
      <c r="D105" s="229" t="s">
        <v>197</v>
      </c>
      <c r="E105" s="228">
        <v>32</v>
      </c>
      <c r="F105" s="229" t="s">
        <v>208</v>
      </c>
      <c r="G105" s="228" t="s">
        <v>552</v>
      </c>
      <c r="H105" s="229" t="s">
        <v>553</v>
      </c>
      <c r="I105" s="228" t="s">
        <v>552</v>
      </c>
      <c r="J105" s="229" t="s">
        <v>554</v>
      </c>
      <c r="K105" s="229" t="s">
        <v>211</v>
      </c>
      <c r="L105" s="233">
        <v>3201013</v>
      </c>
      <c r="M105" s="229" t="s">
        <v>555</v>
      </c>
      <c r="N105" s="233">
        <v>3201013</v>
      </c>
      <c r="O105" s="229" t="s">
        <v>555</v>
      </c>
      <c r="P105" s="264" t="s">
        <v>556</v>
      </c>
      <c r="Q105" s="230" t="s">
        <v>557</v>
      </c>
      <c r="R105" s="264" t="s">
        <v>556</v>
      </c>
      <c r="S105" s="230" t="s">
        <v>557</v>
      </c>
      <c r="T105" s="285" t="s">
        <v>152</v>
      </c>
      <c r="U105" s="253">
        <v>1</v>
      </c>
      <c r="V105" s="253"/>
      <c r="W105" s="233">
        <f t="shared" si="3"/>
        <v>1</v>
      </c>
      <c r="X105" s="231">
        <v>2020003630027</v>
      </c>
      <c r="Y105" s="252" t="s">
        <v>558</v>
      </c>
      <c r="Z105" s="229" t="s">
        <v>559</v>
      </c>
      <c r="AA105" s="250"/>
      <c r="AB105" s="250"/>
      <c r="AC105" s="250"/>
      <c r="AD105" s="250"/>
      <c r="AE105" s="250"/>
      <c r="AF105" s="250"/>
      <c r="AG105" s="234">
        <v>42000000</v>
      </c>
      <c r="AH105" s="234"/>
      <c r="AI105" s="234"/>
      <c r="AJ105" s="236">
        <f t="shared" si="2"/>
        <v>42000000</v>
      </c>
      <c r="AK105" s="284" t="s">
        <v>459</v>
      </c>
    </row>
    <row r="106" spans="1:37" s="224" customFormat="1" ht="85.9" customHeight="1">
      <c r="A106" s="228">
        <v>312</v>
      </c>
      <c r="B106" s="229" t="s">
        <v>449</v>
      </c>
      <c r="C106" s="228">
        <v>3</v>
      </c>
      <c r="D106" s="229" t="s">
        <v>197</v>
      </c>
      <c r="E106" s="228">
        <v>32</v>
      </c>
      <c r="F106" s="229" t="s">
        <v>208</v>
      </c>
      <c r="G106" s="228" t="s">
        <v>552</v>
      </c>
      <c r="H106" s="229" t="s">
        <v>553</v>
      </c>
      <c r="I106" s="228" t="s">
        <v>552</v>
      </c>
      <c r="J106" s="229" t="s">
        <v>554</v>
      </c>
      <c r="K106" s="229" t="s">
        <v>211</v>
      </c>
      <c r="L106" s="233">
        <v>3201008</v>
      </c>
      <c r="M106" s="229" t="s">
        <v>560</v>
      </c>
      <c r="N106" s="233">
        <v>3201008</v>
      </c>
      <c r="O106" s="229" t="s">
        <v>560</v>
      </c>
      <c r="P106" s="264" t="s">
        <v>561</v>
      </c>
      <c r="Q106" s="230" t="s">
        <v>562</v>
      </c>
      <c r="R106" s="264" t="s">
        <v>561</v>
      </c>
      <c r="S106" s="230" t="s">
        <v>562</v>
      </c>
      <c r="T106" s="285" t="s">
        <v>152</v>
      </c>
      <c r="U106" s="253">
        <v>3</v>
      </c>
      <c r="V106" s="253"/>
      <c r="W106" s="233">
        <f t="shared" si="3"/>
        <v>3</v>
      </c>
      <c r="X106" s="231">
        <v>2020003630027</v>
      </c>
      <c r="Y106" s="252" t="s">
        <v>558</v>
      </c>
      <c r="Z106" s="229" t="s">
        <v>559</v>
      </c>
      <c r="AA106" s="250"/>
      <c r="AB106" s="250"/>
      <c r="AC106" s="250"/>
      <c r="AD106" s="250"/>
      <c r="AE106" s="250"/>
      <c r="AF106" s="250"/>
      <c r="AG106" s="234">
        <v>110000000</v>
      </c>
      <c r="AH106" s="234"/>
      <c r="AI106" s="234"/>
      <c r="AJ106" s="236">
        <f t="shared" si="2"/>
        <v>110000000</v>
      </c>
      <c r="AK106" s="284" t="s">
        <v>459</v>
      </c>
    </row>
    <row r="107" spans="1:37" s="297" customFormat="1" ht="123.75" customHeight="1">
      <c r="A107" s="228">
        <v>312</v>
      </c>
      <c r="B107" s="229" t="s">
        <v>449</v>
      </c>
      <c r="C107" s="228">
        <v>3</v>
      </c>
      <c r="D107" s="229" t="s">
        <v>197</v>
      </c>
      <c r="E107" s="228">
        <v>32</v>
      </c>
      <c r="F107" s="229" t="s">
        <v>208</v>
      </c>
      <c r="G107" s="228">
        <v>3202</v>
      </c>
      <c r="H107" s="229" t="s">
        <v>563</v>
      </c>
      <c r="I107" s="228">
        <v>3202</v>
      </c>
      <c r="J107" s="229" t="s">
        <v>564</v>
      </c>
      <c r="K107" s="229" t="s">
        <v>211</v>
      </c>
      <c r="L107" s="233">
        <v>3202037</v>
      </c>
      <c r="M107" s="229" t="s">
        <v>565</v>
      </c>
      <c r="N107" s="233">
        <v>3202037</v>
      </c>
      <c r="O107" s="229" t="s">
        <v>565</v>
      </c>
      <c r="P107" s="264" t="s">
        <v>566</v>
      </c>
      <c r="Q107" s="230" t="s">
        <v>567</v>
      </c>
      <c r="R107" s="264">
        <v>320203704</v>
      </c>
      <c r="S107" s="230" t="s">
        <v>567</v>
      </c>
      <c r="T107" s="285" t="s">
        <v>152</v>
      </c>
      <c r="U107" s="253">
        <v>40</v>
      </c>
      <c r="V107" s="253"/>
      <c r="W107" s="233">
        <f t="shared" si="3"/>
        <v>40</v>
      </c>
      <c r="X107" s="231">
        <v>2020003630086</v>
      </c>
      <c r="Y107" s="252" t="s">
        <v>568</v>
      </c>
      <c r="Z107" s="229" t="s">
        <v>569</v>
      </c>
      <c r="AA107" s="234"/>
      <c r="AB107" s="234"/>
      <c r="AC107" s="234"/>
      <c r="AD107" s="234"/>
      <c r="AE107" s="234"/>
      <c r="AF107" s="234"/>
      <c r="AG107" s="234">
        <v>90000000</v>
      </c>
      <c r="AH107" s="234"/>
      <c r="AI107" s="234"/>
      <c r="AJ107" s="236">
        <f t="shared" si="2"/>
        <v>90000000</v>
      </c>
      <c r="AK107" s="284" t="s">
        <v>459</v>
      </c>
    </row>
    <row r="108" spans="1:37" s="224" customFormat="1" ht="123.75" customHeight="1">
      <c r="A108" s="228">
        <v>312</v>
      </c>
      <c r="B108" s="229" t="s">
        <v>449</v>
      </c>
      <c r="C108" s="228">
        <v>3</v>
      </c>
      <c r="D108" s="229" t="s">
        <v>197</v>
      </c>
      <c r="E108" s="228">
        <v>32</v>
      </c>
      <c r="F108" s="229" t="s">
        <v>208</v>
      </c>
      <c r="G108" s="228">
        <v>3202</v>
      </c>
      <c r="H108" s="229" t="s">
        <v>563</v>
      </c>
      <c r="I108" s="228">
        <v>3202</v>
      </c>
      <c r="J108" s="229" t="s">
        <v>564</v>
      </c>
      <c r="K108" s="229" t="s">
        <v>211</v>
      </c>
      <c r="L108" s="228" t="s">
        <v>50</v>
      </c>
      <c r="M108" s="229" t="s">
        <v>570</v>
      </c>
      <c r="N108" s="279">
        <v>3202037</v>
      </c>
      <c r="O108" s="229" t="s">
        <v>565</v>
      </c>
      <c r="P108" s="228" t="s">
        <v>50</v>
      </c>
      <c r="Q108" s="230" t="s">
        <v>571</v>
      </c>
      <c r="R108" s="279">
        <v>320203700</v>
      </c>
      <c r="S108" s="230" t="s">
        <v>572</v>
      </c>
      <c r="T108" s="285" t="s">
        <v>152</v>
      </c>
      <c r="U108" s="253">
        <v>60</v>
      </c>
      <c r="V108" s="253"/>
      <c r="W108" s="233">
        <f t="shared" si="3"/>
        <v>60</v>
      </c>
      <c r="X108" s="231">
        <v>2020003630086</v>
      </c>
      <c r="Y108" s="252" t="s">
        <v>568</v>
      </c>
      <c r="Z108" s="229" t="s">
        <v>569</v>
      </c>
      <c r="AA108" s="234"/>
      <c r="AB108" s="234"/>
      <c r="AC108" s="234"/>
      <c r="AD108" s="234"/>
      <c r="AE108" s="234"/>
      <c r="AF108" s="234"/>
      <c r="AG108" s="234">
        <f>909464416+1392144870.28</f>
        <v>2301609286.2799997</v>
      </c>
      <c r="AH108" s="234"/>
      <c r="AI108" s="234"/>
      <c r="AJ108" s="236">
        <f t="shared" si="2"/>
        <v>2301609286.2799997</v>
      </c>
      <c r="AK108" s="284" t="s">
        <v>459</v>
      </c>
    </row>
    <row r="109" spans="1:37" s="224" customFormat="1" ht="123.75" customHeight="1">
      <c r="A109" s="228">
        <v>312</v>
      </c>
      <c r="B109" s="229" t="s">
        <v>449</v>
      </c>
      <c r="C109" s="228">
        <v>3</v>
      </c>
      <c r="D109" s="229" t="s">
        <v>197</v>
      </c>
      <c r="E109" s="228">
        <v>32</v>
      </c>
      <c r="F109" s="229" t="s">
        <v>208</v>
      </c>
      <c r="G109" s="228">
        <v>3202</v>
      </c>
      <c r="H109" s="229" t="s">
        <v>563</v>
      </c>
      <c r="I109" s="228">
        <v>3202</v>
      </c>
      <c r="J109" s="229" t="s">
        <v>564</v>
      </c>
      <c r="K109" s="229" t="s">
        <v>211</v>
      </c>
      <c r="L109" s="228">
        <v>3202017</v>
      </c>
      <c r="M109" s="229" t="s">
        <v>573</v>
      </c>
      <c r="N109" s="233">
        <v>3202043</v>
      </c>
      <c r="O109" s="229" t="s">
        <v>574</v>
      </c>
      <c r="P109" s="228" t="s">
        <v>575</v>
      </c>
      <c r="Q109" s="230" t="s">
        <v>576</v>
      </c>
      <c r="R109" s="264">
        <v>320204300</v>
      </c>
      <c r="S109" s="230" t="s">
        <v>577</v>
      </c>
      <c r="T109" s="253" t="s">
        <v>58</v>
      </c>
      <c r="U109" s="298">
        <v>1</v>
      </c>
      <c r="V109" s="298"/>
      <c r="W109" s="233">
        <f t="shared" si="3"/>
        <v>1</v>
      </c>
      <c r="X109" s="231">
        <v>2020003630086</v>
      </c>
      <c r="Y109" s="252" t="s">
        <v>568</v>
      </c>
      <c r="Z109" s="229" t="s">
        <v>569</v>
      </c>
      <c r="AA109" s="234"/>
      <c r="AB109" s="234"/>
      <c r="AC109" s="234"/>
      <c r="AD109" s="234"/>
      <c r="AE109" s="234"/>
      <c r="AF109" s="234"/>
      <c r="AG109" s="234">
        <f>389770464+464048290.09</f>
        <v>853818754.08999991</v>
      </c>
      <c r="AH109" s="234"/>
      <c r="AI109" s="234"/>
      <c r="AJ109" s="236">
        <f t="shared" si="2"/>
        <v>853818754.08999991</v>
      </c>
      <c r="AK109" s="284" t="s">
        <v>459</v>
      </c>
    </row>
    <row r="110" spans="1:37" s="224" customFormat="1" ht="85.9" customHeight="1">
      <c r="A110" s="228">
        <v>312</v>
      </c>
      <c r="B110" s="229" t="s">
        <v>449</v>
      </c>
      <c r="C110" s="228">
        <v>3</v>
      </c>
      <c r="D110" s="229" t="s">
        <v>197</v>
      </c>
      <c r="E110" s="228">
        <v>32</v>
      </c>
      <c r="F110" s="229" t="s">
        <v>208</v>
      </c>
      <c r="G110" s="228">
        <v>3202</v>
      </c>
      <c r="H110" s="229" t="s">
        <v>563</v>
      </c>
      <c r="I110" s="228">
        <v>3202</v>
      </c>
      <c r="J110" s="229" t="s">
        <v>564</v>
      </c>
      <c r="K110" s="229" t="s">
        <v>211</v>
      </c>
      <c r="L110" s="228" t="s">
        <v>50</v>
      </c>
      <c r="M110" s="229" t="s">
        <v>578</v>
      </c>
      <c r="N110" s="233">
        <v>3202014</v>
      </c>
      <c r="O110" s="229" t="s">
        <v>579</v>
      </c>
      <c r="P110" s="228" t="s">
        <v>50</v>
      </c>
      <c r="Q110" s="230" t="s">
        <v>580</v>
      </c>
      <c r="R110" s="264">
        <v>320201402</v>
      </c>
      <c r="S110" s="230" t="s">
        <v>581</v>
      </c>
      <c r="T110" s="253" t="s">
        <v>58</v>
      </c>
      <c r="U110" s="298">
        <v>1</v>
      </c>
      <c r="V110" s="298"/>
      <c r="W110" s="233">
        <f t="shared" si="3"/>
        <v>1</v>
      </c>
      <c r="X110" s="231">
        <v>2020003630028</v>
      </c>
      <c r="Y110" s="252" t="s">
        <v>582</v>
      </c>
      <c r="Z110" s="229" t="s">
        <v>583</v>
      </c>
      <c r="AA110" s="234"/>
      <c r="AB110" s="234"/>
      <c r="AC110" s="234"/>
      <c r="AD110" s="234"/>
      <c r="AE110" s="234"/>
      <c r="AF110" s="234"/>
      <c r="AG110" s="234">
        <v>76000000</v>
      </c>
      <c r="AH110" s="234"/>
      <c r="AI110" s="234"/>
      <c r="AJ110" s="236">
        <f t="shared" si="2"/>
        <v>76000000</v>
      </c>
      <c r="AK110" s="284" t="s">
        <v>459</v>
      </c>
    </row>
    <row r="111" spans="1:37" s="224" customFormat="1" ht="85.9" customHeight="1">
      <c r="A111" s="228">
        <v>312</v>
      </c>
      <c r="B111" s="229" t="s">
        <v>449</v>
      </c>
      <c r="C111" s="228">
        <v>3</v>
      </c>
      <c r="D111" s="229" t="s">
        <v>197</v>
      </c>
      <c r="E111" s="228">
        <v>32</v>
      </c>
      <c r="F111" s="229" t="s">
        <v>208</v>
      </c>
      <c r="G111" s="228">
        <v>3202</v>
      </c>
      <c r="H111" s="229" t="s">
        <v>563</v>
      </c>
      <c r="I111" s="228">
        <v>3202</v>
      </c>
      <c r="J111" s="229" t="s">
        <v>564</v>
      </c>
      <c r="K111" s="229" t="s">
        <v>211</v>
      </c>
      <c r="L111" s="228" t="s">
        <v>50</v>
      </c>
      <c r="M111" s="229" t="s">
        <v>584</v>
      </c>
      <c r="N111" s="228">
        <v>3202014</v>
      </c>
      <c r="O111" s="229" t="s">
        <v>579</v>
      </c>
      <c r="P111" s="228" t="s">
        <v>50</v>
      </c>
      <c r="Q111" s="230" t="s">
        <v>585</v>
      </c>
      <c r="R111" s="228">
        <v>320201402</v>
      </c>
      <c r="S111" s="230" t="s">
        <v>581</v>
      </c>
      <c r="T111" s="285" t="s">
        <v>152</v>
      </c>
      <c r="U111" s="298">
        <v>1</v>
      </c>
      <c r="V111" s="298"/>
      <c r="W111" s="233">
        <f t="shared" si="3"/>
        <v>1</v>
      </c>
      <c r="X111" s="231">
        <v>2020003630087</v>
      </c>
      <c r="Y111" s="251" t="s">
        <v>586</v>
      </c>
      <c r="Z111" s="229" t="s">
        <v>587</v>
      </c>
      <c r="AA111" s="234"/>
      <c r="AB111" s="234"/>
      <c r="AC111" s="234"/>
      <c r="AD111" s="234"/>
      <c r="AE111" s="234"/>
      <c r="AF111" s="234"/>
      <c r="AG111" s="234">
        <v>94000000</v>
      </c>
      <c r="AH111" s="234"/>
      <c r="AI111" s="234"/>
      <c r="AJ111" s="236">
        <f t="shared" si="2"/>
        <v>94000000</v>
      </c>
      <c r="AK111" s="284" t="s">
        <v>459</v>
      </c>
    </row>
    <row r="112" spans="1:37" s="224" customFormat="1" ht="85.9" customHeight="1">
      <c r="A112" s="228">
        <v>312</v>
      </c>
      <c r="B112" s="229" t="s">
        <v>449</v>
      </c>
      <c r="C112" s="228">
        <v>3</v>
      </c>
      <c r="D112" s="229" t="s">
        <v>197</v>
      </c>
      <c r="E112" s="228">
        <v>32</v>
      </c>
      <c r="F112" s="229" t="s">
        <v>208</v>
      </c>
      <c r="G112" s="228" t="s">
        <v>588</v>
      </c>
      <c r="H112" s="229" t="s">
        <v>589</v>
      </c>
      <c r="I112" s="228" t="s">
        <v>588</v>
      </c>
      <c r="J112" s="229" t="s">
        <v>590</v>
      </c>
      <c r="K112" s="229" t="s">
        <v>211</v>
      </c>
      <c r="L112" s="233">
        <v>3204012</v>
      </c>
      <c r="M112" s="229" t="s">
        <v>591</v>
      </c>
      <c r="N112" s="233">
        <v>3204012</v>
      </c>
      <c r="O112" s="229" t="s">
        <v>591</v>
      </c>
      <c r="P112" s="264" t="s">
        <v>592</v>
      </c>
      <c r="Q112" s="230" t="s">
        <v>593</v>
      </c>
      <c r="R112" s="264" t="s">
        <v>592</v>
      </c>
      <c r="S112" s="230" t="s">
        <v>593</v>
      </c>
      <c r="T112" s="285" t="s">
        <v>152</v>
      </c>
      <c r="U112" s="253">
        <v>5</v>
      </c>
      <c r="V112" s="253"/>
      <c r="W112" s="233">
        <f t="shared" si="3"/>
        <v>5</v>
      </c>
      <c r="X112" s="231">
        <v>2020003630029</v>
      </c>
      <c r="Y112" s="252" t="s">
        <v>594</v>
      </c>
      <c r="Z112" s="229" t="s">
        <v>595</v>
      </c>
      <c r="AA112" s="234"/>
      <c r="AB112" s="234"/>
      <c r="AC112" s="234"/>
      <c r="AD112" s="234"/>
      <c r="AE112" s="234"/>
      <c r="AF112" s="234"/>
      <c r="AG112" s="234">
        <v>168000000</v>
      </c>
      <c r="AH112" s="234"/>
      <c r="AI112" s="234"/>
      <c r="AJ112" s="236">
        <f t="shared" si="2"/>
        <v>168000000</v>
      </c>
      <c r="AK112" s="284" t="s">
        <v>459</v>
      </c>
    </row>
    <row r="113" spans="1:37" s="224" customFormat="1" ht="85.9" customHeight="1">
      <c r="A113" s="228">
        <v>312</v>
      </c>
      <c r="B113" s="229" t="s">
        <v>449</v>
      </c>
      <c r="C113" s="228">
        <v>3</v>
      </c>
      <c r="D113" s="229" t="s">
        <v>197</v>
      </c>
      <c r="E113" s="228">
        <v>32</v>
      </c>
      <c r="F113" s="229" t="s">
        <v>208</v>
      </c>
      <c r="G113" s="228">
        <v>3205</v>
      </c>
      <c r="H113" s="229" t="s">
        <v>209</v>
      </c>
      <c r="I113" s="228">
        <v>3205</v>
      </c>
      <c r="J113" s="229" t="s">
        <v>210</v>
      </c>
      <c r="K113" s="229" t="s">
        <v>211</v>
      </c>
      <c r="L113" s="233" t="s">
        <v>596</v>
      </c>
      <c r="M113" s="229" t="s">
        <v>597</v>
      </c>
      <c r="N113" s="233" t="s">
        <v>596</v>
      </c>
      <c r="O113" s="229" t="s">
        <v>597</v>
      </c>
      <c r="P113" s="228" t="s">
        <v>598</v>
      </c>
      <c r="Q113" s="251" t="s">
        <v>599</v>
      </c>
      <c r="R113" s="228" t="s">
        <v>598</v>
      </c>
      <c r="S113" s="230" t="s">
        <v>599</v>
      </c>
      <c r="T113" s="285" t="s">
        <v>152</v>
      </c>
      <c r="U113" s="253">
        <v>300</v>
      </c>
      <c r="V113" s="253"/>
      <c r="W113" s="233">
        <f t="shared" si="3"/>
        <v>300</v>
      </c>
      <c r="X113" s="231">
        <v>2020003630030</v>
      </c>
      <c r="Y113" s="252" t="s">
        <v>600</v>
      </c>
      <c r="Z113" s="229" t="s">
        <v>601</v>
      </c>
      <c r="AA113" s="247"/>
      <c r="AB113" s="234"/>
      <c r="AC113" s="234"/>
      <c r="AD113" s="234"/>
      <c r="AE113" s="234"/>
      <c r="AF113" s="234"/>
      <c r="AG113" s="234">
        <v>95000000</v>
      </c>
      <c r="AH113" s="234"/>
      <c r="AI113" s="234"/>
      <c r="AJ113" s="236">
        <f t="shared" si="2"/>
        <v>95000000</v>
      </c>
      <c r="AK113" s="284" t="s">
        <v>459</v>
      </c>
    </row>
    <row r="114" spans="1:37" s="224" customFormat="1" ht="85.9" customHeight="1">
      <c r="A114" s="228">
        <v>312</v>
      </c>
      <c r="B114" s="229" t="s">
        <v>449</v>
      </c>
      <c r="C114" s="228">
        <v>3</v>
      </c>
      <c r="D114" s="229" t="s">
        <v>197</v>
      </c>
      <c r="E114" s="228">
        <v>32</v>
      </c>
      <c r="F114" s="229" t="s">
        <v>208</v>
      </c>
      <c r="G114" s="228">
        <v>3205</v>
      </c>
      <c r="H114" s="229" t="s">
        <v>209</v>
      </c>
      <c r="I114" s="228">
        <v>3205</v>
      </c>
      <c r="J114" s="229" t="s">
        <v>210</v>
      </c>
      <c r="K114" s="229" t="s">
        <v>211</v>
      </c>
      <c r="L114" s="233" t="s">
        <v>602</v>
      </c>
      <c r="M114" s="229" t="s">
        <v>603</v>
      </c>
      <c r="N114" s="233" t="s">
        <v>602</v>
      </c>
      <c r="O114" s="229" t="s">
        <v>603</v>
      </c>
      <c r="P114" s="228" t="s">
        <v>604</v>
      </c>
      <c r="Q114" s="251" t="s">
        <v>605</v>
      </c>
      <c r="R114" s="228" t="s">
        <v>604</v>
      </c>
      <c r="S114" s="230" t="s">
        <v>605</v>
      </c>
      <c r="T114" s="285" t="s">
        <v>152</v>
      </c>
      <c r="U114" s="253">
        <v>20</v>
      </c>
      <c r="V114" s="253"/>
      <c r="W114" s="233">
        <f t="shared" si="3"/>
        <v>20</v>
      </c>
      <c r="X114" s="231">
        <v>2020003630030</v>
      </c>
      <c r="Y114" s="252" t="s">
        <v>600</v>
      </c>
      <c r="Z114" s="229" t="s">
        <v>601</v>
      </c>
      <c r="AA114" s="247"/>
      <c r="AB114" s="234"/>
      <c r="AC114" s="234"/>
      <c r="AD114" s="234"/>
      <c r="AE114" s="234"/>
      <c r="AF114" s="234"/>
      <c r="AG114" s="234">
        <v>150000000</v>
      </c>
      <c r="AH114" s="234"/>
      <c r="AI114" s="234"/>
      <c r="AJ114" s="236">
        <f t="shared" si="2"/>
        <v>150000000</v>
      </c>
      <c r="AK114" s="284" t="s">
        <v>459</v>
      </c>
    </row>
    <row r="115" spans="1:37" s="224" customFormat="1" ht="85.9" customHeight="1">
      <c r="A115" s="228">
        <v>312</v>
      </c>
      <c r="B115" s="229" t="s">
        <v>449</v>
      </c>
      <c r="C115" s="228">
        <v>3</v>
      </c>
      <c r="D115" s="229" t="s">
        <v>197</v>
      </c>
      <c r="E115" s="228">
        <v>32</v>
      </c>
      <c r="F115" s="229" t="s">
        <v>208</v>
      </c>
      <c r="G115" s="228">
        <v>3205</v>
      </c>
      <c r="H115" s="229" t="s">
        <v>209</v>
      </c>
      <c r="I115" s="228">
        <v>3205</v>
      </c>
      <c r="J115" s="229" t="s">
        <v>210</v>
      </c>
      <c r="K115" s="229" t="s">
        <v>211</v>
      </c>
      <c r="L115" s="233">
        <v>3205010</v>
      </c>
      <c r="M115" s="229" t="s">
        <v>212</v>
      </c>
      <c r="N115" s="233">
        <v>3205010</v>
      </c>
      <c r="O115" s="229" t="s">
        <v>212</v>
      </c>
      <c r="P115" s="228" t="s">
        <v>213</v>
      </c>
      <c r="Q115" s="251" t="s">
        <v>214</v>
      </c>
      <c r="R115" s="228">
        <v>320501000</v>
      </c>
      <c r="S115" s="230" t="s">
        <v>214</v>
      </c>
      <c r="T115" s="285" t="s">
        <v>152</v>
      </c>
      <c r="U115" s="253">
        <v>1</v>
      </c>
      <c r="V115" s="253"/>
      <c r="W115" s="233">
        <f t="shared" si="3"/>
        <v>1</v>
      </c>
      <c r="X115" s="231">
        <v>2020003630030</v>
      </c>
      <c r="Y115" s="252" t="s">
        <v>600</v>
      </c>
      <c r="Z115" s="229" t="s">
        <v>601</v>
      </c>
      <c r="AA115" s="247"/>
      <c r="AB115" s="234"/>
      <c r="AC115" s="234"/>
      <c r="AD115" s="234"/>
      <c r="AE115" s="234"/>
      <c r="AF115" s="234"/>
      <c r="AG115" s="234">
        <v>135000000</v>
      </c>
      <c r="AH115" s="234"/>
      <c r="AI115" s="234"/>
      <c r="AJ115" s="236">
        <f t="shared" si="2"/>
        <v>135000000</v>
      </c>
      <c r="AK115" s="284" t="s">
        <v>459</v>
      </c>
    </row>
    <row r="116" spans="1:37" s="224" customFormat="1" ht="85.9" customHeight="1">
      <c r="A116" s="228">
        <v>312</v>
      </c>
      <c r="B116" s="229" t="s">
        <v>449</v>
      </c>
      <c r="C116" s="228">
        <v>3</v>
      </c>
      <c r="D116" s="229" t="s">
        <v>197</v>
      </c>
      <c r="E116" s="228">
        <v>32</v>
      </c>
      <c r="F116" s="229" t="s">
        <v>208</v>
      </c>
      <c r="G116" s="228" t="s">
        <v>606</v>
      </c>
      <c r="H116" s="229" t="s">
        <v>607</v>
      </c>
      <c r="I116" s="228" t="s">
        <v>606</v>
      </c>
      <c r="J116" s="229" t="s">
        <v>608</v>
      </c>
      <c r="K116" s="229" t="s">
        <v>211</v>
      </c>
      <c r="L116" s="233" t="s">
        <v>609</v>
      </c>
      <c r="M116" s="229" t="s">
        <v>610</v>
      </c>
      <c r="N116" s="233" t="s">
        <v>609</v>
      </c>
      <c r="O116" s="229" t="s">
        <v>610</v>
      </c>
      <c r="P116" s="264" t="s">
        <v>611</v>
      </c>
      <c r="Q116" s="230" t="s">
        <v>612</v>
      </c>
      <c r="R116" s="264" t="s">
        <v>611</v>
      </c>
      <c r="S116" s="230" t="s">
        <v>612</v>
      </c>
      <c r="T116" s="285" t="s">
        <v>152</v>
      </c>
      <c r="U116" s="253">
        <v>4</v>
      </c>
      <c r="V116" s="253"/>
      <c r="W116" s="233">
        <f t="shared" si="3"/>
        <v>4</v>
      </c>
      <c r="X116" s="231">
        <v>2020003630088</v>
      </c>
      <c r="Y116" s="252" t="s">
        <v>613</v>
      </c>
      <c r="Z116" s="229" t="s">
        <v>614</v>
      </c>
      <c r="AA116" s="234"/>
      <c r="AB116" s="234"/>
      <c r="AC116" s="234"/>
      <c r="AD116" s="234"/>
      <c r="AE116" s="234"/>
      <c r="AF116" s="234"/>
      <c r="AG116" s="234">
        <v>115000000</v>
      </c>
      <c r="AH116" s="234"/>
      <c r="AI116" s="234"/>
      <c r="AJ116" s="236">
        <f t="shared" si="2"/>
        <v>115000000</v>
      </c>
      <c r="AK116" s="284" t="s">
        <v>459</v>
      </c>
    </row>
    <row r="117" spans="1:37" s="224" customFormat="1" ht="85.9" customHeight="1">
      <c r="A117" s="228">
        <v>312</v>
      </c>
      <c r="B117" s="229" t="s">
        <v>449</v>
      </c>
      <c r="C117" s="228">
        <v>3</v>
      </c>
      <c r="D117" s="229" t="s">
        <v>197</v>
      </c>
      <c r="E117" s="228">
        <v>32</v>
      </c>
      <c r="F117" s="229" t="s">
        <v>208</v>
      </c>
      <c r="G117" s="228" t="s">
        <v>606</v>
      </c>
      <c r="H117" s="229" t="s">
        <v>607</v>
      </c>
      <c r="I117" s="228" t="s">
        <v>606</v>
      </c>
      <c r="J117" s="229" t="s">
        <v>608</v>
      </c>
      <c r="K117" s="229" t="s">
        <v>211</v>
      </c>
      <c r="L117" s="233">
        <v>3206014</v>
      </c>
      <c r="M117" s="229" t="s">
        <v>615</v>
      </c>
      <c r="N117" s="233">
        <v>3206014</v>
      </c>
      <c r="O117" s="229" t="s">
        <v>615</v>
      </c>
      <c r="P117" s="264" t="s">
        <v>616</v>
      </c>
      <c r="Q117" s="230" t="s">
        <v>617</v>
      </c>
      <c r="R117" s="264" t="s">
        <v>616</v>
      </c>
      <c r="S117" s="230" t="s">
        <v>617</v>
      </c>
      <c r="T117" s="285" t="s">
        <v>152</v>
      </c>
      <c r="U117" s="253">
        <v>2000</v>
      </c>
      <c r="V117" s="253"/>
      <c r="W117" s="233">
        <f t="shared" si="3"/>
        <v>2000</v>
      </c>
      <c r="X117" s="231">
        <v>2020003630088</v>
      </c>
      <c r="Y117" s="252" t="s">
        <v>613</v>
      </c>
      <c r="Z117" s="229" t="s">
        <v>614</v>
      </c>
      <c r="AA117" s="234"/>
      <c r="AB117" s="234"/>
      <c r="AC117" s="234"/>
      <c r="AD117" s="234"/>
      <c r="AE117" s="234"/>
      <c r="AF117" s="234"/>
      <c r="AG117" s="234">
        <v>108000000</v>
      </c>
      <c r="AH117" s="234"/>
      <c r="AI117" s="234"/>
      <c r="AJ117" s="236">
        <f t="shared" si="2"/>
        <v>108000000</v>
      </c>
      <c r="AK117" s="284" t="s">
        <v>459</v>
      </c>
    </row>
    <row r="118" spans="1:37" s="224" customFormat="1" ht="85.9" customHeight="1">
      <c r="A118" s="228">
        <v>312</v>
      </c>
      <c r="B118" s="229" t="s">
        <v>449</v>
      </c>
      <c r="C118" s="228">
        <v>3</v>
      </c>
      <c r="D118" s="229" t="s">
        <v>197</v>
      </c>
      <c r="E118" s="228">
        <v>32</v>
      </c>
      <c r="F118" s="229" t="s">
        <v>208</v>
      </c>
      <c r="G118" s="228" t="s">
        <v>606</v>
      </c>
      <c r="H118" s="229" t="s">
        <v>607</v>
      </c>
      <c r="I118" s="228" t="s">
        <v>606</v>
      </c>
      <c r="J118" s="229" t="s">
        <v>608</v>
      </c>
      <c r="K118" s="229" t="s">
        <v>211</v>
      </c>
      <c r="L118" s="233" t="s">
        <v>618</v>
      </c>
      <c r="M118" s="229" t="s">
        <v>619</v>
      </c>
      <c r="N118" s="233" t="s">
        <v>618</v>
      </c>
      <c r="O118" s="229" t="s">
        <v>619</v>
      </c>
      <c r="P118" s="264" t="s">
        <v>620</v>
      </c>
      <c r="Q118" s="230" t="s">
        <v>621</v>
      </c>
      <c r="R118" s="264" t="s">
        <v>620</v>
      </c>
      <c r="S118" s="230" t="s">
        <v>621</v>
      </c>
      <c r="T118" s="285" t="s">
        <v>152</v>
      </c>
      <c r="U118" s="253">
        <v>50</v>
      </c>
      <c r="V118" s="253"/>
      <c r="W118" s="233">
        <f t="shared" si="3"/>
        <v>50</v>
      </c>
      <c r="X118" s="231">
        <v>2020003630088</v>
      </c>
      <c r="Y118" s="252" t="s">
        <v>613</v>
      </c>
      <c r="Z118" s="229" t="s">
        <v>614</v>
      </c>
      <c r="AA118" s="234"/>
      <c r="AB118" s="234"/>
      <c r="AC118" s="234"/>
      <c r="AD118" s="234"/>
      <c r="AE118" s="234"/>
      <c r="AF118" s="234"/>
      <c r="AG118" s="234">
        <v>244000000.94999999</v>
      </c>
      <c r="AH118" s="234"/>
      <c r="AI118" s="234"/>
      <c r="AJ118" s="236">
        <f t="shared" si="2"/>
        <v>244000000.94999999</v>
      </c>
      <c r="AK118" s="284" t="s">
        <v>459</v>
      </c>
    </row>
    <row r="119" spans="1:37" s="224" customFormat="1" ht="85.9" customHeight="1">
      <c r="A119" s="228">
        <v>313</v>
      </c>
      <c r="B119" s="229" t="s">
        <v>622</v>
      </c>
      <c r="C119" s="228">
        <v>4</v>
      </c>
      <c r="D119" s="229" t="s">
        <v>48</v>
      </c>
      <c r="E119" s="228">
        <v>45</v>
      </c>
      <c r="F119" s="229" t="s">
        <v>49</v>
      </c>
      <c r="G119" s="228" t="s">
        <v>50</v>
      </c>
      <c r="H119" s="229" t="s">
        <v>51</v>
      </c>
      <c r="I119" s="228">
        <v>4599</v>
      </c>
      <c r="J119" s="229" t="s">
        <v>52</v>
      </c>
      <c r="K119" s="229" t="s">
        <v>53</v>
      </c>
      <c r="L119" s="228" t="s">
        <v>50</v>
      </c>
      <c r="M119" s="229" t="s">
        <v>623</v>
      </c>
      <c r="N119" s="228">
        <v>4599023</v>
      </c>
      <c r="O119" s="229" t="s">
        <v>119</v>
      </c>
      <c r="P119" s="228" t="s">
        <v>50</v>
      </c>
      <c r="Q119" s="230" t="s">
        <v>624</v>
      </c>
      <c r="R119" s="228">
        <v>459902304</v>
      </c>
      <c r="S119" s="230" t="s">
        <v>625</v>
      </c>
      <c r="T119" s="298" t="s">
        <v>58</v>
      </c>
      <c r="U119" s="298">
        <v>1</v>
      </c>
      <c r="V119" s="298"/>
      <c r="W119" s="233">
        <f t="shared" si="3"/>
        <v>1</v>
      </c>
      <c r="X119" s="255">
        <v>2021003630005</v>
      </c>
      <c r="Y119" s="229" t="s">
        <v>626</v>
      </c>
      <c r="Z119" s="229" t="s">
        <v>627</v>
      </c>
      <c r="AA119" s="234"/>
      <c r="AB119" s="234"/>
      <c r="AC119" s="234"/>
      <c r="AD119" s="234"/>
      <c r="AE119" s="234"/>
      <c r="AF119" s="234"/>
      <c r="AG119" s="247">
        <v>200000000</v>
      </c>
      <c r="AH119" s="247"/>
      <c r="AI119" s="234"/>
      <c r="AJ119" s="236">
        <f t="shared" si="2"/>
        <v>200000000</v>
      </c>
      <c r="AK119" s="251" t="s">
        <v>628</v>
      </c>
    </row>
    <row r="120" spans="1:37" s="224" customFormat="1" ht="85.9" customHeight="1">
      <c r="A120" s="228">
        <v>313</v>
      </c>
      <c r="B120" s="229" t="s">
        <v>622</v>
      </c>
      <c r="C120" s="228">
        <v>4</v>
      </c>
      <c r="D120" s="229" t="s">
        <v>48</v>
      </c>
      <c r="E120" s="228">
        <v>45</v>
      </c>
      <c r="F120" s="229" t="s">
        <v>49</v>
      </c>
      <c r="G120" s="228" t="s">
        <v>50</v>
      </c>
      <c r="H120" s="229" t="s">
        <v>51</v>
      </c>
      <c r="I120" s="228">
        <v>4599</v>
      </c>
      <c r="J120" s="229" t="s">
        <v>52</v>
      </c>
      <c r="K120" s="229" t="s">
        <v>53</v>
      </c>
      <c r="L120" s="228" t="s">
        <v>50</v>
      </c>
      <c r="M120" s="229" t="s">
        <v>629</v>
      </c>
      <c r="N120" s="228">
        <v>4599029</v>
      </c>
      <c r="O120" s="229" t="s">
        <v>74</v>
      </c>
      <c r="P120" s="228" t="s">
        <v>50</v>
      </c>
      <c r="Q120" s="230" t="s">
        <v>630</v>
      </c>
      <c r="R120" s="279">
        <v>459902900</v>
      </c>
      <c r="S120" s="230" t="s">
        <v>76</v>
      </c>
      <c r="T120" s="298" t="s">
        <v>58</v>
      </c>
      <c r="U120" s="298">
        <v>1</v>
      </c>
      <c r="V120" s="298"/>
      <c r="W120" s="233">
        <f t="shared" si="3"/>
        <v>1</v>
      </c>
      <c r="X120" s="231">
        <v>2020003630090</v>
      </c>
      <c r="Y120" s="229" t="s">
        <v>631</v>
      </c>
      <c r="Z120" s="229" t="s">
        <v>632</v>
      </c>
      <c r="AA120" s="234"/>
      <c r="AB120" s="234"/>
      <c r="AC120" s="234"/>
      <c r="AD120" s="234"/>
      <c r="AE120" s="234"/>
      <c r="AF120" s="234"/>
      <c r="AG120" s="247">
        <f>400000000-50000000+700000000</f>
        <v>1050000000</v>
      </c>
      <c r="AH120" s="234"/>
      <c r="AI120" s="234"/>
      <c r="AJ120" s="236">
        <f t="shared" si="2"/>
        <v>1050000000</v>
      </c>
      <c r="AK120" s="251" t="s">
        <v>633</v>
      </c>
    </row>
    <row r="121" spans="1:37" s="224" customFormat="1" ht="85.9" customHeight="1">
      <c r="A121" s="228">
        <v>313</v>
      </c>
      <c r="B121" s="229" t="s">
        <v>622</v>
      </c>
      <c r="C121" s="228">
        <v>4</v>
      </c>
      <c r="D121" s="229" t="s">
        <v>48</v>
      </c>
      <c r="E121" s="228">
        <v>45</v>
      </c>
      <c r="F121" s="229" t="s">
        <v>49</v>
      </c>
      <c r="G121" s="228">
        <v>4502</v>
      </c>
      <c r="H121" s="229" t="s">
        <v>70</v>
      </c>
      <c r="I121" s="228">
        <v>4502</v>
      </c>
      <c r="J121" s="229" t="s">
        <v>71</v>
      </c>
      <c r="K121" s="229" t="s">
        <v>72</v>
      </c>
      <c r="L121" s="228" t="s">
        <v>50</v>
      </c>
      <c r="M121" s="229" t="s">
        <v>634</v>
      </c>
      <c r="N121" s="228">
        <v>4502001</v>
      </c>
      <c r="O121" s="229" t="s">
        <v>82</v>
      </c>
      <c r="P121" s="228" t="s">
        <v>50</v>
      </c>
      <c r="Q121" s="230" t="s">
        <v>635</v>
      </c>
      <c r="R121" s="228">
        <v>450200100</v>
      </c>
      <c r="S121" s="230" t="s">
        <v>84</v>
      </c>
      <c r="T121" s="298" t="s">
        <v>58</v>
      </c>
      <c r="U121" s="253">
        <v>30</v>
      </c>
      <c r="V121" s="253"/>
      <c r="W121" s="233">
        <f t="shared" si="3"/>
        <v>30</v>
      </c>
      <c r="X121" s="231">
        <v>2020003630031</v>
      </c>
      <c r="Y121" s="229" t="s">
        <v>636</v>
      </c>
      <c r="Z121" s="229" t="s">
        <v>637</v>
      </c>
      <c r="AA121" s="250"/>
      <c r="AB121" s="250"/>
      <c r="AC121" s="250"/>
      <c r="AD121" s="250"/>
      <c r="AE121" s="250"/>
      <c r="AF121" s="250"/>
      <c r="AG121" s="247">
        <f>253002887.28-100000000</f>
        <v>153002887.28</v>
      </c>
      <c r="AH121" s="250">
        <v>800000000</v>
      </c>
      <c r="AI121" s="250"/>
      <c r="AJ121" s="236">
        <f t="shared" si="2"/>
        <v>953002887.27999997</v>
      </c>
      <c r="AK121" s="251" t="s">
        <v>633</v>
      </c>
    </row>
    <row r="122" spans="1:37" s="224" customFormat="1" ht="85.9" customHeight="1">
      <c r="A122" s="228">
        <v>314</v>
      </c>
      <c r="B122" s="229" t="s">
        <v>638</v>
      </c>
      <c r="C122" s="228">
        <v>1</v>
      </c>
      <c r="D122" s="229" t="s">
        <v>143</v>
      </c>
      <c r="E122" s="228">
        <v>22</v>
      </c>
      <c r="F122" s="229" t="s">
        <v>156</v>
      </c>
      <c r="G122" s="228">
        <v>2201</v>
      </c>
      <c r="H122" s="229" t="s">
        <v>287</v>
      </c>
      <c r="I122" s="228">
        <v>2201</v>
      </c>
      <c r="J122" s="229" t="s">
        <v>158</v>
      </c>
      <c r="K122" s="229" t="s">
        <v>639</v>
      </c>
      <c r="L122" s="228">
        <v>2201030</v>
      </c>
      <c r="M122" s="229" t="s">
        <v>640</v>
      </c>
      <c r="N122" s="228">
        <v>2201030</v>
      </c>
      <c r="O122" s="229" t="s">
        <v>640</v>
      </c>
      <c r="P122" s="281">
        <v>220103000</v>
      </c>
      <c r="Q122" s="230" t="s">
        <v>641</v>
      </c>
      <c r="R122" s="281">
        <v>220103000</v>
      </c>
      <c r="S122" s="230" t="s">
        <v>641</v>
      </c>
      <c r="T122" s="253" t="s">
        <v>58</v>
      </c>
      <c r="U122" s="253">
        <v>2500</v>
      </c>
      <c r="V122" s="253"/>
      <c r="W122" s="233">
        <f t="shared" si="3"/>
        <v>2500</v>
      </c>
      <c r="X122" s="231">
        <v>2020003630091</v>
      </c>
      <c r="Y122" s="229" t="s">
        <v>642</v>
      </c>
      <c r="Z122" s="229" t="s">
        <v>643</v>
      </c>
      <c r="AA122" s="234"/>
      <c r="AB122" s="234"/>
      <c r="AC122" s="234"/>
      <c r="AD122" s="234"/>
      <c r="AE122" s="234">
        <f>1526888200-213580189</f>
        <v>1313308011</v>
      </c>
      <c r="AF122" s="234"/>
      <c r="AG122" s="247"/>
      <c r="AH122" s="234"/>
      <c r="AI122" s="234"/>
      <c r="AJ122" s="236">
        <f t="shared" ref="AJ122:AJ163" si="4">SUM(AA122,AB122,AC122,AD122,AE122,AF122,AG122,AH122,AI122)</f>
        <v>1313308011</v>
      </c>
      <c r="AK122" s="299" t="s">
        <v>644</v>
      </c>
    </row>
    <row r="123" spans="1:37" s="224" customFormat="1" ht="85.9" customHeight="1">
      <c r="A123" s="228">
        <v>314</v>
      </c>
      <c r="B123" s="229" t="s">
        <v>638</v>
      </c>
      <c r="C123" s="228">
        <v>1</v>
      </c>
      <c r="D123" s="229" t="s">
        <v>143</v>
      </c>
      <c r="E123" s="228">
        <v>22</v>
      </c>
      <c r="F123" s="229" t="s">
        <v>156</v>
      </c>
      <c r="G123" s="228">
        <v>2201</v>
      </c>
      <c r="H123" s="229" t="s">
        <v>287</v>
      </c>
      <c r="I123" s="228">
        <v>2201</v>
      </c>
      <c r="J123" s="229" t="s">
        <v>158</v>
      </c>
      <c r="K123" s="229" t="s">
        <v>645</v>
      </c>
      <c r="L123" s="228">
        <v>2201055</v>
      </c>
      <c r="M123" s="229" t="s">
        <v>646</v>
      </c>
      <c r="N123" s="228">
        <v>2201055</v>
      </c>
      <c r="O123" s="229" t="s">
        <v>646</v>
      </c>
      <c r="P123" s="281">
        <v>220105500</v>
      </c>
      <c r="Q123" s="230" t="s">
        <v>647</v>
      </c>
      <c r="R123" s="281">
        <v>220105500</v>
      </c>
      <c r="S123" s="230" t="s">
        <v>647</v>
      </c>
      <c r="T123" s="253" t="s">
        <v>58</v>
      </c>
      <c r="U123" s="253">
        <v>1</v>
      </c>
      <c r="V123" s="253"/>
      <c r="W123" s="233">
        <f t="shared" si="3"/>
        <v>1</v>
      </c>
      <c r="X123" s="231">
        <v>2020003630091</v>
      </c>
      <c r="Y123" s="252" t="s">
        <v>642</v>
      </c>
      <c r="Z123" s="229" t="s">
        <v>643</v>
      </c>
      <c r="AA123" s="234"/>
      <c r="AB123" s="234"/>
      <c r="AC123" s="234"/>
      <c r="AD123" s="234"/>
      <c r="AE123" s="234">
        <f>25187860-23347659</f>
        <v>1840201</v>
      </c>
      <c r="AF123" s="234"/>
      <c r="AG123" s="247"/>
      <c r="AH123" s="234"/>
      <c r="AI123" s="234"/>
      <c r="AJ123" s="236">
        <f t="shared" si="4"/>
        <v>1840201</v>
      </c>
      <c r="AK123" s="299" t="s">
        <v>644</v>
      </c>
    </row>
    <row r="124" spans="1:37" s="224" customFormat="1" ht="85.9" customHeight="1">
      <c r="A124" s="228">
        <v>314</v>
      </c>
      <c r="B124" s="229" t="s">
        <v>638</v>
      </c>
      <c r="C124" s="228">
        <v>1</v>
      </c>
      <c r="D124" s="229" t="s">
        <v>143</v>
      </c>
      <c r="E124" s="228">
        <v>22</v>
      </c>
      <c r="F124" s="229" t="s">
        <v>156</v>
      </c>
      <c r="G124" s="228">
        <v>2201</v>
      </c>
      <c r="H124" s="229" t="s">
        <v>287</v>
      </c>
      <c r="I124" s="228">
        <v>2201</v>
      </c>
      <c r="J124" s="229" t="s">
        <v>158</v>
      </c>
      <c r="K124" s="229" t="s">
        <v>648</v>
      </c>
      <c r="L124" s="228">
        <v>2201067</v>
      </c>
      <c r="M124" s="229" t="s">
        <v>649</v>
      </c>
      <c r="N124" s="228">
        <v>2201067</v>
      </c>
      <c r="O124" s="229" t="s">
        <v>649</v>
      </c>
      <c r="P124" s="233">
        <v>220106700</v>
      </c>
      <c r="Q124" s="230" t="s">
        <v>650</v>
      </c>
      <c r="R124" s="233">
        <v>220106700</v>
      </c>
      <c r="S124" s="230" t="s">
        <v>650</v>
      </c>
      <c r="T124" s="253" t="s">
        <v>58</v>
      </c>
      <c r="U124" s="253">
        <v>54</v>
      </c>
      <c r="V124" s="253"/>
      <c r="W124" s="233">
        <f t="shared" si="3"/>
        <v>54</v>
      </c>
      <c r="X124" s="231">
        <v>2020003630091</v>
      </c>
      <c r="Y124" s="252" t="s">
        <v>642</v>
      </c>
      <c r="Z124" s="229" t="s">
        <v>643</v>
      </c>
      <c r="AA124" s="234"/>
      <c r="AB124" s="234"/>
      <c r="AC124" s="234"/>
      <c r="AD124" s="234"/>
      <c r="AE124" s="234"/>
      <c r="AF124" s="234"/>
      <c r="AG124" s="247">
        <f>20000000-20000000</f>
        <v>0</v>
      </c>
      <c r="AH124" s="234"/>
      <c r="AI124" s="234"/>
      <c r="AJ124" s="236">
        <f t="shared" si="4"/>
        <v>0</v>
      </c>
      <c r="AK124" s="299" t="s">
        <v>644</v>
      </c>
    </row>
    <row r="125" spans="1:37" s="224" customFormat="1" ht="85.9" customHeight="1">
      <c r="A125" s="228">
        <v>314</v>
      </c>
      <c r="B125" s="229" t="s">
        <v>638</v>
      </c>
      <c r="C125" s="228">
        <v>1</v>
      </c>
      <c r="D125" s="229" t="s">
        <v>143</v>
      </c>
      <c r="E125" s="228">
        <v>22</v>
      </c>
      <c r="F125" s="229" t="s">
        <v>156</v>
      </c>
      <c r="G125" s="228">
        <v>2201</v>
      </c>
      <c r="H125" s="229" t="s">
        <v>287</v>
      </c>
      <c r="I125" s="228">
        <v>2201</v>
      </c>
      <c r="J125" s="229" t="s">
        <v>158</v>
      </c>
      <c r="K125" s="229" t="s">
        <v>648</v>
      </c>
      <c r="L125" s="228">
        <v>2201028</v>
      </c>
      <c r="M125" s="229" t="s">
        <v>651</v>
      </c>
      <c r="N125" s="228">
        <v>2201028</v>
      </c>
      <c r="O125" s="229" t="s">
        <v>651</v>
      </c>
      <c r="P125" s="281">
        <v>220102801</v>
      </c>
      <c r="Q125" s="230" t="s">
        <v>652</v>
      </c>
      <c r="R125" s="281">
        <v>220102801</v>
      </c>
      <c r="S125" s="230" t="s">
        <v>652</v>
      </c>
      <c r="T125" s="253" t="s">
        <v>58</v>
      </c>
      <c r="U125" s="253">
        <v>36000</v>
      </c>
      <c r="V125" s="253"/>
      <c r="W125" s="233">
        <f t="shared" si="3"/>
        <v>36000</v>
      </c>
      <c r="X125" s="231">
        <v>2020003630091</v>
      </c>
      <c r="Y125" s="229" t="s">
        <v>642</v>
      </c>
      <c r="Z125" s="229" t="s">
        <v>643</v>
      </c>
      <c r="AA125" s="234"/>
      <c r="AB125" s="234">
        <v>127380177</v>
      </c>
      <c r="AC125" s="234"/>
      <c r="AD125" s="234"/>
      <c r="AE125" s="234"/>
      <c r="AF125" s="234"/>
      <c r="AG125" s="247">
        <f>3000000000-39241283.08</f>
        <v>2960758716.9200001</v>
      </c>
      <c r="AH125" s="234"/>
      <c r="AI125" s="234">
        <f>9901551000+10000000+3373562039.04+2673340000</f>
        <v>15958453039.040001</v>
      </c>
      <c r="AJ125" s="236">
        <f t="shared" si="4"/>
        <v>19046591932.959999</v>
      </c>
      <c r="AK125" s="299" t="s">
        <v>644</v>
      </c>
    </row>
    <row r="126" spans="1:37" s="224" customFormat="1" ht="85.9" customHeight="1">
      <c r="A126" s="228">
        <v>314</v>
      </c>
      <c r="B126" s="229" t="s">
        <v>638</v>
      </c>
      <c r="C126" s="228">
        <v>1</v>
      </c>
      <c r="D126" s="229" t="s">
        <v>143</v>
      </c>
      <c r="E126" s="228">
        <v>22</v>
      </c>
      <c r="F126" s="229" t="s">
        <v>156</v>
      </c>
      <c r="G126" s="228">
        <v>2201</v>
      </c>
      <c r="H126" s="229" t="s">
        <v>287</v>
      </c>
      <c r="I126" s="228">
        <v>2201</v>
      </c>
      <c r="J126" s="229" t="s">
        <v>158</v>
      </c>
      <c r="K126" s="229" t="s">
        <v>648</v>
      </c>
      <c r="L126" s="228">
        <v>2201029</v>
      </c>
      <c r="M126" s="229" t="s">
        <v>653</v>
      </c>
      <c r="N126" s="228">
        <v>2201029</v>
      </c>
      <c r="O126" s="229" t="s">
        <v>653</v>
      </c>
      <c r="P126" s="281">
        <v>220102900</v>
      </c>
      <c r="Q126" s="230" t="s">
        <v>654</v>
      </c>
      <c r="R126" s="281">
        <v>220102900</v>
      </c>
      <c r="S126" s="230" t="s">
        <v>654</v>
      </c>
      <c r="T126" s="253" t="s">
        <v>152</v>
      </c>
      <c r="U126" s="253">
        <v>1500</v>
      </c>
      <c r="V126" s="253"/>
      <c r="W126" s="233">
        <f t="shared" si="3"/>
        <v>1500</v>
      </c>
      <c r="X126" s="231">
        <v>2020003630091</v>
      </c>
      <c r="Y126" s="229" t="s">
        <v>642</v>
      </c>
      <c r="Z126" s="229" t="s">
        <v>643</v>
      </c>
      <c r="AA126" s="234"/>
      <c r="AB126" s="247"/>
      <c r="AC126" s="234"/>
      <c r="AD126" s="234"/>
      <c r="AE126" s="234"/>
      <c r="AF126" s="234"/>
      <c r="AG126" s="247">
        <f>100000000+1100000000</f>
        <v>1200000000</v>
      </c>
      <c r="AH126" s="234"/>
      <c r="AI126" s="234"/>
      <c r="AJ126" s="236">
        <f t="shared" si="4"/>
        <v>1200000000</v>
      </c>
      <c r="AK126" s="299" t="s">
        <v>644</v>
      </c>
    </row>
    <row r="127" spans="1:37" s="224" customFormat="1" ht="85.9" customHeight="1">
      <c r="A127" s="228">
        <v>314</v>
      </c>
      <c r="B127" s="229" t="s">
        <v>638</v>
      </c>
      <c r="C127" s="228">
        <v>1</v>
      </c>
      <c r="D127" s="229" t="s">
        <v>143</v>
      </c>
      <c r="E127" s="228">
        <v>22</v>
      </c>
      <c r="F127" s="229" t="s">
        <v>156</v>
      </c>
      <c r="G127" s="228">
        <v>2201</v>
      </c>
      <c r="H127" s="229" t="s">
        <v>287</v>
      </c>
      <c r="I127" s="228">
        <v>2201</v>
      </c>
      <c r="J127" s="229" t="s">
        <v>158</v>
      </c>
      <c r="K127" s="229" t="s">
        <v>655</v>
      </c>
      <c r="L127" s="228">
        <v>2201069</v>
      </c>
      <c r="M127" s="229" t="s">
        <v>656</v>
      </c>
      <c r="N127" s="228">
        <v>2201069</v>
      </c>
      <c r="O127" s="229" t="s">
        <v>656</v>
      </c>
      <c r="P127" s="233">
        <v>220106900</v>
      </c>
      <c r="Q127" s="230" t="s">
        <v>657</v>
      </c>
      <c r="R127" s="233">
        <v>220106900</v>
      </c>
      <c r="S127" s="230" t="s">
        <v>657</v>
      </c>
      <c r="T127" s="253" t="s">
        <v>152</v>
      </c>
      <c r="U127" s="253">
        <v>4</v>
      </c>
      <c r="V127" s="253"/>
      <c r="W127" s="233">
        <f t="shared" si="3"/>
        <v>4</v>
      </c>
      <c r="X127" s="231">
        <v>2020003630091</v>
      </c>
      <c r="Y127" s="252" t="s">
        <v>642</v>
      </c>
      <c r="Z127" s="229" t="s">
        <v>643</v>
      </c>
      <c r="AA127" s="234"/>
      <c r="AB127" s="234"/>
      <c r="AC127" s="234"/>
      <c r="AD127" s="234"/>
      <c r="AE127" s="234">
        <f>106966940+489152310.42-3138947</f>
        <v>592980303.42000008</v>
      </c>
      <c r="AF127" s="234"/>
      <c r="AG127" s="247"/>
      <c r="AH127" s="234"/>
      <c r="AI127" s="234"/>
      <c r="AJ127" s="236">
        <f t="shared" si="4"/>
        <v>592980303.42000008</v>
      </c>
      <c r="AK127" s="299" t="s">
        <v>644</v>
      </c>
    </row>
    <row r="128" spans="1:37" s="224" customFormat="1" ht="85.9" customHeight="1">
      <c r="A128" s="228">
        <v>314</v>
      </c>
      <c r="B128" s="229" t="s">
        <v>638</v>
      </c>
      <c r="C128" s="228">
        <v>1</v>
      </c>
      <c r="D128" s="229" t="s">
        <v>143</v>
      </c>
      <c r="E128" s="228">
        <v>22</v>
      </c>
      <c r="F128" s="229" t="s">
        <v>156</v>
      </c>
      <c r="G128" s="228">
        <v>2201</v>
      </c>
      <c r="H128" s="229" t="s">
        <v>287</v>
      </c>
      <c r="I128" s="228">
        <v>2201</v>
      </c>
      <c r="J128" s="229" t="s">
        <v>158</v>
      </c>
      <c r="K128" s="229" t="s">
        <v>658</v>
      </c>
      <c r="L128" s="228">
        <v>2201037</v>
      </c>
      <c r="M128" s="229" t="s">
        <v>659</v>
      </c>
      <c r="N128" s="228">
        <v>2201037</v>
      </c>
      <c r="O128" s="229" t="s">
        <v>659</v>
      </c>
      <c r="P128" s="281">
        <v>220103700</v>
      </c>
      <c r="Q128" s="230" t="s">
        <v>660</v>
      </c>
      <c r="R128" s="281">
        <v>220103700</v>
      </c>
      <c r="S128" s="230" t="s">
        <v>660</v>
      </c>
      <c r="T128" s="253" t="s">
        <v>58</v>
      </c>
      <c r="U128" s="253">
        <v>54</v>
      </c>
      <c r="V128" s="253"/>
      <c r="W128" s="233">
        <f t="shared" si="3"/>
        <v>54</v>
      </c>
      <c r="X128" s="231">
        <v>2020003630092</v>
      </c>
      <c r="Y128" s="251" t="s">
        <v>661</v>
      </c>
      <c r="Z128" s="229" t="s">
        <v>662</v>
      </c>
      <c r="AA128" s="234"/>
      <c r="AB128" s="234"/>
      <c r="AC128" s="234"/>
      <c r="AD128" s="234"/>
      <c r="AE128" s="234"/>
      <c r="AF128" s="234"/>
      <c r="AG128" s="247">
        <f>60000000+695000000</f>
        <v>755000000</v>
      </c>
      <c r="AH128" s="234"/>
      <c r="AI128" s="234"/>
      <c r="AJ128" s="236">
        <f t="shared" si="4"/>
        <v>755000000</v>
      </c>
      <c r="AK128" s="299" t="s">
        <v>644</v>
      </c>
    </row>
    <row r="129" spans="1:37" s="224" customFormat="1" ht="85.9" customHeight="1">
      <c r="A129" s="228">
        <v>314</v>
      </c>
      <c r="B129" s="229" t="s">
        <v>638</v>
      </c>
      <c r="C129" s="228">
        <v>1</v>
      </c>
      <c r="D129" s="229" t="s">
        <v>143</v>
      </c>
      <c r="E129" s="228">
        <v>22</v>
      </c>
      <c r="F129" s="229" t="s">
        <v>156</v>
      </c>
      <c r="G129" s="228">
        <v>2201</v>
      </c>
      <c r="H129" s="229" t="s">
        <v>287</v>
      </c>
      <c r="I129" s="228">
        <v>2201</v>
      </c>
      <c r="J129" s="229" t="s">
        <v>158</v>
      </c>
      <c r="K129" s="229" t="s">
        <v>663</v>
      </c>
      <c r="L129" s="228">
        <v>2201007</v>
      </c>
      <c r="M129" s="229" t="s">
        <v>664</v>
      </c>
      <c r="N129" s="228">
        <v>2201073</v>
      </c>
      <c r="O129" s="229" t="s">
        <v>664</v>
      </c>
      <c r="P129" s="228">
        <v>220100700</v>
      </c>
      <c r="Q129" s="230" t="s">
        <v>665</v>
      </c>
      <c r="R129" s="233">
        <v>220107300</v>
      </c>
      <c r="S129" s="230" t="s">
        <v>665</v>
      </c>
      <c r="T129" s="253" t="s">
        <v>152</v>
      </c>
      <c r="U129" s="253">
        <v>7973</v>
      </c>
      <c r="V129" s="253"/>
      <c r="W129" s="233">
        <f t="shared" si="3"/>
        <v>7973</v>
      </c>
      <c r="X129" s="231">
        <v>2020003630093</v>
      </c>
      <c r="Y129" s="276" t="s">
        <v>666</v>
      </c>
      <c r="Z129" s="276" t="s">
        <v>667</v>
      </c>
      <c r="AA129" s="234"/>
      <c r="AB129" s="234"/>
      <c r="AC129" s="234"/>
      <c r="AD129" s="234"/>
      <c r="AE129" s="234"/>
      <c r="AF129" s="234"/>
      <c r="AG129" s="247">
        <f>20000000-20000000</f>
        <v>0</v>
      </c>
      <c r="AH129" s="234"/>
      <c r="AI129" s="234"/>
      <c r="AJ129" s="236">
        <f t="shared" si="4"/>
        <v>0</v>
      </c>
      <c r="AK129" s="299" t="s">
        <v>644</v>
      </c>
    </row>
    <row r="130" spans="1:37" s="224" customFormat="1" ht="85.9" customHeight="1">
      <c r="A130" s="228">
        <v>314</v>
      </c>
      <c r="B130" s="229" t="s">
        <v>638</v>
      </c>
      <c r="C130" s="228">
        <v>1</v>
      </c>
      <c r="D130" s="229" t="s">
        <v>143</v>
      </c>
      <c r="E130" s="228">
        <v>22</v>
      </c>
      <c r="F130" s="229" t="s">
        <v>156</v>
      </c>
      <c r="G130" s="228">
        <v>2201</v>
      </c>
      <c r="H130" s="229" t="s">
        <v>287</v>
      </c>
      <c r="I130" s="228">
        <v>2201</v>
      </c>
      <c r="J130" s="229" t="s">
        <v>158</v>
      </c>
      <c r="K130" s="229" t="s">
        <v>668</v>
      </c>
      <c r="L130" s="228">
        <v>2201068</v>
      </c>
      <c r="M130" s="229" t="s">
        <v>289</v>
      </c>
      <c r="N130" s="228">
        <v>2201068</v>
      </c>
      <c r="O130" s="229" t="s">
        <v>289</v>
      </c>
      <c r="P130" s="281">
        <v>220106800</v>
      </c>
      <c r="Q130" s="230" t="s">
        <v>290</v>
      </c>
      <c r="R130" s="281">
        <v>220106800</v>
      </c>
      <c r="S130" s="230" t="s">
        <v>290</v>
      </c>
      <c r="T130" s="253" t="s">
        <v>152</v>
      </c>
      <c r="U130" s="228">
        <v>72</v>
      </c>
      <c r="V130" s="228"/>
      <c r="W130" s="233">
        <f t="shared" si="3"/>
        <v>72</v>
      </c>
      <c r="X130" s="231">
        <v>2020003630093</v>
      </c>
      <c r="Y130" s="276" t="s">
        <v>666</v>
      </c>
      <c r="Z130" s="276" t="s">
        <v>667</v>
      </c>
      <c r="AA130" s="234"/>
      <c r="AB130" s="234"/>
      <c r="AC130" s="234"/>
      <c r="AD130" s="234"/>
      <c r="AE130" s="234"/>
      <c r="AF130" s="234"/>
      <c r="AG130" s="247">
        <f>20000000-20000000</f>
        <v>0</v>
      </c>
      <c r="AH130" s="234"/>
      <c r="AI130" s="234"/>
      <c r="AJ130" s="236">
        <f t="shared" si="4"/>
        <v>0</v>
      </c>
      <c r="AK130" s="299" t="s">
        <v>644</v>
      </c>
    </row>
    <row r="131" spans="1:37" s="224" customFormat="1" ht="85.9" customHeight="1">
      <c r="A131" s="228">
        <v>314</v>
      </c>
      <c r="B131" s="229" t="s">
        <v>638</v>
      </c>
      <c r="C131" s="228">
        <v>1</v>
      </c>
      <c r="D131" s="229" t="s">
        <v>143</v>
      </c>
      <c r="E131" s="228">
        <v>22</v>
      </c>
      <c r="F131" s="229" t="s">
        <v>156</v>
      </c>
      <c r="G131" s="228">
        <v>2201</v>
      </c>
      <c r="H131" s="229" t="s">
        <v>287</v>
      </c>
      <c r="I131" s="228">
        <v>2201</v>
      </c>
      <c r="J131" s="229" t="s">
        <v>158</v>
      </c>
      <c r="K131" s="229" t="s">
        <v>655</v>
      </c>
      <c r="L131" s="228">
        <v>2201026</v>
      </c>
      <c r="M131" s="229" t="s">
        <v>669</v>
      </c>
      <c r="N131" s="228">
        <v>2201026</v>
      </c>
      <c r="O131" s="229" t="s">
        <v>669</v>
      </c>
      <c r="P131" s="281">
        <v>220102600</v>
      </c>
      <c r="Q131" s="230" t="s">
        <v>670</v>
      </c>
      <c r="R131" s="281">
        <v>220102600</v>
      </c>
      <c r="S131" s="230" t="s">
        <v>670</v>
      </c>
      <c r="T131" s="253" t="s">
        <v>152</v>
      </c>
      <c r="U131" s="253">
        <v>10</v>
      </c>
      <c r="V131" s="253"/>
      <c r="W131" s="233">
        <f t="shared" si="3"/>
        <v>10</v>
      </c>
      <c r="X131" s="231">
        <v>2020003630093</v>
      </c>
      <c r="Y131" s="276" t="s">
        <v>666</v>
      </c>
      <c r="Z131" s="276" t="s">
        <v>667</v>
      </c>
      <c r="AA131" s="234"/>
      <c r="AB131" s="234"/>
      <c r="AC131" s="234"/>
      <c r="AD131" s="234"/>
      <c r="AE131" s="234">
        <v>148000000</v>
      </c>
      <c r="AF131" s="234"/>
      <c r="AG131" s="247"/>
      <c r="AH131" s="234"/>
      <c r="AI131" s="234"/>
      <c r="AJ131" s="236">
        <f t="shared" si="4"/>
        <v>148000000</v>
      </c>
      <c r="AK131" s="299" t="s">
        <v>644</v>
      </c>
    </row>
    <row r="132" spans="1:37" s="224" customFormat="1" ht="85.9" customHeight="1">
      <c r="A132" s="228">
        <v>314</v>
      </c>
      <c r="B132" s="229" t="s">
        <v>638</v>
      </c>
      <c r="C132" s="228">
        <v>1</v>
      </c>
      <c r="D132" s="229" t="s">
        <v>143</v>
      </c>
      <c r="E132" s="228">
        <v>22</v>
      </c>
      <c r="F132" s="229" t="s">
        <v>156</v>
      </c>
      <c r="G132" s="228">
        <v>2201</v>
      </c>
      <c r="H132" s="229" t="s">
        <v>287</v>
      </c>
      <c r="I132" s="228">
        <v>2201</v>
      </c>
      <c r="J132" s="229" t="s">
        <v>158</v>
      </c>
      <c r="K132" s="229" t="s">
        <v>671</v>
      </c>
      <c r="L132" s="228">
        <v>2201006</v>
      </c>
      <c r="M132" s="229" t="s">
        <v>672</v>
      </c>
      <c r="N132" s="228">
        <v>2201006</v>
      </c>
      <c r="O132" s="229" t="s">
        <v>672</v>
      </c>
      <c r="P132" s="281">
        <v>220100600</v>
      </c>
      <c r="Q132" s="230" t="s">
        <v>673</v>
      </c>
      <c r="R132" s="281">
        <v>220100600</v>
      </c>
      <c r="S132" s="230" t="s">
        <v>673</v>
      </c>
      <c r="T132" s="253" t="s">
        <v>58</v>
      </c>
      <c r="U132" s="253">
        <v>54</v>
      </c>
      <c r="V132" s="253"/>
      <c r="W132" s="233">
        <f t="shared" si="3"/>
        <v>54</v>
      </c>
      <c r="X132" s="231">
        <v>2020003630016</v>
      </c>
      <c r="Y132" s="229" t="s">
        <v>674</v>
      </c>
      <c r="Z132" s="229" t="s">
        <v>675</v>
      </c>
      <c r="AA132" s="234"/>
      <c r="AB132" s="234"/>
      <c r="AC132" s="234"/>
      <c r="AD132" s="234"/>
      <c r="AE132" s="247"/>
      <c r="AF132" s="234"/>
      <c r="AG132" s="247">
        <f>100000000-30000000+39241283.08+80000000</f>
        <v>189241283.07999998</v>
      </c>
      <c r="AH132" s="234"/>
      <c r="AI132" s="234"/>
      <c r="AJ132" s="236">
        <f>SUM(AA132,AB132,AC132,AD132,AE132,AF132,AG132,AH132,AI132)</f>
        <v>189241283.07999998</v>
      </c>
      <c r="AK132" s="299" t="s">
        <v>644</v>
      </c>
    </row>
    <row r="133" spans="1:37" s="224" customFormat="1" ht="85.9" customHeight="1">
      <c r="A133" s="228">
        <v>314</v>
      </c>
      <c r="B133" s="229" t="s">
        <v>638</v>
      </c>
      <c r="C133" s="228">
        <v>1</v>
      </c>
      <c r="D133" s="229" t="s">
        <v>143</v>
      </c>
      <c r="E133" s="228">
        <v>22</v>
      </c>
      <c r="F133" s="229" t="s">
        <v>156</v>
      </c>
      <c r="G133" s="228">
        <v>2201</v>
      </c>
      <c r="H133" s="229" t="s">
        <v>287</v>
      </c>
      <c r="I133" s="228">
        <v>2201</v>
      </c>
      <c r="J133" s="229" t="s">
        <v>158</v>
      </c>
      <c r="K133" s="229" t="s">
        <v>159</v>
      </c>
      <c r="L133" s="228">
        <v>2201071</v>
      </c>
      <c r="M133" s="300" t="s">
        <v>676</v>
      </c>
      <c r="N133" s="228">
        <v>2201071</v>
      </c>
      <c r="O133" s="300" t="s">
        <v>676</v>
      </c>
      <c r="P133" s="281">
        <v>220107100</v>
      </c>
      <c r="Q133" s="230" t="s">
        <v>677</v>
      </c>
      <c r="R133" s="281">
        <v>220107100</v>
      </c>
      <c r="S133" s="230" t="s">
        <v>677</v>
      </c>
      <c r="T133" s="253" t="s">
        <v>58</v>
      </c>
      <c r="U133" s="253">
        <v>54</v>
      </c>
      <c r="V133" s="253"/>
      <c r="W133" s="233">
        <f t="shared" si="3"/>
        <v>54</v>
      </c>
      <c r="X133" s="231">
        <v>2020003630016</v>
      </c>
      <c r="Y133" s="252" t="s">
        <v>674</v>
      </c>
      <c r="Z133" s="229" t="s">
        <v>675</v>
      </c>
      <c r="AA133" s="247"/>
      <c r="AB133" s="247">
        <f>5124318000+571452029.11</f>
        <v>5695770029.1099997</v>
      </c>
      <c r="AC133" s="247"/>
      <c r="AD133" s="247"/>
      <c r="AE133" s="301">
        <f>206886396999.99+139116291.99</f>
        <v>207025513291.97998</v>
      </c>
      <c r="AF133" s="247"/>
      <c r="AG133" s="301">
        <f>7444972918.76-1630000000-200000000-3000000000+30000000+205000000</f>
        <v>2849972918.7600002</v>
      </c>
      <c r="AH133" s="234"/>
      <c r="AI133" s="247"/>
      <c r="AJ133" s="236">
        <f>SUM(AA133,AB133,AC133,AD133,AE133,AF133,AG133,AH133,AI133)</f>
        <v>215571256239.84998</v>
      </c>
      <c r="AK133" s="299" t="s">
        <v>644</v>
      </c>
    </row>
    <row r="134" spans="1:37" s="224" customFormat="1" ht="85.9" customHeight="1">
      <c r="A134" s="228">
        <v>314</v>
      </c>
      <c r="B134" s="229" t="s">
        <v>638</v>
      </c>
      <c r="C134" s="228">
        <v>1</v>
      </c>
      <c r="D134" s="229" t="s">
        <v>143</v>
      </c>
      <c r="E134" s="228">
        <v>22</v>
      </c>
      <c r="F134" s="229" t="s">
        <v>156</v>
      </c>
      <c r="G134" s="228">
        <v>2201</v>
      </c>
      <c r="H134" s="229" t="s">
        <v>287</v>
      </c>
      <c r="I134" s="228">
        <v>2201</v>
      </c>
      <c r="J134" s="229" t="s">
        <v>158</v>
      </c>
      <c r="K134" s="229" t="s">
        <v>648</v>
      </c>
      <c r="L134" s="228">
        <v>2201050</v>
      </c>
      <c r="M134" s="229" t="s">
        <v>678</v>
      </c>
      <c r="N134" s="228">
        <v>2201050</v>
      </c>
      <c r="O134" s="229" t="s">
        <v>678</v>
      </c>
      <c r="P134" s="281">
        <v>220105001</v>
      </c>
      <c r="Q134" s="230" t="s">
        <v>679</v>
      </c>
      <c r="R134" s="281">
        <v>220105001</v>
      </c>
      <c r="S134" s="230" t="s">
        <v>679</v>
      </c>
      <c r="T134" s="253" t="s">
        <v>58</v>
      </c>
      <c r="U134" s="253">
        <v>150</v>
      </c>
      <c r="V134" s="253"/>
      <c r="W134" s="233">
        <f t="shared" si="3"/>
        <v>150</v>
      </c>
      <c r="X134" s="231">
        <v>2020003630094</v>
      </c>
      <c r="Y134" s="252" t="s">
        <v>680</v>
      </c>
      <c r="Z134" s="229" t="s">
        <v>681</v>
      </c>
      <c r="AA134" s="234"/>
      <c r="AB134" s="234"/>
      <c r="AC134" s="234"/>
      <c r="AD134" s="234"/>
      <c r="AE134" s="234">
        <f>684320000-93973440</f>
        <v>590346560</v>
      </c>
      <c r="AF134" s="234"/>
      <c r="AG134" s="247"/>
      <c r="AH134" s="234"/>
      <c r="AI134" s="234"/>
      <c r="AJ134" s="236">
        <f t="shared" si="4"/>
        <v>590346560</v>
      </c>
      <c r="AK134" s="299" t="s">
        <v>644</v>
      </c>
    </row>
    <row r="135" spans="1:37" s="224" customFormat="1" ht="85.9" customHeight="1">
      <c r="A135" s="228">
        <v>314</v>
      </c>
      <c r="B135" s="229" t="s">
        <v>638</v>
      </c>
      <c r="C135" s="228">
        <v>1</v>
      </c>
      <c r="D135" s="229" t="s">
        <v>143</v>
      </c>
      <c r="E135" s="228">
        <v>22</v>
      </c>
      <c r="F135" s="229" t="s">
        <v>156</v>
      </c>
      <c r="G135" s="228">
        <v>2201</v>
      </c>
      <c r="H135" s="229" t="s">
        <v>287</v>
      </c>
      <c r="I135" s="228">
        <v>2201</v>
      </c>
      <c r="J135" s="229" t="s">
        <v>158</v>
      </c>
      <c r="K135" s="229" t="s">
        <v>648</v>
      </c>
      <c r="L135" s="228">
        <v>2201048</v>
      </c>
      <c r="M135" s="229" t="s">
        <v>682</v>
      </c>
      <c r="N135" s="228">
        <v>2201048</v>
      </c>
      <c r="O135" s="229" t="s">
        <v>682</v>
      </c>
      <c r="P135" s="233">
        <v>220104801</v>
      </c>
      <c r="Q135" s="230" t="s">
        <v>683</v>
      </c>
      <c r="R135" s="233">
        <v>220104801</v>
      </c>
      <c r="S135" s="230" t="s">
        <v>683</v>
      </c>
      <c r="T135" s="253" t="s">
        <v>58</v>
      </c>
      <c r="U135" s="253">
        <v>1</v>
      </c>
      <c r="V135" s="253"/>
      <c r="W135" s="233">
        <f t="shared" si="3"/>
        <v>1</v>
      </c>
      <c r="X135" s="231">
        <v>2020003630095</v>
      </c>
      <c r="Y135" s="252" t="s">
        <v>684</v>
      </c>
      <c r="Z135" s="252" t="s">
        <v>685</v>
      </c>
      <c r="AA135" s="234"/>
      <c r="AB135" s="234"/>
      <c r="AC135" s="234"/>
      <c r="AD135" s="234"/>
      <c r="AE135" s="234"/>
      <c r="AF135" s="234"/>
      <c r="AG135" s="247">
        <f>20000000-20000000</f>
        <v>0</v>
      </c>
      <c r="AH135" s="234"/>
      <c r="AI135" s="234"/>
      <c r="AJ135" s="236">
        <f t="shared" si="4"/>
        <v>0</v>
      </c>
      <c r="AK135" s="299" t="s">
        <v>644</v>
      </c>
    </row>
    <row r="136" spans="1:37" s="224" customFormat="1" ht="85.9" customHeight="1">
      <c r="A136" s="228">
        <v>314</v>
      </c>
      <c r="B136" s="229" t="s">
        <v>638</v>
      </c>
      <c r="C136" s="228">
        <v>1</v>
      </c>
      <c r="D136" s="229" t="s">
        <v>143</v>
      </c>
      <c r="E136" s="228">
        <v>22</v>
      </c>
      <c r="F136" s="229" t="s">
        <v>156</v>
      </c>
      <c r="G136" s="228" t="s">
        <v>50</v>
      </c>
      <c r="H136" s="229" t="s">
        <v>686</v>
      </c>
      <c r="I136" s="228">
        <v>2202</v>
      </c>
      <c r="J136" s="229" t="s">
        <v>687</v>
      </c>
      <c r="K136" s="229" t="s">
        <v>688</v>
      </c>
      <c r="L136" s="228" t="s">
        <v>50</v>
      </c>
      <c r="M136" s="229" t="s">
        <v>689</v>
      </c>
      <c r="N136" s="228">
        <v>2202006</v>
      </c>
      <c r="O136" s="229" t="s">
        <v>689</v>
      </c>
      <c r="P136" s="228" t="s">
        <v>50</v>
      </c>
      <c r="Q136" s="230" t="s">
        <v>690</v>
      </c>
      <c r="R136" s="228">
        <v>220200604</v>
      </c>
      <c r="S136" s="230" t="s">
        <v>691</v>
      </c>
      <c r="T136" s="253" t="s">
        <v>58</v>
      </c>
      <c r="U136" s="253">
        <v>2</v>
      </c>
      <c r="V136" s="253"/>
      <c r="W136" s="233">
        <f t="shared" ref="W136:W199" si="5">U136</f>
        <v>2</v>
      </c>
      <c r="X136" s="231">
        <v>2020003630096</v>
      </c>
      <c r="Y136" s="252" t="s">
        <v>692</v>
      </c>
      <c r="Z136" s="229" t="s">
        <v>693</v>
      </c>
      <c r="AA136" s="234"/>
      <c r="AB136" s="247"/>
      <c r="AC136" s="234"/>
      <c r="AD136" s="234"/>
      <c r="AE136" s="234"/>
      <c r="AF136" s="234"/>
      <c r="AG136" s="247">
        <v>250000000</v>
      </c>
      <c r="AH136" s="234"/>
      <c r="AI136" s="234"/>
      <c r="AJ136" s="236">
        <f t="shared" si="4"/>
        <v>250000000</v>
      </c>
      <c r="AK136" s="299" t="s">
        <v>644</v>
      </c>
    </row>
    <row r="137" spans="1:37" s="224" customFormat="1" ht="155.25" customHeight="1">
      <c r="A137" s="228">
        <v>316</v>
      </c>
      <c r="B137" s="229" t="s">
        <v>694</v>
      </c>
      <c r="C137" s="228">
        <v>1</v>
      </c>
      <c r="D137" s="229" t="s">
        <v>143</v>
      </c>
      <c r="E137" s="228">
        <v>19</v>
      </c>
      <c r="F137" s="229" t="s">
        <v>262</v>
      </c>
      <c r="G137" s="228">
        <v>1905</v>
      </c>
      <c r="H137" s="229" t="s">
        <v>695</v>
      </c>
      <c r="I137" s="228">
        <v>1905</v>
      </c>
      <c r="J137" s="229" t="s">
        <v>696</v>
      </c>
      <c r="K137" s="229" t="s">
        <v>697</v>
      </c>
      <c r="L137" s="233">
        <v>1905021</v>
      </c>
      <c r="M137" s="229" t="s">
        <v>698</v>
      </c>
      <c r="N137" s="233">
        <v>1905021</v>
      </c>
      <c r="O137" s="229" t="s">
        <v>698</v>
      </c>
      <c r="P137" s="233">
        <v>190502100</v>
      </c>
      <c r="Q137" s="230" t="s">
        <v>699</v>
      </c>
      <c r="R137" s="233">
        <v>190502100</v>
      </c>
      <c r="S137" s="230" t="s">
        <v>699</v>
      </c>
      <c r="T137" s="253" t="s">
        <v>58</v>
      </c>
      <c r="U137" s="253">
        <v>12</v>
      </c>
      <c r="V137" s="253"/>
      <c r="W137" s="233">
        <f t="shared" si="5"/>
        <v>12</v>
      </c>
      <c r="X137" s="231">
        <v>2020003630011</v>
      </c>
      <c r="Y137" s="252" t="s">
        <v>700</v>
      </c>
      <c r="Z137" s="252" t="s">
        <v>701</v>
      </c>
      <c r="AA137" s="234"/>
      <c r="AB137" s="234"/>
      <c r="AC137" s="234"/>
      <c r="AD137" s="234"/>
      <c r="AE137" s="234"/>
      <c r="AF137" s="234"/>
      <c r="AG137" s="234">
        <v>80000000</v>
      </c>
      <c r="AH137" s="234"/>
      <c r="AI137" s="234"/>
      <c r="AJ137" s="236">
        <f t="shared" si="4"/>
        <v>80000000</v>
      </c>
      <c r="AK137" s="299" t="s">
        <v>702</v>
      </c>
    </row>
    <row r="138" spans="1:37" s="224" customFormat="1" ht="105" customHeight="1">
      <c r="A138" s="228">
        <v>316</v>
      </c>
      <c r="B138" s="229" t="s">
        <v>694</v>
      </c>
      <c r="C138" s="228">
        <v>1</v>
      </c>
      <c r="D138" s="229" t="s">
        <v>143</v>
      </c>
      <c r="E138" s="228">
        <v>19</v>
      </c>
      <c r="F138" s="229" t="s">
        <v>262</v>
      </c>
      <c r="G138" s="228">
        <v>1905</v>
      </c>
      <c r="H138" s="229" t="s">
        <v>695</v>
      </c>
      <c r="I138" s="228">
        <v>1905</v>
      </c>
      <c r="J138" s="229" t="s">
        <v>696</v>
      </c>
      <c r="K138" s="229" t="s">
        <v>703</v>
      </c>
      <c r="L138" s="249">
        <v>1905022</v>
      </c>
      <c r="M138" s="248" t="s">
        <v>704</v>
      </c>
      <c r="N138" s="249">
        <v>1905022</v>
      </c>
      <c r="O138" s="248" t="s">
        <v>704</v>
      </c>
      <c r="P138" s="253">
        <v>190502200</v>
      </c>
      <c r="Q138" s="230" t="s">
        <v>705</v>
      </c>
      <c r="R138" s="253">
        <v>190502200</v>
      </c>
      <c r="S138" s="230" t="s">
        <v>705</v>
      </c>
      <c r="T138" s="253" t="s">
        <v>58</v>
      </c>
      <c r="U138" s="253">
        <v>12</v>
      </c>
      <c r="V138" s="253"/>
      <c r="W138" s="233">
        <f t="shared" si="5"/>
        <v>12</v>
      </c>
      <c r="X138" s="231">
        <v>2020003630011</v>
      </c>
      <c r="Y138" s="252" t="s">
        <v>700</v>
      </c>
      <c r="Z138" s="252" t="s">
        <v>701</v>
      </c>
      <c r="AA138" s="234"/>
      <c r="AB138" s="234"/>
      <c r="AC138" s="234"/>
      <c r="AD138" s="234"/>
      <c r="AE138" s="234"/>
      <c r="AF138" s="234"/>
      <c r="AG138" s="234">
        <v>60000000</v>
      </c>
      <c r="AH138" s="234"/>
      <c r="AI138" s="234"/>
      <c r="AJ138" s="236">
        <f t="shared" si="4"/>
        <v>60000000</v>
      </c>
      <c r="AK138" s="299" t="s">
        <v>702</v>
      </c>
    </row>
    <row r="139" spans="1:37" s="224" customFormat="1" ht="85.9" customHeight="1">
      <c r="A139" s="228">
        <v>316</v>
      </c>
      <c r="B139" s="229" t="s">
        <v>694</v>
      </c>
      <c r="C139" s="228">
        <v>1</v>
      </c>
      <c r="D139" s="229" t="s">
        <v>143</v>
      </c>
      <c r="E139" s="228">
        <v>33</v>
      </c>
      <c r="F139" s="229" t="s">
        <v>166</v>
      </c>
      <c r="G139" s="228">
        <v>3301</v>
      </c>
      <c r="H139" s="251" t="s">
        <v>167</v>
      </c>
      <c r="I139" s="228">
        <v>3301</v>
      </c>
      <c r="J139" s="229" t="s">
        <v>168</v>
      </c>
      <c r="K139" s="229" t="s">
        <v>706</v>
      </c>
      <c r="L139" s="233">
        <v>3301051</v>
      </c>
      <c r="M139" s="229" t="s">
        <v>707</v>
      </c>
      <c r="N139" s="233">
        <v>3301051</v>
      </c>
      <c r="O139" s="229" t="s">
        <v>707</v>
      </c>
      <c r="P139" s="233">
        <v>330105110</v>
      </c>
      <c r="Q139" s="230" t="s">
        <v>708</v>
      </c>
      <c r="R139" s="233">
        <v>330105110</v>
      </c>
      <c r="S139" s="230" t="s">
        <v>708</v>
      </c>
      <c r="T139" s="253" t="s">
        <v>152</v>
      </c>
      <c r="U139" s="253">
        <v>350</v>
      </c>
      <c r="V139" s="253"/>
      <c r="W139" s="233">
        <f t="shared" si="5"/>
        <v>350</v>
      </c>
      <c r="X139" s="231">
        <v>2020003630098</v>
      </c>
      <c r="Y139" s="252" t="s">
        <v>709</v>
      </c>
      <c r="Z139" s="229" t="s">
        <v>710</v>
      </c>
      <c r="AA139" s="234"/>
      <c r="AB139" s="234"/>
      <c r="AC139" s="234"/>
      <c r="AD139" s="234"/>
      <c r="AE139" s="234"/>
      <c r="AF139" s="234"/>
      <c r="AG139" s="234">
        <v>35000000</v>
      </c>
      <c r="AH139" s="234"/>
      <c r="AI139" s="234"/>
      <c r="AJ139" s="236">
        <f t="shared" si="4"/>
        <v>35000000</v>
      </c>
      <c r="AK139" s="299" t="s">
        <v>702</v>
      </c>
    </row>
    <row r="140" spans="1:37" s="224" customFormat="1" ht="85.9" customHeight="1">
      <c r="A140" s="228">
        <v>316</v>
      </c>
      <c r="B140" s="229" t="s">
        <v>694</v>
      </c>
      <c r="C140" s="228">
        <v>1</v>
      </c>
      <c r="D140" s="229" t="s">
        <v>143</v>
      </c>
      <c r="E140" s="228">
        <v>41</v>
      </c>
      <c r="F140" s="229" t="s">
        <v>711</v>
      </c>
      <c r="G140" s="228">
        <v>4102</v>
      </c>
      <c r="H140" s="229" t="s">
        <v>712</v>
      </c>
      <c r="I140" s="228">
        <v>4102</v>
      </c>
      <c r="J140" s="229" t="s">
        <v>713</v>
      </c>
      <c r="K140" s="229" t="s">
        <v>714</v>
      </c>
      <c r="L140" s="228" t="s">
        <v>50</v>
      </c>
      <c r="M140" s="229" t="s">
        <v>715</v>
      </c>
      <c r="N140" s="233">
        <v>4102035</v>
      </c>
      <c r="O140" s="229" t="s">
        <v>89</v>
      </c>
      <c r="P140" s="228" t="s">
        <v>50</v>
      </c>
      <c r="Q140" s="230" t="s">
        <v>716</v>
      </c>
      <c r="R140" s="264">
        <v>410203500</v>
      </c>
      <c r="S140" s="230" t="s">
        <v>91</v>
      </c>
      <c r="T140" s="264" t="s">
        <v>58</v>
      </c>
      <c r="U140" s="264">
        <v>1</v>
      </c>
      <c r="V140" s="264"/>
      <c r="W140" s="233">
        <f t="shared" si="5"/>
        <v>1</v>
      </c>
      <c r="X140" s="231">
        <v>2020003630099</v>
      </c>
      <c r="Y140" s="252" t="s">
        <v>717</v>
      </c>
      <c r="Z140" s="229" t="s">
        <v>718</v>
      </c>
      <c r="AA140" s="234"/>
      <c r="AB140" s="234"/>
      <c r="AC140" s="234"/>
      <c r="AD140" s="234"/>
      <c r="AE140" s="234"/>
      <c r="AF140" s="234"/>
      <c r="AG140" s="234">
        <v>40000000</v>
      </c>
      <c r="AH140" s="234"/>
      <c r="AI140" s="234"/>
      <c r="AJ140" s="236">
        <f t="shared" si="4"/>
        <v>40000000</v>
      </c>
      <c r="AK140" s="299" t="s">
        <v>702</v>
      </c>
    </row>
    <row r="141" spans="1:37" s="224" customFormat="1" ht="85.9" customHeight="1">
      <c r="A141" s="228">
        <v>316</v>
      </c>
      <c r="B141" s="229" t="s">
        <v>694</v>
      </c>
      <c r="C141" s="228">
        <v>1</v>
      </c>
      <c r="D141" s="229" t="s">
        <v>143</v>
      </c>
      <c r="E141" s="228">
        <v>41</v>
      </c>
      <c r="F141" s="229" t="s">
        <v>711</v>
      </c>
      <c r="G141" s="228">
        <v>4102</v>
      </c>
      <c r="H141" s="229" t="s">
        <v>712</v>
      </c>
      <c r="I141" s="228">
        <v>4102</v>
      </c>
      <c r="J141" s="229" t="s">
        <v>713</v>
      </c>
      <c r="K141" s="229" t="s">
        <v>719</v>
      </c>
      <c r="L141" s="228" t="s">
        <v>50</v>
      </c>
      <c r="M141" s="229" t="s">
        <v>720</v>
      </c>
      <c r="N141" s="233">
        <v>4102001</v>
      </c>
      <c r="O141" s="229" t="s">
        <v>721</v>
      </c>
      <c r="P141" s="228" t="s">
        <v>50</v>
      </c>
      <c r="Q141" s="230" t="s">
        <v>722</v>
      </c>
      <c r="R141" s="233">
        <v>410200100</v>
      </c>
      <c r="S141" s="230" t="s">
        <v>723</v>
      </c>
      <c r="T141" s="264" t="s">
        <v>58</v>
      </c>
      <c r="U141" s="264">
        <v>12</v>
      </c>
      <c r="V141" s="264"/>
      <c r="W141" s="233">
        <f t="shared" si="5"/>
        <v>12</v>
      </c>
      <c r="X141" s="231">
        <v>2020003630099</v>
      </c>
      <c r="Y141" s="252" t="s">
        <v>717</v>
      </c>
      <c r="Z141" s="229" t="s">
        <v>718</v>
      </c>
      <c r="AA141" s="234"/>
      <c r="AB141" s="234"/>
      <c r="AC141" s="234"/>
      <c r="AD141" s="234"/>
      <c r="AE141" s="234"/>
      <c r="AF141" s="234"/>
      <c r="AG141" s="234">
        <v>42000000</v>
      </c>
      <c r="AH141" s="234"/>
      <c r="AI141" s="234"/>
      <c r="AJ141" s="236">
        <f t="shared" si="4"/>
        <v>42000000</v>
      </c>
      <c r="AK141" s="299" t="s">
        <v>702</v>
      </c>
    </row>
    <row r="142" spans="1:37" s="224" customFormat="1" ht="233.25" customHeight="1">
      <c r="A142" s="228">
        <v>316</v>
      </c>
      <c r="B142" s="229" t="s">
        <v>694</v>
      </c>
      <c r="C142" s="228">
        <v>1</v>
      </c>
      <c r="D142" s="229" t="s">
        <v>143</v>
      </c>
      <c r="E142" s="228">
        <v>41</v>
      </c>
      <c r="F142" s="229" t="s">
        <v>711</v>
      </c>
      <c r="G142" s="228">
        <v>4102</v>
      </c>
      <c r="H142" s="229" t="s">
        <v>712</v>
      </c>
      <c r="I142" s="228">
        <v>4102</v>
      </c>
      <c r="J142" s="229" t="s">
        <v>713</v>
      </c>
      <c r="K142" s="229" t="s">
        <v>724</v>
      </c>
      <c r="L142" s="228" t="s">
        <v>50</v>
      </c>
      <c r="M142" s="229" t="s">
        <v>725</v>
      </c>
      <c r="N142" s="302" t="s">
        <v>726</v>
      </c>
      <c r="O142" s="229" t="s">
        <v>727</v>
      </c>
      <c r="P142" s="228" t="s">
        <v>50</v>
      </c>
      <c r="Q142" s="230" t="s">
        <v>728</v>
      </c>
      <c r="R142" s="302" t="s">
        <v>729</v>
      </c>
      <c r="S142" s="230" t="s">
        <v>730</v>
      </c>
      <c r="T142" s="264" t="s">
        <v>58</v>
      </c>
      <c r="U142" s="264">
        <v>1</v>
      </c>
      <c r="V142" s="264"/>
      <c r="W142" s="233">
        <f t="shared" si="5"/>
        <v>1</v>
      </c>
      <c r="X142" s="231">
        <v>2020003630100</v>
      </c>
      <c r="Y142" s="252" t="s">
        <v>731</v>
      </c>
      <c r="Z142" s="229" t="s">
        <v>732</v>
      </c>
      <c r="AA142" s="234"/>
      <c r="AB142" s="234"/>
      <c r="AC142" s="234"/>
      <c r="AD142" s="234"/>
      <c r="AE142" s="234"/>
      <c r="AF142" s="234"/>
      <c r="AG142" s="234">
        <v>130200000</v>
      </c>
      <c r="AH142" s="234"/>
      <c r="AI142" s="234"/>
      <c r="AJ142" s="236">
        <f t="shared" si="4"/>
        <v>130200000</v>
      </c>
      <c r="AK142" s="299" t="s">
        <v>702</v>
      </c>
    </row>
    <row r="143" spans="1:37" s="224" customFormat="1" ht="183" customHeight="1">
      <c r="A143" s="228">
        <v>316</v>
      </c>
      <c r="B143" s="229" t="s">
        <v>694</v>
      </c>
      <c r="C143" s="228">
        <v>1</v>
      </c>
      <c r="D143" s="229" t="s">
        <v>143</v>
      </c>
      <c r="E143" s="228">
        <v>41</v>
      </c>
      <c r="F143" s="229" t="s">
        <v>711</v>
      </c>
      <c r="G143" s="228">
        <v>4102</v>
      </c>
      <c r="H143" s="229" t="s">
        <v>712</v>
      </c>
      <c r="I143" s="228">
        <v>4102</v>
      </c>
      <c r="J143" s="251" t="s">
        <v>713</v>
      </c>
      <c r="K143" s="229" t="s">
        <v>733</v>
      </c>
      <c r="L143" s="228" t="s">
        <v>50</v>
      </c>
      <c r="M143" s="229" t="s">
        <v>734</v>
      </c>
      <c r="N143" s="302" t="s">
        <v>726</v>
      </c>
      <c r="O143" s="229" t="s">
        <v>735</v>
      </c>
      <c r="P143" s="228" t="s">
        <v>50</v>
      </c>
      <c r="Q143" s="251" t="s">
        <v>736</v>
      </c>
      <c r="R143" s="233">
        <v>410204301</v>
      </c>
      <c r="S143" s="229" t="s">
        <v>737</v>
      </c>
      <c r="T143" s="264" t="s">
        <v>58</v>
      </c>
      <c r="U143" s="264">
        <v>1</v>
      </c>
      <c r="V143" s="264"/>
      <c r="W143" s="233">
        <f t="shared" si="5"/>
        <v>1</v>
      </c>
      <c r="X143" s="231">
        <v>2020003630101</v>
      </c>
      <c r="Y143" s="252" t="s">
        <v>738</v>
      </c>
      <c r="Z143" s="229" t="s">
        <v>739</v>
      </c>
      <c r="AA143" s="234"/>
      <c r="AB143" s="234"/>
      <c r="AC143" s="234"/>
      <c r="AD143" s="234"/>
      <c r="AE143" s="234"/>
      <c r="AF143" s="234"/>
      <c r="AG143" s="234">
        <f>280000000+50000000+50000000</f>
        <v>380000000</v>
      </c>
      <c r="AH143" s="234"/>
      <c r="AI143" s="234"/>
      <c r="AJ143" s="236">
        <f t="shared" si="4"/>
        <v>380000000</v>
      </c>
      <c r="AK143" s="299" t="s">
        <v>702</v>
      </c>
    </row>
    <row r="144" spans="1:37" s="224" customFormat="1" ht="169.5" customHeight="1">
      <c r="A144" s="228">
        <v>316</v>
      </c>
      <c r="B144" s="229" t="s">
        <v>694</v>
      </c>
      <c r="C144" s="228">
        <v>1</v>
      </c>
      <c r="D144" s="229" t="s">
        <v>143</v>
      </c>
      <c r="E144" s="228">
        <v>41</v>
      </c>
      <c r="F144" s="229" t="s">
        <v>711</v>
      </c>
      <c r="G144" s="228">
        <v>4102</v>
      </c>
      <c r="H144" s="229" t="s">
        <v>712</v>
      </c>
      <c r="I144" s="228">
        <v>4102</v>
      </c>
      <c r="J144" s="229" t="s">
        <v>713</v>
      </c>
      <c r="K144" s="229" t="s">
        <v>740</v>
      </c>
      <c r="L144" s="228" t="s">
        <v>50</v>
      </c>
      <c r="M144" s="229" t="s">
        <v>741</v>
      </c>
      <c r="N144" s="233">
        <v>4102038</v>
      </c>
      <c r="O144" s="229" t="s">
        <v>742</v>
      </c>
      <c r="P144" s="228" t="s">
        <v>50</v>
      </c>
      <c r="Q144" s="230" t="s">
        <v>743</v>
      </c>
      <c r="R144" s="233">
        <v>410203800</v>
      </c>
      <c r="S144" s="229" t="s">
        <v>744</v>
      </c>
      <c r="T144" s="264" t="s">
        <v>58</v>
      </c>
      <c r="U144" s="264">
        <v>1</v>
      </c>
      <c r="V144" s="264"/>
      <c r="W144" s="233">
        <f t="shared" si="5"/>
        <v>1</v>
      </c>
      <c r="X144" s="231">
        <v>2020003630102</v>
      </c>
      <c r="Y144" s="251" t="s">
        <v>745</v>
      </c>
      <c r="Z144" s="229" t="s">
        <v>746</v>
      </c>
      <c r="AA144" s="234"/>
      <c r="AB144" s="234"/>
      <c r="AC144" s="234"/>
      <c r="AD144" s="234"/>
      <c r="AE144" s="234"/>
      <c r="AF144" s="234"/>
      <c r="AG144" s="234">
        <f>180000000+30000000</f>
        <v>210000000</v>
      </c>
      <c r="AH144" s="234"/>
      <c r="AI144" s="234"/>
      <c r="AJ144" s="236">
        <f t="shared" si="4"/>
        <v>210000000</v>
      </c>
      <c r="AK144" s="299" t="s">
        <v>702</v>
      </c>
    </row>
    <row r="145" spans="1:37" s="224" customFormat="1" ht="85.9" customHeight="1">
      <c r="A145" s="228">
        <v>316</v>
      </c>
      <c r="B145" s="229" t="s">
        <v>694</v>
      </c>
      <c r="C145" s="228">
        <v>1</v>
      </c>
      <c r="D145" s="229" t="s">
        <v>143</v>
      </c>
      <c r="E145" s="228">
        <v>41</v>
      </c>
      <c r="F145" s="229" t="s">
        <v>711</v>
      </c>
      <c r="G145" s="228">
        <v>4102</v>
      </c>
      <c r="H145" s="229" t="s">
        <v>712</v>
      </c>
      <c r="I145" s="228">
        <v>4102</v>
      </c>
      <c r="J145" s="229" t="s">
        <v>713</v>
      </c>
      <c r="K145" s="229" t="s">
        <v>747</v>
      </c>
      <c r="L145" s="228" t="s">
        <v>50</v>
      </c>
      <c r="M145" s="229" t="s">
        <v>748</v>
      </c>
      <c r="N145" s="233">
        <v>4102042</v>
      </c>
      <c r="O145" s="229" t="s">
        <v>749</v>
      </c>
      <c r="P145" s="228" t="s">
        <v>50</v>
      </c>
      <c r="Q145" s="230" t="s">
        <v>750</v>
      </c>
      <c r="R145" s="233">
        <v>410204200</v>
      </c>
      <c r="S145" s="230" t="s">
        <v>751</v>
      </c>
      <c r="T145" s="264" t="s">
        <v>58</v>
      </c>
      <c r="U145" s="264">
        <v>12</v>
      </c>
      <c r="V145" s="264"/>
      <c r="W145" s="233">
        <f t="shared" si="5"/>
        <v>12</v>
      </c>
      <c r="X145" s="255">
        <v>2021003630010</v>
      </c>
      <c r="Y145" s="252" t="s">
        <v>752</v>
      </c>
      <c r="Z145" s="248" t="s">
        <v>753</v>
      </c>
      <c r="AA145" s="234"/>
      <c r="AB145" s="234"/>
      <c r="AC145" s="234"/>
      <c r="AD145" s="234"/>
      <c r="AE145" s="234"/>
      <c r="AF145" s="234"/>
      <c r="AG145" s="234">
        <v>35000000</v>
      </c>
      <c r="AH145" s="234"/>
      <c r="AI145" s="234"/>
      <c r="AJ145" s="236">
        <f t="shared" si="4"/>
        <v>35000000</v>
      </c>
      <c r="AK145" s="299" t="s">
        <v>702</v>
      </c>
    </row>
    <row r="146" spans="1:37" s="224" customFormat="1" ht="85.9" customHeight="1">
      <c r="A146" s="228">
        <v>316</v>
      </c>
      <c r="B146" s="229" t="s">
        <v>694</v>
      </c>
      <c r="C146" s="228">
        <v>1</v>
      </c>
      <c r="D146" s="229" t="s">
        <v>143</v>
      </c>
      <c r="E146" s="228">
        <v>41</v>
      </c>
      <c r="F146" s="229" t="s">
        <v>711</v>
      </c>
      <c r="G146" s="228">
        <v>4102</v>
      </c>
      <c r="H146" s="229" t="s">
        <v>712</v>
      </c>
      <c r="I146" s="228">
        <v>4102</v>
      </c>
      <c r="J146" s="229" t="s">
        <v>713</v>
      </c>
      <c r="K146" s="229" t="s">
        <v>754</v>
      </c>
      <c r="L146" s="228" t="s">
        <v>50</v>
      </c>
      <c r="M146" s="252" t="s">
        <v>755</v>
      </c>
      <c r="N146" s="233">
        <v>4102001</v>
      </c>
      <c r="O146" s="252" t="s">
        <v>756</v>
      </c>
      <c r="P146" s="228" t="s">
        <v>50</v>
      </c>
      <c r="Q146" s="230" t="s">
        <v>757</v>
      </c>
      <c r="R146" s="233">
        <v>410200100</v>
      </c>
      <c r="S146" s="230" t="s">
        <v>758</v>
      </c>
      <c r="T146" s="264" t="s">
        <v>58</v>
      </c>
      <c r="U146" s="264">
        <v>1</v>
      </c>
      <c r="V146" s="264"/>
      <c r="W146" s="233">
        <f t="shared" si="5"/>
        <v>1</v>
      </c>
      <c r="X146" s="231">
        <v>2020003630033</v>
      </c>
      <c r="Y146" s="252" t="s">
        <v>759</v>
      </c>
      <c r="Z146" s="252" t="s">
        <v>760</v>
      </c>
      <c r="AA146" s="234"/>
      <c r="AB146" s="234"/>
      <c r="AC146" s="234"/>
      <c r="AD146" s="234"/>
      <c r="AE146" s="234"/>
      <c r="AF146" s="234"/>
      <c r="AG146" s="234">
        <v>40000000</v>
      </c>
      <c r="AH146" s="234"/>
      <c r="AI146" s="234"/>
      <c r="AJ146" s="236">
        <f t="shared" si="4"/>
        <v>40000000</v>
      </c>
      <c r="AK146" s="299" t="s">
        <v>702</v>
      </c>
    </row>
    <row r="147" spans="1:37" s="224" customFormat="1" ht="145.5" customHeight="1">
      <c r="A147" s="228">
        <v>316</v>
      </c>
      <c r="B147" s="229" t="s">
        <v>694</v>
      </c>
      <c r="C147" s="228">
        <v>1</v>
      </c>
      <c r="D147" s="229" t="s">
        <v>143</v>
      </c>
      <c r="E147" s="228">
        <v>41</v>
      </c>
      <c r="F147" s="229" t="s">
        <v>711</v>
      </c>
      <c r="G147" s="228">
        <v>4102</v>
      </c>
      <c r="H147" s="229" t="s">
        <v>712</v>
      </c>
      <c r="I147" s="228">
        <v>4102</v>
      </c>
      <c r="J147" s="229" t="s">
        <v>713</v>
      </c>
      <c r="K147" s="229" t="s">
        <v>761</v>
      </c>
      <c r="L147" s="228">
        <v>4102022</v>
      </c>
      <c r="M147" s="248" t="s">
        <v>762</v>
      </c>
      <c r="N147" s="249">
        <v>4102046</v>
      </c>
      <c r="O147" s="248" t="s">
        <v>763</v>
      </c>
      <c r="P147" s="249" t="s">
        <v>764</v>
      </c>
      <c r="Q147" s="230" t="s">
        <v>765</v>
      </c>
      <c r="R147" s="249">
        <v>410204600</v>
      </c>
      <c r="S147" s="230" t="s">
        <v>766</v>
      </c>
      <c r="T147" s="264" t="s">
        <v>152</v>
      </c>
      <c r="U147" s="264">
        <v>21</v>
      </c>
      <c r="V147" s="264"/>
      <c r="W147" s="233">
        <f t="shared" si="5"/>
        <v>21</v>
      </c>
      <c r="X147" s="231">
        <v>2020003630033</v>
      </c>
      <c r="Y147" s="252" t="s">
        <v>759</v>
      </c>
      <c r="Z147" s="252" t="s">
        <v>760</v>
      </c>
      <c r="AA147" s="234"/>
      <c r="AB147" s="234"/>
      <c r="AC147" s="234"/>
      <c r="AD147" s="234"/>
      <c r="AE147" s="234"/>
      <c r="AF147" s="234"/>
      <c r="AG147" s="234">
        <v>30000000</v>
      </c>
      <c r="AH147" s="234"/>
      <c r="AI147" s="234"/>
      <c r="AJ147" s="236">
        <f t="shared" si="4"/>
        <v>30000000</v>
      </c>
      <c r="AK147" s="299" t="s">
        <v>702</v>
      </c>
    </row>
    <row r="148" spans="1:37" s="224" customFormat="1" ht="85.9" customHeight="1">
      <c r="A148" s="228">
        <v>316</v>
      </c>
      <c r="B148" s="229" t="s">
        <v>694</v>
      </c>
      <c r="C148" s="228">
        <v>1</v>
      </c>
      <c r="D148" s="229" t="s">
        <v>143</v>
      </c>
      <c r="E148" s="228">
        <v>41</v>
      </c>
      <c r="F148" s="229" t="s">
        <v>711</v>
      </c>
      <c r="G148" s="228">
        <v>4102</v>
      </c>
      <c r="H148" s="229" t="s">
        <v>712</v>
      </c>
      <c r="I148" s="228">
        <v>4102</v>
      </c>
      <c r="J148" s="229" t="s">
        <v>713</v>
      </c>
      <c r="K148" s="229" t="s">
        <v>767</v>
      </c>
      <c r="L148" s="228">
        <v>4102038</v>
      </c>
      <c r="M148" s="229" t="s">
        <v>768</v>
      </c>
      <c r="N148" s="228">
        <v>4102038</v>
      </c>
      <c r="O148" s="229" t="s">
        <v>768</v>
      </c>
      <c r="P148" s="253">
        <v>410203800</v>
      </c>
      <c r="Q148" s="230" t="s">
        <v>744</v>
      </c>
      <c r="R148" s="253">
        <v>410203800</v>
      </c>
      <c r="S148" s="230" t="s">
        <v>744</v>
      </c>
      <c r="T148" s="264" t="s">
        <v>152</v>
      </c>
      <c r="U148" s="264">
        <v>10</v>
      </c>
      <c r="V148" s="264"/>
      <c r="W148" s="233">
        <f t="shared" si="5"/>
        <v>10</v>
      </c>
      <c r="X148" s="231">
        <v>2020003630034</v>
      </c>
      <c r="Y148" s="229" t="s">
        <v>769</v>
      </c>
      <c r="Z148" s="248" t="s">
        <v>770</v>
      </c>
      <c r="AA148" s="234"/>
      <c r="AB148" s="234"/>
      <c r="AC148" s="234"/>
      <c r="AD148" s="234"/>
      <c r="AE148" s="234"/>
      <c r="AF148" s="234"/>
      <c r="AG148" s="234">
        <v>45000000</v>
      </c>
      <c r="AH148" s="234"/>
      <c r="AI148" s="234"/>
      <c r="AJ148" s="236">
        <f t="shared" si="4"/>
        <v>45000000</v>
      </c>
      <c r="AK148" s="299" t="s">
        <v>702</v>
      </c>
    </row>
    <row r="149" spans="1:37" s="224" customFormat="1" ht="85.9" customHeight="1">
      <c r="A149" s="228">
        <v>316</v>
      </c>
      <c r="B149" s="229" t="s">
        <v>694</v>
      </c>
      <c r="C149" s="228">
        <v>1</v>
      </c>
      <c r="D149" s="229" t="s">
        <v>143</v>
      </c>
      <c r="E149" s="228">
        <v>41</v>
      </c>
      <c r="F149" s="229" t="s">
        <v>711</v>
      </c>
      <c r="G149" s="228">
        <v>4103</v>
      </c>
      <c r="H149" s="229" t="s">
        <v>311</v>
      </c>
      <c r="I149" s="228">
        <v>4103</v>
      </c>
      <c r="J149" s="229" t="s">
        <v>312</v>
      </c>
      <c r="K149" s="229" t="s">
        <v>771</v>
      </c>
      <c r="L149" s="233">
        <v>4103059</v>
      </c>
      <c r="M149" s="229" t="s">
        <v>772</v>
      </c>
      <c r="N149" s="233">
        <v>4103059</v>
      </c>
      <c r="O149" s="229" t="s">
        <v>772</v>
      </c>
      <c r="P149" s="264">
        <v>410305900</v>
      </c>
      <c r="Q149" s="230" t="s">
        <v>773</v>
      </c>
      <c r="R149" s="264">
        <v>410305900</v>
      </c>
      <c r="S149" s="230" t="s">
        <v>773</v>
      </c>
      <c r="T149" s="253" t="s">
        <v>152</v>
      </c>
      <c r="U149" s="253">
        <v>16</v>
      </c>
      <c r="V149" s="253"/>
      <c r="W149" s="233">
        <f t="shared" si="5"/>
        <v>16</v>
      </c>
      <c r="X149" s="231">
        <v>2020003630103</v>
      </c>
      <c r="Y149" s="229" t="s">
        <v>774</v>
      </c>
      <c r="Z149" s="229" t="s">
        <v>775</v>
      </c>
      <c r="AA149" s="234"/>
      <c r="AB149" s="234"/>
      <c r="AC149" s="234"/>
      <c r="AD149" s="234"/>
      <c r="AE149" s="234"/>
      <c r="AF149" s="234"/>
      <c r="AG149" s="234">
        <f>45000000+30000000</f>
        <v>75000000</v>
      </c>
      <c r="AH149" s="234">
        <v>100000000</v>
      </c>
      <c r="AI149" s="234"/>
      <c r="AJ149" s="236">
        <f t="shared" si="4"/>
        <v>175000000</v>
      </c>
      <c r="AK149" s="299" t="s">
        <v>702</v>
      </c>
    </row>
    <row r="150" spans="1:37" s="224" customFormat="1" ht="85.9" customHeight="1">
      <c r="A150" s="228">
        <v>316</v>
      </c>
      <c r="B150" s="229" t="s">
        <v>694</v>
      </c>
      <c r="C150" s="228">
        <v>1</v>
      </c>
      <c r="D150" s="229" t="s">
        <v>143</v>
      </c>
      <c r="E150" s="228">
        <v>41</v>
      </c>
      <c r="F150" s="229" t="s">
        <v>711</v>
      </c>
      <c r="G150" s="228">
        <v>4103</v>
      </c>
      <c r="H150" s="229" t="s">
        <v>311</v>
      </c>
      <c r="I150" s="228">
        <v>4103</v>
      </c>
      <c r="J150" s="229" t="s">
        <v>312</v>
      </c>
      <c r="K150" s="229" t="s">
        <v>776</v>
      </c>
      <c r="L150" s="228">
        <v>4103052</v>
      </c>
      <c r="M150" s="229" t="s">
        <v>315</v>
      </c>
      <c r="N150" s="228">
        <v>4103052</v>
      </c>
      <c r="O150" s="229" t="s">
        <v>315</v>
      </c>
      <c r="P150" s="253">
        <v>410305202</v>
      </c>
      <c r="Q150" s="230" t="s">
        <v>777</v>
      </c>
      <c r="R150" s="253">
        <v>410305202</v>
      </c>
      <c r="S150" s="230" t="s">
        <v>778</v>
      </c>
      <c r="T150" s="253" t="s">
        <v>58</v>
      </c>
      <c r="U150" s="253">
        <v>1</v>
      </c>
      <c r="V150" s="253"/>
      <c r="W150" s="233">
        <f t="shared" si="5"/>
        <v>1</v>
      </c>
      <c r="X150" s="231">
        <v>2020003630104</v>
      </c>
      <c r="Y150" s="230" t="s">
        <v>779</v>
      </c>
      <c r="Z150" s="229" t="s">
        <v>780</v>
      </c>
      <c r="AA150" s="234"/>
      <c r="AB150" s="234"/>
      <c r="AC150" s="234"/>
      <c r="AD150" s="234"/>
      <c r="AE150" s="234"/>
      <c r="AF150" s="234"/>
      <c r="AG150" s="234">
        <f>46000000+20000000</f>
        <v>66000000</v>
      </c>
      <c r="AH150" s="234"/>
      <c r="AI150" s="234"/>
      <c r="AJ150" s="236">
        <f t="shared" si="4"/>
        <v>66000000</v>
      </c>
      <c r="AK150" s="299" t="s">
        <v>702</v>
      </c>
    </row>
    <row r="151" spans="1:37" s="224" customFormat="1" ht="133.5" customHeight="1">
      <c r="A151" s="228">
        <v>316</v>
      </c>
      <c r="B151" s="229" t="s">
        <v>694</v>
      </c>
      <c r="C151" s="228">
        <v>1</v>
      </c>
      <c r="D151" s="229" t="s">
        <v>143</v>
      </c>
      <c r="E151" s="228">
        <v>41</v>
      </c>
      <c r="F151" s="229" t="s">
        <v>711</v>
      </c>
      <c r="G151" s="228">
        <v>4103</v>
      </c>
      <c r="H151" s="229" t="s">
        <v>311</v>
      </c>
      <c r="I151" s="228">
        <v>4103</v>
      </c>
      <c r="J151" s="229" t="s">
        <v>312</v>
      </c>
      <c r="K151" s="229" t="s">
        <v>761</v>
      </c>
      <c r="L151" s="228">
        <v>4103050</v>
      </c>
      <c r="M151" s="229" t="s">
        <v>781</v>
      </c>
      <c r="N151" s="228">
        <v>4103050</v>
      </c>
      <c r="O151" s="229" t="s">
        <v>781</v>
      </c>
      <c r="P151" s="253">
        <v>410305001</v>
      </c>
      <c r="Q151" s="230" t="s">
        <v>782</v>
      </c>
      <c r="R151" s="253">
        <v>410305001</v>
      </c>
      <c r="S151" s="230" t="s">
        <v>782</v>
      </c>
      <c r="T151" s="253" t="s">
        <v>58</v>
      </c>
      <c r="U151" s="253">
        <v>12</v>
      </c>
      <c r="V151" s="253"/>
      <c r="W151" s="233">
        <f t="shared" si="5"/>
        <v>12</v>
      </c>
      <c r="X151" s="231">
        <v>2020003630105</v>
      </c>
      <c r="Y151" s="230" t="s">
        <v>783</v>
      </c>
      <c r="Z151" s="229" t="s">
        <v>784</v>
      </c>
      <c r="AA151" s="234"/>
      <c r="AB151" s="234"/>
      <c r="AC151" s="234"/>
      <c r="AD151" s="234"/>
      <c r="AE151" s="234"/>
      <c r="AF151" s="234"/>
      <c r="AG151" s="234">
        <f>40000000+30000000</f>
        <v>70000000</v>
      </c>
      <c r="AH151" s="234"/>
      <c r="AI151" s="234"/>
      <c r="AJ151" s="236">
        <f t="shared" si="4"/>
        <v>70000000</v>
      </c>
      <c r="AK151" s="299" t="s">
        <v>702</v>
      </c>
    </row>
    <row r="152" spans="1:37" s="224" customFormat="1" ht="85.9" customHeight="1">
      <c r="A152" s="228">
        <v>316</v>
      </c>
      <c r="B152" s="229" t="s">
        <v>694</v>
      </c>
      <c r="C152" s="228">
        <v>1</v>
      </c>
      <c r="D152" s="229" t="s">
        <v>143</v>
      </c>
      <c r="E152" s="228">
        <v>41</v>
      </c>
      <c r="F152" s="229" t="s">
        <v>711</v>
      </c>
      <c r="G152" s="228">
        <v>4103</v>
      </c>
      <c r="H152" s="229" t="s">
        <v>311</v>
      </c>
      <c r="I152" s="228">
        <v>4103</v>
      </c>
      <c r="J152" s="229" t="s">
        <v>312</v>
      </c>
      <c r="K152" s="229" t="s">
        <v>785</v>
      </c>
      <c r="L152" s="233">
        <v>4103058</v>
      </c>
      <c r="M152" s="229" t="s">
        <v>786</v>
      </c>
      <c r="N152" s="233">
        <v>4103058</v>
      </c>
      <c r="O152" s="229" t="s">
        <v>786</v>
      </c>
      <c r="P152" s="264">
        <v>410305800</v>
      </c>
      <c r="Q152" s="230" t="s">
        <v>787</v>
      </c>
      <c r="R152" s="264">
        <v>410305800</v>
      </c>
      <c r="S152" s="230" t="s">
        <v>787</v>
      </c>
      <c r="T152" s="253" t="s">
        <v>152</v>
      </c>
      <c r="U152" s="253">
        <v>5</v>
      </c>
      <c r="V152" s="253"/>
      <c r="W152" s="233">
        <f t="shared" si="5"/>
        <v>5</v>
      </c>
      <c r="X152" s="231">
        <v>2020003630106</v>
      </c>
      <c r="Y152" s="230" t="s">
        <v>788</v>
      </c>
      <c r="Z152" s="229" t="s">
        <v>789</v>
      </c>
      <c r="AA152" s="234"/>
      <c r="AB152" s="234"/>
      <c r="AC152" s="234"/>
      <c r="AD152" s="234"/>
      <c r="AE152" s="234"/>
      <c r="AF152" s="234"/>
      <c r="AG152" s="234">
        <v>50000000</v>
      </c>
      <c r="AH152" s="234">
        <v>100000000</v>
      </c>
      <c r="AI152" s="234"/>
      <c r="AJ152" s="236">
        <f t="shared" si="4"/>
        <v>150000000</v>
      </c>
      <c r="AK152" s="299" t="s">
        <v>702</v>
      </c>
    </row>
    <row r="153" spans="1:37" s="224" customFormat="1" ht="85.9" customHeight="1">
      <c r="A153" s="228">
        <v>316</v>
      </c>
      <c r="B153" s="229" t="s">
        <v>694</v>
      </c>
      <c r="C153" s="228">
        <v>1</v>
      </c>
      <c r="D153" s="229" t="s">
        <v>143</v>
      </c>
      <c r="E153" s="228">
        <v>41</v>
      </c>
      <c r="F153" s="229" t="s">
        <v>711</v>
      </c>
      <c r="G153" s="228">
        <v>4103</v>
      </c>
      <c r="H153" s="229" t="s">
        <v>311</v>
      </c>
      <c r="I153" s="228">
        <v>4103</v>
      </c>
      <c r="J153" s="229" t="s">
        <v>312</v>
      </c>
      <c r="K153" s="252" t="s">
        <v>790</v>
      </c>
      <c r="L153" s="228" t="s">
        <v>50</v>
      </c>
      <c r="M153" s="229" t="s">
        <v>791</v>
      </c>
      <c r="N153" s="233">
        <v>4103060</v>
      </c>
      <c r="O153" s="229" t="s">
        <v>792</v>
      </c>
      <c r="P153" s="228" t="s">
        <v>50</v>
      </c>
      <c r="Q153" s="230" t="s">
        <v>793</v>
      </c>
      <c r="R153" s="233">
        <v>410306000</v>
      </c>
      <c r="S153" s="230" t="s">
        <v>794</v>
      </c>
      <c r="T153" s="253" t="s">
        <v>152</v>
      </c>
      <c r="U153" s="253">
        <v>5</v>
      </c>
      <c r="V153" s="253"/>
      <c r="W153" s="233">
        <f t="shared" si="5"/>
        <v>5</v>
      </c>
      <c r="X153" s="231">
        <v>2020003630036</v>
      </c>
      <c r="Y153" s="229" t="s">
        <v>795</v>
      </c>
      <c r="Z153" s="229" t="s">
        <v>796</v>
      </c>
      <c r="AA153" s="234"/>
      <c r="AB153" s="234"/>
      <c r="AC153" s="234"/>
      <c r="AD153" s="234"/>
      <c r="AE153" s="234"/>
      <c r="AF153" s="234"/>
      <c r="AG153" s="234">
        <f>65000000+25000000</f>
        <v>90000000</v>
      </c>
      <c r="AH153" s="234"/>
      <c r="AI153" s="234"/>
      <c r="AJ153" s="236">
        <f t="shared" si="4"/>
        <v>90000000</v>
      </c>
      <c r="AK153" s="299" t="s">
        <v>702</v>
      </c>
    </row>
    <row r="154" spans="1:37" s="224" customFormat="1" ht="85.9" customHeight="1">
      <c r="A154" s="228">
        <v>316</v>
      </c>
      <c r="B154" s="229" t="s">
        <v>694</v>
      </c>
      <c r="C154" s="228">
        <v>1</v>
      </c>
      <c r="D154" s="229" t="s">
        <v>143</v>
      </c>
      <c r="E154" s="228">
        <v>41</v>
      </c>
      <c r="F154" s="229" t="s">
        <v>711</v>
      </c>
      <c r="G154" s="228">
        <v>4103</v>
      </c>
      <c r="H154" s="229" t="s">
        <v>311</v>
      </c>
      <c r="I154" s="228">
        <v>4103</v>
      </c>
      <c r="J154" s="229" t="s">
        <v>312</v>
      </c>
      <c r="K154" s="252" t="s">
        <v>797</v>
      </c>
      <c r="L154" s="228" t="s">
        <v>50</v>
      </c>
      <c r="M154" s="229" t="s">
        <v>798</v>
      </c>
      <c r="N154" s="233">
        <v>4103060</v>
      </c>
      <c r="O154" s="229" t="s">
        <v>792</v>
      </c>
      <c r="P154" s="228" t="s">
        <v>50</v>
      </c>
      <c r="Q154" s="230" t="s">
        <v>799</v>
      </c>
      <c r="R154" s="233">
        <v>410306000</v>
      </c>
      <c r="S154" s="230" t="s">
        <v>794</v>
      </c>
      <c r="T154" s="253" t="s">
        <v>58</v>
      </c>
      <c r="U154" s="253">
        <v>2</v>
      </c>
      <c r="V154" s="253"/>
      <c r="W154" s="233">
        <f t="shared" si="5"/>
        <v>2</v>
      </c>
      <c r="X154" s="231">
        <v>2020003630036</v>
      </c>
      <c r="Y154" s="229" t="s">
        <v>795</v>
      </c>
      <c r="Z154" s="229" t="s">
        <v>796</v>
      </c>
      <c r="AA154" s="234"/>
      <c r="AB154" s="234"/>
      <c r="AC154" s="234"/>
      <c r="AD154" s="234"/>
      <c r="AE154" s="234"/>
      <c r="AF154" s="234"/>
      <c r="AG154" s="234">
        <f>65000000+25000000</f>
        <v>90000000</v>
      </c>
      <c r="AH154" s="234"/>
      <c r="AI154" s="234"/>
      <c r="AJ154" s="236">
        <f t="shared" si="4"/>
        <v>90000000</v>
      </c>
      <c r="AK154" s="299" t="s">
        <v>702</v>
      </c>
    </row>
    <row r="155" spans="1:37" s="224" customFormat="1" ht="85.9" customHeight="1">
      <c r="A155" s="228">
        <v>316</v>
      </c>
      <c r="B155" s="229" t="s">
        <v>694</v>
      </c>
      <c r="C155" s="228">
        <v>1</v>
      </c>
      <c r="D155" s="229" t="s">
        <v>143</v>
      </c>
      <c r="E155" s="228">
        <v>41</v>
      </c>
      <c r="F155" s="229" t="s">
        <v>711</v>
      </c>
      <c r="G155" s="228">
        <v>4103</v>
      </c>
      <c r="H155" s="229" t="s">
        <v>311</v>
      </c>
      <c r="I155" s="228">
        <v>4103</v>
      </c>
      <c r="J155" s="229" t="s">
        <v>312</v>
      </c>
      <c r="K155" s="229" t="s">
        <v>800</v>
      </c>
      <c r="L155" s="228" t="s">
        <v>50</v>
      </c>
      <c r="M155" s="229" t="s">
        <v>801</v>
      </c>
      <c r="N155" s="233">
        <v>4103052</v>
      </c>
      <c r="O155" s="229" t="s">
        <v>315</v>
      </c>
      <c r="P155" s="228" t="s">
        <v>50</v>
      </c>
      <c r="Q155" s="230" t="s">
        <v>802</v>
      </c>
      <c r="R155" s="233">
        <v>410305202</v>
      </c>
      <c r="S155" s="230" t="s">
        <v>777</v>
      </c>
      <c r="T155" s="253" t="s">
        <v>58</v>
      </c>
      <c r="U155" s="253">
        <v>1</v>
      </c>
      <c r="V155" s="253"/>
      <c r="W155" s="233">
        <f t="shared" si="5"/>
        <v>1</v>
      </c>
      <c r="X155" s="231">
        <v>2020003630037</v>
      </c>
      <c r="Y155" s="229" t="s">
        <v>803</v>
      </c>
      <c r="Z155" s="229" t="s">
        <v>804</v>
      </c>
      <c r="AA155" s="234"/>
      <c r="AB155" s="234"/>
      <c r="AC155" s="234"/>
      <c r="AD155" s="234"/>
      <c r="AE155" s="234"/>
      <c r="AF155" s="234"/>
      <c r="AG155" s="234">
        <f>80000000+50000000</f>
        <v>130000000</v>
      </c>
      <c r="AH155" s="234"/>
      <c r="AI155" s="234"/>
      <c r="AJ155" s="236">
        <f t="shared" si="4"/>
        <v>130000000</v>
      </c>
      <c r="AK155" s="299" t="s">
        <v>702</v>
      </c>
    </row>
    <row r="156" spans="1:37" s="224" customFormat="1" ht="85.9" customHeight="1">
      <c r="A156" s="228">
        <v>316</v>
      </c>
      <c r="B156" s="229" t="s">
        <v>694</v>
      </c>
      <c r="C156" s="228">
        <v>1</v>
      </c>
      <c r="D156" s="229" t="s">
        <v>143</v>
      </c>
      <c r="E156" s="228">
        <v>41</v>
      </c>
      <c r="F156" s="229" t="s">
        <v>711</v>
      </c>
      <c r="G156" s="228">
        <v>4104</v>
      </c>
      <c r="H156" s="229" t="s">
        <v>805</v>
      </c>
      <c r="I156" s="228">
        <v>4104</v>
      </c>
      <c r="J156" s="229" t="s">
        <v>178</v>
      </c>
      <c r="K156" s="230" t="s">
        <v>806</v>
      </c>
      <c r="L156" s="233">
        <v>4104035</v>
      </c>
      <c r="M156" s="229" t="s">
        <v>807</v>
      </c>
      <c r="N156" s="233">
        <v>4104020</v>
      </c>
      <c r="O156" s="229" t="s">
        <v>808</v>
      </c>
      <c r="P156" s="228">
        <v>410403500</v>
      </c>
      <c r="Q156" s="230" t="s">
        <v>809</v>
      </c>
      <c r="R156" s="233">
        <v>410402000</v>
      </c>
      <c r="S156" s="230" t="s">
        <v>810</v>
      </c>
      <c r="T156" s="253" t="s">
        <v>152</v>
      </c>
      <c r="U156" s="253">
        <v>315</v>
      </c>
      <c r="V156" s="253"/>
      <c r="W156" s="233">
        <f t="shared" si="5"/>
        <v>315</v>
      </c>
      <c r="X156" s="231">
        <v>2020003630035</v>
      </c>
      <c r="Y156" s="229" t="s">
        <v>811</v>
      </c>
      <c r="Z156" s="229" t="s">
        <v>812</v>
      </c>
      <c r="AA156" s="234"/>
      <c r="AB156" s="234"/>
      <c r="AC156" s="234"/>
      <c r="AD156" s="234"/>
      <c r="AE156" s="234"/>
      <c r="AF156" s="234"/>
      <c r="AG156" s="234">
        <f>80000000+70000000</f>
        <v>150000000</v>
      </c>
      <c r="AH156" s="234"/>
      <c r="AI156" s="234"/>
      <c r="AJ156" s="236">
        <f t="shared" si="4"/>
        <v>150000000</v>
      </c>
      <c r="AK156" s="299" t="s">
        <v>702</v>
      </c>
    </row>
    <row r="157" spans="1:37" s="224" customFormat="1" ht="85.9" customHeight="1">
      <c r="A157" s="228">
        <v>316</v>
      </c>
      <c r="B157" s="229" t="s">
        <v>694</v>
      </c>
      <c r="C157" s="228">
        <v>1</v>
      </c>
      <c r="D157" s="229" t="s">
        <v>143</v>
      </c>
      <c r="E157" s="228">
        <v>41</v>
      </c>
      <c r="F157" s="229" t="s">
        <v>711</v>
      </c>
      <c r="G157" s="228">
        <v>4104</v>
      </c>
      <c r="H157" s="229" t="s">
        <v>805</v>
      </c>
      <c r="I157" s="228">
        <v>4104</v>
      </c>
      <c r="J157" s="229" t="s">
        <v>178</v>
      </c>
      <c r="K157" s="230" t="s">
        <v>813</v>
      </c>
      <c r="L157" s="228">
        <v>4104035</v>
      </c>
      <c r="M157" s="229" t="s">
        <v>807</v>
      </c>
      <c r="N157" s="233">
        <v>4104020</v>
      </c>
      <c r="O157" s="229" t="s">
        <v>808</v>
      </c>
      <c r="P157" s="228" t="s">
        <v>50</v>
      </c>
      <c r="Q157" s="303" t="s">
        <v>814</v>
      </c>
      <c r="R157" s="233">
        <v>410402000</v>
      </c>
      <c r="S157" s="230" t="s">
        <v>810</v>
      </c>
      <c r="T157" s="275" t="s">
        <v>58</v>
      </c>
      <c r="U157" s="253">
        <v>12</v>
      </c>
      <c r="V157" s="253"/>
      <c r="W157" s="233">
        <f t="shared" si="5"/>
        <v>12</v>
      </c>
      <c r="X157" s="231">
        <v>2020003630035</v>
      </c>
      <c r="Y157" s="229" t="s">
        <v>811</v>
      </c>
      <c r="Z157" s="229" t="s">
        <v>812</v>
      </c>
      <c r="AA157" s="234"/>
      <c r="AB157" s="234"/>
      <c r="AC157" s="234"/>
      <c r="AD157" s="234"/>
      <c r="AE157" s="234"/>
      <c r="AF157" s="234"/>
      <c r="AG157" s="234">
        <f>190000000+50000000</f>
        <v>240000000</v>
      </c>
      <c r="AH157" s="234"/>
      <c r="AI157" s="234"/>
      <c r="AJ157" s="236">
        <f t="shared" si="4"/>
        <v>240000000</v>
      </c>
      <c r="AK157" s="299" t="s">
        <v>702</v>
      </c>
    </row>
    <row r="158" spans="1:37" s="224" customFormat="1" ht="85.9" customHeight="1">
      <c r="A158" s="228">
        <v>316</v>
      </c>
      <c r="B158" s="229" t="s">
        <v>694</v>
      </c>
      <c r="C158" s="228">
        <v>1</v>
      </c>
      <c r="D158" s="229" t="s">
        <v>143</v>
      </c>
      <c r="E158" s="228">
        <v>41</v>
      </c>
      <c r="F158" s="229" t="s">
        <v>711</v>
      </c>
      <c r="G158" s="228">
        <v>4104</v>
      </c>
      <c r="H158" s="229" t="s">
        <v>805</v>
      </c>
      <c r="I158" s="228">
        <v>4104</v>
      </c>
      <c r="J158" s="229" t="s">
        <v>178</v>
      </c>
      <c r="K158" s="229" t="s">
        <v>815</v>
      </c>
      <c r="L158" s="264">
        <v>4104026</v>
      </c>
      <c r="M158" s="229" t="s">
        <v>816</v>
      </c>
      <c r="N158" s="233">
        <v>4104027</v>
      </c>
      <c r="O158" s="229" t="s">
        <v>817</v>
      </c>
      <c r="P158" s="228" t="s">
        <v>50</v>
      </c>
      <c r="Q158" s="230" t="s">
        <v>818</v>
      </c>
      <c r="R158" s="233">
        <v>410402700</v>
      </c>
      <c r="S158" s="230" t="s">
        <v>819</v>
      </c>
      <c r="T158" s="253" t="s">
        <v>58</v>
      </c>
      <c r="U158" s="253">
        <v>12</v>
      </c>
      <c r="V158" s="253"/>
      <c r="W158" s="233">
        <f t="shared" si="5"/>
        <v>12</v>
      </c>
      <c r="X158" s="231">
        <v>2020003630012</v>
      </c>
      <c r="Y158" s="229" t="s">
        <v>820</v>
      </c>
      <c r="Z158" s="229" t="s">
        <v>821</v>
      </c>
      <c r="AA158" s="234"/>
      <c r="AB158" s="234"/>
      <c r="AC158" s="234"/>
      <c r="AD158" s="234"/>
      <c r="AE158" s="234"/>
      <c r="AF158" s="234"/>
      <c r="AG158" s="234">
        <f>60000000+110000000</f>
        <v>170000000</v>
      </c>
      <c r="AH158" s="234"/>
      <c r="AI158" s="234"/>
      <c r="AJ158" s="236">
        <f t="shared" si="4"/>
        <v>170000000</v>
      </c>
      <c r="AK158" s="299" t="s">
        <v>702</v>
      </c>
    </row>
    <row r="159" spans="1:37" s="224" customFormat="1" ht="85.9" customHeight="1">
      <c r="A159" s="228">
        <v>316</v>
      </c>
      <c r="B159" s="229" t="s">
        <v>694</v>
      </c>
      <c r="C159" s="228">
        <v>1</v>
      </c>
      <c r="D159" s="229" t="s">
        <v>143</v>
      </c>
      <c r="E159" s="228">
        <v>41</v>
      </c>
      <c r="F159" s="229" t="s">
        <v>711</v>
      </c>
      <c r="G159" s="228">
        <v>4104</v>
      </c>
      <c r="H159" s="229" t="s">
        <v>805</v>
      </c>
      <c r="I159" s="228">
        <v>4104</v>
      </c>
      <c r="J159" s="229" t="s">
        <v>178</v>
      </c>
      <c r="K159" s="229" t="s">
        <v>822</v>
      </c>
      <c r="L159" s="233">
        <v>4104015</v>
      </c>
      <c r="M159" s="248" t="s">
        <v>823</v>
      </c>
      <c r="N159" s="233">
        <v>4104015</v>
      </c>
      <c r="O159" s="248" t="s">
        <v>824</v>
      </c>
      <c r="P159" s="264">
        <v>410401500</v>
      </c>
      <c r="Q159" s="230" t="s">
        <v>825</v>
      </c>
      <c r="R159" s="264">
        <v>410401500</v>
      </c>
      <c r="S159" s="230" t="s">
        <v>826</v>
      </c>
      <c r="T159" s="253" t="s">
        <v>58</v>
      </c>
      <c r="U159" s="253">
        <v>7500</v>
      </c>
      <c r="V159" s="253"/>
      <c r="W159" s="233">
        <f t="shared" si="5"/>
        <v>7500</v>
      </c>
      <c r="X159" s="231">
        <v>2020003630109</v>
      </c>
      <c r="Y159" s="229" t="s">
        <v>827</v>
      </c>
      <c r="Z159" s="276" t="s">
        <v>828</v>
      </c>
      <c r="AA159" s="234"/>
      <c r="AB159" s="234"/>
      <c r="AC159" s="234"/>
      <c r="AD159" s="234"/>
      <c r="AE159" s="234"/>
      <c r="AF159" s="234"/>
      <c r="AG159" s="234">
        <f>163575038.4+50000000</f>
        <v>213575038.40000001</v>
      </c>
      <c r="AH159" s="234"/>
      <c r="AI159" s="234"/>
      <c r="AJ159" s="236">
        <f t="shared" si="4"/>
        <v>213575038.40000001</v>
      </c>
      <c r="AK159" s="299" t="s">
        <v>702</v>
      </c>
    </row>
    <row r="160" spans="1:37" s="224" customFormat="1" ht="85.9" customHeight="1">
      <c r="A160" s="228">
        <v>316</v>
      </c>
      <c r="B160" s="229" t="s">
        <v>694</v>
      </c>
      <c r="C160" s="228">
        <v>1</v>
      </c>
      <c r="D160" s="229" t="s">
        <v>143</v>
      </c>
      <c r="E160" s="228">
        <v>41</v>
      </c>
      <c r="F160" s="229" t="s">
        <v>711</v>
      </c>
      <c r="G160" s="228">
        <v>4104</v>
      </c>
      <c r="H160" s="229" t="s">
        <v>805</v>
      </c>
      <c r="I160" s="228">
        <v>4104</v>
      </c>
      <c r="J160" s="229" t="s">
        <v>178</v>
      </c>
      <c r="K160" s="229" t="s">
        <v>829</v>
      </c>
      <c r="L160" s="228" t="s">
        <v>50</v>
      </c>
      <c r="M160" s="248" t="s">
        <v>830</v>
      </c>
      <c r="N160" s="228">
        <v>4104008</v>
      </c>
      <c r="O160" s="248" t="s">
        <v>831</v>
      </c>
      <c r="P160" s="228" t="s">
        <v>50</v>
      </c>
      <c r="Q160" s="303" t="s">
        <v>832</v>
      </c>
      <c r="R160" s="228">
        <v>410400800</v>
      </c>
      <c r="S160" s="303" t="s">
        <v>833</v>
      </c>
      <c r="T160" s="232" t="s">
        <v>58</v>
      </c>
      <c r="U160" s="253">
        <v>12</v>
      </c>
      <c r="V160" s="253"/>
      <c r="W160" s="233">
        <f t="shared" si="5"/>
        <v>12</v>
      </c>
      <c r="X160" s="231">
        <v>2020003630109</v>
      </c>
      <c r="Y160" s="229" t="s">
        <v>827</v>
      </c>
      <c r="Z160" s="276" t="s">
        <v>828</v>
      </c>
      <c r="AA160" s="234">
        <f>5998098000+20000000+1731334426.2</f>
        <v>7749432426.1999998</v>
      </c>
      <c r="AB160" s="234"/>
      <c r="AC160" s="234"/>
      <c r="AD160" s="234"/>
      <c r="AE160" s="234"/>
      <c r="AF160" s="234"/>
      <c r="AG160" s="234"/>
      <c r="AH160" s="234"/>
      <c r="AI160" s="234"/>
      <c r="AJ160" s="236">
        <f t="shared" si="4"/>
        <v>7749432426.1999998</v>
      </c>
      <c r="AK160" s="299" t="s">
        <v>702</v>
      </c>
    </row>
    <row r="161" spans="1:37" s="224" customFormat="1" ht="85.9" customHeight="1">
      <c r="A161" s="228">
        <v>316</v>
      </c>
      <c r="B161" s="229" t="s">
        <v>694</v>
      </c>
      <c r="C161" s="228">
        <v>2</v>
      </c>
      <c r="D161" s="229" t="s">
        <v>408</v>
      </c>
      <c r="E161" s="228">
        <v>17</v>
      </c>
      <c r="F161" s="229" t="s">
        <v>450</v>
      </c>
      <c r="G161" s="228">
        <v>1702</v>
      </c>
      <c r="H161" s="229" t="s">
        <v>451</v>
      </c>
      <c r="I161" s="228">
        <v>1702</v>
      </c>
      <c r="J161" s="229" t="s">
        <v>452</v>
      </c>
      <c r="K161" s="229" t="s">
        <v>834</v>
      </c>
      <c r="L161" s="233">
        <v>1702011</v>
      </c>
      <c r="M161" s="229" t="s">
        <v>835</v>
      </c>
      <c r="N161" s="233">
        <v>1702011</v>
      </c>
      <c r="O161" s="229" t="s">
        <v>835</v>
      </c>
      <c r="P161" s="264" t="s">
        <v>836</v>
      </c>
      <c r="Q161" s="230" t="s">
        <v>837</v>
      </c>
      <c r="R161" s="264" t="s">
        <v>836</v>
      </c>
      <c r="S161" s="230" t="s">
        <v>837</v>
      </c>
      <c r="T161" s="275" t="s">
        <v>152</v>
      </c>
      <c r="U161" s="253">
        <v>10</v>
      </c>
      <c r="V161" s="253"/>
      <c r="W161" s="233">
        <f t="shared" si="5"/>
        <v>10</v>
      </c>
      <c r="X161" s="231">
        <v>2020003630113</v>
      </c>
      <c r="Y161" s="229" t="s">
        <v>838</v>
      </c>
      <c r="Z161" s="229" t="s">
        <v>839</v>
      </c>
      <c r="AA161" s="234"/>
      <c r="AB161" s="234"/>
      <c r="AC161" s="234"/>
      <c r="AD161" s="234"/>
      <c r="AE161" s="234"/>
      <c r="AF161" s="234"/>
      <c r="AG161" s="234">
        <v>60000000</v>
      </c>
      <c r="AH161" s="234"/>
      <c r="AI161" s="234"/>
      <c r="AJ161" s="236">
        <f t="shared" si="4"/>
        <v>60000000</v>
      </c>
      <c r="AK161" s="299" t="s">
        <v>702</v>
      </c>
    </row>
    <row r="162" spans="1:37" s="224" customFormat="1" ht="85.9" customHeight="1">
      <c r="A162" s="228">
        <v>316</v>
      </c>
      <c r="B162" s="229" t="s">
        <v>694</v>
      </c>
      <c r="C162" s="228">
        <v>2</v>
      </c>
      <c r="D162" s="229" t="s">
        <v>408</v>
      </c>
      <c r="E162" s="228">
        <v>36</v>
      </c>
      <c r="F162" s="229" t="s">
        <v>432</v>
      </c>
      <c r="G162" s="228">
        <v>3604</v>
      </c>
      <c r="H162" s="229" t="s">
        <v>840</v>
      </c>
      <c r="I162" s="228">
        <v>3604</v>
      </c>
      <c r="J162" s="229" t="s">
        <v>841</v>
      </c>
      <c r="K162" s="229" t="s">
        <v>842</v>
      </c>
      <c r="L162" s="228">
        <v>3604006</v>
      </c>
      <c r="M162" s="229" t="s">
        <v>843</v>
      </c>
      <c r="N162" s="228">
        <v>3604006</v>
      </c>
      <c r="O162" s="229" t="s">
        <v>843</v>
      </c>
      <c r="P162" s="264">
        <v>360400600</v>
      </c>
      <c r="Q162" s="230" t="s">
        <v>340</v>
      </c>
      <c r="R162" s="264">
        <v>360400600</v>
      </c>
      <c r="S162" s="230" t="s">
        <v>340</v>
      </c>
      <c r="T162" s="298" t="s">
        <v>152</v>
      </c>
      <c r="U162" s="298">
        <v>300</v>
      </c>
      <c r="V162" s="298"/>
      <c r="W162" s="233">
        <f t="shared" si="5"/>
        <v>300</v>
      </c>
      <c r="X162" s="231">
        <v>2020003630114</v>
      </c>
      <c r="Y162" s="248" t="s">
        <v>844</v>
      </c>
      <c r="Z162" s="248" t="s">
        <v>845</v>
      </c>
      <c r="AA162" s="234"/>
      <c r="AB162" s="234"/>
      <c r="AC162" s="234"/>
      <c r="AD162" s="234"/>
      <c r="AE162" s="234"/>
      <c r="AF162" s="234"/>
      <c r="AG162" s="234">
        <v>45000000</v>
      </c>
      <c r="AH162" s="234"/>
      <c r="AI162" s="234"/>
      <c r="AJ162" s="236">
        <f t="shared" si="4"/>
        <v>45000000</v>
      </c>
      <c r="AK162" s="299" t="s">
        <v>702</v>
      </c>
    </row>
    <row r="163" spans="1:37" s="224" customFormat="1" ht="85.9" customHeight="1">
      <c r="A163" s="228">
        <v>316</v>
      </c>
      <c r="B163" s="229" t="s">
        <v>694</v>
      </c>
      <c r="C163" s="228">
        <v>4</v>
      </c>
      <c r="D163" s="229" t="s">
        <v>48</v>
      </c>
      <c r="E163" s="228">
        <v>45</v>
      </c>
      <c r="F163" s="229" t="s">
        <v>846</v>
      </c>
      <c r="G163" s="228">
        <v>4502</v>
      </c>
      <c r="H163" s="229" t="s">
        <v>70</v>
      </c>
      <c r="I163" s="228">
        <v>4502</v>
      </c>
      <c r="J163" s="229" t="s">
        <v>71</v>
      </c>
      <c r="K163" s="229" t="s">
        <v>847</v>
      </c>
      <c r="L163" s="233">
        <v>4502001</v>
      </c>
      <c r="M163" s="229" t="s">
        <v>82</v>
      </c>
      <c r="N163" s="233">
        <v>4502001</v>
      </c>
      <c r="O163" s="229" t="s">
        <v>82</v>
      </c>
      <c r="P163" s="228" t="s">
        <v>50</v>
      </c>
      <c r="Q163" s="230" t="s">
        <v>848</v>
      </c>
      <c r="R163" s="233">
        <v>450200108</v>
      </c>
      <c r="S163" s="230" t="s">
        <v>849</v>
      </c>
      <c r="T163" s="253" t="s">
        <v>152</v>
      </c>
      <c r="U163" s="253">
        <v>1</v>
      </c>
      <c r="V163" s="253"/>
      <c r="W163" s="233">
        <f t="shared" si="5"/>
        <v>1</v>
      </c>
      <c r="X163" s="231">
        <v>2020003630115</v>
      </c>
      <c r="Y163" s="229" t="s">
        <v>850</v>
      </c>
      <c r="Z163" s="229" t="s">
        <v>851</v>
      </c>
      <c r="AA163" s="234"/>
      <c r="AB163" s="234"/>
      <c r="AC163" s="234"/>
      <c r="AD163" s="234"/>
      <c r="AE163" s="234"/>
      <c r="AF163" s="234"/>
      <c r="AG163" s="234">
        <v>30000000</v>
      </c>
      <c r="AH163" s="234"/>
      <c r="AI163" s="234"/>
      <c r="AJ163" s="236">
        <f t="shared" si="4"/>
        <v>30000000</v>
      </c>
      <c r="AK163" s="299" t="s">
        <v>702</v>
      </c>
    </row>
    <row r="164" spans="1:37" s="224" customFormat="1" ht="85.9" customHeight="1">
      <c r="A164" s="228">
        <v>316</v>
      </c>
      <c r="B164" s="229" t="s">
        <v>694</v>
      </c>
      <c r="C164" s="228">
        <v>4</v>
      </c>
      <c r="D164" s="229" t="s">
        <v>48</v>
      </c>
      <c r="E164" s="228">
        <v>45</v>
      </c>
      <c r="F164" s="229" t="s">
        <v>846</v>
      </c>
      <c r="G164" s="228">
        <v>4502</v>
      </c>
      <c r="H164" s="229" t="s">
        <v>70</v>
      </c>
      <c r="I164" s="228">
        <v>4502</v>
      </c>
      <c r="J164" s="229" t="s">
        <v>71</v>
      </c>
      <c r="K164" s="230" t="s">
        <v>852</v>
      </c>
      <c r="L164" s="228" t="s">
        <v>50</v>
      </c>
      <c r="M164" s="229" t="s">
        <v>853</v>
      </c>
      <c r="N164" s="249">
        <v>4502038</v>
      </c>
      <c r="O164" s="229" t="s">
        <v>854</v>
      </c>
      <c r="P164" s="228" t="s">
        <v>50</v>
      </c>
      <c r="Q164" s="230" t="s">
        <v>855</v>
      </c>
      <c r="R164" s="253">
        <v>450203800</v>
      </c>
      <c r="S164" s="230" t="s">
        <v>856</v>
      </c>
      <c r="T164" s="253" t="s">
        <v>58</v>
      </c>
      <c r="U164" s="253">
        <v>1</v>
      </c>
      <c r="V164" s="253"/>
      <c r="W164" s="233">
        <f t="shared" si="5"/>
        <v>1</v>
      </c>
      <c r="X164" s="255">
        <v>2021003630008</v>
      </c>
      <c r="Y164" s="229" t="s">
        <v>857</v>
      </c>
      <c r="Z164" s="229" t="s">
        <v>858</v>
      </c>
      <c r="AA164" s="234"/>
      <c r="AB164" s="234"/>
      <c r="AC164" s="234"/>
      <c r="AD164" s="234"/>
      <c r="AE164" s="234"/>
      <c r="AF164" s="234"/>
      <c r="AG164" s="234">
        <f>140000000+40000000</f>
        <v>180000000</v>
      </c>
      <c r="AH164" s="234"/>
      <c r="AI164" s="234"/>
      <c r="AJ164" s="236">
        <f t="shared" ref="AJ164:AJ217" si="6">SUM(AA164,AB164,AC164,AD164,AE164,AF164,AG164,AH164,AI164)</f>
        <v>180000000</v>
      </c>
      <c r="AK164" s="299" t="s">
        <v>702</v>
      </c>
    </row>
    <row r="165" spans="1:37" s="224" customFormat="1" ht="85.9" customHeight="1">
      <c r="A165" s="228">
        <v>316</v>
      </c>
      <c r="B165" s="229" t="s">
        <v>694</v>
      </c>
      <c r="C165" s="228">
        <v>4</v>
      </c>
      <c r="D165" s="229" t="s">
        <v>48</v>
      </c>
      <c r="E165" s="228">
        <v>45</v>
      </c>
      <c r="F165" s="229" t="s">
        <v>846</v>
      </c>
      <c r="G165" s="228">
        <v>4502</v>
      </c>
      <c r="H165" s="229" t="s">
        <v>70</v>
      </c>
      <c r="I165" s="228">
        <v>4502</v>
      </c>
      <c r="J165" s="229" t="s">
        <v>71</v>
      </c>
      <c r="K165" s="229" t="s">
        <v>852</v>
      </c>
      <c r="L165" s="228" t="s">
        <v>50</v>
      </c>
      <c r="M165" s="229" t="s">
        <v>859</v>
      </c>
      <c r="N165" s="249">
        <v>4502038</v>
      </c>
      <c r="O165" s="229" t="s">
        <v>854</v>
      </c>
      <c r="P165" s="228" t="s">
        <v>50</v>
      </c>
      <c r="Q165" s="230" t="s">
        <v>860</v>
      </c>
      <c r="R165" s="253">
        <v>450203800</v>
      </c>
      <c r="S165" s="230" t="s">
        <v>856</v>
      </c>
      <c r="T165" s="253" t="s">
        <v>58</v>
      </c>
      <c r="U165" s="253">
        <v>1</v>
      </c>
      <c r="V165" s="253"/>
      <c r="W165" s="233">
        <f t="shared" si="5"/>
        <v>1</v>
      </c>
      <c r="X165" s="255">
        <v>2021003630007</v>
      </c>
      <c r="Y165" s="229" t="s">
        <v>861</v>
      </c>
      <c r="Z165" s="229" t="s">
        <v>862</v>
      </c>
      <c r="AA165" s="234"/>
      <c r="AB165" s="234"/>
      <c r="AC165" s="234"/>
      <c r="AD165" s="234"/>
      <c r="AE165" s="234"/>
      <c r="AF165" s="234"/>
      <c r="AG165" s="234">
        <f>135000000+30000000</f>
        <v>165000000</v>
      </c>
      <c r="AH165" s="234"/>
      <c r="AI165" s="234"/>
      <c r="AJ165" s="236">
        <f t="shared" si="6"/>
        <v>165000000</v>
      </c>
      <c r="AK165" s="299" t="s">
        <v>702</v>
      </c>
    </row>
    <row r="166" spans="1:37" s="224" customFormat="1" ht="85.9" customHeight="1">
      <c r="A166" s="228">
        <v>316</v>
      </c>
      <c r="B166" s="229" t="s">
        <v>694</v>
      </c>
      <c r="C166" s="228">
        <v>4</v>
      </c>
      <c r="D166" s="229" t="s">
        <v>48</v>
      </c>
      <c r="E166" s="228">
        <v>45</v>
      </c>
      <c r="F166" s="229" t="s">
        <v>846</v>
      </c>
      <c r="G166" s="228">
        <v>4502</v>
      </c>
      <c r="H166" s="229" t="s">
        <v>70</v>
      </c>
      <c r="I166" s="228">
        <v>4502</v>
      </c>
      <c r="J166" s="229" t="s">
        <v>71</v>
      </c>
      <c r="K166" s="230" t="s">
        <v>863</v>
      </c>
      <c r="L166" s="233">
        <v>4502024</v>
      </c>
      <c r="M166" s="229" t="s">
        <v>350</v>
      </c>
      <c r="N166" s="233">
        <v>4502024</v>
      </c>
      <c r="O166" s="229" t="s">
        <v>350</v>
      </c>
      <c r="P166" s="228" t="s">
        <v>50</v>
      </c>
      <c r="Q166" s="230" t="s">
        <v>864</v>
      </c>
      <c r="R166" s="233">
        <v>450202401</v>
      </c>
      <c r="S166" s="251" t="s">
        <v>865</v>
      </c>
      <c r="T166" s="253" t="s">
        <v>58</v>
      </c>
      <c r="U166" s="253">
        <v>1</v>
      </c>
      <c r="V166" s="253"/>
      <c r="W166" s="233">
        <f t="shared" si="5"/>
        <v>1</v>
      </c>
      <c r="X166" s="255">
        <v>2020003630111</v>
      </c>
      <c r="Y166" s="229" t="s">
        <v>866</v>
      </c>
      <c r="Z166" s="229" t="s">
        <v>867</v>
      </c>
      <c r="AA166" s="234"/>
      <c r="AB166" s="234"/>
      <c r="AC166" s="234"/>
      <c r="AD166" s="234"/>
      <c r="AE166" s="234"/>
      <c r="AF166" s="234"/>
      <c r="AG166" s="234">
        <v>65000000</v>
      </c>
      <c r="AH166" s="234"/>
      <c r="AI166" s="234"/>
      <c r="AJ166" s="236">
        <f t="shared" si="6"/>
        <v>65000000</v>
      </c>
      <c r="AK166" s="299" t="s">
        <v>702</v>
      </c>
    </row>
    <row r="167" spans="1:37" s="224" customFormat="1" ht="85.9" customHeight="1">
      <c r="A167" s="228">
        <v>316</v>
      </c>
      <c r="B167" s="229" t="s">
        <v>694</v>
      </c>
      <c r="C167" s="228">
        <v>4</v>
      </c>
      <c r="D167" s="229" t="s">
        <v>48</v>
      </c>
      <c r="E167" s="228">
        <v>45</v>
      </c>
      <c r="F167" s="229" t="s">
        <v>846</v>
      </c>
      <c r="G167" s="228">
        <v>4502</v>
      </c>
      <c r="H167" s="229" t="s">
        <v>70</v>
      </c>
      <c r="I167" s="228">
        <v>4502</v>
      </c>
      <c r="J167" s="229" t="s">
        <v>71</v>
      </c>
      <c r="K167" s="304" t="s">
        <v>868</v>
      </c>
      <c r="L167" s="233">
        <v>4502024</v>
      </c>
      <c r="M167" s="229" t="s">
        <v>350</v>
      </c>
      <c r="N167" s="233">
        <v>4502024</v>
      </c>
      <c r="O167" s="229" t="s">
        <v>350</v>
      </c>
      <c r="P167" s="228" t="s">
        <v>50</v>
      </c>
      <c r="Q167" s="230" t="s">
        <v>869</v>
      </c>
      <c r="R167" s="233">
        <v>450202401</v>
      </c>
      <c r="S167" s="230" t="s">
        <v>865</v>
      </c>
      <c r="T167" s="253" t="s">
        <v>58</v>
      </c>
      <c r="U167" s="253">
        <v>1</v>
      </c>
      <c r="V167" s="253"/>
      <c r="W167" s="233">
        <f t="shared" si="5"/>
        <v>1</v>
      </c>
      <c r="X167" s="231">
        <v>2020003630112</v>
      </c>
      <c r="Y167" s="229" t="s">
        <v>870</v>
      </c>
      <c r="Z167" s="229" t="s">
        <v>871</v>
      </c>
      <c r="AA167" s="234"/>
      <c r="AB167" s="234"/>
      <c r="AC167" s="234"/>
      <c r="AD167" s="234"/>
      <c r="AE167" s="234"/>
      <c r="AF167" s="234"/>
      <c r="AG167" s="234">
        <v>75000000</v>
      </c>
      <c r="AH167" s="234"/>
      <c r="AI167" s="234"/>
      <c r="AJ167" s="236">
        <f t="shared" si="6"/>
        <v>75000000</v>
      </c>
      <c r="AK167" s="299" t="s">
        <v>702</v>
      </c>
    </row>
    <row r="168" spans="1:37" s="224" customFormat="1" ht="85.9" customHeight="1">
      <c r="A168" s="228">
        <v>318</v>
      </c>
      <c r="B168" s="229" t="s">
        <v>872</v>
      </c>
      <c r="C168" s="228">
        <v>1</v>
      </c>
      <c r="D168" s="229" t="s">
        <v>143</v>
      </c>
      <c r="E168" s="228">
        <v>19</v>
      </c>
      <c r="F168" s="229" t="s">
        <v>262</v>
      </c>
      <c r="G168" s="228">
        <v>1903</v>
      </c>
      <c r="H168" s="229" t="s">
        <v>263</v>
      </c>
      <c r="I168" s="228">
        <v>1903</v>
      </c>
      <c r="J168" s="229" t="s">
        <v>264</v>
      </c>
      <c r="K168" s="229" t="s">
        <v>873</v>
      </c>
      <c r="L168" s="228">
        <v>1903009</v>
      </c>
      <c r="M168" s="229" t="s">
        <v>874</v>
      </c>
      <c r="N168" s="228">
        <v>1903009</v>
      </c>
      <c r="O168" s="229" t="s">
        <v>875</v>
      </c>
      <c r="P168" s="253">
        <v>190300900</v>
      </c>
      <c r="Q168" s="230" t="s">
        <v>876</v>
      </c>
      <c r="R168" s="253">
        <v>190300900</v>
      </c>
      <c r="S168" s="230" t="s">
        <v>877</v>
      </c>
      <c r="T168" s="253" t="s">
        <v>152</v>
      </c>
      <c r="U168" s="253">
        <v>960</v>
      </c>
      <c r="V168" s="253"/>
      <c r="W168" s="233">
        <f t="shared" si="5"/>
        <v>960</v>
      </c>
      <c r="X168" s="231">
        <v>2020003630116</v>
      </c>
      <c r="Y168" s="229" t="s">
        <v>878</v>
      </c>
      <c r="Z168" s="229" t="s">
        <v>879</v>
      </c>
      <c r="AA168" s="234"/>
      <c r="AB168" s="234"/>
      <c r="AC168" s="234">
        <v>78000000</v>
      </c>
      <c r="AD168" s="234"/>
      <c r="AE168" s="234"/>
      <c r="AF168" s="234"/>
      <c r="AG168" s="247"/>
      <c r="AH168" s="234"/>
      <c r="AI168" s="234"/>
      <c r="AJ168" s="236">
        <f t="shared" si="6"/>
        <v>78000000</v>
      </c>
      <c r="AK168" s="299" t="s">
        <v>880</v>
      </c>
    </row>
    <row r="169" spans="1:37" s="224" customFormat="1" ht="85.9" customHeight="1">
      <c r="A169" s="228">
        <v>318</v>
      </c>
      <c r="B169" s="229" t="s">
        <v>872</v>
      </c>
      <c r="C169" s="228">
        <v>1</v>
      </c>
      <c r="D169" s="229" t="s">
        <v>143</v>
      </c>
      <c r="E169" s="228">
        <v>19</v>
      </c>
      <c r="F169" s="229" t="s">
        <v>262</v>
      </c>
      <c r="G169" s="228">
        <v>1903</v>
      </c>
      <c r="H169" s="229" t="s">
        <v>263</v>
      </c>
      <c r="I169" s="228">
        <v>1903</v>
      </c>
      <c r="J169" s="229" t="s">
        <v>264</v>
      </c>
      <c r="K169" s="229" t="s">
        <v>873</v>
      </c>
      <c r="L169" s="228">
        <v>1903050</v>
      </c>
      <c r="M169" s="229" t="s">
        <v>881</v>
      </c>
      <c r="N169" s="228">
        <v>1903050</v>
      </c>
      <c r="O169" s="229" t="s">
        <v>881</v>
      </c>
      <c r="P169" s="253">
        <v>190305000</v>
      </c>
      <c r="Q169" s="230" t="s">
        <v>882</v>
      </c>
      <c r="R169" s="253">
        <v>190305000</v>
      </c>
      <c r="S169" s="230" t="s">
        <v>883</v>
      </c>
      <c r="T169" s="253" t="s">
        <v>58</v>
      </c>
      <c r="U169" s="253">
        <v>12</v>
      </c>
      <c r="V169" s="253"/>
      <c r="W169" s="233">
        <f t="shared" si="5"/>
        <v>12</v>
      </c>
      <c r="X169" s="231">
        <v>2020003630116</v>
      </c>
      <c r="Y169" s="229" t="s">
        <v>878</v>
      </c>
      <c r="Z169" s="229" t="s">
        <v>879</v>
      </c>
      <c r="AA169" s="234"/>
      <c r="AB169" s="234"/>
      <c r="AC169" s="234">
        <v>48000000</v>
      </c>
      <c r="AD169" s="234"/>
      <c r="AE169" s="234"/>
      <c r="AF169" s="234"/>
      <c r="AG169" s="247"/>
      <c r="AH169" s="234"/>
      <c r="AI169" s="234"/>
      <c r="AJ169" s="236">
        <f t="shared" si="6"/>
        <v>48000000</v>
      </c>
      <c r="AK169" s="299" t="s">
        <v>880</v>
      </c>
    </row>
    <row r="170" spans="1:37" s="224" customFormat="1" ht="85.9" customHeight="1">
      <c r="A170" s="228">
        <v>318</v>
      </c>
      <c r="B170" s="229" t="s">
        <v>872</v>
      </c>
      <c r="C170" s="228">
        <v>1</v>
      </c>
      <c r="D170" s="229" t="s">
        <v>143</v>
      </c>
      <c r="E170" s="228">
        <v>19</v>
      </c>
      <c r="F170" s="229" t="s">
        <v>262</v>
      </c>
      <c r="G170" s="228">
        <v>1903</v>
      </c>
      <c r="H170" s="229" t="s">
        <v>263</v>
      </c>
      <c r="I170" s="228">
        <v>1903</v>
      </c>
      <c r="J170" s="229" t="s">
        <v>264</v>
      </c>
      <c r="K170" s="229" t="s">
        <v>884</v>
      </c>
      <c r="L170" s="228">
        <v>1903031</v>
      </c>
      <c r="M170" s="229" t="s">
        <v>885</v>
      </c>
      <c r="N170" s="228">
        <v>1903031</v>
      </c>
      <c r="O170" s="229" t="s">
        <v>885</v>
      </c>
      <c r="P170" s="253">
        <v>190303100</v>
      </c>
      <c r="Q170" s="230" t="s">
        <v>886</v>
      </c>
      <c r="R170" s="253">
        <v>190303100</v>
      </c>
      <c r="S170" s="230" t="s">
        <v>886</v>
      </c>
      <c r="T170" s="253" t="s">
        <v>58</v>
      </c>
      <c r="U170" s="253">
        <v>12</v>
      </c>
      <c r="V170" s="253"/>
      <c r="W170" s="233">
        <f t="shared" si="5"/>
        <v>12</v>
      </c>
      <c r="X170" s="231">
        <v>2020003630116</v>
      </c>
      <c r="Y170" s="229" t="s">
        <v>878</v>
      </c>
      <c r="Z170" s="229" t="s">
        <v>879</v>
      </c>
      <c r="AA170" s="234"/>
      <c r="AB170" s="234"/>
      <c r="AC170" s="234">
        <v>76800000</v>
      </c>
      <c r="AD170" s="234"/>
      <c r="AE170" s="234"/>
      <c r="AF170" s="234"/>
      <c r="AG170" s="247"/>
      <c r="AH170" s="234"/>
      <c r="AI170" s="234"/>
      <c r="AJ170" s="236">
        <f t="shared" si="6"/>
        <v>76800000</v>
      </c>
      <c r="AK170" s="299" t="s">
        <v>880</v>
      </c>
    </row>
    <row r="171" spans="1:37" s="224" customFormat="1" ht="85.9" customHeight="1">
      <c r="A171" s="228">
        <v>318</v>
      </c>
      <c r="B171" s="229" t="s">
        <v>872</v>
      </c>
      <c r="C171" s="228">
        <v>1</v>
      </c>
      <c r="D171" s="229" t="s">
        <v>143</v>
      </c>
      <c r="E171" s="228">
        <v>19</v>
      </c>
      <c r="F171" s="229" t="s">
        <v>262</v>
      </c>
      <c r="G171" s="228">
        <v>1903</v>
      </c>
      <c r="H171" s="229" t="s">
        <v>263</v>
      </c>
      <c r="I171" s="228">
        <v>1903</v>
      </c>
      <c r="J171" s="229" t="s">
        <v>264</v>
      </c>
      <c r="K171" s="229" t="s">
        <v>887</v>
      </c>
      <c r="L171" s="228">
        <v>1903023</v>
      </c>
      <c r="M171" s="229" t="s">
        <v>888</v>
      </c>
      <c r="N171" s="228">
        <v>1903023</v>
      </c>
      <c r="O171" s="229" t="s">
        <v>888</v>
      </c>
      <c r="P171" s="253">
        <v>190302300</v>
      </c>
      <c r="Q171" s="230" t="s">
        <v>889</v>
      </c>
      <c r="R171" s="253">
        <v>190302300</v>
      </c>
      <c r="S171" s="230" t="s">
        <v>889</v>
      </c>
      <c r="T171" s="253" t="s">
        <v>58</v>
      </c>
      <c r="U171" s="253">
        <v>12</v>
      </c>
      <c r="V171" s="253"/>
      <c r="W171" s="233">
        <f t="shared" si="5"/>
        <v>12</v>
      </c>
      <c r="X171" s="231">
        <v>2020003630116</v>
      </c>
      <c r="Y171" s="229" t="s">
        <v>878</v>
      </c>
      <c r="Z171" s="229" t="s">
        <v>879</v>
      </c>
      <c r="AA171" s="234"/>
      <c r="AB171" s="234"/>
      <c r="AC171" s="234">
        <v>20000000</v>
      </c>
      <c r="AD171" s="234"/>
      <c r="AE171" s="234"/>
      <c r="AF171" s="234"/>
      <c r="AG171" s="234"/>
      <c r="AH171" s="234"/>
      <c r="AI171" s="234"/>
      <c r="AJ171" s="236">
        <f t="shared" si="6"/>
        <v>20000000</v>
      </c>
      <c r="AK171" s="299" t="s">
        <v>880</v>
      </c>
    </row>
    <row r="172" spans="1:37" s="224" customFormat="1" ht="85.9" customHeight="1">
      <c r="A172" s="228">
        <v>318</v>
      </c>
      <c r="B172" s="229" t="s">
        <v>872</v>
      </c>
      <c r="C172" s="228">
        <v>1</v>
      </c>
      <c r="D172" s="229" t="s">
        <v>143</v>
      </c>
      <c r="E172" s="228">
        <v>19</v>
      </c>
      <c r="F172" s="229" t="s">
        <v>262</v>
      </c>
      <c r="G172" s="228">
        <v>1903</v>
      </c>
      <c r="H172" s="229" t="s">
        <v>263</v>
      </c>
      <c r="I172" s="228">
        <v>1903</v>
      </c>
      <c r="J172" s="229" t="s">
        <v>264</v>
      </c>
      <c r="K172" s="229" t="s">
        <v>890</v>
      </c>
      <c r="L172" s="228" t="s">
        <v>50</v>
      </c>
      <c r="M172" s="229" t="s">
        <v>891</v>
      </c>
      <c r="N172" s="228">
        <v>1903050</v>
      </c>
      <c r="O172" s="229" t="s">
        <v>892</v>
      </c>
      <c r="P172" s="228" t="s">
        <v>50</v>
      </c>
      <c r="Q172" s="230" t="s">
        <v>882</v>
      </c>
      <c r="R172" s="253">
        <v>190302300</v>
      </c>
      <c r="S172" s="230" t="s">
        <v>893</v>
      </c>
      <c r="T172" s="253" t="s">
        <v>58</v>
      </c>
      <c r="U172" s="253">
        <v>12</v>
      </c>
      <c r="V172" s="253"/>
      <c r="W172" s="233">
        <f t="shared" si="5"/>
        <v>12</v>
      </c>
      <c r="X172" s="231">
        <v>2020003630116</v>
      </c>
      <c r="Y172" s="229" t="s">
        <v>878</v>
      </c>
      <c r="Z172" s="229" t="s">
        <v>879</v>
      </c>
      <c r="AA172" s="234"/>
      <c r="AB172" s="234"/>
      <c r="AC172" s="234">
        <v>20000000</v>
      </c>
      <c r="AD172" s="234"/>
      <c r="AE172" s="234"/>
      <c r="AF172" s="234"/>
      <c r="AG172" s="234"/>
      <c r="AH172" s="234"/>
      <c r="AI172" s="234"/>
      <c r="AJ172" s="236">
        <f t="shared" si="6"/>
        <v>20000000</v>
      </c>
      <c r="AK172" s="299" t="s">
        <v>880</v>
      </c>
    </row>
    <row r="173" spans="1:37" s="224" customFormat="1" ht="85.9" customHeight="1">
      <c r="A173" s="228">
        <v>318</v>
      </c>
      <c r="B173" s="229" t="s">
        <v>872</v>
      </c>
      <c r="C173" s="228">
        <v>1</v>
      </c>
      <c r="D173" s="229" t="s">
        <v>143</v>
      </c>
      <c r="E173" s="228">
        <v>19</v>
      </c>
      <c r="F173" s="229" t="s">
        <v>262</v>
      </c>
      <c r="G173" s="228">
        <v>1903</v>
      </c>
      <c r="H173" s="229" t="s">
        <v>263</v>
      </c>
      <c r="I173" s="228">
        <v>1903</v>
      </c>
      <c r="J173" s="229" t="s">
        <v>264</v>
      </c>
      <c r="K173" s="229" t="s">
        <v>873</v>
      </c>
      <c r="L173" s="228" t="s">
        <v>50</v>
      </c>
      <c r="M173" s="229" t="s">
        <v>894</v>
      </c>
      <c r="N173" s="228">
        <v>1903038</v>
      </c>
      <c r="O173" s="229" t="s">
        <v>895</v>
      </c>
      <c r="P173" s="228" t="s">
        <v>50</v>
      </c>
      <c r="Q173" s="230" t="s">
        <v>896</v>
      </c>
      <c r="R173" s="228">
        <v>190303801</v>
      </c>
      <c r="S173" s="230" t="s">
        <v>897</v>
      </c>
      <c r="T173" s="253" t="s">
        <v>58</v>
      </c>
      <c r="U173" s="228">
        <v>1</v>
      </c>
      <c r="V173" s="228"/>
      <c r="W173" s="233">
        <f t="shared" si="5"/>
        <v>1</v>
      </c>
      <c r="X173" s="231">
        <v>2020003630116</v>
      </c>
      <c r="Y173" s="229" t="s">
        <v>878</v>
      </c>
      <c r="Z173" s="229" t="s">
        <v>879</v>
      </c>
      <c r="AA173" s="234"/>
      <c r="AB173" s="234"/>
      <c r="AC173" s="234"/>
      <c r="AD173" s="234"/>
      <c r="AE173" s="234"/>
      <c r="AF173" s="234"/>
      <c r="AG173" s="234"/>
      <c r="AH173" s="234">
        <f>301000000+747899508.2</f>
        <v>1048899508.2</v>
      </c>
      <c r="AI173" s="234"/>
      <c r="AJ173" s="236">
        <f t="shared" si="6"/>
        <v>1048899508.2</v>
      </c>
      <c r="AK173" s="299" t="s">
        <v>880</v>
      </c>
    </row>
    <row r="174" spans="1:37" s="224" customFormat="1" ht="85.9" customHeight="1">
      <c r="A174" s="228">
        <v>318</v>
      </c>
      <c r="B174" s="229" t="s">
        <v>872</v>
      </c>
      <c r="C174" s="228">
        <v>1</v>
      </c>
      <c r="D174" s="229" t="s">
        <v>143</v>
      </c>
      <c r="E174" s="228">
        <v>19</v>
      </c>
      <c r="F174" s="229" t="s">
        <v>262</v>
      </c>
      <c r="G174" s="228">
        <v>1903</v>
      </c>
      <c r="H174" s="229" t="s">
        <v>263</v>
      </c>
      <c r="I174" s="228">
        <v>1903</v>
      </c>
      <c r="J174" s="229" t="s">
        <v>264</v>
      </c>
      <c r="K174" s="229" t="s">
        <v>898</v>
      </c>
      <c r="L174" s="228">
        <v>1903038</v>
      </c>
      <c r="M174" s="229" t="s">
        <v>895</v>
      </c>
      <c r="N174" s="228">
        <v>1903038</v>
      </c>
      <c r="O174" s="229" t="s">
        <v>895</v>
      </c>
      <c r="P174" s="253">
        <v>190303801</v>
      </c>
      <c r="Q174" s="251" t="s">
        <v>899</v>
      </c>
      <c r="R174" s="253">
        <v>190303801</v>
      </c>
      <c r="S174" s="230" t="s">
        <v>899</v>
      </c>
      <c r="T174" s="253" t="s">
        <v>58</v>
      </c>
      <c r="U174" s="253">
        <v>11</v>
      </c>
      <c r="V174" s="253"/>
      <c r="W174" s="233">
        <f t="shared" si="5"/>
        <v>11</v>
      </c>
      <c r="X174" s="231">
        <v>2020003630116</v>
      </c>
      <c r="Y174" s="229" t="s">
        <v>878</v>
      </c>
      <c r="Z174" s="229" t="s">
        <v>879</v>
      </c>
      <c r="AA174" s="234"/>
      <c r="AB174" s="234"/>
      <c r="AC174" s="234">
        <v>36000000</v>
      </c>
      <c r="AD174" s="234"/>
      <c r="AE174" s="234"/>
      <c r="AF174" s="234"/>
      <c r="AG174" s="234"/>
      <c r="AH174" s="234"/>
      <c r="AI174" s="234"/>
      <c r="AJ174" s="236">
        <f t="shared" si="6"/>
        <v>36000000</v>
      </c>
      <c r="AK174" s="299" t="s">
        <v>880</v>
      </c>
    </row>
    <row r="175" spans="1:37" s="224" customFormat="1" ht="85.9" customHeight="1">
      <c r="A175" s="228">
        <v>318</v>
      </c>
      <c r="B175" s="229" t="s">
        <v>872</v>
      </c>
      <c r="C175" s="228">
        <v>1</v>
      </c>
      <c r="D175" s="229" t="s">
        <v>143</v>
      </c>
      <c r="E175" s="228">
        <v>19</v>
      </c>
      <c r="F175" s="229" t="s">
        <v>262</v>
      </c>
      <c r="G175" s="228">
        <v>1903</v>
      </c>
      <c r="H175" s="251" t="s">
        <v>263</v>
      </c>
      <c r="I175" s="228">
        <v>1903</v>
      </c>
      <c r="J175" s="251" t="s">
        <v>264</v>
      </c>
      <c r="K175" s="229" t="s">
        <v>884</v>
      </c>
      <c r="L175" s="228">
        <v>1903027</v>
      </c>
      <c r="M175" s="229" t="s">
        <v>900</v>
      </c>
      <c r="N175" s="228">
        <v>1903027</v>
      </c>
      <c r="O175" s="229" t="s">
        <v>900</v>
      </c>
      <c r="P175" s="253">
        <v>190302700</v>
      </c>
      <c r="Q175" s="230" t="s">
        <v>901</v>
      </c>
      <c r="R175" s="253">
        <v>190302700</v>
      </c>
      <c r="S175" s="230" t="s">
        <v>901</v>
      </c>
      <c r="T175" s="253" t="s">
        <v>58</v>
      </c>
      <c r="U175" s="253">
        <v>5</v>
      </c>
      <c r="V175" s="253"/>
      <c r="W175" s="233">
        <f t="shared" si="5"/>
        <v>5</v>
      </c>
      <c r="X175" s="231">
        <v>2020003630116</v>
      </c>
      <c r="Y175" s="229" t="s">
        <v>878</v>
      </c>
      <c r="Z175" s="229" t="s">
        <v>879</v>
      </c>
      <c r="AA175" s="234"/>
      <c r="AB175" s="234"/>
      <c r="AC175" s="234">
        <v>23000000</v>
      </c>
      <c r="AD175" s="234"/>
      <c r="AE175" s="234"/>
      <c r="AF175" s="234"/>
      <c r="AG175" s="234"/>
      <c r="AH175" s="234"/>
      <c r="AI175" s="234"/>
      <c r="AJ175" s="236">
        <f t="shared" si="6"/>
        <v>23000000</v>
      </c>
      <c r="AK175" s="299" t="s">
        <v>880</v>
      </c>
    </row>
    <row r="176" spans="1:37" s="224" customFormat="1" ht="85.9" customHeight="1">
      <c r="A176" s="228">
        <v>318</v>
      </c>
      <c r="B176" s="229" t="s">
        <v>872</v>
      </c>
      <c r="C176" s="228">
        <v>1</v>
      </c>
      <c r="D176" s="229" t="s">
        <v>143</v>
      </c>
      <c r="E176" s="228">
        <v>19</v>
      </c>
      <c r="F176" s="229" t="s">
        <v>262</v>
      </c>
      <c r="G176" s="228">
        <v>1903</v>
      </c>
      <c r="H176" s="229" t="s">
        <v>263</v>
      </c>
      <c r="I176" s="228">
        <v>1903</v>
      </c>
      <c r="J176" s="229" t="s">
        <v>264</v>
      </c>
      <c r="K176" s="230" t="s">
        <v>902</v>
      </c>
      <c r="L176" s="228">
        <v>1903011</v>
      </c>
      <c r="M176" s="229" t="s">
        <v>903</v>
      </c>
      <c r="N176" s="228">
        <v>1903011</v>
      </c>
      <c r="O176" s="229" t="s">
        <v>903</v>
      </c>
      <c r="P176" s="253">
        <v>190301100</v>
      </c>
      <c r="Q176" s="230" t="s">
        <v>904</v>
      </c>
      <c r="R176" s="253">
        <v>190301100</v>
      </c>
      <c r="S176" s="230" t="s">
        <v>905</v>
      </c>
      <c r="T176" s="253" t="s">
        <v>58</v>
      </c>
      <c r="U176" s="253">
        <v>140</v>
      </c>
      <c r="V176" s="253"/>
      <c r="W176" s="233">
        <f t="shared" si="5"/>
        <v>140</v>
      </c>
      <c r="X176" s="231">
        <v>2020003630116</v>
      </c>
      <c r="Y176" s="229" t="s">
        <v>878</v>
      </c>
      <c r="Z176" s="229" t="s">
        <v>879</v>
      </c>
      <c r="AA176" s="234"/>
      <c r="AB176" s="234"/>
      <c r="AC176" s="234">
        <v>48000000</v>
      </c>
      <c r="AD176" s="234"/>
      <c r="AE176" s="234"/>
      <c r="AF176" s="234"/>
      <c r="AG176" s="234"/>
      <c r="AH176" s="234"/>
      <c r="AI176" s="234"/>
      <c r="AJ176" s="236">
        <f t="shared" si="6"/>
        <v>48000000</v>
      </c>
      <c r="AK176" s="299" t="s">
        <v>880</v>
      </c>
    </row>
    <row r="177" spans="1:45" s="224" customFormat="1" ht="85.9" customHeight="1">
      <c r="A177" s="228">
        <v>318</v>
      </c>
      <c r="B177" s="229" t="s">
        <v>872</v>
      </c>
      <c r="C177" s="228">
        <v>1</v>
      </c>
      <c r="D177" s="229" t="s">
        <v>143</v>
      </c>
      <c r="E177" s="228">
        <v>19</v>
      </c>
      <c r="F177" s="229" t="s">
        <v>262</v>
      </c>
      <c r="G177" s="228">
        <v>1903</v>
      </c>
      <c r="H177" s="229" t="s">
        <v>263</v>
      </c>
      <c r="I177" s="228">
        <v>1903</v>
      </c>
      <c r="J177" s="229" t="s">
        <v>264</v>
      </c>
      <c r="K177" s="229" t="s">
        <v>906</v>
      </c>
      <c r="L177" s="228">
        <v>1903001</v>
      </c>
      <c r="M177" s="229" t="s">
        <v>89</v>
      </c>
      <c r="N177" s="228">
        <v>1903001</v>
      </c>
      <c r="O177" s="229" t="s">
        <v>89</v>
      </c>
      <c r="P177" s="253">
        <v>190300100</v>
      </c>
      <c r="Q177" s="230" t="s">
        <v>907</v>
      </c>
      <c r="R177" s="253">
        <v>190300100</v>
      </c>
      <c r="S177" s="230" t="s">
        <v>907</v>
      </c>
      <c r="T177" s="253" t="s">
        <v>58</v>
      </c>
      <c r="U177" s="253">
        <v>2</v>
      </c>
      <c r="V177" s="253"/>
      <c r="W177" s="233">
        <f t="shared" si="5"/>
        <v>2</v>
      </c>
      <c r="X177" s="231">
        <v>2020003630117</v>
      </c>
      <c r="Y177" s="229" t="s">
        <v>908</v>
      </c>
      <c r="Z177" s="229" t="s">
        <v>909</v>
      </c>
      <c r="AA177" s="234"/>
      <c r="AB177" s="234"/>
      <c r="AC177" s="234">
        <v>108000000</v>
      </c>
      <c r="AD177" s="234"/>
      <c r="AE177" s="234"/>
      <c r="AF177" s="234"/>
      <c r="AG177" s="247"/>
      <c r="AH177" s="234"/>
      <c r="AI177" s="234"/>
      <c r="AJ177" s="236">
        <f t="shared" si="6"/>
        <v>108000000</v>
      </c>
      <c r="AK177" s="299" t="s">
        <v>880</v>
      </c>
    </row>
    <row r="178" spans="1:45" s="224" customFormat="1" ht="85.9" customHeight="1">
      <c r="A178" s="228">
        <v>318</v>
      </c>
      <c r="B178" s="229" t="s">
        <v>872</v>
      </c>
      <c r="C178" s="228">
        <v>1</v>
      </c>
      <c r="D178" s="229" t="s">
        <v>143</v>
      </c>
      <c r="E178" s="228">
        <v>19</v>
      </c>
      <c r="F178" s="229" t="s">
        <v>262</v>
      </c>
      <c r="G178" s="228">
        <v>1903</v>
      </c>
      <c r="H178" s="229" t="s">
        <v>263</v>
      </c>
      <c r="I178" s="228">
        <v>1903</v>
      </c>
      <c r="J178" s="229" t="s">
        <v>264</v>
      </c>
      <c r="K178" s="229" t="s">
        <v>910</v>
      </c>
      <c r="L178" s="228">
        <v>1903012</v>
      </c>
      <c r="M178" s="229" t="s">
        <v>911</v>
      </c>
      <c r="N178" s="228">
        <v>1903012</v>
      </c>
      <c r="O178" s="229" t="s">
        <v>911</v>
      </c>
      <c r="P178" s="253">
        <v>190301200</v>
      </c>
      <c r="Q178" s="251" t="s">
        <v>912</v>
      </c>
      <c r="R178" s="253">
        <v>190301200</v>
      </c>
      <c r="S178" s="230" t="s">
        <v>912</v>
      </c>
      <c r="T178" s="253" t="s">
        <v>58</v>
      </c>
      <c r="U178" s="253">
        <v>4000</v>
      </c>
      <c r="V178" s="253"/>
      <c r="W178" s="233">
        <f t="shared" si="5"/>
        <v>4000</v>
      </c>
      <c r="X178" s="231">
        <v>2020003630118</v>
      </c>
      <c r="Y178" s="229" t="s">
        <v>913</v>
      </c>
      <c r="Z178" s="229" t="s">
        <v>914</v>
      </c>
      <c r="AA178" s="234"/>
      <c r="AB178" s="234"/>
      <c r="AC178" s="234">
        <v>793600000</v>
      </c>
      <c r="AD178" s="234"/>
      <c r="AE178" s="234"/>
      <c r="AF178" s="234"/>
      <c r="AG178" s="247">
        <v>295214717.06</v>
      </c>
      <c r="AH178" s="234"/>
      <c r="AI178" s="247"/>
      <c r="AJ178" s="236">
        <f t="shared" si="6"/>
        <v>1088814717.0599999</v>
      </c>
      <c r="AK178" s="299" t="s">
        <v>880</v>
      </c>
    </row>
    <row r="179" spans="1:45" s="224" customFormat="1" ht="85.9" customHeight="1">
      <c r="A179" s="228">
        <v>318</v>
      </c>
      <c r="B179" s="229" t="s">
        <v>872</v>
      </c>
      <c r="C179" s="228">
        <v>1</v>
      </c>
      <c r="D179" s="229" t="s">
        <v>143</v>
      </c>
      <c r="E179" s="228">
        <v>19</v>
      </c>
      <c r="F179" s="229" t="s">
        <v>262</v>
      </c>
      <c r="G179" s="228">
        <v>1903</v>
      </c>
      <c r="H179" s="229" t="s">
        <v>263</v>
      </c>
      <c r="I179" s="228">
        <v>1903</v>
      </c>
      <c r="J179" s="229" t="s">
        <v>264</v>
      </c>
      <c r="K179" s="229" t="s">
        <v>915</v>
      </c>
      <c r="L179" s="228">
        <v>1903016</v>
      </c>
      <c r="M179" s="229" t="s">
        <v>916</v>
      </c>
      <c r="N179" s="228">
        <v>1903016</v>
      </c>
      <c r="O179" s="229" t="s">
        <v>916</v>
      </c>
      <c r="P179" s="253">
        <v>190301600</v>
      </c>
      <c r="Q179" s="230" t="s">
        <v>917</v>
      </c>
      <c r="R179" s="253">
        <v>190301600</v>
      </c>
      <c r="S179" s="230" t="s">
        <v>917</v>
      </c>
      <c r="T179" s="253" t="s">
        <v>58</v>
      </c>
      <c r="U179" s="253">
        <v>240</v>
      </c>
      <c r="V179" s="253"/>
      <c r="W179" s="233">
        <f t="shared" si="5"/>
        <v>240</v>
      </c>
      <c r="X179" s="231">
        <v>2020003630118</v>
      </c>
      <c r="Y179" s="229" t="s">
        <v>913</v>
      </c>
      <c r="Z179" s="229" t="s">
        <v>914</v>
      </c>
      <c r="AA179" s="234"/>
      <c r="AB179" s="234"/>
      <c r="AC179" s="234">
        <v>112800000</v>
      </c>
      <c r="AD179" s="234"/>
      <c r="AE179" s="234"/>
      <c r="AF179" s="234"/>
      <c r="AG179" s="247"/>
      <c r="AH179" s="234"/>
      <c r="AI179" s="234"/>
      <c r="AJ179" s="236">
        <f t="shared" si="6"/>
        <v>112800000</v>
      </c>
      <c r="AK179" s="299" t="s">
        <v>880</v>
      </c>
    </row>
    <row r="180" spans="1:45" s="224" customFormat="1" ht="85.9" customHeight="1">
      <c r="A180" s="228">
        <v>318</v>
      </c>
      <c r="B180" s="229" t="s">
        <v>872</v>
      </c>
      <c r="C180" s="228">
        <v>1</v>
      </c>
      <c r="D180" s="229" t="s">
        <v>143</v>
      </c>
      <c r="E180" s="228">
        <v>19</v>
      </c>
      <c r="F180" s="229" t="s">
        <v>262</v>
      </c>
      <c r="G180" s="228">
        <v>1903</v>
      </c>
      <c r="H180" s="251" t="s">
        <v>263</v>
      </c>
      <c r="I180" s="228">
        <v>1903</v>
      </c>
      <c r="J180" s="229" t="s">
        <v>264</v>
      </c>
      <c r="K180" s="229" t="s">
        <v>918</v>
      </c>
      <c r="L180" s="228">
        <v>1903011</v>
      </c>
      <c r="M180" s="229" t="s">
        <v>903</v>
      </c>
      <c r="N180" s="228">
        <v>1903011</v>
      </c>
      <c r="O180" s="229" t="s">
        <v>903</v>
      </c>
      <c r="P180" s="253">
        <v>190301101</v>
      </c>
      <c r="Q180" s="229" t="s">
        <v>919</v>
      </c>
      <c r="R180" s="253">
        <v>190301101</v>
      </c>
      <c r="S180" s="230" t="s">
        <v>919</v>
      </c>
      <c r="T180" s="253" t="s">
        <v>58</v>
      </c>
      <c r="U180" s="253">
        <v>12</v>
      </c>
      <c r="V180" s="253"/>
      <c r="W180" s="233">
        <f t="shared" si="5"/>
        <v>12</v>
      </c>
      <c r="X180" s="231">
        <v>2020003630118</v>
      </c>
      <c r="Y180" s="229" t="s">
        <v>913</v>
      </c>
      <c r="Z180" s="229" t="s">
        <v>914</v>
      </c>
      <c r="AA180" s="234"/>
      <c r="AB180" s="234"/>
      <c r="AC180" s="234">
        <v>132000000</v>
      </c>
      <c r="AD180" s="234"/>
      <c r="AE180" s="234"/>
      <c r="AF180" s="234"/>
      <c r="AG180" s="247"/>
      <c r="AH180" s="234"/>
      <c r="AI180" s="234"/>
      <c r="AJ180" s="236">
        <f t="shared" si="6"/>
        <v>132000000</v>
      </c>
      <c r="AK180" s="299" t="s">
        <v>880</v>
      </c>
    </row>
    <row r="181" spans="1:45" s="224" customFormat="1" ht="85.9" customHeight="1">
      <c r="A181" s="228">
        <v>318</v>
      </c>
      <c r="B181" s="229" t="s">
        <v>872</v>
      </c>
      <c r="C181" s="228">
        <v>1</v>
      </c>
      <c r="D181" s="229" t="s">
        <v>143</v>
      </c>
      <c r="E181" s="228">
        <v>19</v>
      </c>
      <c r="F181" s="229" t="s">
        <v>262</v>
      </c>
      <c r="G181" s="228">
        <v>1903</v>
      </c>
      <c r="H181" s="229" t="s">
        <v>263</v>
      </c>
      <c r="I181" s="228">
        <v>1903</v>
      </c>
      <c r="J181" s="229" t="s">
        <v>264</v>
      </c>
      <c r="K181" s="229" t="s">
        <v>918</v>
      </c>
      <c r="L181" s="228">
        <v>1903034</v>
      </c>
      <c r="M181" s="229" t="s">
        <v>107</v>
      </c>
      <c r="N181" s="228">
        <v>1903034</v>
      </c>
      <c r="O181" s="229" t="s">
        <v>107</v>
      </c>
      <c r="P181" s="253">
        <v>190303400</v>
      </c>
      <c r="Q181" s="230" t="s">
        <v>920</v>
      </c>
      <c r="R181" s="253">
        <v>190303400</v>
      </c>
      <c r="S181" s="230" t="s">
        <v>920</v>
      </c>
      <c r="T181" s="253" t="s">
        <v>58</v>
      </c>
      <c r="U181" s="253">
        <v>12</v>
      </c>
      <c r="V181" s="253"/>
      <c r="W181" s="233">
        <f t="shared" si="5"/>
        <v>12</v>
      </c>
      <c r="X181" s="231">
        <v>2020003630119</v>
      </c>
      <c r="Y181" s="229" t="s">
        <v>921</v>
      </c>
      <c r="Z181" s="229" t="s">
        <v>922</v>
      </c>
      <c r="AA181" s="234"/>
      <c r="AB181" s="234"/>
      <c r="AC181" s="234"/>
      <c r="AD181" s="234"/>
      <c r="AE181" s="234"/>
      <c r="AF181" s="234"/>
      <c r="AG181" s="247">
        <v>100000000</v>
      </c>
      <c r="AH181" s="234"/>
      <c r="AI181" s="234"/>
      <c r="AJ181" s="236">
        <f t="shared" si="6"/>
        <v>100000000</v>
      </c>
      <c r="AK181" s="299" t="s">
        <v>880</v>
      </c>
    </row>
    <row r="182" spans="1:45" s="224" customFormat="1" ht="85.9" customHeight="1">
      <c r="A182" s="228">
        <v>318</v>
      </c>
      <c r="B182" s="229" t="s">
        <v>872</v>
      </c>
      <c r="C182" s="228">
        <v>1</v>
      </c>
      <c r="D182" s="229" t="s">
        <v>143</v>
      </c>
      <c r="E182" s="228">
        <v>19</v>
      </c>
      <c r="F182" s="229" t="s">
        <v>262</v>
      </c>
      <c r="G182" s="228">
        <v>1903</v>
      </c>
      <c r="H182" s="229" t="s">
        <v>263</v>
      </c>
      <c r="I182" s="228">
        <v>1903</v>
      </c>
      <c r="J182" s="229" t="s">
        <v>264</v>
      </c>
      <c r="K182" s="229" t="s">
        <v>923</v>
      </c>
      <c r="L182" s="228">
        <v>1903045</v>
      </c>
      <c r="M182" s="229" t="s">
        <v>924</v>
      </c>
      <c r="N182" s="228">
        <v>1903045</v>
      </c>
      <c r="O182" s="229" t="s">
        <v>924</v>
      </c>
      <c r="P182" s="253">
        <v>190304500</v>
      </c>
      <c r="Q182" s="230" t="s">
        <v>925</v>
      </c>
      <c r="R182" s="253">
        <v>190304500</v>
      </c>
      <c r="S182" s="230" t="s">
        <v>925</v>
      </c>
      <c r="T182" s="253" t="s">
        <v>152</v>
      </c>
      <c r="U182" s="253">
        <v>1058</v>
      </c>
      <c r="V182" s="253"/>
      <c r="W182" s="233">
        <f t="shared" si="5"/>
        <v>1058</v>
      </c>
      <c r="X182" s="231">
        <v>2020003630120</v>
      </c>
      <c r="Y182" s="229" t="s">
        <v>926</v>
      </c>
      <c r="Z182" s="229" t="s">
        <v>927</v>
      </c>
      <c r="AA182" s="234"/>
      <c r="AB182" s="234"/>
      <c r="AC182" s="234"/>
      <c r="AD182" s="234"/>
      <c r="AE182" s="234"/>
      <c r="AF182" s="234"/>
      <c r="AG182" s="247">
        <v>150000000</v>
      </c>
      <c r="AH182" s="234"/>
      <c r="AI182" s="234"/>
      <c r="AJ182" s="236">
        <f t="shared" si="6"/>
        <v>150000000</v>
      </c>
      <c r="AK182" s="299" t="s">
        <v>880</v>
      </c>
    </row>
    <row r="183" spans="1:45" s="305" customFormat="1" ht="85.9" customHeight="1">
      <c r="A183" s="228">
        <v>318</v>
      </c>
      <c r="B183" s="229" t="s">
        <v>872</v>
      </c>
      <c r="C183" s="228">
        <v>1</v>
      </c>
      <c r="D183" s="229" t="s">
        <v>143</v>
      </c>
      <c r="E183" s="228">
        <v>19</v>
      </c>
      <c r="F183" s="229" t="s">
        <v>262</v>
      </c>
      <c r="G183" s="228">
        <v>1903</v>
      </c>
      <c r="H183" s="229" t="s">
        <v>263</v>
      </c>
      <c r="I183" s="228">
        <v>1903</v>
      </c>
      <c r="J183" s="229" t="s">
        <v>264</v>
      </c>
      <c r="K183" s="229" t="s">
        <v>928</v>
      </c>
      <c r="L183" s="228">
        <v>1903028</v>
      </c>
      <c r="M183" s="229" t="s">
        <v>929</v>
      </c>
      <c r="N183" s="228">
        <v>1903028</v>
      </c>
      <c r="O183" s="229" t="s">
        <v>929</v>
      </c>
      <c r="P183" s="253">
        <v>190302800</v>
      </c>
      <c r="Q183" s="230" t="s">
        <v>930</v>
      </c>
      <c r="R183" s="253">
        <v>190302800</v>
      </c>
      <c r="S183" s="230" t="s">
        <v>930</v>
      </c>
      <c r="T183" s="253" t="s">
        <v>58</v>
      </c>
      <c r="U183" s="253">
        <v>250</v>
      </c>
      <c r="V183" s="253"/>
      <c r="W183" s="233">
        <f t="shared" si="5"/>
        <v>250</v>
      </c>
      <c r="X183" s="231">
        <v>2020003630121</v>
      </c>
      <c r="Y183" s="229" t="s">
        <v>931</v>
      </c>
      <c r="Z183" s="229" t="s">
        <v>932</v>
      </c>
      <c r="AA183" s="234"/>
      <c r="AB183" s="234"/>
      <c r="AC183" s="234"/>
      <c r="AD183" s="234">
        <v>0</v>
      </c>
      <c r="AE183" s="234"/>
      <c r="AF183" s="234"/>
      <c r="AG183" s="301">
        <v>50000000</v>
      </c>
      <c r="AH183" s="234"/>
      <c r="AI183" s="234"/>
      <c r="AJ183" s="236">
        <f t="shared" si="6"/>
        <v>50000000</v>
      </c>
      <c r="AK183" s="299" t="s">
        <v>880</v>
      </c>
      <c r="AL183" s="224"/>
      <c r="AM183" s="224"/>
      <c r="AN183" s="224"/>
      <c r="AO183" s="224"/>
      <c r="AP183" s="224"/>
      <c r="AQ183" s="224"/>
      <c r="AR183" s="224"/>
      <c r="AS183" s="224"/>
    </row>
    <row r="184" spans="1:45" s="305" customFormat="1" ht="85.9" customHeight="1">
      <c r="A184" s="228">
        <v>318</v>
      </c>
      <c r="B184" s="229" t="s">
        <v>872</v>
      </c>
      <c r="C184" s="228">
        <v>1</v>
      </c>
      <c r="D184" s="229" t="s">
        <v>143</v>
      </c>
      <c r="E184" s="228">
        <v>19</v>
      </c>
      <c r="F184" s="229" t="s">
        <v>262</v>
      </c>
      <c r="G184" s="228">
        <v>1903</v>
      </c>
      <c r="H184" s="229" t="s">
        <v>263</v>
      </c>
      <c r="I184" s="228">
        <v>1903</v>
      </c>
      <c r="J184" s="229" t="s">
        <v>264</v>
      </c>
      <c r="K184" s="229" t="s">
        <v>933</v>
      </c>
      <c r="L184" s="228">
        <v>1903025</v>
      </c>
      <c r="M184" s="229" t="s">
        <v>934</v>
      </c>
      <c r="N184" s="228">
        <v>1903025</v>
      </c>
      <c r="O184" s="229" t="s">
        <v>934</v>
      </c>
      <c r="P184" s="253">
        <v>190302500</v>
      </c>
      <c r="Q184" s="230" t="s">
        <v>935</v>
      </c>
      <c r="R184" s="253">
        <v>190302500</v>
      </c>
      <c r="S184" s="230" t="s">
        <v>935</v>
      </c>
      <c r="T184" s="275" t="s">
        <v>58</v>
      </c>
      <c r="U184" s="253">
        <v>12</v>
      </c>
      <c r="V184" s="253"/>
      <c r="W184" s="233">
        <f t="shared" si="5"/>
        <v>12</v>
      </c>
      <c r="X184" s="231">
        <v>2020003630121</v>
      </c>
      <c r="Y184" s="229" t="s">
        <v>931</v>
      </c>
      <c r="Z184" s="229" t="s">
        <v>932</v>
      </c>
      <c r="AA184" s="234"/>
      <c r="AB184" s="234"/>
      <c r="AC184" s="234"/>
      <c r="AD184" s="234">
        <v>0</v>
      </c>
      <c r="AE184" s="234"/>
      <c r="AF184" s="234"/>
      <c r="AG184" s="247">
        <v>100000000</v>
      </c>
      <c r="AH184" s="234"/>
      <c r="AI184" s="234"/>
      <c r="AJ184" s="236">
        <f t="shared" si="6"/>
        <v>100000000</v>
      </c>
      <c r="AK184" s="299" t="s">
        <v>880</v>
      </c>
      <c r="AL184" s="224"/>
      <c r="AM184" s="224"/>
      <c r="AN184" s="224"/>
      <c r="AO184" s="224"/>
      <c r="AP184" s="224"/>
      <c r="AQ184" s="224"/>
      <c r="AR184" s="224"/>
      <c r="AS184" s="224"/>
    </row>
    <row r="185" spans="1:45" s="224" customFormat="1" ht="85.9" customHeight="1">
      <c r="A185" s="228">
        <v>318</v>
      </c>
      <c r="B185" s="229" t="s">
        <v>872</v>
      </c>
      <c r="C185" s="228">
        <v>1</v>
      </c>
      <c r="D185" s="229" t="s">
        <v>143</v>
      </c>
      <c r="E185" s="228">
        <v>19</v>
      </c>
      <c r="F185" s="229" t="s">
        <v>262</v>
      </c>
      <c r="G185" s="228">
        <v>1905</v>
      </c>
      <c r="H185" s="229" t="s">
        <v>695</v>
      </c>
      <c r="I185" s="228">
        <v>1905</v>
      </c>
      <c r="J185" s="229" t="s">
        <v>936</v>
      </c>
      <c r="K185" s="229" t="s">
        <v>887</v>
      </c>
      <c r="L185" s="228">
        <v>1905028</v>
      </c>
      <c r="M185" s="229" t="s">
        <v>937</v>
      </c>
      <c r="N185" s="228">
        <v>1905028</v>
      </c>
      <c r="O185" s="229" t="s">
        <v>937</v>
      </c>
      <c r="P185" s="253">
        <v>190502800</v>
      </c>
      <c r="Q185" s="230" t="s">
        <v>938</v>
      </c>
      <c r="R185" s="253">
        <v>190502800</v>
      </c>
      <c r="S185" s="230" t="s">
        <v>938</v>
      </c>
      <c r="T185" s="232" t="s">
        <v>58</v>
      </c>
      <c r="U185" s="253">
        <v>12</v>
      </c>
      <c r="V185" s="253"/>
      <c r="W185" s="233">
        <f t="shared" si="5"/>
        <v>12</v>
      </c>
      <c r="X185" s="231">
        <v>2020003630122</v>
      </c>
      <c r="Y185" s="229" t="s">
        <v>939</v>
      </c>
      <c r="Z185" s="229" t="s">
        <v>940</v>
      </c>
      <c r="AA185" s="234"/>
      <c r="AB185" s="234"/>
      <c r="AC185" s="234">
        <v>108000000</v>
      </c>
      <c r="AD185" s="234"/>
      <c r="AE185" s="234"/>
      <c r="AF185" s="234"/>
      <c r="AG185" s="247"/>
      <c r="AH185" s="234"/>
      <c r="AI185" s="234"/>
      <c r="AJ185" s="236">
        <f t="shared" si="6"/>
        <v>108000000</v>
      </c>
      <c r="AK185" s="299" t="s">
        <v>880</v>
      </c>
    </row>
    <row r="186" spans="1:45" s="224" customFormat="1" ht="85.9" customHeight="1">
      <c r="A186" s="228">
        <v>318</v>
      </c>
      <c r="B186" s="229" t="s">
        <v>872</v>
      </c>
      <c r="C186" s="228">
        <v>1</v>
      </c>
      <c r="D186" s="229" t="s">
        <v>143</v>
      </c>
      <c r="E186" s="228">
        <v>19</v>
      </c>
      <c r="F186" s="229" t="s">
        <v>262</v>
      </c>
      <c r="G186" s="228">
        <v>1905</v>
      </c>
      <c r="H186" s="229" t="s">
        <v>695</v>
      </c>
      <c r="I186" s="228">
        <v>1905</v>
      </c>
      <c r="J186" s="229" t="s">
        <v>936</v>
      </c>
      <c r="K186" s="229" t="s">
        <v>887</v>
      </c>
      <c r="L186" s="228">
        <v>1905031</v>
      </c>
      <c r="M186" s="229" t="s">
        <v>941</v>
      </c>
      <c r="N186" s="228">
        <v>1905031</v>
      </c>
      <c r="O186" s="229" t="s">
        <v>941</v>
      </c>
      <c r="P186" s="228">
        <v>190503100</v>
      </c>
      <c r="Q186" s="230" t="s">
        <v>942</v>
      </c>
      <c r="R186" s="228">
        <v>190503100</v>
      </c>
      <c r="S186" s="230" t="s">
        <v>942</v>
      </c>
      <c r="T186" s="253" t="s">
        <v>58</v>
      </c>
      <c r="U186" s="253">
        <v>12</v>
      </c>
      <c r="V186" s="253"/>
      <c r="W186" s="233">
        <f t="shared" si="5"/>
        <v>12</v>
      </c>
      <c r="X186" s="231">
        <v>2020003630122</v>
      </c>
      <c r="Y186" s="229" t="s">
        <v>939</v>
      </c>
      <c r="Z186" s="229" t="s">
        <v>940</v>
      </c>
      <c r="AA186" s="234"/>
      <c r="AB186" s="234"/>
      <c r="AC186" s="234">
        <v>54000000</v>
      </c>
      <c r="AD186" s="234"/>
      <c r="AE186" s="234"/>
      <c r="AF186" s="234"/>
      <c r="AG186" s="247">
        <v>150000000</v>
      </c>
      <c r="AH186" s="234"/>
      <c r="AI186" s="234"/>
      <c r="AJ186" s="236">
        <f t="shared" si="6"/>
        <v>204000000</v>
      </c>
      <c r="AK186" s="299" t="s">
        <v>880</v>
      </c>
    </row>
    <row r="187" spans="1:45" s="224" customFormat="1" ht="85.9" customHeight="1">
      <c r="A187" s="228">
        <v>318</v>
      </c>
      <c r="B187" s="229" t="s">
        <v>872</v>
      </c>
      <c r="C187" s="228">
        <v>1</v>
      </c>
      <c r="D187" s="229" t="s">
        <v>143</v>
      </c>
      <c r="E187" s="228">
        <v>19</v>
      </c>
      <c r="F187" s="229" t="s">
        <v>262</v>
      </c>
      <c r="G187" s="228">
        <v>1905</v>
      </c>
      <c r="H187" s="229" t="s">
        <v>695</v>
      </c>
      <c r="I187" s="228">
        <v>1905</v>
      </c>
      <c r="J187" s="229" t="s">
        <v>936</v>
      </c>
      <c r="K187" s="229" t="s">
        <v>943</v>
      </c>
      <c r="L187" s="228">
        <v>1905019</v>
      </c>
      <c r="M187" s="229" t="s">
        <v>944</v>
      </c>
      <c r="N187" s="228">
        <v>1905019</v>
      </c>
      <c r="O187" s="229" t="s">
        <v>944</v>
      </c>
      <c r="P187" s="228">
        <v>190501900</v>
      </c>
      <c r="Q187" s="251" t="s">
        <v>340</v>
      </c>
      <c r="R187" s="228">
        <v>190501900</v>
      </c>
      <c r="S187" s="230" t="s">
        <v>340</v>
      </c>
      <c r="T187" s="253" t="s">
        <v>58</v>
      </c>
      <c r="U187" s="253">
        <v>60</v>
      </c>
      <c r="V187" s="253"/>
      <c r="W187" s="233">
        <f t="shared" si="5"/>
        <v>60</v>
      </c>
      <c r="X187" s="231">
        <v>2020003630123</v>
      </c>
      <c r="Y187" s="229" t="s">
        <v>945</v>
      </c>
      <c r="Z187" s="229" t="s">
        <v>946</v>
      </c>
      <c r="AA187" s="234"/>
      <c r="AB187" s="234"/>
      <c r="AC187" s="234">
        <v>36000000</v>
      </c>
      <c r="AD187" s="234"/>
      <c r="AE187" s="234"/>
      <c r="AF187" s="234"/>
      <c r="AG187" s="247"/>
      <c r="AH187" s="234"/>
      <c r="AI187" s="234"/>
      <c r="AJ187" s="236">
        <f t="shared" si="6"/>
        <v>36000000</v>
      </c>
      <c r="AK187" s="299" t="s">
        <v>880</v>
      </c>
    </row>
    <row r="188" spans="1:45" s="224" customFormat="1" ht="85.9" customHeight="1">
      <c r="A188" s="228">
        <v>318</v>
      </c>
      <c r="B188" s="229" t="s">
        <v>872</v>
      </c>
      <c r="C188" s="228">
        <v>1</v>
      </c>
      <c r="D188" s="229" t="s">
        <v>143</v>
      </c>
      <c r="E188" s="228">
        <v>19</v>
      </c>
      <c r="F188" s="229" t="s">
        <v>262</v>
      </c>
      <c r="G188" s="228">
        <v>1905</v>
      </c>
      <c r="H188" s="229" t="s">
        <v>695</v>
      </c>
      <c r="I188" s="228">
        <v>1905</v>
      </c>
      <c r="J188" s="229" t="s">
        <v>936</v>
      </c>
      <c r="K188" s="229" t="s">
        <v>947</v>
      </c>
      <c r="L188" s="228" t="s">
        <v>50</v>
      </c>
      <c r="M188" s="229" t="s">
        <v>948</v>
      </c>
      <c r="N188" s="228">
        <v>1905031</v>
      </c>
      <c r="O188" s="229" t="s">
        <v>949</v>
      </c>
      <c r="P188" s="228" t="s">
        <v>950</v>
      </c>
      <c r="Q188" s="230" t="s">
        <v>951</v>
      </c>
      <c r="R188" s="228">
        <v>190503100</v>
      </c>
      <c r="S188" s="230" t="s">
        <v>952</v>
      </c>
      <c r="T188" s="232" t="s">
        <v>58</v>
      </c>
      <c r="U188" s="253">
        <v>11</v>
      </c>
      <c r="V188" s="253"/>
      <c r="W188" s="233">
        <f t="shared" si="5"/>
        <v>11</v>
      </c>
      <c r="X188" s="231">
        <v>2020003630123</v>
      </c>
      <c r="Y188" s="251" t="s">
        <v>945</v>
      </c>
      <c r="Z188" s="229" t="s">
        <v>946</v>
      </c>
      <c r="AA188" s="234"/>
      <c r="AB188" s="234"/>
      <c r="AC188" s="234">
        <v>60000000</v>
      </c>
      <c r="AD188" s="234"/>
      <c r="AE188" s="234"/>
      <c r="AF188" s="234"/>
      <c r="AG188" s="247">
        <v>150000000</v>
      </c>
      <c r="AH188" s="234"/>
      <c r="AI188" s="234"/>
      <c r="AJ188" s="236">
        <f t="shared" si="6"/>
        <v>210000000</v>
      </c>
      <c r="AK188" s="299" t="s">
        <v>880</v>
      </c>
    </row>
    <row r="189" spans="1:45" s="224" customFormat="1" ht="85.9" customHeight="1">
      <c r="A189" s="228">
        <v>318</v>
      </c>
      <c r="B189" s="229" t="s">
        <v>872</v>
      </c>
      <c r="C189" s="228">
        <v>1</v>
      </c>
      <c r="D189" s="229" t="s">
        <v>143</v>
      </c>
      <c r="E189" s="228">
        <v>19</v>
      </c>
      <c r="F189" s="229" t="s">
        <v>262</v>
      </c>
      <c r="G189" s="228">
        <v>1905</v>
      </c>
      <c r="H189" s="229" t="s">
        <v>695</v>
      </c>
      <c r="I189" s="228">
        <v>1905</v>
      </c>
      <c r="J189" s="229" t="s">
        <v>936</v>
      </c>
      <c r="K189" s="230" t="s">
        <v>953</v>
      </c>
      <c r="L189" s="228" t="s">
        <v>50</v>
      </c>
      <c r="M189" s="229" t="s">
        <v>954</v>
      </c>
      <c r="N189" s="228">
        <v>1905015</v>
      </c>
      <c r="O189" s="229" t="s">
        <v>235</v>
      </c>
      <c r="P189" s="228" t="s">
        <v>50</v>
      </c>
      <c r="Q189" s="230" t="s">
        <v>955</v>
      </c>
      <c r="R189" s="228">
        <v>190501500</v>
      </c>
      <c r="S189" s="230" t="s">
        <v>237</v>
      </c>
      <c r="T189" s="253" t="s">
        <v>58</v>
      </c>
      <c r="U189" s="253">
        <v>1</v>
      </c>
      <c r="V189" s="253"/>
      <c r="W189" s="233">
        <f t="shared" si="5"/>
        <v>1</v>
      </c>
      <c r="X189" s="231">
        <v>2020003630123</v>
      </c>
      <c r="Y189" s="229" t="s">
        <v>945</v>
      </c>
      <c r="Z189" s="229" t="s">
        <v>946</v>
      </c>
      <c r="AA189" s="234"/>
      <c r="AB189" s="234"/>
      <c r="AC189" s="234">
        <v>78000000</v>
      </c>
      <c r="AD189" s="234"/>
      <c r="AE189" s="234"/>
      <c r="AF189" s="234"/>
      <c r="AG189" s="247"/>
      <c r="AH189" s="234"/>
      <c r="AI189" s="234"/>
      <c r="AJ189" s="236">
        <f t="shared" si="6"/>
        <v>78000000</v>
      </c>
      <c r="AK189" s="299" t="s">
        <v>880</v>
      </c>
    </row>
    <row r="190" spans="1:45" s="224" customFormat="1" ht="85.9" customHeight="1">
      <c r="A190" s="228">
        <v>318</v>
      </c>
      <c r="B190" s="229" t="s">
        <v>872</v>
      </c>
      <c r="C190" s="228">
        <v>1</v>
      </c>
      <c r="D190" s="229" t="s">
        <v>143</v>
      </c>
      <c r="E190" s="228">
        <v>19</v>
      </c>
      <c r="F190" s="229" t="s">
        <v>262</v>
      </c>
      <c r="G190" s="228">
        <v>1905</v>
      </c>
      <c r="H190" s="229" t="s">
        <v>695</v>
      </c>
      <c r="I190" s="228">
        <v>1905</v>
      </c>
      <c r="J190" s="229" t="s">
        <v>936</v>
      </c>
      <c r="K190" s="229" t="s">
        <v>890</v>
      </c>
      <c r="L190" s="228" t="s">
        <v>50</v>
      </c>
      <c r="M190" s="229" t="s">
        <v>956</v>
      </c>
      <c r="N190" s="228">
        <v>1905024</v>
      </c>
      <c r="O190" s="229" t="s">
        <v>957</v>
      </c>
      <c r="P190" s="228" t="s">
        <v>50</v>
      </c>
      <c r="Q190" s="230" t="s">
        <v>958</v>
      </c>
      <c r="R190" s="228">
        <v>190502400</v>
      </c>
      <c r="S190" s="230" t="s">
        <v>959</v>
      </c>
      <c r="T190" s="253" t="s">
        <v>152</v>
      </c>
      <c r="U190" s="253">
        <v>3</v>
      </c>
      <c r="V190" s="253"/>
      <c r="W190" s="233">
        <f t="shared" si="5"/>
        <v>3</v>
      </c>
      <c r="X190" s="231">
        <v>2020003630123</v>
      </c>
      <c r="Y190" s="251" t="s">
        <v>945</v>
      </c>
      <c r="Z190" s="229" t="s">
        <v>946</v>
      </c>
      <c r="AA190" s="234"/>
      <c r="AB190" s="234"/>
      <c r="AC190" s="234">
        <v>78000000</v>
      </c>
      <c r="AD190" s="234"/>
      <c r="AE190" s="234"/>
      <c r="AF190" s="234"/>
      <c r="AG190" s="247"/>
      <c r="AH190" s="234"/>
      <c r="AI190" s="234"/>
      <c r="AJ190" s="236">
        <f t="shared" si="6"/>
        <v>78000000</v>
      </c>
      <c r="AK190" s="299" t="s">
        <v>880</v>
      </c>
    </row>
    <row r="191" spans="1:45" s="224" customFormat="1" ht="85.9" customHeight="1">
      <c r="A191" s="228">
        <v>318</v>
      </c>
      <c r="B191" s="229" t="s">
        <v>872</v>
      </c>
      <c r="C191" s="228">
        <v>1</v>
      </c>
      <c r="D191" s="229" t="s">
        <v>143</v>
      </c>
      <c r="E191" s="228">
        <v>19</v>
      </c>
      <c r="F191" s="229" t="s">
        <v>262</v>
      </c>
      <c r="G191" s="228">
        <v>1905</v>
      </c>
      <c r="H191" s="229" t="s">
        <v>695</v>
      </c>
      <c r="I191" s="228">
        <v>1905</v>
      </c>
      <c r="J191" s="229" t="s">
        <v>936</v>
      </c>
      <c r="K191" s="229" t="s">
        <v>890</v>
      </c>
      <c r="L191" s="228" t="s">
        <v>50</v>
      </c>
      <c r="M191" s="229" t="s">
        <v>960</v>
      </c>
      <c r="N191" s="228">
        <v>1905024</v>
      </c>
      <c r="O191" s="229" t="s">
        <v>957</v>
      </c>
      <c r="P191" s="228" t="s">
        <v>50</v>
      </c>
      <c r="Q191" s="230" t="s">
        <v>961</v>
      </c>
      <c r="R191" s="253">
        <v>190502400</v>
      </c>
      <c r="S191" s="230" t="s">
        <v>959</v>
      </c>
      <c r="T191" s="253" t="s">
        <v>58</v>
      </c>
      <c r="U191" s="253">
        <v>12</v>
      </c>
      <c r="V191" s="253"/>
      <c r="W191" s="233">
        <f t="shared" si="5"/>
        <v>12</v>
      </c>
      <c r="X191" s="231">
        <v>2020003630123</v>
      </c>
      <c r="Y191" s="229" t="s">
        <v>945</v>
      </c>
      <c r="Z191" s="229" t="s">
        <v>946</v>
      </c>
      <c r="AA191" s="234"/>
      <c r="AB191" s="234"/>
      <c r="AC191" s="234">
        <v>39000000</v>
      </c>
      <c r="AD191" s="234"/>
      <c r="AE191" s="234"/>
      <c r="AF191" s="234"/>
      <c r="AG191" s="247"/>
      <c r="AH191" s="234"/>
      <c r="AI191" s="234"/>
      <c r="AJ191" s="236">
        <f t="shared" si="6"/>
        <v>39000000</v>
      </c>
      <c r="AK191" s="299" t="s">
        <v>880</v>
      </c>
    </row>
    <row r="192" spans="1:45" s="224" customFormat="1" ht="85.9" customHeight="1">
      <c r="A192" s="228">
        <v>318</v>
      </c>
      <c r="B192" s="229" t="s">
        <v>872</v>
      </c>
      <c r="C192" s="228">
        <v>1</v>
      </c>
      <c r="D192" s="229" t="s">
        <v>143</v>
      </c>
      <c r="E192" s="228">
        <v>19</v>
      </c>
      <c r="F192" s="229" t="s">
        <v>262</v>
      </c>
      <c r="G192" s="228">
        <v>1905</v>
      </c>
      <c r="H192" s="229" t="s">
        <v>695</v>
      </c>
      <c r="I192" s="228">
        <v>1905</v>
      </c>
      <c r="J192" s="229" t="s">
        <v>936</v>
      </c>
      <c r="K192" s="229" t="s">
        <v>923</v>
      </c>
      <c r="L192" s="228" t="s">
        <v>50</v>
      </c>
      <c r="M192" s="229" t="s">
        <v>962</v>
      </c>
      <c r="N192" s="228">
        <v>1905024</v>
      </c>
      <c r="O192" s="229" t="s">
        <v>957</v>
      </c>
      <c r="P192" s="228" t="s">
        <v>50</v>
      </c>
      <c r="Q192" s="230" t="s">
        <v>963</v>
      </c>
      <c r="R192" s="253">
        <v>190502401</v>
      </c>
      <c r="S192" s="230" t="s">
        <v>964</v>
      </c>
      <c r="T192" s="253" t="s">
        <v>152</v>
      </c>
      <c r="U192" s="253">
        <v>2</v>
      </c>
      <c r="V192" s="253"/>
      <c r="W192" s="233">
        <f t="shared" si="5"/>
        <v>2</v>
      </c>
      <c r="X192" s="231">
        <v>2020003630123</v>
      </c>
      <c r="Y192" s="229" t="s">
        <v>945</v>
      </c>
      <c r="Z192" s="229" t="s">
        <v>946</v>
      </c>
      <c r="AA192" s="234"/>
      <c r="AB192" s="234"/>
      <c r="AC192" s="234">
        <v>39000000</v>
      </c>
      <c r="AD192" s="234"/>
      <c r="AE192" s="234"/>
      <c r="AF192" s="234"/>
      <c r="AG192" s="247"/>
      <c r="AH192" s="234"/>
      <c r="AI192" s="234"/>
      <c r="AJ192" s="236">
        <f t="shared" si="6"/>
        <v>39000000</v>
      </c>
      <c r="AK192" s="299" t="s">
        <v>880</v>
      </c>
    </row>
    <row r="193" spans="1:45" s="224" customFormat="1" ht="135.75" customHeight="1">
      <c r="A193" s="228">
        <v>318</v>
      </c>
      <c r="B193" s="229" t="s">
        <v>872</v>
      </c>
      <c r="C193" s="228">
        <v>1</v>
      </c>
      <c r="D193" s="229" t="s">
        <v>143</v>
      </c>
      <c r="E193" s="228">
        <v>19</v>
      </c>
      <c r="F193" s="229" t="s">
        <v>262</v>
      </c>
      <c r="G193" s="228">
        <v>1905</v>
      </c>
      <c r="H193" s="229" t="s">
        <v>695</v>
      </c>
      <c r="I193" s="228">
        <v>1905</v>
      </c>
      <c r="J193" s="229" t="s">
        <v>936</v>
      </c>
      <c r="K193" s="229" t="s">
        <v>697</v>
      </c>
      <c r="L193" s="228">
        <v>1905021</v>
      </c>
      <c r="M193" s="229" t="s">
        <v>698</v>
      </c>
      <c r="N193" s="228">
        <v>1905021</v>
      </c>
      <c r="O193" s="229" t="s">
        <v>698</v>
      </c>
      <c r="P193" s="253">
        <v>190502100</v>
      </c>
      <c r="Q193" s="230" t="s">
        <v>699</v>
      </c>
      <c r="R193" s="253">
        <v>190502100</v>
      </c>
      <c r="S193" s="230" t="s">
        <v>699</v>
      </c>
      <c r="T193" s="232" t="s">
        <v>58</v>
      </c>
      <c r="U193" s="253">
        <v>12</v>
      </c>
      <c r="V193" s="253"/>
      <c r="W193" s="233">
        <f t="shared" si="5"/>
        <v>12</v>
      </c>
      <c r="X193" s="231">
        <v>2020003630124</v>
      </c>
      <c r="Y193" s="229" t="s">
        <v>965</v>
      </c>
      <c r="Z193" s="229" t="s">
        <v>966</v>
      </c>
      <c r="AA193" s="234"/>
      <c r="AB193" s="234"/>
      <c r="AC193" s="234">
        <v>102000000</v>
      </c>
      <c r="AD193" s="234"/>
      <c r="AE193" s="234"/>
      <c r="AF193" s="234"/>
      <c r="AG193" s="247"/>
      <c r="AH193" s="234"/>
      <c r="AI193" s="234"/>
      <c r="AJ193" s="236">
        <f t="shared" si="6"/>
        <v>102000000</v>
      </c>
      <c r="AK193" s="299" t="s">
        <v>880</v>
      </c>
    </row>
    <row r="194" spans="1:45" s="224" customFormat="1" ht="85.9" customHeight="1">
      <c r="A194" s="228">
        <v>318</v>
      </c>
      <c r="B194" s="229" t="s">
        <v>872</v>
      </c>
      <c r="C194" s="228">
        <v>1</v>
      </c>
      <c r="D194" s="229" t="s">
        <v>143</v>
      </c>
      <c r="E194" s="228">
        <v>19</v>
      </c>
      <c r="F194" s="229" t="s">
        <v>262</v>
      </c>
      <c r="G194" s="228">
        <v>1905</v>
      </c>
      <c r="H194" s="229" t="s">
        <v>695</v>
      </c>
      <c r="I194" s="228">
        <v>1905</v>
      </c>
      <c r="J194" s="229" t="s">
        <v>936</v>
      </c>
      <c r="K194" s="229" t="s">
        <v>947</v>
      </c>
      <c r="L194" s="228" t="s">
        <v>50</v>
      </c>
      <c r="M194" s="229" t="s">
        <v>967</v>
      </c>
      <c r="N194" s="228">
        <v>1905021</v>
      </c>
      <c r="O194" s="229" t="s">
        <v>968</v>
      </c>
      <c r="P194" s="228" t="s">
        <v>50</v>
      </c>
      <c r="Q194" s="230" t="s">
        <v>951</v>
      </c>
      <c r="R194" s="228">
        <v>190502100</v>
      </c>
      <c r="S194" s="230" t="s">
        <v>969</v>
      </c>
      <c r="T194" s="232" t="s">
        <v>58</v>
      </c>
      <c r="U194" s="253">
        <v>11</v>
      </c>
      <c r="V194" s="253"/>
      <c r="W194" s="233">
        <f t="shared" si="5"/>
        <v>11</v>
      </c>
      <c r="X194" s="231">
        <v>2020003630124</v>
      </c>
      <c r="Y194" s="229" t="s">
        <v>965</v>
      </c>
      <c r="Z194" s="229" t="s">
        <v>966</v>
      </c>
      <c r="AA194" s="234"/>
      <c r="AB194" s="234"/>
      <c r="AC194" s="234">
        <v>102000000</v>
      </c>
      <c r="AD194" s="234"/>
      <c r="AE194" s="234"/>
      <c r="AF194" s="234"/>
      <c r="AG194" s="247"/>
      <c r="AH194" s="234"/>
      <c r="AI194" s="234"/>
      <c r="AJ194" s="236">
        <f t="shared" si="6"/>
        <v>102000000</v>
      </c>
      <c r="AK194" s="299" t="s">
        <v>880</v>
      </c>
    </row>
    <row r="195" spans="1:45" s="224" customFormat="1" ht="85.9" customHeight="1">
      <c r="A195" s="228">
        <v>318</v>
      </c>
      <c r="B195" s="229" t="s">
        <v>872</v>
      </c>
      <c r="C195" s="228">
        <v>1</v>
      </c>
      <c r="D195" s="229" t="s">
        <v>143</v>
      </c>
      <c r="E195" s="228">
        <v>19</v>
      </c>
      <c r="F195" s="229" t="s">
        <v>262</v>
      </c>
      <c r="G195" s="228">
        <v>1905</v>
      </c>
      <c r="H195" s="229" t="s">
        <v>695</v>
      </c>
      <c r="I195" s="228">
        <v>1905</v>
      </c>
      <c r="J195" s="229" t="s">
        <v>936</v>
      </c>
      <c r="K195" s="229" t="s">
        <v>933</v>
      </c>
      <c r="L195" s="228">
        <v>1905020</v>
      </c>
      <c r="M195" s="229" t="s">
        <v>970</v>
      </c>
      <c r="N195" s="279">
        <v>1905020</v>
      </c>
      <c r="O195" s="229" t="s">
        <v>970</v>
      </c>
      <c r="P195" s="253">
        <v>190502000</v>
      </c>
      <c r="Q195" s="230" t="s">
        <v>971</v>
      </c>
      <c r="R195" s="253">
        <v>190502000</v>
      </c>
      <c r="S195" s="230" t="s">
        <v>971</v>
      </c>
      <c r="T195" s="253" t="s">
        <v>58</v>
      </c>
      <c r="U195" s="253">
        <v>12</v>
      </c>
      <c r="V195" s="253"/>
      <c r="W195" s="233">
        <f t="shared" si="5"/>
        <v>12</v>
      </c>
      <c r="X195" s="231">
        <v>2020003630125</v>
      </c>
      <c r="Y195" s="251" t="s">
        <v>972</v>
      </c>
      <c r="Z195" s="229" t="s">
        <v>973</v>
      </c>
      <c r="AA195" s="234"/>
      <c r="AB195" s="234"/>
      <c r="AC195" s="247">
        <v>48000000</v>
      </c>
      <c r="AD195" s="234"/>
      <c r="AE195" s="234"/>
      <c r="AF195" s="234"/>
      <c r="AG195" s="247"/>
      <c r="AH195" s="234"/>
      <c r="AI195" s="234"/>
      <c r="AJ195" s="236">
        <f t="shared" si="6"/>
        <v>48000000</v>
      </c>
      <c r="AK195" s="299" t="s">
        <v>880</v>
      </c>
    </row>
    <row r="196" spans="1:45" s="224" customFormat="1" ht="85.9" customHeight="1">
      <c r="A196" s="228">
        <v>318</v>
      </c>
      <c r="B196" s="229" t="s">
        <v>872</v>
      </c>
      <c r="C196" s="228">
        <v>1</v>
      </c>
      <c r="D196" s="229" t="s">
        <v>143</v>
      </c>
      <c r="E196" s="228">
        <v>19</v>
      </c>
      <c r="F196" s="229" t="s">
        <v>262</v>
      </c>
      <c r="G196" s="228">
        <v>1905</v>
      </c>
      <c r="H196" s="229" t="s">
        <v>695</v>
      </c>
      <c r="I196" s="228">
        <v>1905</v>
      </c>
      <c r="J196" s="229" t="s">
        <v>936</v>
      </c>
      <c r="K196" s="229" t="s">
        <v>703</v>
      </c>
      <c r="L196" s="228">
        <v>1905022</v>
      </c>
      <c r="M196" s="229" t="s">
        <v>704</v>
      </c>
      <c r="N196" s="279">
        <v>1905022</v>
      </c>
      <c r="O196" s="229" t="s">
        <v>704</v>
      </c>
      <c r="P196" s="253">
        <v>190502200</v>
      </c>
      <c r="Q196" s="230" t="s">
        <v>705</v>
      </c>
      <c r="R196" s="253">
        <v>190502200</v>
      </c>
      <c r="S196" s="230" t="s">
        <v>705</v>
      </c>
      <c r="T196" s="253" t="s">
        <v>58</v>
      </c>
      <c r="U196" s="253">
        <v>12</v>
      </c>
      <c r="V196" s="253"/>
      <c r="W196" s="233">
        <f t="shared" si="5"/>
        <v>12</v>
      </c>
      <c r="X196" s="231">
        <v>2020003630125</v>
      </c>
      <c r="Y196" s="229" t="s">
        <v>972</v>
      </c>
      <c r="Z196" s="229" t="s">
        <v>973</v>
      </c>
      <c r="AA196" s="234"/>
      <c r="AB196" s="234"/>
      <c r="AC196" s="247">
        <v>84000000</v>
      </c>
      <c r="AD196" s="234"/>
      <c r="AE196" s="234"/>
      <c r="AF196" s="234"/>
      <c r="AG196" s="247"/>
      <c r="AH196" s="234"/>
      <c r="AI196" s="234"/>
      <c r="AJ196" s="236">
        <f t="shared" si="6"/>
        <v>84000000</v>
      </c>
      <c r="AK196" s="299" t="s">
        <v>880</v>
      </c>
    </row>
    <row r="197" spans="1:45" s="224" customFormat="1" ht="85.9" customHeight="1">
      <c r="A197" s="228">
        <v>318</v>
      </c>
      <c r="B197" s="229" t="s">
        <v>872</v>
      </c>
      <c r="C197" s="228">
        <v>1</v>
      </c>
      <c r="D197" s="229" t="s">
        <v>143</v>
      </c>
      <c r="E197" s="228">
        <v>19</v>
      </c>
      <c r="F197" s="229" t="s">
        <v>262</v>
      </c>
      <c r="G197" s="228">
        <v>1905</v>
      </c>
      <c r="H197" s="229" t="s">
        <v>695</v>
      </c>
      <c r="I197" s="228">
        <v>1905</v>
      </c>
      <c r="J197" s="229" t="s">
        <v>936</v>
      </c>
      <c r="K197" s="229" t="s">
        <v>887</v>
      </c>
      <c r="L197" s="228">
        <v>1905031</v>
      </c>
      <c r="M197" s="229" t="s">
        <v>941</v>
      </c>
      <c r="N197" s="228">
        <v>1905031</v>
      </c>
      <c r="O197" s="229" t="s">
        <v>941</v>
      </c>
      <c r="P197" s="228">
        <v>190503100</v>
      </c>
      <c r="Q197" s="230" t="s">
        <v>942</v>
      </c>
      <c r="R197" s="228">
        <v>190503100</v>
      </c>
      <c r="S197" s="230" t="s">
        <v>942</v>
      </c>
      <c r="T197" s="253" t="s">
        <v>58</v>
      </c>
      <c r="U197" s="253">
        <v>12</v>
      </c>
      <c r="V197" s="253"/>
      <c r="W197" s="233">
        <f t="shared" si="5"/>
        <v>12</v>
      </c>
      <c r="X197" s="231">
        <v>2020003630126</v>
      </c>
      <c r="Y197" s="251" t="s">
        <v>974</v>
      </c>
      <c r="Z197" s="229" t="s">
        <v>975</v>
      </c>
      <c r="AA197" s="234"/>
      <c r="AB197" s="234"/>
      <c r="AC197" s="247">
        <v>110000000</v>
      </c>
      <c r="AD197" s="234"/>
      <c r="AE197" s="234"/>
      <c r="AF197" s="234"/>
      <c r="AG197" s="247"/>
      <c r="AH197" s="234"/>
      <c r="AI197" s="234"/>
      <c r="AJ197" s="236">
        <f t="shared" si="6"/>
        <v>110000000</v>
      </c>
      <c r="AK197" s="299" t="s">
        <v>880</v>
      </c>
    </row>
    <row r="198" spans="1:45" s="224" customFormat="1" ht="85.9" customHeight="1">
      <c r="A198" s="228">
        <v>318</v>
      </c>
      <c r="B198" s="229" t="s">
        <v>872</v>
      </c>
      <c r="C198" s="228">
        <v>1</v>
      </c>
      <c r="D198" s="229" t="s">
        <v>143</v>
      </c>
      <c r="E198" s="228">
        <v>19</v>
      </c>
      <c r="F198" s="229" t="s">
        <v>262</v>
      </c>
      <c r="G198" s="228">
        <v>1905</v>
      </c>
      <c r="H198" s="229" t="s">
        <v>695</v>
      </c>
      <c r="I198" s="228">
        <v>1905</v>
      </c>
      <c r="J198" s="229" t="s">
        <v>936</v>
      </c>
      <c r="K198" s="229" t="s">
        <v>976</v>
      </c>
      <c r="L198" s="228">
        <v>1905012</v>
      </c>
      <c r="M198" s="229" t="s">
        <v>977</v>
      </c>
      <c r="N198" s="228">
        <v>1905012</v>
      </c>
      <c r="O198" s="229" t="s">
        <v>977</v>
      </c>
      <c r="P198" s="253">
        <v>190501200</v>
      </c>
      <c r="Q198" s="230" t="s">
        <v>977</v>
      </c>
      <c r="R198" s="253">
        <v>190501200</v>
      </c>
      <c r="S198" s="230" t="s">
        <v>977</v>
      </c>
      <c r="T198" s="253" t="s">
        <v>58</v>
      </c>
      <c r="U198" s="253">
        <v>1</v>
      </c>
      <c r="V198" s="253"/>
      <c r="W198" s="233">
        <f t="shared" si="5"/>
        <v>1</v>
      </c>
      <c r="X198" s="231">
        <v>2020003630127</v>
      </c>
      <c r="Y198" s="251" t="s">
        <v>978</v>
      </c>
      <c r="Z198" s="229" t="s">
        <v>979</v>
      </c>
      <c r="AA198" s="234"/>
      <c r="AB198" s="234"/>
      <c r="AC198" s="234">
        <f>24000000+150000000</f>
        <v>174000000</v>
      </c>
      <c r="AD198" s="234"/>
      <c r="AE198" s="234"/>
      <c r="AF198" s="234"/>
      <c r="AG198" s="247">
        <v>150000000</v>
      </c>
      <c r="AH198" s="234"/>
      <c r="AI198" s="234"/>
      <c r="AJ198" s="236">
        <f t="shared" si="6"/>
        <v>324000000</v>
      </c>
      <c r="AK198" s="299" t="s">
        <v>880</v>
      </c>
    </row>
    <row r="199" spans="1:45" s="224" customFormat="1" ht="129.75" customHeight="1">
      <c r="A199" s="228">
        <v>318</v>
      </c>
      <c r="B199" s="229" t="s">
        <v>872</v>
      </c>
      <c r="C199" s="228">
        <v>1</v>
      </c>
      <c r="D199" s="229" t="s">
        <v>143</v>
      </c>
      <c r="E199" s="228">
        <v>19</v>
      </c>
      <c r="F199" s="229" t="s">
        <v>262</v>
      </c>
      <c r="G199" s="228">
        <v>1905</v>
      </c>
      <c r="H199" s="229" t="s">
        <v>695</v>
      </c>
      <c r="I199" s="228">
        <v>1905</v>
      </c>
      <c r="J199" s="229" t="s">
        <v>936</v>
      </c>
      <c r="K199" s="229" t="s">
        <v>980</v>
      </c>
      <c r="L199" s="228">
        <v>1905026</v>
      </c>
      <c r="M199" s="229" t="s">
        <v>981</v>
      </c>
      <c r="N199" s="228">
        <v>1905026</v>
      </c>
      <c r="O199" s="229" t="s">
        <v>981</v>
      </c>
      <c r="P199" s="253">
        <v>190502600</v>
      </c>
      <c r="Q199" s="230" t="s">
        <v>982</v>
      </c>
      <c r="R199" s="253">
        <v>190502600</v>
      </c>
      <c r="S199" s="230" t="s">
        <v>982</v>
      </c>
      <c r="T199" s="232" t="s">
        <v>58</v>
      </c>
      <c r="U199" s="253">
        <v>12</v>
      </c>
      <c r="V199" s="253"/>
      <c r="W199" s="233">
        <f t="shared" si="5"/>
        <v>12</v>
      </c>
      <c r="X199" s="231">
        <v>2020003630127</v>
      </c>
      <c r="Y199" s="251" t="s">
        <v>978</v>
      </c>
      <c r="Z199" s="229" t="s">
        <v>979</v>
      </c>
      <c r="AA199" s="234"/>
      <c r="AB199" s="234"/>
      <c r="AC199" s="234">
        <v>84000000</v>
      </c>
      <c r="AD199" s="234"/>
      <c r="AE199" s="234"/>
      <c r="AF199" s="234"/>
      <c r="AG199" s="247"/>
      <c r="AH199" s="234"/>
      <c r="AI199" s="234"/>
      <c r="AJ199" s="236">
        <f t="shared" si="6"/>
        <v>84000000</v>
      </c>
      <c r="AK199" s="299" t="s">
        <v>880</v>
      </c>
    </row>
    <row r="200" spans="1:45" s="224" customFormat="1" ht="85.9" customHeight="1">
      <c r="A200" s="228">
        <v>318</v>
      </c>
      <c r="B200" s="229" t="s">
        <v>872</v>
      </c>
      <c r="C200" s="228">
        <v>1</v>
      </c>
      <c r="D200" s="229" t="s">
        <v>143</v>
      </c>
      <c r="E200" s="228">
        <v>19</v>
      </c>
      <c r="F200" s="229" t="s">
        <v>262</v>
      </c>
      <c r="G200" s="228">
        <v>1905</v>
      </c>
      <c r="H200" s="229" t="s">
        <v>695</v>
      </c>
      <c r="I200" s="228">
        <v>1905</v>
      </c>
      <c r="J200" s="229" t="s">
        <v>936</v>
      </c>
      <c r="K200" s="229" t="s">
        <v>976</v>
      </c>
      <c r="L200" s="228">
        <v>1905027</v>
      </c>
      <c r="M200" s="229" t="s">
        <v>983</v>
      </c>
      <c r="N200" s="228">
        <v>1905027</v>
      </c>
      <c r="O200" s="229" t="s">
        <v>983</v>
      </c>
      <c r="P200" s="253">
        <v>190502700</v>
      </c>
      <c r="Q200" s="251" t="s">
        <v>984</v>
      </c>
      <c r="R200" s="253">
        <v>190502700</v>
      </c>
      <c r="S200" s="230" t="s">
        <v>984</v>
      </c>
      <c r="T200" s="253" t="s">
        <v>58</v>
      </c>
      <c r="U200" s="253">
        <v>12</v>
      </c>
      <c r="V200" s="253"/>
      <c r="W200" s="233">
        <f t="shared" ref="W200:W259" si="7">U200</f>
        <v>12</v>
      </c>
      <c r="X200" s="231">
        <v>2020003630127</v>
      </c>
      <c r="Y200" s="229" t="s">
        <v>978</v>
      </c>
      <c r="Z200" s="229" t="s">
        <v>979</v>
      </c>
      <c r="AA200" s="234"/>
      <c r="AB200" s="234"/>
      <c r="AC200" s="234">
        <f>90000000+100000000</f>
        <v>190000000</v>
      </c>
      <c r="AD200" s="234"/>
      <c r="AE200" s="234"/>
      <c r="AF200" s="234"/>
      <c r="AG200" s="247"/>
      <c r="AH200" s="234"/>
      <c r="AI200" s="234"/>
      <c r="AJ200" s="236">
        <f t="shared" si="6"/>
        <v>190000000</v>
      </c>
      <c r="AK200" s="299" t="s">
        <v>880</v>
      </c>
    </row>
    <row r="201" spans="1:45" s="224" customFormat="1" ht="85.9" customHeight="1">
      <c r="A201" s="228">
        <v>318</v>
      </c>
      <c r="B201" s="229" t="s">
        <v>872</v>
      </c>
      <c r="C201" s="228">
        <v>1</v>
      </c>
      <c r="D201" s="229" t="s">
        <v>143</v>
      </c>
      <c r="E201" s="228">
        <v>19</v>
      </c>
      <c r="F201" s="229" t="s">
        <v>262</v>
      </c>
      <c r="G201" s="228">
        <v>1905</v>
      </c>
      <c r="H201" s="229" t="s">
        <v>695</v>
      </c>
      <c r="I201" s="228">
        <v>1905</v>
      </c>
      <c r="J201" s="229" t="s">
        <v>936</v>
      </c>
      <c r="K201" s="229" t="s">
        <v>985</v>
      </c>
      <c r="L201" s="228" t="s">
        <v>50</v>
      </c>
      <c r="M201" s="229" t="s">
        <v>986</v>
      </c>
      <c r="N201" s="228">
        <v>1905015</v>
      </c>
      <c r="O201" s="229" t="s">
        <v>364</v>
      </c>
      <c r="P201" s="228" t="s">
        <v>50</v>
      </c>
      <c r="Q201" s="230" t="s">
        <v>987</v>
      </c>
      <c r="R201" s="253" t="s">
        <v>988</v>
      </c>
      <c r="S201" s="230" t="s">
        <v>237</v>
      </c>
      <c r="T201" s="232" t="s">
        <v>152</v>
      </c>
      <c r="U201" s="253">
        <v>2</v>
      </c>
      <c r="V201" s="253"/>
      <c r="W201" s="233">
        <f t="shared" si="7"/>
        <v>2</v>
      </c>
      <c r="X201" s="231">
        <v>2020003630128</v>
      </c>
      <c r="Y201" s="229" t="s">
        <v>989</v>
      </c>
      <c r="Z201" s="229" t="s">
        <v>990</v>
      </c>
      <c r="AA201" s="234"/>
      <c r="AB201" s="234"/>
      <c r="AC201" s="234">
        <f>96000000+100000000</f>
        <v>196000000</v>
      </c>
      <c r="AD201" s="234"/>
      <c r="AE201" s="234"/>
      <c r="AF201" s="234"/>
      <c r="AG201" s="247"/>
      <c r="AH201" s="234"/>
      <c r="AI201" s="234"/>
      <c r="AJ201" s="236">
        <f t="shared" si="6"/>
        <v>196000000</v>
      </c>
      <c r="AK201" s="299" t="s">
        <v>880</v>
      </c>
    </row>
    <row r="202" spans="1:45" s="224" customFormat="1" ht="85.9" customHeight="1">
      <c r="A202" s="228">
        <v>318</v>
      </c>
      <c r="B202" s="229" t="s">
        <v>872</v>
      </c>
      <c r="C202" s="228">
        <v>1</v>
      </c>
      <c r="D202" s="229" t="s">
        <v>143</v>
      </c>
      <c r="E202" s="228">
        <v>19</v>
      </c>
      <c r="F202" s="229" t="s">
        <v>262</v>
      </c>
      <c r="G202" s="228">
        <v>1905</v>
      </c>
      <c r="H202" s="229" t="s">
        <v>695</v>
      </c>
      <c r="I202" s="228">
        <v>1905</v>
      </c>
      <c r="J202" s="229" t="s">
        <v>936</v>
      </c>
      <c r="K202" s="229" t="s">
        <v>890</v>
      </c>
      <c r="L202" s="228">
        <v>1905014</v>
      </c>
      <c r="M202" s="229" t="s">
        <v>89</v>
      </c>
      <c r="N202" s="228">
        <v>1905014</v>
      </c>
      <c r="O202" s="229" t="s">
        <v>89</v>
      </c>
      <c r="P202" s="228">
        <v>190501400</v>
      </c>
      <c r="Q202" s="251" t="s">
        <v>529</v>
      </c>
      <c r="R202" s="228">
        <v>190501400</v>
      </c>
      <c r="S202" s="230" t="s">
        <v>529</v>
      </c>
      <c r="T202" s="253" t="s">
        <v>58</v>
      </c>
      <c r="U202" s="253">
        <v>12</v>
      </c>
      <c r="V202" s="253"/>
      <c r="W202" s="233">
        <f t="shared" si="7"/>
        <v>12</v>
      </c>
      <c r="X202" s="231">
        <v>2020003630129</v>
      </c>
      <c r="Y202" s="229" t="s">
        <v>991</v>
      </c>
      <c r="Z202" s="229" t="s">
        <v>992</v>
      </c>
      <c r="AA202" s="234"/>
      <c r="AB202" s="234"/>
      <c r="AC202" s="234">
        <v>54000000</v>
      </c>
      <c r="AD202" s="234"/>
      <c r="AE202" s="234"/>
      <c r="AF202" s="234"/>
      <c r="AG202" s="247"/>
      <c r="AH202" s="234"/>
      <c r="AI202" s="234"/>
      <c r="AJ202" s="236">
        <f t="shared" si="6"/>
        <v>54000000</v>
      </c>
      <c r="AK202" s="299" t="s">
        <v>880</v>
      </c>
    </row>
    <row r="203" spans="1:45" s="224" customFormat="1" ht="85.9" customHeight="1">
      <c r="A203" s="228">
        <v>318</v>
      </c>
      <c r="B203" s="229" t="s">
        <v>872</v>
      </c>
      <c r="C203" s="228">
        <v>1</v>
      </c>
      <c r="D203" s="229" t="s">
        <v>143</v>
      </c>
      <c r="E203" s="228">
        <v>19</v>
      </c>
      <c r="F203" s="229" t="s">
        <v>262</v>
      </c>
      <c r="G203" s="228">
        <v>1905</v>
      </c>
      <c r="H203" s="229" t="s">
        <v>695</v>
      </c>
      <c r="I203" s="228">
        <v>1905</v>
      </c>
      <c r="J203" s="229" t="s">
        <v>936</v>
      </c>
      <c r="K203" s="229" t="s">
        <v>918</v>
      </c>
      <c r="L203" s="228">
        <v>1905015</v>
      </c>
      <c r="M203" s="229" t="s">
        <v>235</v>
      </c>
      <c r="N203" s="228">
        <v>1905015</v>
      </c>
      <c r="O203" s="229" t="s">
        <v>235</v>
      </c>
      <c r="P203" s="228">
        <v>190501503</v>
      </c>
      <c r="Q203" s="230" t="s">
        <v>993</v>
      </c>
      <c r="R203" s="228">
        <v>190501503</v>
      </c>
      <c r="S203" s="230" t="s">
        <v>993</v>
      </c>
      <c r="T203" s="253" t="s">
        <v>58</v>
      </c>
      <c r="U203" s="253">
        <v>15</v>
      </c>
      <c r="V203" s="253"/>
      <c r="W203" s="233">
        <f t="shared" si="7"/>
        <v>15</v>
      </c>
      <c r="X203" s="231">
        <v>2020003630133</v>
      </c>
      <c r="Y203" s="306" t="s">
        <v>994</v>
      </c>
      <c r="Z203" s="229" t="s">
        <v>995</v>
      </c>
      <c r="AA203" s="234"/>
      <c r="AB203" s="234"/>
      <c r="AC203" s="234">
        <v>430165182</v>
      </c>
      <c r="AD203" s="234"/>
      <c r="AE203" s="234"/>
      <c r="AF203" s="234"/>
      <c r="AG203" s="247">
        <v>150000000</v>
      </c>
      <c r="AH203" s="234"/>
      <c r="AI203" s="234"/>
      <c r="AJ203" s="236">
        <f t="shared" si="6"/>
        <v>580165182</v>
      </c>
      <c r="AK203" s="299" t="s">
        <v>880</v>
      </c>
    </row>
    <row r="204" spans="1:45" s="224" customFormat="1" ht="85.9" customHeight="1">
      <c r="A204" s="228">
        <v>318</v>
      </c>
      <c r="B204" s="229" t="s">
        <v>872</v>
      </c>
      <c r="C204" s="228">
        <v>1</v>
      </c>
      <c r="D204" s="229" t="s">
        <v>143</v>
      </c>
      <c r="E204" s="228">
        <v>19</v>
      </c>
      <c r="F204" s="229" t="s">
        <v>262</v>
      </c>
      <c r="G204" s="228">
        <v>1905</v>
      </c>
      <c r="H204" s="229" t="s">
        <v>695</v>
      </c>
      <c r="I204" s="228">
        <v>1905</v>
      </c>
      <c r="J204" s="229" t="s">
        <v>936</v>
      </c>
      <c r="K204" s="229" t="s">
        <v>996</v>
      </c>
      <c r="L204" s="228" t="s">
        <v>50</v>
      </c>
      <c r="M204" s="229" t="s">
        <v>997</v>
      </c>
      <c r="N204" s="228">
        <v>1905009</v>
      </c>
      <c r="O204" s="229" t="s">
        <v>998</v>
      </c>
      <c r="P204" s="228" t="s">
        <v>50</v>
      </c>
      <c r="Q204" s="230" t="s">
        <v>999</v>
      </c>
      <c r="R204" s="228" t="s">
        <v>1000</v>
      </c>
      <c r="S204" s="230" t="s">
        <v>1001</v>
      </c>
      <c r="T204" s="253" t="s">
        <v>58</v>
      </c>
      <c r="U204" s="253">
        <v>1</v>
      </c>
      <c r="V204" s="253"/>
      <c r="W204" s="233">
        <f t="shared" si="7"/>
        <v>1</v>
      </c>
      <c r="X204" s="231">
        <v>2020003630134</v>
      </c>
      <c r="Y204" s="306" t="s">
        <v>1002</v>
      </c>
      <c r="Z204" s="229" t="s">
        <v>1003</v>
      </c>
      <c r="AA204" s="234"/>
      <c r="AB204" s="234"/>
      <c r="AC204" s="234"/>
      <c r="AD204" s="234"/>
      <c r="AE204" s="234"/>
      <c r="AF204" s="234"/>
      <c r="AG204" s="247">
        <v>400000000</v>
      </c>
      <c r="AH204" s="234"/>
      <c r="AI204" s="234"/>
      <c r="AJ204" s="236">
        <f t="shared" si="6"/>
        <v>400000000</v>
      </c>
      <c r="AK204" s="299" t="s">
        <v>880</v>
      </c>
      <c r="AL204" s="305"/>
      <c r="AM204" s="305"/>
      <c r="AN204" s="305"/>
      <c r="AO204" s="305"/>
      <c r="AP204" s="305"/>
      <c r="AQ204" s="305"/>
      <c r="AR204" s="305"/>
      <c r="AS204" s="305"/>
    </row>
    <row r="205" spans="1:45" s="224" customFormat="1" ht="85.9" customHeight="1">
      <c r="A205" s="228">
        <v>318</v>
      </c>
      <c r="B205" s="229" t="s">
        <v>872</v>
      </c>
      <c r="C205" s="228">
        <v>1</v>
      </c>
      <c r="D205" s="229" t="s">
        <v>143</v>
      </c>
      <c r="E205" s="228">
        <v>19</v>
      </c>
      <c r="F205" s="229" t="s">
        <v>262</v>
      </c>
      <c r="G205" s="228">
        <v>1905</v>
      </c>
      <c r="H205" s="229" t="s">
        <v>695</v>
      </c>
      <c r="I205" s="228">
        <v>1905</v>
      </c>
      <c r="J205" s="229" t="s">
        <v>936</v>
      </c>
      <c r="K205" s="230" t="s">
        <v>887</v>
      </c>
      <c r="L205" s="228">
        <v>1905031</v>
      </c>
      <c r="M205" s="229" t="s">
        <v>941</v>
      </c>
      <c r="N205" s="279">
        <v>1905031</v>
      </c>
      <c r="O205" s="229" t="s">
        <v>941</v>
      </c>
      <c r="P205" s="279">
        <v>190503100</v>
      </c>
      <c r="Q205" s="230" t="s">
        <v>942</v>
      </c>
      <c r="R205" s="228">
        <v>190503100</v>
      </c>
      <c r="S205" s="230" t="s">
        <v>942</v>
      </c>
      <c r="T205" s="253" t="s">
        <v>58</v>
      </c>
      <c r="U205" s="253">
        <v>12</v>
      </c>
      <c r="V205" s="253"/>
      <c r="W205" s="233">
        <f t="shared" si="7"/>
        <v>12</v>
      </c>
      <c r="X205" s="231">
        <v>2020003630135</v>
      </c>
      <c r="Y205" s="306" t="s">
        <v>1004</v>
      </c>
      <c r="Z205" s="251" t="s">
        <v>1005</v>
      </c>
      <c r="AA205" s="234"/>
      <c r="AB205" s="234"/>
      <c r="AC205" s="234">
        <v>1622896500</v>
      </c>
      <c r="AD205" s="234"/>
      <c r="AE205" s="234"/>
      <c r="AF205" s="234"/>
      <c r="AG205" s="247"/>
      <c r="AH205" s="234"/>
      <c r="AI205" s="234"/>
      <c r="AJ205" s="236">
        <f t="shared" si="6"/>
        <v>1622896500</v>
      </c>
      <c r="AK205" s="299" t="s">
        <v>880</v>
      </c>
      <c r="AL205" s="305"/>
      <c r="AM205" s="305"/>
      <c r="AN205" s="305"/>
      <c r="AO205" s="305"/>
      <c r="AP205" s="305"/>
      <c r="AQ205" s="305"/>
      <c r="AR205" s="305"/>
      <c r="AS205" s="305"/>
    </row>
    <row r="206" spans="1:45" s="224" customFormat="1" ht="85.9" customHeight="1">
      <c r="A206" s="228">
        <v>318</v>
      </c>
      <c r="B206" s="229" t="s">
        <v>872</v>
      </c>
      <c r="C206" s="228">
        <v>1</v>
      </c>
      <c r="D206" s="229" t="s">
        <v>143</v>
      </c>
      <c r="E206" s="228">
        <v>19</v>
      </c>
      <c r="F206" s="229" t="s">
        <v>262</v>
      </c>
      <c r="G206" s="228">
        <v>1906</v>
      </c>
      <c r="H206" s="229" t="s">
        <v>1006</v>
      </c>
      <c r="I206" s="228">
        <v>1906</v>
      </c>
      <c r="J206" s="229" t="s">
        <v>1007</v>
      </c>
      <c r="K206" s="229" t="s">
        <v>1008</v>
      </c>
      <c r="L206" s="228" t="s">
        <v>50</v>
      </c>
      <c r="M206" s="229" t="s">
        <v>1009</v>
      </c>
      <c r="N206" s="228">
        <v>1906023</v>
      </c>
      <c r="O206" s="229" t="s">
        <v>1010</v>
      </c>
      <c r="P206" s="228" t="s">
        <v>50</v>
      </c>
      <c r="Q206" s="251" t="s">
        <v>1011</v>
      </c>
      <c r="R206" s="228">
        <v>190602300</v>
      </c>
      <c r="S206" s="230" t="s">
        <v>1012</v>
      </c>
      <c r="T206" s="253" t="s">
        <v>58</v>
      </c>
      <c r="U206" s="253">
        <v>19899</v>
      </c>
      <c r="V206" s="253"/>
      <c r="W206" s="233">
        <f t="shared" si="7"/>
        <v>19899</v>
      </c>
      <c r="X206" s="231">
        <v>2020003630136</v>
      </c>
      <c r="Y206" s="306" t="s">
        <v>1013</v>
      </c>
      <c r="Z206" s="229" t="s">
        <v>1014</v>
      </c>
      <c r="AA206" s="234"/>
      <c r="AB206" s="234"/>
      <c r="AC206" s="234"/>
      <c r="AD206" s="247">
        <f>43270329100</f>
        <v>43270329100</v>
      </c>
      <c r="AE206" s="234"/>
      <c r="AF206" s="234"/>
      <c r="AG206" s="301">
        <v>2943616443.3899999</v>
      </c>
      <c r="AH206" s="234"/>
      <c r="AI206" s="234"/>
      <c r="AJ206" s="236">
        <f t="shared" si="6"/>
        <v>46213945543.389999</v>
      </c>
      <c r="AK206" s="299" t="s">
        <v>880</v>
      </c>
    </row>
    <row r="207" spans="1:45" s="224" customFormat="1" ht="85.9" customHeight="1">
      <c r="A207" s="228">
        <v>318</v>
      </c>
      <c r="B207" s="229" t="s">
        <v>872</v>
      </c>
      <c r="C207" s="228">
        <v>1</v>
      </c>
      <c r="D207" s="229" t="s">
        <v>143</v>
      </c>
      <c r="E207" s="228">
        <v>19</v>
      </c>
      <c r="F207" s="229" t="s">
        <v>262</v>
      </c>
      <c r="G207" s="228">
        <v>1906</v>
      </c>
      <c r="H207" s="229" t="s">
        <v>1006</v>
      </c>
      <c r="I207" s="228">
        <v>1906</v>
      </c>
      <c r="J207" s="229" t="s">
        <v>1007</v>
      </c>
      <c r="K207" s="230" t="s">
        <v>915</v>
      </c>
      <c r="L207" s="228" t="s">
        <v>50</v>
      </c>
      <c r="M207" s="229" t="s">
        <v>1015</v>
      </c>
      <c r="N207" s="228">
        <v>1906023</v>
      </c>
      <c r="O207" s="229" t="s">
        <v>1010</v>
      </c>
      <c r="P207" s="228" t="s">
        <v>50</v>
      </c>
      <c r="Q207" s="230" t="s">
        <v>1016</v>
      </c>
      <c r="R207" s="253">
        <v>190602301</v>
      </c>
      <c r="S207" s="230" t="s">
        <v>1017</v>
      </c>
      <c r="T207" s="253" t="s">
        <v>58</v>
      </c>
      <c r="U207" s="253">
        <v>60</v>
      </c>
      <c r="V207" s="253"/>
      <c r="W207" s="233">
        <f t="shared" si="7"/>
        <v>60</v>
      </c>
      <c r="X207" s="231">
        <v>2020003630137</v>
      </c>
      <c r="Y207" s="251" t="s">
        <v>1018</v>
      </c>
      <c r="Z207" s="229" t="s">
        <v>1019</v>
      </c>
      <c r="AA207" s="234"/>
      <c r="AB207" s="234">
        <v>50000000</v>
      </c>
      <c r="AC207" s="234"/>
      <c r="AD207" s="247">
        <v>2168924867.9899998</v>
      </c>
      <c r="AE207" s="234"/>
      <c r="AF207" s="234"/>
      <c r="AG207" s="247"/>
      <c r="AH207" s="234"/>
      <c r="AI207" s="234">
        <v>2755000000</v>
      </c>
      <c r="AJ207" s="236">
        <f t="shared" si="6"/>
        <v>4973924867.9899998</v>
      </c>
      <c r="AK207" s="299" t="s">
        <v>880</v>
      </c>
    </row>
    <row r="208" spans="1:45" s="224" customFormat="1" ht="85.9" customHeight="1">
      <c r="A208" s="228">
        <v>318</v>
      </c>
      <c r="B208" s="229" t="s">
        <v>872</v>
      </c>
      <c r="C208" s="228">
        <v>1</v>
      </c>
      <c r="D208" s="229" t="s">
        <v>143</v>
      </c>
      <c r="E208" s="228">
        <v>19</v>
      </c>
      <c r="F208" s="229" t="s">
        <v>262</v>
      </c>
      <c r="G208" s="228">
        <v>1906</v>
      </c>
      <c r="H208" s="229" t="s">
        <v>1006</v>
      </c>
      <c r="I208" s="228">
        <v>1906</v>
      </c>
      <c r="J208" s="229" t="s">
        <v>1007</v>
      </c>
      <c r="K208" s="229" t="s">
        <v>1008</v>
      </c>
      <c r="L208" s="228" t="s">
        <v>50</v>
      </c>
      <c r="M208" s="229" t="s">
        <v>1020</v>
      </c>
      <c r="N208" s="228">
        <v>1906025</v>
      </c>
      <c r="O208" s="229" t="s">
        <v>1021</v>
      </c>
      <c r="P208" s="228" t="s">
        <v>50</v>
      </c>
      <c r="Q208" s="230" t="s">
        <v>1022</v>
      </c>
      <c r="R208" s="228">
        <v>190602500</v>
      </c>
      <c r="S208" s="230" t="s">
        <v>1023</v>
      </c>
      <c r="T208" s="253" t="s">
        <v>58</v>
      </c>
      <c r="U208" s="253">
        <v>100</v>
      </c>
      <c r="V208" s="253"/>
      <c r="W208" s="233">
        <f t="shared" si="7"/>
        <v>100</v>
      </c>
      <c r="X208" s="231">
        <v>2020003630137</v>
      </c>
      <c r="Y208" s="306" t="s">
        <v>1018</v>
      </c>
      <c r="Z208" s="229" t="s">
        <v>1019</v>
      </c>
      <c r="AA208" s="234"/>
      <c r="AB208" s="234"/>
      <c r="AC208" s="234">
        <f>2149092000+33471834.84</f>
        <v>2182563834.8400002</v>
      </c>
      <c r="AD208" s="234">
        <v>5931674500</v>
      </c>
      <c r="AE208" s="234"/>
      <c r="AF208" s="234"/>
      <c r="AG208" s="247"/>
      <c r="AH208" s="234"/>
      <c r="AI208" s="234"/>
      <c r="AJ208" s="236">
        <f t="shared" si="6"/>
        <v>8114238334.8400002</v>
      </c>
      <c r="AK208" s="299" t="s">
        <v>880</v>
      </c>
    </row>
    <row r="209" spans="1:37" s="224" customFormat="1" ht="85.9" customHeight="1">
      <c r="A209" s="228">
        <v>318</v>
      </c>
      <c r="B209" s="229" t="s">
        <v>872</v>
      </c>
      <c r="C209" s="228">
        <v>1</v>
      </c>
      <c r="D209" s="229" t="s">
        <v>143</v>
      </c>
      <c r="E209" s="228">
        <v>19</v>
      </c>
      <c r="F209" s="229" t="s">
        <v>262</v>
      </c>
      <c r="G209" s="228">
        <v>1906</v>
      </c>
      <c r="H209" s="229" t="s">
        <v>1006</v>
      </c>
      <c r="I209" s="228">
        <v>1906</v>
      </c>
      <c r="J209" s="229" t="s">
        <v>1007</v>
      </c>
      <c r="K209" s="229" t="s">
        <v>1024</v>
      </c>
      <c r="L209" s="228">
        <v>1906029</v>
      </c>
      <c r="M209" s="229" t="s">
        <v>1025</v>
      </c>
      <c r="N209" s="228">
        <v>1906029</v>
      </c>
      <c r="O209" s="229" t="s">
        <v>1025</v>
      </c>
      <c r="P209" s="253">
        <v>190602900</v>
      </c>
      <c r="Q209" s="230" t="s">
        <v>1026</v>
      </c>
      <c r="R209" s="253">
        <v>190602900</v>
      </c>
      <c r="S209" s="230" t="s">
        <v>1026</v>
      </c>
      <c r="T209" s="253" t="s">
        <v>58</v>
      </c>
      <c r="U209" s="253">
        <v>40</v>
      </c>
      <c r="V209" s="253"/>
      <c r="W209" s="233">
        <f t="shared" si="7"/>
        <v>40</v>
      </c>
      <c r="X209" s="231">
        <v>2020003630138</v>
      </c>
      <c r="Y209" s="306" t="s">
        <v>1027</v>
      </c>
      <c r="Z209" s="229" t="s">
        <v>1028</v>
      </c>
      <c r="AA209" s="234"/>
      <c r="AB209" s="234">
        <v>600000000</v>
      </c>
      <c r="AC209" s="234"/>
      <c r="AD209" s="234"/>
      <c r="AE209" s="234"/>
      <c r="AF209" s="234"/>
      <c r="AG209" s="247">
        <v>50000000</v>
      </c>
      <c r="AH209" s="234"/>
      <c r="AI209" s="234"/>
      <c r="AJ209" s="236">
        <f t="shared" si="6"/>
        <v>650000000</v>
      </c>
      <c r="AK209" s="299" t="s">
        <v>880</v>
      </c>
    </row>
    <row r="210" spans="1:37" s="224" customFormat="1" ht="85.9" customHeight="1">
      <c r="A210" s="228">
        <v>318</v>
      </c>
      <c r="B210" s="229" t="s">
        <v>872</v>
      </c>
      <c r="C210" s="228">
        <v>1</v>
      </c>
      <c r="D210" s="229" t="s">
        <v>143</v>
      </c>
      <c r="E210" s="228">
        <v>19</v>
      </c>
      <c r="F210" s="229" t="s">
        <v>262</v>
      </c>
      <c r="G210" s="228">
        <v>1906</v>
      </c>
      <c r="H210" s="229" t="s">
        <v>1006</v>
      </c>
      <c r="I210" s="228">
        <v>1906</v>
      </c>
      <c r="J210" s="229" t="s">
        <v>1007</v>
      </c>
      <c r="K210" s="229" t="s">
        <v>1008</v>
      </c>
      <c r="L210" s="228" t="s">
        <v>50</v>
      </c>
      <c r="M210" s="229" t="s">
        <v>1015</v>
      </c>
      <c r="N210" s="228">
        <v>1906023</v>
      </c>
      <c r="O210" s="229" t="s">
        <v>1029</v>
      </c>
      <c r="P210" s="228" t="s">
        <v>50</v>
      </c>
      <c r="Q210" s="230" t="s">
        <v>1030</v>
      </c>
      <c r="R210" s="253">
        <v>190602301</v>
      </c>
      <c r="S210" s="230" t="s">
        <v>1017</v>
      </c>
      <c r="T210" s="253" t="s">
        <v>58</v>
      </c>
      <c r="U210" s="253">
        <v>40</v>
      </c>
      <c r="V210" s="253"/>
      <c r="W210" s="233">
        <f t="shared" si="7"/>
        <v>40</v>
      </c>
      <c r="X210" s="231">
        <v>2020003630138</v>
      </c>
      <c r="Y210" s="306" t="s">
        <v>1027</v>
      </c>
      <c r="Z210" s="229" t="s">
        <v>1028</v>
      </c>
      <c r="AA210" s="234"/>
      <c r="AB210" s="234"/>
      <c r="AC210" s="234"/>
      <c r="AD210" s="234"/>
      <c r="AE210" s="234"/>
      <c r="AF210" s="234"/>
      <c r="AG210" s="247"/>
      <c r="AH210" s="234"/>
      <c r="AI210" s="234">
        <v>617789000</v>
      </c>
      <c r="AJ210" s="236">
        <f t="shared" si="6"/>
        <v>617789000</v>
      </c>
      <c r="AK210" s="299" t="s">
        <v>880</v>
      </c>
    </row>
    <row r="211" spans="1:37" s="224" customFormat="1" ht="85.9" customHeight="1">
      <c r="A211" s="228">
        <v>318</v>
      </c>
      <c r="B211" s="229" t="s">
        <v>872</v>
      </c>
      <c r="C211" s="228">
        <v>1</v>
      </c>
      <c r="D211" s="229" t="s">
        <v>143</v>
      </c>
      <c r="E211" s="228">
        <v>19</v>
      </c>
      <c r="F211" s="229" t="s">
        <v>262</v>
      </c>
      <c r="G211" s="228">
        <v>1903</v>
      </c>
      <c r="H211" s="229" t="s">
        <v>263</v>
      </c>
      <c r="I211" s="228">
        <v>1903</v>
      </c>
      <c r="J211" s="229" t="s">
        <v>264</v>
      </c>
      <c r="K211" s="229" t="s">
        <v>933</v>
      </c>
      <c r="L211" s="228">
        <v>1903015</v>
      </c>
      <c r="M211" s="229" t="s">
        <v>1031</v>
      </c>
      <c r="N211" s="228">
        <v>1903015</v>
      </c>
      <c r="O211" s="229" t="s">
        <v>1031</v>
      </c>
      <c r="P211" s="253">
        <v>190301500</v>
      </c>
      <c r="Q211" s="251" t="s">
        <v>1032</v>
      </c>
      <c r="R211" s="253">
        <v>190301500</v>
      </c>
      <c r="S211" s="230" t="s">
        <v>1032</v>
      </c>
      <c r="T211" s="253" t="s">
        <v>58</v>
      </c>
      <c r="U211" s="253">
        <v>12</v>
      </c>
      <c r="V211" s="253"/>
      <c r="W211" s="233">
        <f t="shared" si="7"/>
        <v>12</v>
      </c>
      <c r="X211" s="231">
        <v>2020003630117</v>
      </c>
      <c r="Y211" s="229" t="s">
        <v>908</v>
      </c>
      <c r="Z211" s="229" t="s">
        <v>909</v>
      </c>
      <c r="AA211" s="234"/>
      <c r="AB211" s="234"/>
      <c r="AC211" s="234">
        <v>189393318</v>
      </c>
      <c r="AD211" s="234"/>
      <c r="AE211" s="234"/>
      <c r="AF211" s="234"/>
      <c r="AG211" s="247"/>
      <c r="AH211" s="234"/>
      <c r="AI211" s="234"/>
      <c r="AJ211" s="236">
        <f t="shared" si="6"/>
        <v>189393318</v>
      </c>
      <c r="AK211" s="299" t="s">
        <v>880</v>
      </c>
    </row>
    <row r="212" spans="1:37" s="224" customFormat="1" ht="85.9" customHeight="1">
      <c r="A212" s="228">
        <v>318</v>
      </c>
      <c r="B212" s="229" t="s">
        <v>872</v>
      </c>
      <c r="C212" s="228">
        <v>1</v>
      </c>
      <c r="D212" s="229" t="s">
        <v>143</v>
      </c>
      <c r="E212" s="228">
        <v>19</v>
      </c>
      <c r="F212" s="229" t="s">
        <v>262</v>
      </c>
      <c r="G212" s="228">
        <v>1905</v>
      </c>
      <c r="H212" s="229" t="s">
        <v>695</v>
      </c>
      <c r="I212" s="228">
        <v>1905</v>
      </c>
      <c r="J212" s="229" t="s">
        <v>936</v>
      </c>
      <c r="K212" s="229" t="s">
        <v>933</v>
      </c>
      <c r="L212" s="228" t="s">
        <v>50</v>
      </c>
      <c r="M212" s="229" t="s">
        <v>1033</v>
      </c>
      <c r="N212" s="228">
        <v>1905015</v>
      </c>
      <c r="O212" s="229" t="s">
        <v>235</v>
      </c>
      <c r="P212" s="228" t="s">
        <v>50</v>
      </c>
      <c r="Q212" s="230" t="s">
        <v>1034</v>
      </c>
      <c r="R212" s="228" t="s">
        <v>1035</v>
      </c>
      <c r="S212" s="230" t="s">
        <v>1036</v>
      </c>
      <c r="T212" s="253" t="s">
        <v>58</v>
      </c>
      <c r="U212" s="253">
        <v>1</v>
      </c>
      <c r="V212" s="253"/>
      <c r="W212" s="233">
        <f t="shared" si="7"/>
        <v>1</v>
      </c>
      <c r="X212" s="231">
        <v>2020003630125</v>
      </c>
      <c r="Y212" s="229" t="s">
        <v>972</v>
      </c>
      <c r="Z212" s="229" t="s">
        <v>973</v>
      </c>
      <c r="AA212" s="234"/>
      <c r="AB212" s="234"/>
      <c r="AC212" s="247">
        <v>60000000</v>
      </c>
      <c r="AD212" s="234"/>
      <c r="AE212" s="234"/>
      <c r="AF212" s="234"/>
      <c r="AG212" s="247"/>
      <c r="AH212" s="234"/>
      <c r="AI212" s="234"/>
      <c r="AJ212" s="236">
        <f t="shared" si="6"/>
        <v>60000000</v>
      </c>
      <c r="AK212" s="299" t="s">
        <v>880</v>
      </c>
    </row>
    <row r="213" spans="1:37" s="224" customFormat="1" ht="85.9" customHeight="1">
      <c r="A213" s="228">
        <v>318</v>
      </c>
      <c r="B213" s="229" t="s">
        <v>872</v>
      </c>
      <c r="C213" s="228">
        <v>1</v>
      </c>
      <c r="D213" s="229" t="s">
        <v>143</v>
      </c>
      <c r="E213" s="228">
        <v>19</v>
      </c>
      <c r="F213" s="229" t="s">
        <v>262</v>
      </c>
      <c r="G213" s="228">
        <v>1905</v>
      </c>
      <c r="H213" s="229" t="s">
        <v>695</v>
      </c>
      <c r="I213" s="228">
        <v>1905</v>
      </c>
      <c r="J213" s="229" t="s">
        <v>936</v>
      </c>
      <c r="K213" s="229" t="s">
        <v>1037</v>
      </c>
      <c r="L213" s="228">
        <v>1905023</v>
      </c>
      <c r="M213" s="229" t="s">
        <v>1038</v>
      </c>
      <c r="N213" s="228">
        <v>1905023</v>
      </c>
      <c r="O213" s="229" t="s">
        <v>1038</v>
      </c>
      <c r="P213" s="253">
        <v>190502300</v>
      </c>
      <c r="Q213" s="230" t="s">
        <v>1039</v>
      </c>
      <c r="R213" s="253">
        <v>190502300</v>
      </c>
      <c r="S213" s="230" t="s">
        <v>1039</v>
      </c>
      <c r="T213" s="253" t="s">
        <v>58</v>
      </c>
      <c r="U213" s="253">
        <v>12</v>
      </c>
      <c r="V213" s="253"/>
      <c r="W213" s="233">
        <f t="shared" si="7"/>
        <v>12</v>
      </c>
      <c r="X213" s="231">
        <v>2020003630126</v>
      </c>
      <c r="Y213" s="251" t="s">
        <v>974</v>
      </c>
      <c r="Z213" s="229" t="s">
        <v>975</v>
      </c>
      <c r="AA213" s="234"/>
      <c r="AB213" s="234"/>
      <c r="AC213" s="247">
        <v>108000000</v>
      </c>
      <c r="AD213" s="234"/>
      <c r="AE213" s="234"/>
      <c r="AF213" s="234"/>
      <c r="AG213" s="247"/>
      <c r="AH213" s="234"/>
      <c r="AI213" s="234"/>
      <c r="AJ213" s="236">
        <f t="shared" si="6"/>
        <v>108000000</v>
      </c>
      <c r="AK213" s="299" t="s">
        <v>880</v>
      </c>
    </row>
    <row r="214" spans="1:37" s="224" customFormat="1" ht="126" customHeight="1">
      <c r="A214" s="228">
        <v>318</v>
      </c>
      <c r="B214" s="229" t="s">
        <v>872</v>
      </c>
      <c r="C214" s="228">
        <v>1</v>
      </c>
      <c r="D214" s="229" t="s">
        <v>143</v>
      </c>
      <c r="E214" s="228">
        <v>19</v>
      </c>
      <c r="F214" s="229" t="s">
        <v>262</v>
      </c>
      <c r="G214" s="228">
        <v>1905</v>
      </c>
      <c r="H214" s="229" t="s">
        <v>695</v>
      </c>
      <c r="I214" s="228">
        <v>1905</v>
      </c>
      <c r="J214" s="229" t="s">
        <v>936</v>
      </c>
      <c r="K214" s="229" t="s">
        <v>980</v>
      </c>
      <c r="L214" s="228">
        <v>1905026</v>
      </c>
      <c r="M214" s="229" t="s">
        <v>981</v>
      </c>
      <c r="N214" s="228">
        <v>1905026</v>
      </c>
      <c r="O214" s="229" t="s">
        <v>981</v>
      </c>
      <c r="P214" s="253">
        <v>190502600</v>
      </c>
      <c r="Q214" s="230" t="s">
        <v>982</v>
      </c>
      <c r="R214" s="253">
        <v>190502600</v>
      </c>
      <c r="S214" s="230" t="s">
        <v>982</v>
      </c>
      <c r="T214" s="232" t="s">
        <v>58</v>
      </c>
      <c r="U214" s="228">
        <v>12</v>
      </c>
      <c r="V214" s="228"/>
      <c r="W214" s="233">
        <f t="shared" si="7"/>
        <v>12</v>
      </c>
      <c r="X214" s="231">
        <v>2020003630128</v>
      </c>
      <c r="Y214" s="229" t="s">
        <v>989</v>
      </c>
      <c r="Z214" s="229" t="s">
        <v>990</v>
      </c>
      <c r="AA214" s="234"/>
      <c r="AB214" s="234"/>
      <c r="AC214" s="234">
        <f>94000000+507177114.53</f>
        <v>601177114.52999997</v>
      </c>
      <c r="AD214" s="234"/>
      <c r="AE214" s="234"/>
      <c r="AF214" s="234"/>
      <c r="AG214" s="234">
        <v>150000000</v>
      </c>
      <c r="AH214" s="234"/>
      <c r="AI214" s="234">
        <v>333000000</v>
      </c>
      <c r="AJ214" s="236">
        <f t="shared" si="6"/>
        <v>1084177114.53</v>
      </c>
      <c r="AK214" s="299" t="s">
        <v>880</v>
      </c>
    </row>
    <row r="215" spans="1:37" s="224" customFormat="1" ht="123" customHeight="1">
      <c r="A215" s="228">
        <v>318</v>
      </c>
      <c r="B215" s="229" t="s">
        <v>872</v>
      </c>
      <c r="C215" s="228">
        <v>1</v>
      </c>
      <c r="D215" s="229" t="s">
        <v>143</v>
      </c>
      <c r="E215" s="228">
        <v>19</v>
      </c>
      <c r="F215" s="229" t="s">
        <v>262</v>
      </c>
      <c r="G215" s="228">
        <v>1905</v>
      </c>
      <c r="H215" s="229" t="s">
        <v>695</v>
      </c>
      <c r="I215" s="228">
        <v>1905</v>
      </c>
      <c r="J215" s="229" t="s">
        <v>936</v>
      </c>
      <c r="K215" s="229" t="s">
        <v>980</v>
      </c>
      <c r="L215" s="253">
        <v>1905026</v>
      </c>
      <c r="M215" s="229" t="s">
        <v>1040</v>
      </c>
      <c r="N215" s="228">
        <v>1905026</v>
      </c>
      <c r="O215" s="229" t="s">
        <v>1040</v>
      </c>
      <c r="P215" s="253">
        <v>190502600</v>
      </c>
      <c r="Q215" s="230" t="s">
        <v>982</v>
      </c>
      <c r="R215" s="253">
        <v>190502600</v>
      </c>
      <c r="S215" s="230" t="s">
        <v>982</v>
      </c>
      <c r="T215" s="232" t="s">
        <v>58</v>
      </c>
      <c r="U215" s="228">
        <v>12</v>
      </c>
      <c r="V215" s="228"/>
      <c r="W215" s="233">
        <f t="shared" si="7"/>
        <v>12</v>
      </c>
      <c r="X215" s="231">
        <v>2020003630129</v>
      </c>
      <c r="Y215" s="229" t="s">
        <v>991</v>
      </c>
      <c r="Z215" s="229" t="s">
        <v>992</v>
      </c>
      <c r="AA215" s="234"/>
      <c r="AB215" s="234"/>
      <c r="AC215" s="234">
        <v>0</v>
      </c>
      <c r="AD215" s="234"/>
      <c r="AE215" s="234"/>
      <c r="AF215" s="234"/>
      <c r="AG215" s="247"/>
      <c r="AH215" s="234"/>
      <c r="AI215" s="234">
        <v>257500000</v>
      </c>
      <c r="AJ215" s="236">
        <f t="shared" si="6"/>
        <v>257500000</v>
      </c>
      <c r="AK215" s="299" t="s">
        <v>880</v>
      </c>
    </row>
    <row r="216" spans="1:37" s="224" customFormat="1" ht="85.9" customHeight="1">
      <c r="A216" s="228">
        <v>318</v>
      </c>
      <c r="B216" s="229" t="s">
        <v>872</v>
      </c>
      <c r="C216" s="228">
        <v>1</v>
      </c>
      <c r="D216" s="229" t="s">
        <v>143</v>
      </c>
      <c r="E216" s="228">
        <v>19</v>
      </c>
      <c r="F216" s="229" t="s">
        <v>262</v>
      </c>
      <c r="G216" s="228">
        <v>1905</v>
      </c>
      <c r="H216" s="229" t="s">
        <v>695</v>
      </c>
      <c r="I216" s="228">
        <v>1905</v>
      </c>
      <c r="J216" s="229" t="s">
        <v>936</v>
      </c>
      <c r="K216" s="229" t="s">
        <v>898</v>
      </c>
      <c r="L216" s="228">
        <v>1905029</v>
      </c>
      <c r="M216" s="229" t="s">
        <v>1041</v>
      </c>
      <c r="N216" s="228">
        <v>1905030</v>
      </c>
      <c r="O216" s="229" t="s">
        <v>1042</v>
      </c>
      <c r="P216" s="253">
        <v>190502900</v>
      </c>
      <c r="Q216" s="230" t="s">
        <v>1043</v>
      </c>
      <c r="R216" s="253">
        <v>190503000</v>
      </c>
      <c r="S216" s="230" t="s">
        <v>1043</v>
      </c>
      <c r="T216" s="253" t="s">
        <v>58</v>
      </c>
      <c r="U216" s="253">
        <v>60</v>
      </c>
      <c r="V216" s="253"/>
      <c r="W216" s="233">
        <f t="shared" si="7"/>
        <v>60</v>
      </c>
      <c r="X216" s="231">
        <v>2020003630131</v>
      </c>
      <c r="Y216" s="306" t="s">
        <v>1044</v>
      </c>
      <c r="Z216" s="229" t="s">
        <v>1045</v>
      </c>
      <c r="AA216" s="234"/>
      <c r="AB216" s="234"/>
      <c r="AC216" s="234">
        <v>24000000</v>
      </c>
      <c r="AD216" s="234"/>
      <c r="AE216" s="234"/>
      <c r="AF216" s="234"/>
      <c r="AG216" s="247"/>
      <c r="AH216" s="234"/>
      <c r="AI216" s="234"/>
      <c r="AJ216" s="236">
        <f t="shared" si="6"/>
        <v>24000000</v>
      </c>
      <c r="AK216" s="299" t="s">
        <v>880</v>
      </c>
    </row>
    <row r="217" spans="1:37" s="224" customFormat="1" ht="85.9" customHeight="1">
      <c r="A217" s="228">
        <v>318</v>
      </c>
      <c r="B217" s="229" t="s">
        <v>872</v>
      </c>
      <c r="C217" s="228">
        <v>1</v>
      </c>
      <c r="D217" s="229" t="s">
        <v>143</v>
      </c>
      <c r="E217" s="228">
        <v>19</v>
      </c>
      <c r="F217" s="229" t="s">
        <v>262</v>
      </c>
      <c r="G217" s="228">
        <v>1905</v>
      </c>
      <c r="H217" s="229" t="s">
        <v>695</v>
      </c>
      <c r="I217" s="228">
        <v>1905</v>
      </c>
      <c r="J217" s="229" t="s">
        <v>936</v>
      </c>
      <c r="K217" s="229" t="s">
        <v>1046</v>
      </c>
      <c r="L217" s="228">
        <v>1905025</v>
      </c>
      <c r="M217" s="229" t="s">
        <v>1047</v>
      </c>
      <c r="N217" s="228">
        <v>1905025</v>
      </c>
      <c r="O217" s="229" t="s">
        <v>1047</v>
      </c>
      <c r="P217" s="253">
        <v>190502500</v>
      </c>
      <c r="Q217" s="230" t="s">
        <v>1048</v>
      </c>
      <c r="R217" s="253">
        <v>190502500</v>
      </c>
      <c r="S217" s="230" t="s">
        <v>1048</v>
      </c>
      <c r="T217" s="253" t="s">
        <v>58</v>
      </c>
      <c r="U217" s="253">
        <v>12</v>
      </c>
      <c r="V217" s="253"/>
      <c r="W217" s="233">
        <f t="shared" si="7"/>
        <v>12</v>
      </c>
      <c r="X217" s="231">
        <v>2020003630132</v>
      </c>
      <c r="Y217" s="306" t="s">
        <v>1049</v>
      </c>
      <c r="Z217" s="229" t="s">
        <v>1050</v>
      </c>
      <c r="AA217" s="234"/>
      <c r="AB217" s="234"/>
      <c r="AC217" s="234">
        <v>102000000</v>
      </c>
      <c r="AD217" s="234"/>
      <c r="AE217" s="234"/>
      <c r="AF217" s="234"/>
      <c r="AG217" s="247"/>
      <c r="AH217" s="234"/>
      <c r="AI217" s="234"/>
      <c r="AJ217" s="236">
        <f t="shared" si="6"/>
        <v>102000000</v>
      </c>
      <c r="AK217" s="299" t="s">
        <v>880</v>
      </c>
    </row>
    <row r="218" spans="1:37" s="224" customFormat="1" ht="85.9" customHeight="1">
      <c r="A218" s="228">
        <v>324</v>
      </c>
      <c r="B218" s="229" t="s">
        <v>1051</v>
      </c>
      <c r="C218" s="228">
        <v>1</v>
      </c>
      <c r="D218" s="229" t="s">
        <v>143</v>
      </c>
      <c r="E218" s="228">
        <v>23</v>
      </c>
      <c r="F218" s="229" t="s">
        <v>1052</v>
      </c>
      <c r="G218" s="228">
        <v>2301</v>
      </c>
      <c r="H218" s="229" t="s">
        <v>1053</v>
      </c>
      <c r="I218" s="228">
        <v>2301</v>
      </c>
      <c r="J218" s="229" t="s">
        <v>1054</v>
      </c>
      <c r="K218" s="229" t="s">
        <v>1055</v>
      </c>
      <c r="L218" s="228">
        <v>2301024</v>
      </c>
      <c r="M218" s="229" t="s">
        <v>1056</v>
      </c>
      <c r="N218" s="228">
        <v>2301024</v>
      </c>
      <c r="O218" s="229" t="s">
        <v>1056</v>
      </c>
      <c r="P218" s="253">
        <v>230102401</v>
      </c>
      <c r="Q218" s="230" t="s">
        <v>1057</v>
      </c>
      <c r="R218" s="253">
        <v>230102401</v>
      </c>
      <c r="S218" s="230" t="s">
        <v>1057</v>
      </c>
      <c r="T218" s="232" t="s">
        <v>58</v>
      </c>
      <c r="U218" s="253">
        <v>15</v>
      </c>
      <c r="V218" s="253"/>
      <c r="W218" s="233">
        <f t="shared" si="7"/>
        <v>15</v>
      </c>
      <c r="X218" s="231">
        <v>2020003630038</v>
      </c>
      <c r="Y218" s="306" t="s">
        <v>1058</v>
      </c>
      <c r="Z218" s="229" t="s">
        <v>1059</v>
      </c>
      <c r="AA218" s="234"/>
      <c r="AB218" s="234"/>
      <c r="AC218" s="234"/>
      <c r="AD218" s="234"/>
      <c r="AE218" s="234"/>
      <c r="AF218" s="234"/>
      <c r="AG218" s="234">
        <v>50000000</v>
      </c>
      <c r="AH218" s="234"/>
      <c r="AI218" s="234"/>
      <c r="AJ218" s="236">
        <f t="shared" ref="AJ218:AJ259" si="8">SUM(AA218,AB218,AC218,AD218,AE218,AF218,AG218,AH218,AI218)</f>
        <v>50000000</v>
      </c>
      <c r="AK218" s="299" t="s">
        <v>1060</v>
      </c>
    </row>
    <row r="219" spans="1:37" s="224" customFormat="1" ht="85.9" customHeight="1">
      <c r="A219" s="228">
        <v>324</v>
      </c>
      <c r="B219" s="229" t="s">
        <v>1051</v>
      </c>
      <c r="C219" s="228">
        <v>1</v>
      </c>
      <c r="D219" s="229" t="s">
        <v>143</v>
      </c>
      <c r="E219" s="228">
        <v>23</v>
      </c>
      <c r="F219" s="229" t="s">
        <v>1052</v>
      </c>
      <c r="G219" s="228">
        <v>2301</v>
      </c>
      <c r="H219" s="229" t="s">
        <v>1053</v>
      </c>
      <c r="I219" s="228">
        <v>2301</v>
      </c>
      <c r="J219" s="229" t="s">
        <v>1054</v>
      </c>
      <c r="K219" s="229" t="s">
        <v>1055</v>
      </c>
      <c r="L219" s="228">
        <v>2301024</v>
      </c>
      <c r="M219" s="229" t="s">
        <v>1056</v>
      </c>
      <c r="N219" s="228">
        <v>2301024</v>
      </c>
      <c r="O219" s="229" t="s">
        <v>1056</v>
      </c>
      <c r="P219" s="253">
        <v>230102404</v>
      </c>
      <c r="Q219" s="230" t="s">
        <v>1061</v>
      </c>
      <c r="R219" s="253">
        <v>230102404</v>
      </c>
      <c r="S219" s="230" t="s">
        <v>1061</v>
      </c>
      <c r="T219" s="232" t="s">
        <v>152</v>
      </c>
      <c r="U219" s="253">
        <v>4</v>
      </c>
      <c r="V219" s="253"/>
      <c r="W219" s="233">
        <f t="shared" si="7"/>
        <v>4</v>
      </c>
      <c r="X219" s="231">
        <v>2020003630038</v>
      </c>
      <c r="Y219" s="306" t="s">
        <v>1058</v>
      </c>
      <c r="Z219" s="229" t="s">
        <v>1059</v>
      </c>
      <c r="AA219" s="234"/>
      <c r="AB219" s="234"/>
      <c r="AC219" s="234"/>
      <c r="AD219" s="234"/>
      <c r="AE219" s="234"/>
      <c r="AF219" s="234"/>
      <c r="AG219" s="234">
        <f>90000000-35000000</f>
        <v>55000000</v>
      </c>
      <c r="AH219" s="234"/>
      <c r="AI219" s="234"/>
      <c r="AJ219" s="236">
        <f t="shared" si="8"/>
        <v>55000000</v>
      </c>
      <c r="AK219" s="299" t="s">
        <v>1060</v>
      </c>
    </row>
    <row r="220" spans="1:37" s="224" customFormat="1" ht="85.9" customHeight="1">
      <c r="A220" s="228">
        <v>324</v>
      </c>
      <c r="B220" s="229" t="s">
        <v>1051</v>
      </c>
      <c r="C220" s="228">
        <v>1</v>
      </c>
      <c r="D220" s="229" t="s">
        <v>143</v>
      </c>
      <c r="E220" s="228">
        <v>23</v>
      </c>
      <c r="F220" s="229" t="s">
        <v>1052</v>
      </c>
      <c r="G220" s="228">
        <v>2301</v>
      </c>
      <c r="H220" s="229" t="s">
        <v>1053</v>
      </c>
      <c r="I220" s="228">
        <v>2301</v>
      </c>
      <c r="J220" s="229" t="s">
        <v>1054</v>
      </c>
      <c r="K220" s="229" t="s">
        <v>1055</v>
      </c>
      <c r="L220" s="253">
        <v>2301012</v>
      </c>
      <c r="M220" s="229" t="s">
        <v>1062</v>
      </c>
      <c r="N220" s="228">
        <v>2301079</v>
      </c>
      <c r="O220" s="229" t="s">
        <v>1063</v>
      </c>
      <c r="P220" s="253">
        <v>230101204</v>
      </c>
      <c r="Q220" s="230" t="s">
        <v>1064</v>
      </c>
      <c r="R220" s="253">
        <v>230107902</v>
      </c>
      <c r="S220" s="230" t="s">
        <v>1065</v>
      </c>
      <c r="T220" s="232" t="s">
        <v>152</v>
      </c>
      <c r="U220" s="253">
        <v>15</v>
      </c>
      <c r="V220" s="253"/>
      <c r="W220" s="233">
        <f t="shared" si="7"/>
        <v>15</v>
      </c>
      <c r="X220" s="231">
        <v>2020003630038</v>
      </c>
      <c r="Y220" s="306" t="s">
        <v>1058</v>
      </c>
      <c r="Z220" s="229" t="s">
        <v>1059</v>
      </c>
      <c r="AA220" s="234"/>
      <c r="AB220" s="234"/>
      <c r="AC220" s="234"/>
      <c r="AD220" s="234"/>
      <c r="AE220" s="234"/>
      <c r="AF220" s="234"/>
      <c r="AG220" s="234">
        <f>70000000+35000000-35000000</f>
        <v>70000000</v>
      </c>
      <c r="AH220" s="234"/>
      <c r="AI220" s="234"/>
      <c r="AJ220" s="236">
        <f t="shared" si="8"/>
        <v>70000000</v>
      </c>
      <c r="AK220" s="299" t="s">
        <v>1060</v>
      </c>
    </row>
    <row r="221" spans="1:37" s="224" customFormat="1" ht="85.9" customHeight="1">
      <c r="A221" s="228">
        <v>324</v>
      </c>
      <c r="B221" s="229" t="s">
        <v>1051</v>
      </c>
      <c r="C221" s="228">
        <v>1</v>
      </c>
      <c r="D221" s="229" t="s">
        <v>143</v>
      </c>
      <c r="E221" s="228">
        <v>23</v>
      </c>
      <c r="F221" s="229" t="s">
        <v>1052</v>
      </c>
      <c r="G221" s="228">
        <v>2301</v>
      </c>
      <c r="H221" s="229" t="s">
        <v>1053</v>
      </c>
      <c r="I221" s="228">
        <v>2301</v>
      </c>
      <c r="J221" s="229" t="s">
        <v>1054</v>
      </c>
      <c r="K221" s="229" t="s">
        <v>1055</v>
      </c>
      <c r="L221" s="228">
        <v>2301062</v>
      </c>
      <c r="M221" s="229" t="s">
        <v>1066</v>
      </c>
      <c r="N221" s="228">
        <v>2301062</v>
      </c>
      <c r="O221" s="229" t="s">
        <v>1066</v>
      </c>
      <c r="P221" s="253">
        <v>230106201</v>
      </c>
      <c r="Q221" s="230" t="s">
        <v>1067</v>
      </c>
      <c r="R221" s="253">
        <v>230106201</v>
      </c>
      <c r="S221" s="230" t="s">
        <v>1067</v>
      </c>
      <c r="T221" s="232"/>
      <c r="U221" s="253">
        <v>7</v>
      </c>
      <c r="V221" s="253"/>
      <c r="W221" s="233">
        <f t="shared" si="7"/>
        <v>7</v>
      </c>
      <c r="X221" s="231">
        <v>2020003630038</v>
      </c>
      <c r="Y221" s="306" t="s">
        <v>1058</v>
      </c>
      <c r="Z221" s="229" t="s">
        <v>1059</v>
      </c>
      <c r="AA221" s="234"/>
      <c r="AB221" s="234"/>
      <c r="AC221" s="234"/>
      <c r="AD221" s="234"/>
      <c r="AE221" s="234"/>
      <c r="AF221" s="234"/>
      <c r="AG221" s="234">
        <v>20000000</v>
      </c>
      <c r="AH221" s="234"/>
      <c r="AI221" s="234"/>
      <c r="AJ221" s="236">
        <f t="shared" si="8"/>
        <v>20000000</v>
      </c>
      <c r="AK221" s="299" t="s">
        <v>1060</v>
      </c>
    </row>
    <row r="222" spans="1:37" s="224" customFormat="1" ht="85.9" customHeight="1">
      <c r="A222" s="228">
        <v>324</v>
      </c>
      <c r="B222" s="229" t="s">
        <v>1051</v>
      </c>
      <c r="C222" s="228">
        <v>1</v>
      </c>
      <c r="D222" s="229" t="s">
        <v>143</v>
      </c>
      <c r="E222" s="228">
        <v>23</v>
      </c>
      <c r="F222" s="229" t="s">
        <v>1052</v>
      </c>
      <c r="G222" s="228">
        <v>2301</v>
      </c>
      <c r="H222" s="229" t="s">
        <v>1053</v>
      </c>
      <c r="I222" s="228">
        <v>2301</v>
      </c>
      <c r="J222" s="229" t="s">
        <v>1054</v>
      </c>
      <c r="K222" s="229" t="s">
        <v>1068</v>
      </c>
      <c r="L222" s="228">
        <v>2301030</v>
      </c>
      <c r="M222" s="229" t="s">
        <v>1069</v>
      </c>
      <c r="N222" s="228">
        <v>2301030</v>
      </c>
      <c r="O222" s="229" t="s">
        <v>1069</v>
      </c>
      <c r="P222" s="253">
        <v>230103000</v>
      </c>
      <c r="Q222" s="230" t="s">
        <v>1070</v>
      </c>
      <c r="R222" s="253">
        <v>230103000</v>
      </c>
      <c r="S222" s="230" t="s">
        <v>1070</v>
      </c>
      <c r="T222" s="232" t="s">
        <v>152</v>
      </c>
      <c r="U222" s="253">
        <v>7000</v>
      </c>
      <c r="V222" s="253"/>
      <c r="W222" s="233">
        <f t="shared" si="7"/>
        <v>7000</v>
      </c>
      <c r="X222" s="231">
        <v>2020003630139</v>
      </c>
      <c r="Y222" s="306" t="s">
        <v>1071</v>
      </c>
      <c r="Z222" s="229" t="s">
        <v>1072</v>
      </c>
      <c r="AA222" s="234"/>
      <c r="AB222" s="234"/>
      <c r="AC222" s="234"/>
      <c r="AD222" s="234"/>
      <c r="AE222" s="234"/>
      <c r="AF222" s="234"/>
      <c r="AG222" s="234">
        <f>254521994.78+35000000</f>
        <v>289521994.77999997</v>
      </c>
      <c r="AH222" s="234"/>
      <c r="AI222" s="234"/>
      <c r="AJ222" s="236">
        <f t="shared" si="8"/>
        <v>289521994.77999997</v>
      </c>
      <c r="AK222" s="299" t="s">
        <v>1060</v>
      </c>
    </row>
    <row r="223" spans="1:37" s="224" customFormat="1" ht="85.9" customHeight="1">
      <c r="A223" s="228">
        <v>324</v>
      </c>
      <c r="B223" s="229" t="s">
        <v>1051</v>
      </c>
      <c r="C223" s="228">
        <v>1</v>
      </c>
      <c r="D223" s="229" t="s">
        <v>143</v>
      </c>
      <c r="E223" s="228">
        <v>23</v>
      </c>
      <c r="F223" s="229" t="s">
        <v>1052</v>
      </c>
      <c r="G223" s="228">
        <v>2301</v>
      </c>
      <c r="H223" s="229" t="s">
        <v>1053</v>
      </c>
      <c r="I223" s="228">
        <v>2301</v>
      </c>
      <c r="J223" s="229" t="s">
        <v>1054</v>
      </c>
      <c r="K223" s="229" t="s">
        <v>1068</v>
      </c>
      <c r="L223" s="228">
        <v>2301015</v>
      </c>
      <c r="M223" s="229" t="s">
        <v>1073</v>
      </c>
      <c r="N223" s="228">
        <v>2301015</v>
      </c>
      <c r="O223" s="229" t="s">
        <v>1073</v>
      </c>
      <c r="P223" s="253">
        <v>230101500</v>
      </c>
      <c r="Q223" s="230" t="s">
        <v>1074</v>
      </c>
      <c r="R223" s="253">
        <v>230101500</v>
      </c>
      <c r="S223" s="230" t="s">
        <v>1074</v>
      </c>
      <c r="T223" s="232" t="s">
        <v>58</v>
      </c>
      <c r="U223" s="253">
        <v>3</v>
      </c>
      <c r="V223" s="253"/>
      <c r="W223" s="233">
        <f t="shared" si="7"/>
        <v>3</v>
      </c>
      <c r="X223" s="231">
        <v>2020003630139</v>
      </c>
      <c r="Y223" s="306" t="s">
        <v>1071</v>
      </c>
      <c r="Z223" s="229" t="s">
        <v>1072</v>
      </c>
      <c r="AA223" s="234"/>
      <c r="AB223" s="234"/>
      <c r="AC223" s="234"/>
      <c r="AD223" s="234"/>
      <c r="AE223" s="234"/>
      <c r="AF223" s="234"/>
      <c r="AG223" s="234">
        <v>45000000</v>
      </c>
      <c r="AH223" s="234"/>
      <c r="AI223" s="234"/>
      <c r="AJ223" s="236">
        <f t="shared" si="8"/>
        <v>45000000</v>
      </c>
      <c r="AK223" s="299" t="s">
        <v>1060</v>
      </c>
    </row>
    <row r="224" spans="1:37" s="224" customFormat="1" ht="85.9" customHeight="1">
      <c r="A224" s="228">
        <v>324</v>
      </c>
      <c r="B224" s="229" t="s">
        <v>1051</v>
      </c>
      <c r="C224" s="228">
        <v>1</v>
      </c>
      <c r="D224" s="229" t="s">
        <v>143</v>
      </c>
      <c r="E224" s="228">
        <v>23</v>
      </c>
      <c r="F224" s="229" t="s">
        <v>1052</v>
      </c>
      <c r="G224" s="228">
        <v>2301</v>
      </c>
      <c r="H224" s="229" t="s">
        <v>1053</v>
      </c>
      <c r="I224" s="228">
        <v>2301</v>
      </c>
      <c r="J224" s="229" t="s">
        <v>1054</v>
      </c>
      <c r="K224" s="229" t="s">
        <v>1068</v>
      </c>
      <c r="L224" s="228">
        <v>2301004</v>
      </c>
      <c r="M224" s="229" t="s">
        <v>235</v>
      </c>
      <c r="N224" s="228">
        <v>2301004</v>
      </c>
      <c r="O224" s="229" t="s">
        <v>235</v>
      </c>
      <c r="P224" s="253">
        <v>230200400</v>
      </c>
      <c r="Q224" s="230" t="s">
        <v>237</v>
      </c>
      <c r="R224" s="253">
        <v>230100400</v>
      </c>
      <c r="S224" s="251" t="s">
        <v>237</v>
      </c>
      <c r="T224" s="232" t="s">
        <v>58</v>
      </c>
      <c r="U224" s="253">
        <v>1</v>
      </c>
      <c r="V224" s="253"/>
      <c r="W224" s="233">
        <f t="shared" si="7"/>
        <v>1</v>
      </c>
      <c r="X224" s="231">
        <v>2020003630139</v>
      </c>
      <c r="Y224" s="306" t="s">
        <v>1071</v>
      </c>
      <c r="Z224" s="229" t="s">
        <v>1072</v>
      </c>
      <c r="AA224" s="234"/>
      <c r="AB224" s="234"/>
      <c r="AC224" s="234"/>
      <c r="AD224" s="234"/>
      <c r="AE224" s="234"/>
      <c r="AF224" s="234"/>
      <c r="AG224" s="234">
        <v>30000000</v>
      </c>
      <c r="AH224" s="234"/>
      <c r="AI224" s="234"/>
      <c r="AJ224" s="236">
        <f t="shared" si="8"/>
        <v>30000000</v>
      </c>
      <c r="AK224" s="299" t="s">
        <v>1060</v>
      </c>
    </row>
    <row r="225" spans="1:37" s="224" customFormat="1" ht="85.9" customHeight="1">
      <c r="A225" s="228">
        <v>324</v>
      </c>
      <c r="B225" s="229" t="s">
        <v>1051</v>
      </c>
      <c r="C225" s="228">
        <v>1</v>
      </c>
      <c r="D225" s="229" t="s">
        <v>143</v>
      </c>
      <c r="E225" s="228">
        <v>23</v>
      </c>
      <c r="F225" s="229" t="s">
        <v>1052</v>
      </c>
      <c r="G225" s="228">
        <v>2301</v>
      </c>
      <c r="H225" s="229" t="s">
        <v>1053</v>
      </c>
      <c r="I225" s="228">
        <v>2301</v>
      </c>
      <c r="J225" s="229" t="s">
        <v>1054</v>
      </c>
      <c r="K225" s="229" t="s">
        <v>1068</v>
      </c>
      <c r="L225" s="228">
        <v>2301035</v>
      </c>
      <c r="M225" s="229" t="s">
        <v>1075</v>
      </c>
      <c r="N225" s="228">
        <v>2301035</v>
      </c>
      <c r="O225" s="229" t="s">
        <v>1075</v>
      </c>
      <c r="P225" s="253">
        <v>230103500</v>
      </c>
      <c r="Q225" s="230" t="s">
        <v>1076</v>
      </c>
      <c r="R225" s="253">
        <v>230103500</v>
      </c>
      <c r="S225" s="230" t="s">
        <v>1076</v>
      </c>
      <c r="T225" s="232" t="s">
        <v>152</v>
      </c>
      <c r="U225" s="253">
        <v>40</v>
      </c>
      <c r="V225" s="253"/>
      <c r="W225" s="233">
        <f t="shared" si="7"/>
        <v>40</v>
      </c>
      <c r="X225" s="231">
        <v>2020003630139</v>
      </c>
      <c r="Y225" s="306" t="s">
        <v>1071</v>
      </c>
      <c r="Z225" s="229" t="s">
        <v>1072</v>
      </c>
      <c r="AA225" s="234"/>
      <c r="AB225" s="234"/>
      <c r="AC225" s="234"/>
      <c r="AD225" s="234"/>
      <c r="AE225" s="234"/>
      <c r="AF225" s="234"/>
      <c r="AG225" s="234">
        <v>45000000</v>
      </c>
      <c r="AH225" s="234"/>
      <c r="AI225" s="234"/>
      <c r="AJ225" s="236">
        <f t="shared" si="8"/>
        <v>45000000</v>
      </c>
      <c r="AK225" s="299" t="s">
        <v>1060</v>
      </c>
    </row>
    <row r="226" spans="1:37" s="224" customFormat="1" ht="85.9" customHeight="1">
      <c r="A226" s="228">
        <v>324</v>
      </c>
      <c r="B226" s="229" t="s">
        <v>1051</v>
      </c>
      <c r="C226" s="228">
        <v>1</v>
      </c>
      <c r="D226" s="229" t="s">
        <v>143</v>
      </c>
      <c r="E226" s="228">
        <v>23</v>
      </c>
      <c r="F226" s="229" t="s">
        <v>1052</v>
      </c>
      <c r="G226" s="228">
        <v>2301</v>
      </c>
      <c r="H226" s="229" t="s">
        <v>1053</v>
      </c>
      <c r="I226" s="228">
        <v>2301</v>
      </c>
      <c r="J226" s="229" t="s">
        <v>1054</v>
      </c>
      <c r="K226" s="229" t="s">
        <v>1068</v>
      </c>
      <c r="L226" s="228">
        <v>2301042</v>
      </c>
      <c r="M226" s="229" t="s">
        <v>1077</v>
      </c>
      <c r="N226" s="228">
        <v>2301042</v>
      </c>
      <c r="O226" s="229" t="s">
        <v>1077</v>
      </c>
      <c r="P226" s="253">
        <v>230104201</v>
      </c>
      <c r="Q226" s="230" t="s">
        <v>1078</v>
      </c>
      <c r="R226" s="253">
        <v>230104201</v>
      </c>
      <c r="S226" s="230" t="s">
        <v>1078</v>
      </c>
      <c r="T226" s="232" t="s">
        <v>58</v>
      </c>
      <c r="U226" s="253">
        <v>1</v>
      </c>
      <c r="V226" s="253"/>
      <c r="W226" s="233">
        <f t="shared" si="7"/>
        <v>1</v>
      </c>
      <c r="X226" s="231">
        <v>2020003630139</v>
      </c>
      <c r="Y226" s="306" t="s">
        <v>1071</v>
      </c>
      <c r="Z226" s="229" t="s">
        <v>1072</v>
      </c>
      <c r="AA226" s="234"/>
      <c r="AB226" s="234"/>
      <c r="AC226" s="234"/>
      <c r="AD226" s="234"/>
      <c r="AE226" s="234"/>
      <c r="AF226" s="234"/>
      <c r="AG226" s="234">
        <v>25000000</v>
      </c>
      <c r="AH226" s="234"/>
      <c r="AI226" s="234"/>
      <c r="AJ226" s="236">
        <f t="shared" si="8"/>
        <v>25000000</v>
      </c>
      <c r="AK226" s="299" t="s">
        <v>1060</v>
      </c>
    </row>
    <row r="227" spans="1:37" s="224" customFormat="1" ht="85.9" customHeight="1">
      <c r="A227" s="228">
        <v>324</v>
      </c>
      <c r="B227" s="229" t="s">
        <v>1051</v>
      </c>
      <c r="C227" s="228">
        <v>1</v>
      </c>
      <c r="D227" s="229" t="s">
        <v>143</v>
      </c>
      <c r="E227" s="228">
        <v>23</v>
      </c>
      <c r="F227" s="229" t="s">
        <v>1052</v>
      </c>
      <c r="G227" s="228">
        <v>2302</v>
      </c>
      <c r="H227" s="229" t="s">
        <v>1079</v>
      </c>
      <c r="I227" s="228">
        <v>2302</v>
      </c>
      <c r="J227" s="229" t="s">
        <v>1080</v>
      </c>
      <c r="K227" s="229" t="s">
        <v>1055</v>
      </c>
      <c r="L227" s="228">
        <v>2302022</v>
      </c>
      <c r="M227" s="229" t="s">
        <v>1081</v>
      </c>
      <c r="N227" s="228">
        <v>2302022</v>
      </c>
      <c r="O227" s="229" t="s">
        <v>1081</v>
      </c>
      <c r="P227" s="253">
        <v>230202200</v>
      </c>
      <c r="Q227" s="230" t="s">
        <v>1082</v>
      </c>
      <c r="R227" s="253">
        <v>230202200</v>
      </c>
      <c r="S227" s="230" t="s">
        <v>1082</v>
      </c>
      <c r="T227" s="232" t="s">
        <v>152</v>
      </c>
      <c r="U227" s="253">
        <v>30</v>
      </c>
      <c r="V227" s="253"/>
      <c r="W227" s="233">
        <f t="shared" si="7"/>
        <v>30</v>
      </c>
      <c r="X227" s="231">
        <v>2020003630039</v>
      </c>
      <c r="Y227" s="306" t="s">
        <v>1083</v>
      </c>
      <c r="Z227" s="229" t="s">
        <v>1084</v>
      </c>
      <c r="AA227" s="234"/>
      <c r="AB227" s="234"/>
      <c r="AC227" s="234"/>
      <c r="AD227" s="234"/>
      <c r="AE227" s="234"/>
      <c r="AF227" s="234"/>
      <c r="AG227" s="234">
        <v>45000000</v>
      </c>
      <c r="AH227" s="234"/>
      <c r="AI227" s="234"/>
      <c r="AJ227" s="236">
        <f t="shared" si="8"/>
        <v>45000000</v>
      </c>
      <c r="AK227" s="299" t="s">
        <v>1060</v>
      </c>
    </row>
    <row r="228" spans="1:37" s="224" customFormat="1" ht="85.9" customHeight="1">
      <c r="A228" s="228">
        <v>324</v>
      </c>
      <c r="B228" s="229" t="s">
        <v>1051</v>
      </c>
      <c r="C228" s="228">
        <v>1</v>
      </c>
      <c r="D228" s="229" t="s">
        <v>143</v>
      </c>
      <c r="E228" s="228">
        <v>23</v>
      </c>
      <c r="F228" s="229" t="s">
        <v>1052</v>
      </c>
      <c r="G228" s="228">
        <v>2302</v>
      </c>
      <c r="H228" s="229" t="s">
        <v>1079</v>
      </c>
      <c r="I228" s="228">
        <v>2302</v>
      </c>
      <c r="J228" s="229" t="s">
        <v>1080</v>
      </c>
      <c r="K228" s="229" t="s">
        <v>1068</v>
      </c>
      <c r="L228" s="228">
        <v>2302021</v>
      </c>
      <c r="M228" s="229" t="s">
        <v>1085</v>
      </c>
      <c r="N228" s="228">
        <v>2302021</v>
      </c>
      <c r="O228" s="229" t="s">
        <v>1085</v>
      </c>
      <c r="P228" s="253">
        <v>230202100</v>
      </c>
      <c r="Q228" s="230" t="s">
        <v>1086</v>
      </c>
      <c r="R228" s="253">
        <v>230202100</v>
      </c>
      <c r="S228" s="230" t="s">
        <v>1086</v>
      </c>
      <c r="T228" s="232" t="s">
        <v>152</v>
      </c>
      <c r="U228" s="253">
        <v>10</v>
      </c>
      <c r="V228" s="253"/>
      <c r="W228" s="233">
        <f t="shared" si="7"/>
        <v>10</v>
      </c>
      <c r="X228" s="231">
        <v>2020003630039</v>
      </c>
      <c r="Y228" s="229" t="s">
        <v>1083</v>
      </c>
      <c r="Z228" s="229" t="s">
        <v>1084</v>
      </c>
      <c r="AA228" s="234"/>
      <c r="AB228" s="234"/>
      <c r="AC228" s="234"/>
      <c r="AD228" s="234"/>
      <c r="AE228" s="234"/>
      <c r="AF228" s="234"/>
      <c r="AG228" s="234">
        <v>85000000</v>
      </c>
      <c r="AH228" s="234"/>
      <c r="AI228" s="234"/>
      <c r="AJ228" s="236">
        <f t="shared" si="8"/>
        <v>85000000</v>
      </c>
      <c r="AK228" s="299" t="s">
        <v>1060</v>
      </c>
    </row>
    <row r="229" spans="1:37" s="224" customFormat="1" ht="85.9" customHeight="1">
      <c r="A229" s="228">
        <v>324</v>
      </c>
      <c r="B229" s="307" t="s">
        <v>1051</v>
      </c>
      <c r="C229" s="308">
        <v>1</v>
      </c>
      <c r="D229" s="229" t="s">
        <v>143</v>
      </c>
      <c r="E229" s="308">
        <v>23</v>
      </c>
      <c r="F229" s="307" t="s">
        <v>1052</v>
      </c>
      <c r="G229" s="308">
        <v>2302</v>
      </c>
      <c r="H229" s="307" t="s">
        <v>1079</v>
      </c>
      <c r="I229" s="308">
        <v>2302</v>
      </c>
      <c r="J229" s="307" t="s">
        <v>1080</v>
      </c>
      <c r="K229" s="307" t="s">
        <v>1087</v>
      </c>
      <c r="L229" s="308">
        <v>2302058</v>
      </c>
      <c r="M229" s="307" t="s">
        <v>1088</v>
      </c>
      <c r="N229" s="308">
        <v>2302058</v>
      </c>
      <c r="O229" s="307" t="s">
        <v>1088</v>
      </c>
      <c r="P229" s="309">
        <v>230205800</v>
      </c>
      <c r="Q229" s="310" t="s">
        <v>1089</v>
      </c>
      <c r="R229" s="309">
        <v>230205800</v>
      </c>
      <c r="S229" s="310" t="s">
        <v>1089</v>
      </c>
      <c r="T229" s="311" t="s">
        <v>152</v>
      </c>
      <c r="U229" s="309">
        <v>400</v>
      </c>
      <c r="V229" s="309"/>
      <c r="W229" s="233">
        <f t="shared" si="7"/>
        <v>400</v>
      </c>
      <c r="X229" s="312">
        <v>2020003630039</v>
      </c>
      <c r="Y229" s="313" t="s">
        <v>1083</v>
      </c>
      <c r="Z229" s="307" t="s">
        <v>1084</v>
      </c>
      <c r="AA229" s="314"/>
      <c r="AB229" s="314"/>
      <c r="AC229" s="314"/>
      <c r="AD229" s="314"/>
      <c r="AE229" s="314"/>
      <c r="AF229" s="314"/>
      <c r="AG229" s="234">
        <v>35000000</v>
      </c>
      <c r="AH229" s="234"/>
      <c r="AI229" s="234"/>
      <c r="AJ229" s="236">
        <f t="shared" si="8"/>
        <v>35000000</v>
      </c>
      <c r="AK229" s="299" t="s">
        <v>1060</v>
      </c>
    </row>
    <row r="230" spans="1:37" s="224" customFormat="1" ht="85.9" customHeight="1">
      <c r="A230" s="315">
        <v>324</v>
      </c>
      <c r="B230" s="316" t="s">
        <v>1051</v>
      </c>
      <c r="C230" s="317">
        <v>1</v>
      </c>
      <c r="D230" s="229" t="s">
        <v>143</v>
      </c>
      <c r="E230" s="317">
        <v>23</v>
      </c>
      <c r="F230" s="316" t="s">
        <v>1052</v>
      </c>
      <c r="G230" s="317">
        <v>2302</v>
      </c>
      <c r="H230" s="316" t="s">
        <v>1079</v>
      </c>
      <c r="I230" s="317">
        <v>2302</v>
      </c>
      <c r="J230" s="316" t="s">
        <v>1080</v>
      </c>
      <c r="K230" s="316" t="s">
        <v>1087</v>
      </c>
      <c r="L230" s="317">
        <v>2302068</v>
      </c>
      <c r="M230" s="316" t="s">
        <v>1090</v>
      </c>
      <c r="N230" s="317">
        <v>2302068</v>
      </c>
      <c r="O230" s="316" t="s">
        <v>1090</v>
      </c>
      <c r="P230" s="318">
        <v>230206800</v>
      </c>
      <c r="Q230" s="319" t="s">
        <v>1091</v>
      </c>
      <c r="R230" s="318">
        <v>230206800</v>
      </c>
      <c r="S230" s="319" t="s">
        <v>1091</v>
      </c>
      <c r="T230" s="320" t="s">
        <v>152</v>
      </c>
      <c r="U230" s="318">
        <v>80</v>
      </c>
      <c r="V230" s="318"/>
      <c r="W230" s="233">
        <f t="shared" si="7"/>
        <v>80</v>
      </c>
      <c r="X230" s="321">
        <v>2020003630039</v>
      </c>
      <c r="Y230" s="322" t="s">
        <v>1083</v>
      </c>
      <c r="Z230" s="316" t="s">
        <v>1084</v>
      </c>
      <c r="AA230" s="323"/>
      <c r="AB230" s="323"/>
      <c r="AC230" s="323"/>
      <c r="AD230" s="323"/>
      <c r="AE230" s="323"/>
      <c r="AF230" s="323"/>
      <c r="AG230" s="234">
        <v>30000000</v>
      </c>
      <c r="AH230" s="234"/>
      <c r="AI230" s="234"/>
      <c r="AJ230" s="236">
        <f t="shared" si="8"/>
        <v>30000000</v>
      </c>
      <c r="AK230" s="299" t="s">
        <v>1060</v>
      </c>
    </row>
    <row r="231" spans="1:37" s="224" customFormat="1" ht="98.25" customHeight="1">
      <c r="A231" s="315">
        <v>324</v>
      </c>
      <c r="B231" s="316" t="s">
        <v>1051</v>
      </c>
      <c r="C231" s="317">
        <v>1</v>
      </c>
      <c r="D231" s="229" t="s">
        <v>143</v>
      </c>
      <c r="E231" s="317">
        <v>23</v>
      </c>
      <c r="F231" s="316" t="s">
        <v>1052</v>
      </c>
      <c r="G231" s="317">
        <v>2302</v>
      </c>
      <c r="H231" s="316" t="s">
        <v>1079</v>
      </c>
      <c r="I231" s="317">
        <v>2302</v>
      </c>
      <c r="J231" s="316" t="s">
        <v>1080</v>
      </c>
      <c r="K231" s="316" t="s">
        <v>1087</v>
      </c>
      <c r="L231" s="317">
        <v>2302039</v>
      </c>
      <c r="M231" s="316" t="s">
        <v>1092</v>
      </c>
      <c r="N231" s="317">
        <v>2302039</v>
      </c>
      <c r="O231" s="316" t="s">
        <v>1092</v>
      </c>
      <c r="P231" s="318">
        <v>230203900</v>
      </c>
      <c r="Q231" s="319" t="s">
        <v>1093</v>
      </c>
      <c r="R231" s="318">
        <v>230203900</v>
      </c>
      <c r="S231" s="319" t="s">
        <v>1093</v>
      </c>
      <c r="T231" s="320" t="s">
        <v>152</v>
      </c>
      <c r="U231" s="318">
        <v>1</v>
      </c>
      <c r="V231" s="318"/>
      <c r="W231" s="233">
        <f t="shared" si="7"/>
        <v>1</v>
      </c>
      <c r="X231" s="321">
        <v>2020003630039</v>
      </c>
      <c r="Y231" s="322" t="s">
        <v>1083</v>
      </c>
      <c r="Z231" s="316" t="s">
        <v>1084</v>
      </c>
      <c r="AA231" s="323"/>
      <c r="AB231" s="323"/>
      <c r="AC231" s="323"/>
      <c r="AD231" s="323"/>
      <c r="AE231" s="323"/>
      <c r="AF231" s="323"/>
      <c r="AG231" s="234">
        <v>50000000</v>
      </c>
      <c r="AH231" s="234"/>
      <c r="AI231" s="234"/>
      <c r="AJ231" s="236">
        <f t="shared" si="8"/>
        <v>50000000</v>
      </c>
      <c r="AK231" s="299" t="s">
        <v>1060</v>
      </c>
    </row>
    <row r="232" spans="1:37" s="224" customFormat="1" ht="85.9" customHeight="1">
      <c r="A232" s="315">
        <v>324</v>
      </c>
      <c r="B232" s="316" t="s">
        <v>1051</v>
      </c>
      <c r="C232" s="317">
        <v>2</v>
      </c>
      <c r="D232" s="316" t="s">
        <v>408</v>
      </c>
      <c r="E232" s="317">
        <v>39</v>
      </c>
      <c r="F232" s="316" t="s">
        <v>1094</v>
      </c>
      <c r="G232" s="317" t="s">
        <v>1095</v>
      </c>
      <c r="H232" s="316" t="s">
        <v>1096</v>
      </c>
      <c r="I232" s="317" t="s">
        <v>1095</v>
      </c>
      <c r="J232" s="316" t="s">
        <v>1097</v>
      </c>
      <c r="K232" s="316" t="s">
        <v>1098</v>
      </c>
      <c r="L232" s="317">
        <v>3903005</v>
      </c>
      <c r="M232" s="316" t="s">
        <v>1099</v>
      </c>
      <c r="N232" s="317">
        <v>3903005</v>
      </c>
      <c r="O232" s="316" t="s">
        <v>1099</v>
      </c>
      <c r="P232" s="324" t="s">
        <v>1100</v>
      </c>
      <c r="Q232" s="319" t="s">
        <v>1101</v>
      </c>
      <c r="R232" s="324" t="s">
        <v>1100</v>
      </c>
      <c r="S232" s="319" t="s">
        <v>1101</v>
      </c>
      <c r="T232" s="320" t="s">
        <v>58</v>
      </c>
      <c r="U232" s="318">
        <v>1</v>
      </c>
      <c r="V232" s="318"/>
      <c r="W232" s="233">
        <f t="shared" si="7"/>
        <v>1</v>
      </c>
      <c r="X232" s="321">
        <v>2020003630140</v>
      </c>
      <c r="Y232" s="325" t="s">
        <v>1102</v>
      </c>
      <c r="Z232" s="325" t="s">
        <v>1103</v>
      </c>
      <c r="AA232" s="323"/>
      <c r="AB232" s="323"/>
      <c r="AC232" s="323"/>
      <c r="AD232" s="323"/>
      <c r="AE232" s="323"/>
      <c r="AF232" s="323"/>
      <c r="AG232" s="234">
        <v>35000000</v>
      </c>
      <c r="AH232" s="234"/>
      <c r="AI232" s="234"/>
      <c r="AJ232" s="236">
        <f t="shared" si="8"/>
        <v>35000000</v>
      </c>
      <c r="AK232" s="299" t="s">
        <v>1060</v>
      </c>
    </row>
    <row r="233" spans="1:37" s="224" customFormat="1" ht="85.9" customHeight="1">
      <c r="A233" s="315">
        <v>324</v>
      </c>
      <c r="B233" s="316" t="s">
        <v>1051</v>
      </c>
      <c r="C233" s="317">
        <v>2</v>
      </c>
      <c r="D233" s="316" t="s">
        <v>408</v>
      </c>
      <c r="E233" s="317">
        <v>39</v>
      </c>
      <c r="F233" s="316" t="s">
        <v>1094</v>
      </c>
      <c r="G233" s="317" t="s">
        <v>1095</v>
      </c>
      <c r="H233" s="316" t="s">
        <v>1096</v>
      </c>
      <c r="I233" s="317" t="s">
        <v>1095</v>
      </c>
      <c r="J233" s="316" t="s">
        <v>1097</v>
      </c>
      <c r="K233" s="316" t="s">
        <v>1098</v>
      </c>
      <c r="L233" s="317">
        <v>3903005</v>
      </c>
      <c r="M233" s="316" t="s">
        <v>1099</v>
      </c>
      <c r="N233" s="317">
        <v>3903005</v>
      </c>
      <c r="O233" s="316" t="s">
        <v>1099</v>
      </c>
      <c r="P233" s="324" t="s">
        <v>1104</v>
      </c>
      <c r="Q233" s="319" t="s">
        <v>1105</v>
      </c>
      <c r="R233" s="324" t="s">
        <v>1104</v>
      </c>
      <c r="S233" s="319" t="s">
        <v>1105</v>
      </c>
      <c r="T233" s="320" t="s">
        <v>152</v>
      </c>
      <c r="U233" s="318">
        <v>80</v>
      </c>
      <c r="V233" s="318"/>
      <c r="W233" s="233">
        <f t="shared" si="7"/>
        <v>80</v>
      </c>
      <c r="X233" s="321">
        <v>2020003630140</v>
      </c>
      <c r="Y233" s="322" t="s">
        <v>1102</v>
      </c>
      <c r="Z233" s="316" t="s">
        <v>1103</v>
      </c>
      <c r="AA233" s="323"/>
      <c r="AB233" s="323"/>
      <c r="AC233" s="323"/>
      <c r="AD233" s="323"/>
      <c r="AE233" s="323"/>
      <c r="AF233" s="323"/>
      <c r="AG233" s="234">
        <v>30000000</v>
      </c>
      <c r="AH233" s="234"/>
      <c r="AI233" s="234"/>
      <c r="AJ233" s="236">
        <f t="shared" si="8"/>
        <v>30000000</v>
      </c>
      <c r="AK233" s="299" t="s">
        <v>1060</v>
      </c>
    </row>
    <row r="234" spans="1:37" s="224" customFormat="1" ht="85.9" customHeight="1">
      <c r="A234" s="315">
        <v>324</v>
      </c>
      <c r="B234" s="316" t="s">
        <v>1051</v>
      </c>
      <c r="C234" s="317">
        <v>2</v>
      </c>
      <c r="D234" s="316" t="s">
        <v>408</v>
      </c>
      <c r="E234" s="317">
        <v>39</v>
      </c>
      <c r="F234" s="316" t="s">
        <v>1094</v>
      </c>
      <c r="G234" s="317" t="s">
        <v>1095</v>
      </c>
      <c r="H234" s="316" t="s">
        <v>1096</v>
      </c>
      <c r="I234" s="317" t="s">
        <v>1095</v>
      </c>
      <c r="J234" s="316" t="s">
        <v>1097</v>
      </c>
      <c r="K234" s="316" t="s">
        <v>1098</v>
      </c>
      <c r="L234" s="317">
        <v>3903005</v>
      </c>
      <c r="M234" s="316" t="s">
        <v>1099</v>
      </c>
      <c r="N234" s="317">
        <v>3903005</v>
      </c>
      <c r="O234" s="316" t="s">
        <v>1099</v>
      </c>
      <c r="P234" s="324" t="s">
        <v>1106</v>
      </c>
      <c r="Q234" s="319" t="s">
        <v>1107</v>
      </c>
      <c r="R234" s="324" t="s">
        <v>1106</v>
      </c>
      <c r="S234" s="319" t="s">
        <v>1107</v>
      </c>
      <c r="T234" s="320" t="s">
        <v>152</v>
      </c>
      <c r="U234" s="318">
        <v>80</v>
      </c>
      <c r="V234" s="318"/>
      <c r="W234" s="233">
        <f t="shared" si="7"/>
        <v>80</v>
      </c>
      <c r="X234" s="321">
        <v>2020003630140</v>
      </c>
      <c r="Y234" s="322" t="s">
        <v>1102</v>
      </c>
      <c r="Z234" s="316" t="s">
        <v>1103</v>
      </c>
      <c r="AA234" s="323"/>
      <c r="AB234" s="323"/>
      <c r="AC234" s="323"/>
      <c r="AD234" s="323"/>
      <c r="AE234" s="323"/>
      <c r="AF234" s="287"/>
      <c r="AG234" s="234">
        <v>30000000</v>
      </c>
      <c r="AH234" s="234"/>
      <c r="AI234" s="234"/>
      <c r="AJ234" s="236">
        <f t="shared" si="8"/>
        <v>30000000</v>
      </c>
      <c r="AK234" s="299" t="s">
        <v>1060</v>
      </c>
    </row>
    <row r="235" spans="1:37" s="224" customFormat="1" ht="85.9" customHeight="1">
      <c r="A235" s="315">
        <v>324</v>
      </c>
      <c r="B235" s="316" t="s">
        <v>1051</v>
      </c>
      <c r="C235" s="317">
        <v>2</v>
      </c>
      <c r="D235" s="316" t="s">
        <v>408</v>
      </c>
      <c r="E235" s="317">
        <v>39</v>
      </c>
      <c r="F235" s="316" t="s">
        <v>1094</v>
      </c>
      <c r="G235" s="317">
        <v>3904</v>
      </c>
      <c r="H235" s="316" t="s">
        <v>1108</v>
      </c>
      <c r="I235" s="317">
        <v>3904</v>
      </c>
      <c r="J235" s="316" t="s">
        <v>1109</v>
      </c>
      <c r="K235" s="316" t="s">
        <v>1110</v>
      </c>
      <c r="L235" s="317">
        <v>3904018</v>
      </c>
      <c r="M235" s="316" t="s">
        <v>1111</v>
      </c>
      <c r="N235" s="317">
        <v>3904018</v>
      </c>
      <c r="O235" s="316" t="s">
        <v>1111</v>
      </c>
      <c r="P235" s="324">
        <v>390401809</v>
      </c>
      <c r="Q235" s="319" t="s">
        <v>1112</v>
      </c>
      <c r="R235" s="324">
        <v>390401809</v>
      </c>
      <c r="S235" s="319" t="s">
        <v>1112</v>
      </c>
      <c r="T235" s="320" t="s">
        <v>152</v>
      </c>
      <c r="U235" s="318">
        <v>7</v>
      </c>
      <c r="V235" s="318"/>
      <c r="W235" s="233">
        <f t="shared" si="7"/>
        <v>7</v>
      </c>
      <c r="X235" s="321">
        <v>2020003630040</v>
      </c>
      <c r="Y235" s="322" t="s">
        <v>1113</v>
      </c>
      <c r="Z235" s="316" t="s">
        <v>1114</v>
      </c>
      <c r="AA235" s="323"/>
      <c r="AB235" s="323"/>
      <c r="AC235" s="323"/>
      <c r="AD235" s="323"/>
      <c r="AE235" s="323"/>
      <c r="AF235" s="323"/>
      <c r="AG235" s="234">
        <v>25000000</v>
      </c>
      <c r="AH235" s="234"/>
      <c r="AI235" s="234"/>
      <c r="AJ235" s="236">
        <f t="shared" si="8"/>
        <v>25000000</v>
      </c>
      <c r="AK235" s="299" t="s">
        <v>1060</v>
      </c>
    </row>
    <row r="236" spans="1:37" s="224" customFormat="1" ht="85.9" customHeight="1">
      <c r="A236" s="315">
        <v>324</v>
      </c>
      <c r="B236" s="316" t="s">
        <v>1051</v>
      </c>
      <c r="C236" s="317">
        <v>4</v>
      </c>
      <c r="D236" s="316" t="s">
        <v>48</v>
      </c>
      <c r="E236" s="317">
        <v>23</v>
      </c>
      <c r="F236" s="316" t="s">
        <v>1052</v>
      </c>
      <c r="G236" s="317">
        <v>2302</v>
      </c>
      <c r="H236" s="316" t="s">
        <v>1079</v>
      </c>
      <c r="I236" s="317">
        <v>2302</v>
      </c>
      <c r="J236" s="316" t="s">
        <v>1080</v>
      </c>
      <c r="K236" s="316" t="s">
        <v>1115</v>
      </c>
      <c r="L236" s="317">
        <v>2302003</v>
      </c>
      <c r="M236" s="316" t="s">
        <v>1116</v>
      </c>
      <c r="N236" s="317">
        <v>2302003</v>
      </c>
      <c r="O236" s="316" t="s">
        <v>1116</v>
      </c>
      <c r="P236" s="324">
        <v>230200300</v>
      </c>
      <c r="Q236" s="319" t="s">
        <v>1117</v>
      </c>
      <c r="R236" s="324">
        <v>230200300</v>
      </c>
      <c r="S236" s="319" t="s">
        <v>1117</v>
      </c>
      <c r="T236" s="320" t="s">
        <v>152</v>
      </c>
      <c r="U236" s="318">
        <v>3</v>
      </c>
      <c r="V236" s="318"/>
      <c r="W236" s="233">
        <f t="shared" si="7"/>
        <v>3</v>
      </c>
      <c r="X236" s="321">
        <v>2020003630141</v>
      </c>
      <c r="Y236" s="322" t="s">
        <v>1118</v>
      </c>
      <c r="Z236" s="316" t="s">
        <v>1119</v>
      </c>
      <c r="AA236" s="323"/>
      <c r="AB236" s="323"/>
      <c r="AC236" s="323"/>
      <c r="AD236" s="323"/>
      <c r="AE236" s="323"/>
      <c r="AF236" s="323"/>
      <c r="AG236" s="234">
        <v>80000000</v>
      </c>
      <c r="AH236" s="234"/>
      <c r="AI236" s="234"/>
      <c r="AJ236" s="236">
        <f t="shared" si="8"/>
        <v>80000000</v>
      </c>
      <c r="AK236" s="299" t="s">
        <v>1060</v>
      </c>
    </row>
    <row r="237" spans="1:37" s="224" customFormat="1" ht="85.9" customHeight="1">
      <c r="A237" s="315">
        <v>324</v>
      </c>
      <c r="B237" s="316" t="s">
        <v>1051</v>
      </c>
      <c r="C237" s="317">
        <v>4</v>
      </c>
      <c r="D237" s="316" t="s">
        <v>48</v>
      </c>
      <c r="E237" s="317">
        <v>23</v>
      </c>
      <c r="F237" s="316" t="s">
        <v>1052</v>
      </c>
      <c r="G237" s="317">
        <v>2302</v>
      </c>
      <c r="H237" s="316" t="s">
        <v>1079</v>
      </c>
      <c r="I237" s="317">
        <v>2302</v>
      </c>
      <c r="J237" s="316" t="s">
        <v>1080</v>
      </c>
      <c r="K237" s="316" t="s">
        <v>1115</v>
      </c>
      <c r="L237" s="317">
        <v>2302033</v>
      </c>
      <c r="M237" s="316" t="s">
        <v>1120</v>
      </c>
      <c r="N237" s="317">
        <v>2302033</v>
      </c>
      <c r="O237" s="316" t="s">
        <v>1120</v>
      </c>
      <c r="P237" s="324">
        <v>230203300</v>
      </c>
      <c r="Q237" s="319" t="s">
        <v>1121</v>
      </c>
      <c r="R237" s="324">
        <v>230203300</v>
      </c>
      <c r="S237" s="319" t="s">
        <v>1121</v>
      </c>
      <c r="T237" s="320" t="s">
        <v>58</v>
      </c>
      <c r="U237" s="318">
        <v>100</v>
      </c>
      <c r="V237" s="318"/>
      <c r="W237" s="233">
        <f t="shared" si="7"/>
        <v>100</v>
      </c>
      <c r="X237" s="321">
        <v>2020003630141</v>
      </c>
      <c r="Y237" s="322" t="s">
        <v>1118</v>
      </c>
      <c r="Z237" s="316" t="s">
        <v>1119</v>
      </c>
      <c r="AA237" s="323"/>
      <c r="AB237" s="323"/>
      <c r="AC237" s="323"/>
      <c r="AD237" s="323"/>
      <c r="AE237" s="323"/>
      <c r="AF237" s="323"/>
      <c r="AG237" s="234">
        <v>60000000</v>
      </c>
      <c r="AH237" s="234"/>
      <c r="AI237" s="234"/>
      <c r="AJ237" s="236">
        <f t="shared" si="8"/>
        <v>60000000</v>
      </c>
      <c r="AK237" s="299" t="s">
        <v>1060</v>
      </c>
    </row>
    <row r="238" spans="1:37" s="224" customFormat="1" ht="85.9" customHeight="1">
      <c r="A238" s="315">
        <v>324</v>
      </c>
      <c r="B238" s="316" t="s">
        <v>1051</v>
      </c>
      <c r="C238" s="317">
        <v>4</v>
      </c>
      <c r="D238" s="316" t="s">
        <v>48</v>
      </c>
      <c r="E238" s="317">
        <v>23</v>
      </c>
      <c r="F238" s="316" t="s">
        <v>1052</v>
      </c>
      <c r="G238" s="317">
        <v>2302</v>
      </c>
      <c r="H238" s="316" t="s">
        <v>1079</v>
      </c>
      <c r="I238" s="317">
        <v>2302</v>
      </c>
      <c r="J238" s="316" t="s">
        <v>1080</v>
      </c>
      <c r="K238" s="316" t="s">
        <v>1115</v>
      </c>
      <c r="L238" s="317">
        <v>2302066</v>
      </c>
      <c r="M238" s="316" t="s">
        <v>1122</v>
      </c>
      <c r="N238" s="317">
        <v>2302066</v>
      </c>
      <c r="O238" s="316" t="s">
        <v>1122</v>
      </c>
      <c r="P238" s="324">
        <v>230206600</v>
      </c>
      <c r="Q238" s="319" t="s">
        <v>1123</v>
      </c>
      <c r="R238" s="324">
        <v>230206600</v>
      </c>
      <c r="S238" s="319" t="s">
        <v>1123</v>
      </c>
      <c r="T238" s="320" t="s">
        <v>152</v>
      </c>
      <c r="U238" s="318">
        <v>60</v>
      </c>
      <c r="V238" s="318"/>
      <c r="W238" s="233">
        <f t="shared" si="7"/>
        <v>60</v>
      </c>
      <c r="X238" s="321">
        <v>2020003630141</v>
      </c>
      <c r="Y238" s="322" t="s">
        <v>1118</v>
      </c>
      <c r="Z238" s="316" t="s">
        <v>1119</v>
      </c>
      <c r="AA238" s="323"/>
      <c r="AB238" s="323"/>
      <c r="AC238" s="323"/>
      <c r="AD238" s="323"/>
      <c r="AE238" s="323"/>
      <c r="AF238" s="323"/>
      <c r="AG238" s="234">
        <v>60000000</v>
      </c>
      <c r="AH238" s="234"/>
      <c r="AI238" s="234"/>
      <c r="AJ238" s="236">
        <f t="shared" si="8"/>
        <v>60000000</v>
      </c>
      <c r="AK238" s="299" t="s">
        <v>1060</v>
      </c>
    </row>
    <row r="239" spans="1:37" s="224" customFormat="1" ht="85.9" customHeight="1">
      <c r="A239" s="315">
        <v>324</v>
      </c>
      <c r="B239" s="316" t="s">
        <v>1051</v>
      </c>
      <c r="C239" s="317">
        <v>4</v>
      </c>
      <c r="D239" s="316" t="s">
        <v>48</v>
      </c>
      <c r="E239" s="317">
        <v>23</v>
      </c>
      <c r="F239" s="316" t="s">
        <v>1052</v>
      </c>
      <c r="G239" s="317">
        <v>2302</v>
      </c>
      <c r="H239" s="316" t="s">
        <v>1079</v>
      </c>
      <c r="I239" s="317">
        <v>2302</v>
      </c>
      <c r="J239" s="316" t="s">
        <v>1080</v>
      </c>
      <c r="K239" s="316" t="s">
        <v>1115</v>
      </c>
      <c r="L239" s="317">
        <v>2302004</v>
      </c>
      <c r="M239" s="316" t="s">
        <v>1124</v>
      </c>
      <c r="N239" s="317">
        <v>2302004</v>
      </c>
      <c r="O239" s="316" t="s">
        <v>1124</v>
      </c>
      <c r="P239" s="324">
        <v>230200403</v>
      </c>
      <c r="Q239" s="319" t="s">
        <v>1125</v>
      </c>
      <c r="R239" s="324">
        <v>230200403</v>
      </c>
      <c r="S239" s="319" t="s">
        <v>1125</v>
      </c>
      <c r="T239" s="320" t="s">
        <v>58</v>
      </c>
      <c r="U239" s="318">
        <v>1</v>
      </c>
      <c r="V239" s="318"/>
      <c r="W239" s="233">
        <f t="shared" si="7"/>
        <v>1</v>
      </c>
      <c r="X239" s="321">
        <v>2020003630141</v>
      </c>
      <c r="Y239" s="322" t="s">
        <v>1118</v>
      </c>
      <c r="Z239" s="316" t="s">
        <v>1119</v>
      </c>
      <c r="AA239" s="323"/>
      <c r="AB239" s="323"/>
      <c r="AC239" s="323"/>
      <c r="AD239" s="323"/>
      <c r="AE239" s="323"/>
      <c r="AF239" s="323"/>
      <c r="AG239" s="234">
        <v>35000000</v>
      </c>
      <c r="AH239" s="234"/>
      <c r="AI239" s="234"/>
      <c r="AJ239" s="236">
        <f t="shared" si="8"/>
        <v>35000000</v>
      </c>
      <c r="AK239" s="299" t="s">
        <v>1060</v>
      </c>
    </row>
    <row r="240" spans="1:37" s="224" customFormat="1" ht="85.9" customHeight="1">
      <c r="A240" s="315">
        <v>324</v>
      </c>
      <c r="B240" s="316" t="s">
        <v>1051</v>
      </c>
      <c r="C240" s="317">
        <v>4</v>
      </c>
      <c r="D240" s="316" t="s">
        <v>48</v>
      </c>
      <c r="E240" s="317">
        <v>23</v>
      </c>
      <c r="F240" s="316" t="s">
        <v>1052</v>
      </c>
      <c r="G240" s="317">
        <v>2302</v>
      </c>
      <c r="H240" s="316" t="s">
        <v>1079</v>
      </c>
      <c r="I240" s="317">
        <v>2302</v>
      </c>
      <c r="J240" s="316" t="s">
        <v>1080</v>
      </c>
      <c r="K240" s="316" t="s">
        <v>1115</v>
      </c>
      <c r="L240" s="324">
        <v>2302007</v>
      </c>
      <c r="M240" s="316" t="s">
        <v>1126</v>
      </c>
      <c r="N240" s="317">
        <v>2302007</v>
      </c>
      <c r="O240" s="316" t="s">
        <v>1126</v>
      </c>
      <c r="P240" s="324">
        <v>230200701</v>
      </c>
      <c r="Q240" s="325" t="s">
        <v>1127</v>
      </c>
      <c r="R240" s="324">
        <v>230200701</v>
      </c>
      <c r="S240" s="319" t="s">
        <v>1127</v>
      </c>
      <c r="T240" s="320" t="s">
        <v>58</v>
      </c>
      <c r="U240" s="318">
        <v>1</v>
      </c>
      <c r="V240" s="318"/>
      <c r="W240" s="233">
        <f t="shared" si="7"/>
        <v>1</v>
      </c>
      <c r="X240" s="321">
        <v>2020003630141</v>
      </c>
      <c r="Y240" s="322" t="s">
        <v>1118</v>
      </c>
      <c r="Z240" s="316" t="s">
        <v>1119</v>
      </c>
      <c r="AA240" s="323"/>
      <c r="AB240" s="323"/>
      <c r="AC240" s="323"/>
      <c r="AD240" s="323"/>
      <c r="AE240" s="323"/>
      <c r="AF240" s="323"/>
      <c r="AG240" s="234">
        <v>30000000</v>
      </c>
      <c r="AH240" s="234"/>
      <c r="AI240" s="234"/>
      <c r="AJ240" s="236">
        <f t="shared" si="8"/>
        <v>30000000</v>
      </c>
      <c r="AK240" s="299" t="s">
        <v>1060</v>
      </c>
    </row>
    <row r="241" spans="1:58" s="224" customFormat="1" ht="85.9" customHeight="1">
      <c r="A241" s="315">
        <v>324</v>
      </c>
      <c r="B241" s="316" t="s">
        <v>1051</v>
      </c>
      <c r="C241" s="317">
        <v>4</v>
      </c>
      <c r="D241" s="316" t="s">
        <v>48</v>
      </c>
      <c r="E241" s="317">
        <v>23</v>
      </c>
      <c r="F241" s="316" t="s">
        <v>1052</v>
      </c>
      <c r="G241" s="317">
        <v>2302</v>
      </c>
      <c r="H241" s="316" t="s">
        <v>1079</v>
      </c>
      <c r="I241" s="317">
        <v>2302</v>
      </c>
      <c r="J241" s="316" t="s">
        <v>1080</v>
      </c>
      <c r="K241" s="316" t="s">
        <v>1115</v>
      </c>
      <c r="L241" s="317">
        <v>2302083</v>
      </c>
      <c r="M241" s="316" t="s">
        <v>89</v>
      </c>
      <c r="N241" s="317">
        <v>2302083</v>
      </c>
      <c r="O241" s="316" t="s">
        <v>89</v>
      </c>
      <c r="P241" s="324">
        <v>230208300</v>
      </c>
      <c r="Q241" s="319" t="s">
        <v>529</v>
      </c>
      <c r="R241" s="324">
        <v>230208300</v>
      </c>
      <c r="S241" s="319" t="s">
        <v>529</v>
      </c>
      <c r="T241" s="320" t="s">
        <v>58</v>
      </c>
      <c r="U241" s="318">
        <v>1</v>
      </c>
      <c r="V241" s="318"/>
      <c r="W241" s="233">
        <f t="shared" si="7"/>
        <v>1</v>
      </c>
      <c r="X241" s="321">
        <v>2020003630141</v>
      </c>
      <c r="Y241" s="322" t="s">
        <v>1118</v>
      </c>
      <c r="Z241" s="316" t="s">
        <v>1119</v>
      </c>
      <c r="AA241" s="326"/>
      <c r="AB241" s="326"/>
      <c r="AC241" s="326"/>
      <c r="AD241" s="326"/>
      <c r="AE241" s="326"/>
      <c r="AF241" s="326"/>
      <c r="AG241" s="234">
        <f>25000000</f>
        <v>25000000</v>
      </c>
      <c r="AH241" s="234"/>
      <c r="AI241" s="234"/>
      <c r="AJ241" s="236">
        <f t="shared" si="8"/>
        <v>25000000</v>
      </c>
      <c r="AK241" s="299" t="s">
        <v>1060</v>
      </c>
    </row>
    <row r="242" spans="1:58" s="224" customFormat="1" ht="85.9" customHeight="1">
      <c r="A242" s="228">
        <v>319</v>
      </c>
      <c r="B242" s="229" t="s">
        <v>1128</v>
      </c>
      <c r="C242" s="228">
        <v>1</v>
      </c>
      <c r="D242" s="229" t="s">
        <v>143</v>
      </c>
      <c r="E242" s="228">
        <v>43</v>
      </c>
      <c r="F242" s="229" t="s">
        <v>187</v>
      </c>
      <c r="G242" s="228">
        <v>4301</v>
      </c>
      <c r="H242" s="229" t="s">
        <v>188</v>
      </c>
      <c r="I242" s="228">
        <v>4301</v>
      </c>
      <c r="J242" s="229" t="s">
        <v>189</v>
      </c>
      <c r="K242" s="230" t="s">
        <v>1129</v>
      </c>
      <c r="L242" s="228">
        <v>4301007</v>
      </c>
      <c r="M242" s="229" t="s">
        <v>1130</v>
      </c>
      <c r="N242" s="228">
        <v>4301007</v>
      </c>
      <c r="O242" s="229" t="s">
        <v>1130</v>
      </c>
      <c r="P242" s="228">
        <v>430100701</v>
      </c>
      <c r="Q242" s="230" t="s">
        <v>1131</v>
      </c>
      <c r="R242" s="228">
        <v>430100701</v>
      </c>
      <c r="S242" s="230" t="s">
        <v>1131</v>
      </c>
      <c r="T242" s="285" t="s">
        <v>58</v>
      </c>
      <c r="U242" s="253">
        <v>12</v>
      </c>
      <c r="V242" s="253"/>
      <c r="W242" s="233">
        <f t="shared" si="7"/>
        <v>12</v>
      </c>
      <c r="X242" s="231">
        <v>2020003630009</v>
      </c>
      <c r="Y242" s="306" t="s">
        <v>1132</v>
      </c>
      <c r="Z242" s="229" t="s">
        <v>1133</v>
      </c>
      <c r="AA242" s="234">
        <v>50000000</v>
      </c>
      <c r="AB242" s="247">
        <v>120000000</v>
      </c>
      <c r="AC242" s="234"/>
      <c r="AD242" s="234">
        <f>879887047+65449910.82+28145559.72</f>
        <v>973482517.54000008</v>
      </c>
      <c r="AE242" s="234"/>
      <c r="AF242" s="234"/>
      <c r="AG242" s="247">
        <f>100000000-20000000+20000000</f>
        <v>100000000</v>
      </c>
      <c r="AH242" s="247"/>
      <c r="AI242" s="234">
        <v>300000000</v>
      </c>
      <c r="AJ242" s="236">
        <f t="shared" si="8"/>
        <v>1543482517.54</v>
      </c>
      <c r="AK242" s="299" t="s">
        <v>1134</v>
      </c>
    </row>
    <row r="243" spans="1:58" s="224" customFormat="1" ht="85.9" customHeight="1">
      <c r="A243" s="228">
        <v>319</v>
      </c>
      <c r="B243" s="229" t="s">
        <v>1128</v>
      </c>
      <c r="C243" s="228">
        <v>1</v>
      </c>
      <c r="D243" s="229" t="s">
        <v>143</v>
      </c>
      <c r="E243" s="228">
        <v>43</v>
      </c>
      <c r="F243" s="229" t="s">
        <v>187</v>
      </c>
      <c r="G243" s="228">
        <v>4301</v>
      </c>
      <c r="H243" s="229" t="s">
        <v>188</v>
      </c>
      <c r="I243" s="228">
        <v>4301</v>
      </c>
      <c r="J243" s="229" t="s">
        <v>189</v>
      </c>
      <c r="K243" s="230" t="s">
        <v>1129</v>
      </c>
      <c r="L243" s="228">
        <v>4301037</v>
      </c>
      <c r="M243" s="229" t="s">
        <v>1135</v>
      </c>
      <c r="N243" s="228">
        <v>4301037</v>
      </c>
      <c r="O243" s="229" t="s">
        <v>1135</v>
      </c>
      <c r="P243" s="228">
        <v>430103701</v>
      </c>
      <c r="Q243" s="230" t="s">
        <v>1136</v>
      </c>
      <c r="R243" s="228">
        <v>430103701</v>
      </c>
      <c r="S243" s="230" t="s">
        <v>1136</v>
      </c>
      <c r="T243" s="253" t="s">
        <v>58</v>
      </c>
      <c r="U243" s="253">
        <v>12</v>
      </c>
      <c r="V243" s="253"/>
      <c r="W243" s="233">
        <f t="shared" si="7"/>
        <v>12</v>
      </c>
      <c r="X243" s="231">
        <v>2020003630009</v>
      </c>
      <c r="Y243" s="306" t="s">
        <v>1132</v>
      </c>
      <c r="Z243" s="229" t="s">
        <v>1133</v>
      </c>
      <c r="AA243" s="234">
        <f>30000000-30000000</f>
        <v>0</v>
      </c>
      <c r="AB243" s="247">
        <f>142000000-32000000-48000000</f>
        <v>62000000</v>
      </c>
      <c r="AC243" s="234"/>
      <c r="AD243" s="234"/>
      <c r="AE243" s="234"/>
      <c r="AF243" s="234"/>
      <c r="AG243" s="247">
        <f>50000000+20000000-20000000-50000000</f>
        <v>0</v>
      </c>
      <c r="AH243" s="247"/>
      <c r="AI243" s="247">
        <v>200000000</v>
      </c>
      <c r="AJ243" s="236">
        <f t="shared" si="8"/>
        <v>262000000</v>
      </c>
      <c r="AK243" s="299" t="s">
        <v>1134</v>
      </c>
    </row>
    <row r="244" spans="1:58" s="224" customFormat="1" ht="85.9" customHeight="1">
      <c r="A244" s="228">
        <v>319</v>
      </c>
      <c r="B244" s="229" t="s">
        <v>1128</v>
      </c>
      <c r="C244" s="228">
        <v>1</v>
      </c>
      <c r="D244" s="229" t="s">
        <v>143</v>
      </c>
      <c r="E244" s="228">
        <v>43</v>
      </c>
      <c r="F244" s="229" t="s">
        <v>187</v>
      </c>
      <c r="G244" s="228">
        <v>4301</v>
      </c>
      <c r="H244" s="229" t="s">
        <v>188</v>
      </c>
      <c r="I244" s="228">
        <v>4301</v>
      </c>
      <c r="J244" s="229" t="s">
        <v>189</v>
      </c>
      <c r="K244" s="230" t="s">
        <v>1129</v>
      </c>
      <c r="L244" s="228">
        <v>4301037</v>
      </c>
      <c r="M244" s="229" t="s">
        <v>1135</v>
      </c>
      <c r="N244" s="228">
        <v>4301037</v>
      </c>
      <c r="O244" s="229" t="s">
        <v>1135</v>
      </c>
      <c r="P244" s="228" t="s">
        <v>1137</v>
      </c>
      <c r="Q244" s="230" t="s">
        <v>1138</v>
      </c>
      <c r="R244" s="228" t="s">
        <v>1137</v>
      </c>
      <c r="S244" s="230" t="s">
        <v>1138</v>
      </c>
      <c r="T244" s="253" t="s">
        <v>58</v>
      </c>
      <c r="U244" s="253">
        <v>12</v>
      </c>
      <c r="V244" s="253"/>
      <c r="W244" s="233">
        <f t="shared" si="7"/>
        <v>12</v>
      </c>
      <c r="X244" s="231">
        <v>2020003630009</v>
      </c>
      <c r="Y244" s="306" t="s">
        <v>1132</v>
      </c>
      <c r="Z244" s="229" t="s">
        <v>1133</v>
      </c>
      <c r="AA244" s="234">
        <f>150000000+30000000+745444483.22</f>
        <v>925444483.22000003</v>
      </c>
      <c r="AB244" s="247">
        <f>150000000+32000000+48000000+138087053.75+4685230</f>
        <v>372772283.75</v>
      </c>
      <c r="AC244" s="234"/>
      <c r="AD244" s="234">
        <f>80000000+19100484.77+25000000+55408988.54+2580223.38</f>
        <v>182089696.69</v>
      </c>
      <c r="AE244" s="234"/>
      <c r="AF244" s="234"/>
      <c r="AG244" s="247">
        <f>100000000+20000000+30000000+83511408.05</f>
        <v>233511408.05000001</v>
      </c>
      <c r="AH244" s="234"/>
      <c r="AI244" s="234">
        <v>500000000</v>
      </c>
      <c r="AJ244" s="236">
        <f t="shared" si="8"/>
        <v>2213817871.71</v>
      </c>
      <c r="AK244" s="299" t="s">
        <v>1134</v>
      </c>
    </row>
    <row r="245" spans="1:58" s="224" customFormat="1" ht="85.9" customHeight="1">
      <c r="A245" s="228">
        <v>319</v>
      </c>
      <c r="B245" s="229" t="s">
        <v>1128</v>
      </c>
      <c r="C245" s="228">
        <v>1</v>
      </c>
      <c r="D245" s="229" t="s">
        <v>143</v>
      </c>
      <c r="E245" s="228">
        <v>43</v>
      </c>
      <c r="F245" s="229" t="s">
        <v>187</v>
      </c>
      <c r="G245" s="228">
        <v>4301</v>
      </c>
      <c r="H245" s="229" t="s">
        <v>188</v>
      </c>
      <c r="I245" s="228">
        <v>4301</v>
      </c>
      <c r="J245" s="229" t="s">
        <v>189</v>
      </c>
      <c r="K245" s="230" t="s">
        <v>1129</v>
      </c>
      <c r="L245" s="253" t="s">
        <v>50</v>
      </c>
      <c r="M245" s="229" t="s">
        <v>1139</v>
      </c>
      <c r="N245" s="228">
        <v>4301006</v>
      </c>
      <c r="O245" s="229" t="s">
        <v>1140</v>
      </c>
      <c r="P245" s="253" t="s">
        <v>50</v>
      </c>
      <c r="Q245" s="230" t="s">
        <v>1141</v>
      </c>
      <c r="R245" s="228">
        <v>430100600</v>
      </c>
      <c r="S245" s="230" t="s">
        <v>1142</v>
      </c>
      <c r="T245" s="285" t="s">
        <v>58</v>
      </c>
      <c r="U245" s="253">
        <v>1</v>
      </c>
      <c r="V245" s="253"/>
      <c r="W245" s="233">
        <f t="shared" si="7"/>
        <v>1</v>
      </c>
      <c r="X245" s="231">
        <v>2020003630009</v>
      </c>
      <c r="Y245" s="306" t="s">
        <v>1132</v>
      </c>
      <c r="Z245" s="229" t="s">
        <v>1133</v>
      </c>
      <c r="AA245" s="234"/>
      <c r="AB245" s="234">
        <v>50000000</v>
      </c>
      <c r="AC245" s="234"/>
      <c r="AD245" s="234">
        <v>6000000</v>
      </c>
      <c r="AE245" s="234"/>
      <c r="AF245" s="234"/>
      <c r="AG245" s="234"/>
      <c r="AH245" s="234"/>
      <c r="AI245" s="234"/>
      <c r="AJ245" s="236">
        <f t="shared" si="8"/>
        <v>56000000</v>
      </c>
      <c r="AK245" s="299" t="s">
        <v>1134</v>
      </c>
    </row>
    <row r="246" spans="1:58" s="224" customFormat="1" ht="85.9" customHeight="1">
      <c r="A246" s="228">
        <v>319</v>
      </c>
      <c r="B246" s="229" t="s">
        <v>1128</v>
      </c>
      <c r="C246" s="228">
        <v>1</v>
      </c>
      <c r="D246" s="229" t="s">
        <v>143</v>
      </c>
      <c r="E246" s="228">
        <v>43</v>
      </c>
      <c r="F246" s="229" t="s">
        <v>187</v>
      </c>
      <c r="G246" s="228">
        <v>4302</v>
      </c>
      <c r="H246" s="229" t="s">
        <v>1143</v>
      </c>
      <c r="I246" s="228">
        <v>4302</v>
      </c>
      <c r="J246" s="229" t="s">
        <v>1144</v>
      </c>
      <c r="K246" s="251" t="s">
        <v>1145</v>
      </c>
      <c r="L246" s="327">
        <v>4302075</v>
      </c>
      <c r="M246" s="229" t="s">
        <v>1146</v>
      </c>
      <c r="N246" s="327">
        <v>4302075</v>
      </c>
      <c r="O246" s="229" t="s">
        <v>1146</v>
      </c>
      <c r="P246" s="253">
        <v>430207500</v>
      </c>
      <c r="Q246" s="230" t="s">
        <v>1147</v>
      </c>
      <c r="R246" s="253">
        <v>430207500</v>
      </c>
      <c r="S246" s="230" t="s">
        <v>1147</v>
      </c>
      <c r="T246" s="285" t="s">
        <v>58</v>
      </c>
      <c r="U246" s="253">
        <v>25</v>
      </c>
      <c r="V246" s="253"/>
      <c r="W246" s="233">
        <f t="shared" si="7"/>
        <v>25</v>
      </c>
      <c r="X246" s="231">
        <v>2020003630010</v>
      </c>
      <c r="Y246" s="306" t="s">
        <v>1148</v>
      </c>
      <c r="Z246" s="306" t="s">
        <v>1149</v>
      </c>
      <c r="AA246" s="234">
        <f>1852326000+1127187538.52+668668827.62</f>
        <v>3648182366.1399999</v>
      </c>
      <c r="AB246" s="247">
        <f>646783000+290331172.08</f>
        <v>937114172.07999992</v>
      </c>
      <c r="AC246" s="234"/>
      <c r="AD246" s="234">
        <f>177083000+200000000</f>
        <v>377083000</v>
      </c>
      <c r="AE246" s="234"/>
      <c r="AF246" s="234"/>
      <c r="AG246" s="247">
        <v>659464416</v>
      </c>
      <c r="AH246" s="234"/>
      <c r="AI246" s="234"/>
      <c r="AJ246" s="236">
        <f t="shared" si="8"/>
        <v>5621843954.2199993</v>
      </c>
      <c r="AK246" s="299" t="s">
        <v>1134</v>
      </c>
    </row>
    <row r="247" spans="1:58" s="224" customFormat="1" ht="85.9" customHeight="1">
      <c r="A247" s="228">
        <v>320</v>
      </c>
      <c r="B247" s="229" t="s">
        <v>1150</v>
      </c>
      <c r="C247" s="228">
        <v>1</v>
      </c>
      <c r="D247" s="229" t="s">
        <v>143</v>
      </c>
      <c r="E247" s="228">
        <v>43</v>
      </c>
      <c r="F247" s="229" t="s">
        <v>187</v>
      </c>
      <c r="G247" s="228">
        <v>4301</v>
      </c>
      <c r="H247" s="229" t="s">
        <v>188</v>
      </c>
      <c r="I247" s="228">
        <v>4301</v>
      </c>
      <c r="J247" s="229" t="s">
        <v>189</v>
      </c>
      <c r="K247" s="229" t="s">
        <v>190</v>
      </c>
      <c r="L247" s="253" t="s">
        <v>50</v>
      </c>
      <c r="M247" s="252" t="s">
        <v>1151</v>
      </c>
      <c r="N247" s="228">
        <v>4301004</v>
      </c>
      <c r="O247" s="252" t="s">
        <v>192</v>
      </c>
      <c r="P247" s="253" t="s">
        <v>50</v>
      </c>
      <c r="Q247" s="230" t="s">
        <v>1152</v>
      </c>
      <c r="R247" s="233">
        <v>430100401</v>
      </c>
      <c r="S247" s="252" t="s">
        <v>194</v>
      </c>
      <c r="T247" s="232" t="s">
        <v>152</v>
      </c>
      <c r="U247" s="253">
        <v>3</v>
      </c>
      <c r="V247" s="253"/>
      <c r="W247" s="233">
        <f t="shared" si="7"/>
        <v>3</v>
      </c>
      <c r="X247" s="231">
        <v>2020003630142</v>
      </c>
      <c r="Y247" s="306" t="s">
        <v>1153</v>
      </c>
      <c r="Z247" s="252" t="s">
        <v>1154</v>
      </c>
      <c r="AA247" s="234">
        <f>1600000000+166021823.61</f>
        <v>1766021823.6100001</v>
      </c>
      <c r="AB247" s="234"/>
      <c r="AC247" s="234"/>
      <c r="AD247" s="234"/>
      <c r="AE247" s="234"/>
      <c r="AF247" s="234"/>
      <c r="AG247" s="234"/>
      <c r="AH247" s="247"/>
      <c r="AI247" s="234"/>
      <c r="AJ247" s="236">
        <f t="shared" si="8"/>
        <v>1766021823.6100001</v>
      </c>
      <c r="AK247" s="299" t="s">
        <v>1155</v>
      </c>
    </row>
    <row r="248" spans="1:58" s="224" customFormat="1" ht="85.9" customHeight="1">
      <c r="A248" s="228">
        <v>320</v>
      </c>
      <c r="B248" s="229" t="s">
        <v>1150</v>
      </c>
      <c r="C248" s="228">
        <v>1</v>
      </c>
      <c r="D248" s="229" t="s">
        <v>143</v>
      </c>
      <c r="E248" s="228">
        <v>22</v>
      </c>
      <c r="F248" s="229" t="s">
        <v>156</v>
      </c>
      <c r="G248" s="228">
        <v>2201</v>
      </c>
      <c r="H248" s="229" t="s">
        <v>287</v>
      </c>
      <c r="I248" s="228">
        <v>2201</v>
      </c>
      <c r="J248" s="229" t="s">
        <v>158</v>
      </c>
      <c r="K248" s="229" t="s">
        <v>159</v>
      </c>
      <c r="L248" s="253" t="s">
        <v>50</v>
      </c>
      <c r="M248" s="229" t="s">
        <v>1156</v>
      </c>
      <c r="N248" s="233">
        <v>2201062</v>
      </c>
      <c r="O248" s="229" t="s">
        <v>161</v>
      </c>
      <c r="P248" s="253" t="s">
        <v>50</v>
      </c>
      <c r="Q248" s="230" t="s">
        <v>162</v>
      </c>
      <c r="R248" s="228">
        <v>220106200</v>
      </c>
      <c r="S248" s="251" t="s">
        <v>163</v>
      </c>
      <c r="T248" s="232" t="s">
        <v>152</v>
      </c>
      <c r="U248" s="228">
        <v>15</v>
      </c>
      <c r="V248" s="228"/>
      <c r="W248" s="233">
        <f t="shared" si="7"/>
        <v>15</v>
      </c>
      <c r="X248" s="231">
        <v>2020003630143</v>
      </c>
      <c r="Y248" s="306" t="s">
        <v>1157</v>
      </c>
      <c r="Z248" s="252" t="s">
        <v>1158</v>
      </c>
      <c r="AA248" s="234">
        <f>2211834000-250000000+220000000</f>
        <v>2181834000</v>
      </c>
      <c r="AB248" s="234"/>
      <c r="AC248" s="234"/>
      <c r="AD248" s="234"/>
      <c r="AE248" s="234"/>
      <c r="AF248" s="234"/>
      <c r="AG248" s="234"/>
      <c r="AH248" s="234"/>
      <c r="AI248" s="234"/>
      <c r="AJ248" s="236">
        <f t="shared" si="8"/>
        <v>2181834000</v>
      </c>
      <c r="AK248" s="299" t="s">
        <v>1155</v>
      </c>
    </row>
    <row r="249" spans="1:58" s="224" customFormat="1" ht="85.9" customHeight="1">
      <c r="A249" s="228">
        <v>320</v>
      </c>
      <c r="B249" s="229" t="s">
        <v>1150</v>
      </c>
      <c r="C249" s="228">
        <v>3</v>
      </c>
      <c r="D249" s="229" t="s">
        <v>197</v>
      </c>
      <c r="E249" s="228">
        <v>24</v>
      </c>
      <c r="F249" s="229" t="s">
        <v>198</v>
      </c>
      <c r="G249" s="228">
        <v>2402</v>
      </c>
      <c r="H249" s="229" t="s">
        <v>199</v>
      </c>
      <c r="I249" s="228">
        <v>2402</v>
      </c>
      <c r="J249" s="229" t="s">
        <v>200</v>
      </c>
      <c r="K249" s="252" t="s">
        <v>1159</v>
      </c>
      <c r="L249" s="253" t="s">
        <v>50</v>
      </c>
      <c r="M249" s="229" t="s">
        <v>202</v>
      </c>
      <c r="N249" s="233">
        <v>2402041</v>
      </c>
      <c r="O249" s="229" t="s">
        <v>203</v>
      </c>
      <c r="P249" s="253" t="s">
        <v>50</v>
      </c>
      <c r="Q249" s="230" t="s">
        <v>204</v>
      </c>
      <c r="R249" s="233">
        <v>240204100</v>
      </c>
      <c r="S249" s="252" t="s">
        <v>205</v>
      </c>
      <c r="T249" s="232" t="s">
        <v>58</v>
      </c>
      <c r="U249" s="264">
        <v>70.379000000000005</v>
      </c>
      <c r="V249" s="264"/>
      <c r="W249" s="233">
        <f t="shared" si="7"/>
        <v>70.379000000000005</v>
      </c>
      <c r="X249" s="231">
        <v>2020003630144</v>
      </c>
      <c r="Y249" s="306" t="s">
        <v>1160</v>
      </c>
      <c r="Z249" s="229" t="s">
        <v>1161</v>
      </c>
      <c r="AA249" s="234"/>
      <c r="AB249" s="234"/>
      <c r="AC249" s="234"/>
      <c r="AD249" s="234"/>
      <c r="AE249" s="234"/>
      <c r="AF249" s="234"/>
      <c r="AG249" s="234"/>
      <c r="AH249" s="247">
        <v>1000481000</v>
      </c>
      <c r="AI249" s="234"/>
      <c r="AJ249" s="236">
        <f t="shared" si="8"/>
        <v>1000481000</v>
      </c>
      <c r="AK249" s="299" t="s">
        <v>1155</v>
      </c>
    </row>
    <row r="250" spans="1:58" s="224" customFormat="1" ht="85.9" customHeight="1">
      <c r="A250" s="228">
        <v>320</v>
      </c>
      <c r="B250" s="229" t="s">
        <v>1150</v>
      </c>
      <c r="C250" s="228">
        <v>3</v>
      </c>
      <c r="D250" s="229" t="s">
        <v>197</v>
      </c>
      <c r="E250" s="228">
        <v>40</v>
      </c>
      <c r="F250" s="229" t="s">
        <v>222</v>
      </c>
      <c r="G250" s="228">
        <v>4001</v>
      </c>
      <c r="H250" s="229" t="s">
        <v>223</v>
      </c>
      <c r="I250" s="228">
        <v>4001</v>
      </c>
      <c r="J250" s="229" t="s">
        <v>224</v>
      </c>
      <c r="K250" s="229" t="s">
        <v>225</v>
      </c>
      <c r="L250" s="249">
        <v>4001001</v>
      </c>
      <c r="M250" s="229" t="s">
        <v>1162</v>
      </c>
      <c r="N250" s="328">
        <v>4001001</v>
      </c>
      <c r="O250" s="229" t="s">
        <v>1162</v>
      </c>
      <c r="P250" s="253" t="s">
        <v>1163</v>
      </c>
      <c r="Q250" s="230" t="s">
        <v>1164</v>
      </c>
      <c r="R250" s="253" t="s">
        <v>1163</v>
      </c>
      <c r="S250" s="230" t="s">
        <v>1164</v>
      </c>
      <c r="T250" s="232" t="s">
        <v>152</v>
      </c>
      <c r="U250" s="253">
        <v>3</v>
      </c>
      <c r="V250" s="253"/>
      <c r="W250" s="233">
        <f t="shared" si="7"/>
        <v>3</v>
      </c>
      <c r="X250" s="231">
        <v>2020003630145</v>
      </c>
      <c r="Y250" s="306" t="s">
        <v>1165</v>
      </c>
      <c r="Z250" s="229" t="s">
        <v>1166</v>
      </c>
      <c r="AA250" s="234"/>
      <c r="AB250" s="234"/>
      <c r="AC250" s="234"/>
      <c r="AD250" s="234"/>
      <c r="AE250" s="234"/>
      <c r="AF250" s="234"/>
      <c r="AG250" s="234"/>
      <c r="AH250" s="234">
        <v>55000000</v>
      </c>
      <c r="AI250" s="234"/>
      <c r="AJ250" s="236">
        <f t="shared" si="8"/>
        <v>55000000</v>
      </c>
      <c r="AK250" s="299" t="s">
        <v>1155</v>
      </c>
    </row>
    <row r="251" spans="1:58" s="224" customFormat="1" ht="85.9" customHeight="1">
      <c r="A251" s="228">
        <v>320</v>
      </c>
      <c r="B251" s="229" t="s">
        <v>1150</v>
      </c>
      <c r="C251" s="228">
        <v>3</v>
      </c>
      <c r="D251" s="229" t="s">
        <v>197</v>
      </c>
      <c r="E251" s="228">
        <v>40</v>
      </c>
      <c r="F251" s="229" t="s">
        <v>222</v>
      </c>
      <c r="G251" s="228">
        <v>4001</v>
      </c>
      <c r="H251" s="229" t="s">
        <v>223</v>
      </c>
      <c r="I251" s="228">
        <v>4001</v>
      </c>
      <c r="J251" s="229" t="s">
        <v>224</v>
      </c>
      <c r="K251" s="229" t="s">
        <v>225</v>
      </c>
      <c r="L251" s="249">
        <v>4001018</v>
      </c>
      <c r="M251" s="229" t="s">
        <v>1167</v>
      </c>
      <c r="N251" s="328">
        <v>4001018</v>
      </c>
      <c r="O251" s="229" t="s">
        <v>1167</v>
      </c>
      <c r="P251" s="253" t="s">
        <v>1168</v>
      </c>
      <c r="Q251" s="230" t="s">
        <v>1169</v>
      </c>
      <c r="R251" s="253" t="s">
        <v>1168</v>
      </c>
      <c r="S251" s="230" t="s">
        <v>1169</v>
      </c>
      <c r="T251" s="253" t="s">
        <v>152</v>
      </c>
      <c r="U251" s="253">
        <v>75</v>
      </c>
      <c r="V251" s="253"/>
      <c r="W251" s="233">
        <f t="shared" si="7"/>
        <v>75</v>
      </c>
      <c r="X251" s="231">
        <v>2020003630145</v>
      </c>
      <c r="Y251" s="306" t="s">
        <v>1165</v>
      </c>
      <c r="Z251" s="229" t="s">
        <v>1166</v>
      </c>
      <c r="AA251" s="234">
        <f>400000000+200000000</f>
        <v>600000000</v>
      </c>
      <c r="AB251" s="234"/>
      <c r="AC251" s="234"/>
      <c r="AD251" s="234"/>
      <c r="AE251" s="234"/>
      <c r="AF251" s="234"/>
      <c r="AG251" s="234"/>
      <c r="AH251" s="234"/>
      <c r="AI251" s="234"/>
      <c r="AJ251" s="236">
        <f t="shared" si="8"/>
        <v>600000000</v>
      </c>
      <c r="AK251" s="299" t="s">
        <v>1155</v>
      </c>
    </row>
    <row r="252" spans="1:58" s="224" customFormat="1" ht="85.9" customHeight="1">
      <c r="A252" s="228">
        <v>320</v>
      </c>
      <c r="B252" s="229" t="s">
        <v>1150</v>
      </c>
      <c r="C252" s="228">
        <v>3</v>
      </c>
      <c r="D252" s="229" t="s">
        <v>197</v>
      </c>
      <c r="E252" s="228">
        <v>40</v>
      </c>
      <c r="F252" s="229" t="s">
        <v>222</v>
      </c>
      <c r="G252" s="228">
        <v>4001</v>
      </c>
      <c r="H252" s="229" t="s">
        <v>223</v>
      </c>
      <c r="I252" s="228">
        <v>4001</v>
      </c>
      <c r="J252" s="229" t="s">
        <v>224</v>
      </c>
      <c r="K252" s="229" t="s">
        <v>225</v>
      </c>
      <c r="L252" s="249">
        <v>4001030</v>
      </c>
      <c r="M252" s="229" t="s">
        <v>1170</v>
      </c>
      <c r="N252" s="328">
        <v>4001030</v>
      </c>
      <c r="O252" s="229" t="s">
        <v>1170</v>
      </c>
      <c r="P252" s="253" t="s">
        <v>1171</v>
      </c>
      <c r="Q252" s="230" t="s">
        <v>248</v>
      </c>
      <c r="R252" s="253" t="s">
        <v>1171</v>
      </c>
      <c r="S252" s="230" t="s">
        <v>248</v>
      </c>
      <c r="T252" s="232" t="s">
        <v>152</v>
      </c>
      <c r="U252" s="253">
        <v>3</v>
      </c>
      <c r="V252" s="253"/>
      <c r="W252" s="233">
        <f t="shared" si="7"/>
        <v>3</v>
      </c>
      <c r="X252" s="231">
        <v>2020003630145</v>
      </c>
      <c r="Y252" s="306" t="s">
        <v>1165</v>
      </c>
      <c r="Z252" s="229" t="s">
        <v>1166</v>
      </c>
      <c r="AA252" s="234"/>
      <c r="AB252" s="234"/>
      <c r="AC252" s="234"/>
      <c r="AD252" s="234"/>
      <c r="AE252" s="234"/>
      <c r="AF252" s="234"/>
      <c r="AG252" s="247"/>
      <c r="AH252" s="234">
        <v>171000000</v>
      </c>
      <c r="AI252" s="234"/>
      <c r="AJ252" s="236">
        <f t="shared" si="8"/>
        <v>171000000</v>
      </c>
      <c r="AK252" s="299" t="s">
        <v>1155</v>
      </c>
    </row>
    <row r="253" spans="1:58" s="224" customFormat="1" ht="85.9" customHeight="1">
      <c r="A253" s="228">
        <v>320</v>
      </c>
      <c r="B253" s="229" t="s">
        <v>1150</v>
      </c>
      <c r="C253" s="228">
        <v>3</v>
      </c>
      <c r="D253" s="229" t="s">
        <v>197</v>
      </c>
      <c r="E253" s="228">
        <v>40</v>
      </c>
      <c r="F253" s="229" t="s">
        <v>222</v>
      </c>
      <c r="G253" s="228">
        <v>4001</v>
      </c>
      <c r="H253" s="229" t="s">
        <v>223</v>
      </c>
      <c r="I253" s="228">
        <v>4001</v>
      </c>
      <c r="J253" s="229" t="s">
        <v>224</v>
      </c>
      <c r="K253" s="229" t="s">
        <v>225</v>
      </c>
      <c r="L253" s="249" t="s">
        <v>1172</v>
      </c>
      <c r="M253" s="229" t="s">
        <v>228</v>
      </c>
      <c r="N253" s="328" t="s">
        <v>1172</v>
      </c>
      <c r="O253" s="229" t="s">
        <v>228</v>
      </c>
      <c r="P253" s="253">
        <v>400101500</v>
      </c>
      <c r="Q253" s="230" t="s">
        <v>228</v>
      </c>
      <c r="R253" s="253">
        <v>400101500</v>
      </c>
      <c r="S253" s="230" t="s">
        <v>228</v>
      </c>
      <c r="T253" s="232" t="s">
        <v>152</v>
      </c>
      <c r="U253" s="228">
        <v>120</v>
      </c>
      <c r="V253" s="228"/>
      <c r="W253" s="233">
        <f t="shared" si="7"/>
        <v>120</v>
      </c>
      <c r="X253" s="231">
        <v>2020003630145</v>
      </c>
      <c r="Y253" s="306" t="s">
        <v>1165</v>
      </c>
      <c r="Z253" s="229" t="s">
        <v>1166</v>
      </c>
      <c r="AA253" s="234">
        <f>300000000+100000000</f>
        <v>400000000</v>
      </c>
      <c r="AB253" s="234"/>
      <c r="AC253" s="234"/>
      <c r="AD253" s="234"/>
      <c r="AE253" s="234"/>
      <c r="AF253" s="234"/>
      <c r="AG253" s="247"/>
      <c r="AH253" s="234"/>
      <c r="AI253" s="234"/>
      <c r="AJ253" s="236">
        <f t="shared" si="8"/>
        <v>400000000</v>
      </c>
      <c r="AK253" s="299" t="s">
        <v>1155</v>
      </c>
    </row>
    <row r="254" spans="1:58" s="224" customFormat="1" ht="85.9" customHeight="1">
      <c r="A254" s="228">
        <v>320</v>
      </c>
      <c r="B254" s="229" t="s">
        <v>1150</v>
      </c>
      <c r="C254" s="228">
        <v>4</v>
      </c>
      <c r="D254" s="229" t="s">
        <v>48</v>
      </c>
      <c r="E254" s="228">
        <v>45</v>
      </c>
      <c r="F254" s="245" t="s">
        <v>49</v>
      </c>
      <c r="G254" s="228" t="s">
        <v>50</v>
      </c>
      <c r="H254" s="229" t="s">
        <v>1173</v>
      </c>
      <c r="I254" s="228">
        <v>4599</v>
      </c>
      <c r="J254" s="229" t="s">
        <v>52</v>
      </c>
      <c r="K254" s="229" t="s">
        <v>53</v>
      </c>
      <c r="L254" s="249" t="s">
        <v>50</v>
      </c>
      <c r="M254" s="229" t="s">
        <v>253</v>
      </c>
      <c r="N254" s="233" t="s">
        <v>254</v>
      </c>
      <c r="O254" s="229" t="s">
        <v>163</v>
      </c>
      <c r="P254" s="253" t="s">
        <v>50</v>
      </c>
      <c r="Q254" s="229" t="s">
        <v>1174</v>
      </c>
      <c r="R254" s="233">
        <v>459901600</v>
      </c>
      <c r="S254" s="251" t="s">
        <v>163</v>
      </c>
      <c r="T254" s="232" t="s">
        <v>152</v>
      </c>
      <c r="U254" s="228">
        <v>4</v>
      </c>
      <c r="V254" s="228"/>
      <c r="W254" s="233">
        <f t="shared" si="7"/>
        <v>4</v>
      </c>
      <c r="X254" s="231">
        <v>2022003630006</v>
      </c>
      <c r="Y254" s="306" t="s">
        <v>1175</v>
      </c>
      <c r="Z254" s="230" t="s">
        <v>257</v>
      </c>
      <c r="AA254" s="234"/>
      <c r="AB254" s="234"/>
      <c r="AC254" s="234"/>
      <c r="AD254" s="234"/>
      <c r="AE254" s="234"/>
      <c r="AF254" s="234"/>
      <c r="AG254" s="234"/>
      <c r="AH254" s="234">
        <f>500000000-123718634.16+51004314.18</f>
        <v>427285680.02000004</v>
      </c>
      <c r="AI254" s="234"/>
      <c r="AJ254" s="236">
        <f t="shared" si="8"/>
        <v>427285680.02000004</v>
      </c>
      <c r="AK254" s="299" t="s">
        <v>1155</v>
      </c>
    </row>
    <row r="255" spans="1:58" s="224" customFormat="1" ht="85.9" customHeight="1">
      <c r="A255" s="228">
        <v>320</v>
      </c>
      <c r="B255" s="355" t="s">
        <v>1150</v>
      </c>
      <c r="C255" s="228">
        <v>3</v>
      </c>
      <c r="D255" s="355" t="s">
        <v>1176</v>
      </c>
      <c r="E255" s="228">
        <v>40</v>
      </c>
      <c r="F255" s="355" t="s">
        <v>1177</v>
      </c>
      <c r="G255" s="228">
        <v>4003</v>
      </c>
      <c r="H255" s="355" t="s">
        <v>1178</v>
      </c>
      <c r="I255" s="228">
        <v>4003</v>
      </c>
      <c r="J255" s="355" t="s">
        <v>1179</v>
      </c>
      <c r="K255" s="355" t="s">
        <v>1180</v>
      </c>
      <c r="L255" s="228">
        <v>4003025</v>
      </c>
      <c r="M255" s="355" t="s">
        <v>1181</v>
      </c>
      <c r="N255" s="228">
        <v>4003025</v>
      </c>
      <c r="O255" s="355" t="s">
        <v>1181</v>
      </c>
      <c r="P255" s="228">
        <v>400302500</v>
      </c>
      <c r="Q255" s="355" t="s">
        <v>1182</v>
      </c>
      <c r="R255" s="228">
        <v>400302500</v>
      </c>
      <c r="S255" s="355" t="s">
        <v>1182</v>
      </c>
      <c r="T255" s="232" t="s">
        <v>1183</v>
      </c>
      <c r="U255" s="228">
        <v>1</v>
      </c>
      <c r="V255" s="228"/>
      <c r="W255" s="356">
        <f t="shared" si="7"/>
        <v>1</v>
      </c>
      <c r="X255" s="228" t="s">
        <v>1184</v>
      </c>
      <c r="Y255" s="357" t="s">
        <v>1185</v>
      </c>
      <c r="Z255" s="357" t="s">
        <v>1186</v>
      </c>
      <c r="AA255" s="355">
        <f>250000000+500000000</f>
        <v>750000000</v>
      </c>
      <c r="AB255" s="355"/>
      <c r="AC255" s="358"/>
      <c r="AD255" s="358"/>
      <c r="AE255" s="358"/>
      <c r="AF255" s="358"/>
      <c r="AG255" s="358"/>
      <c r="AH255" s="358"/>
      <c r="AI255" s="358"/>
      <c r="AJ255" s="236">
        <f t="shared" si="8"/>
        <v>750000000</v>
      </c>
      <c r="AK255" s="299" t="s">
        <v>1155</v>
      </c>
      <c r="AL255" s="359"/>
      <c r="AM255" s="359"/>
      <c r="AN255" s="359"/>
      <c r="AO255" s="359"/>
      <c r="AP255" s="359"/>
      <c r="AQ255" s="359"/>
      <c r="AR255" s="359"/>
      <c r="AS255" s="359"/>
      <c r="AT255" s="359"/>
      <c r="AU255" s="359"/>
      <c r="AV255" s="359"/>
      <c r="AW255" s="359"/>
      <c r="AX255" s="359"/>
      <c r="AY255" s="359"/>
      <c r="AZ255" s="359"/>
      <c r="BA255" s="359"/>
      <c r="BB255" s="359"/>
      <c r="BC255" s="359"/>
      <c r="BD255" s="359"/>
      <c r="BE255" s="359"/>
      <c r="BF255" s="359"/>
    </row>
    <row r="256" spans="1:58" s="262" customFormat="1" ht="85.9" customHeight="1">
      <c r="A256" s="329">
        <v>321</v>
      </c>
      <c r="B256" s="330" t="s">
        <v>1187</v>
      </c>
      <c r="C256" s="329">
        <v>3</v>
      </c>
      <c r="D256" s="330" t="s">
        <v>197</v>
      </c>
      <c r="E256" s="329">
        <v>24</v>
      </c>
      <c r="F256" s="330" t="s">
        <v>198</v>
      </c>
      <c r="G256" s="329">
        <v>2409</v>
      </c>
      <c r="H256" s="240" t="s">
        <v>1188</v>
      </c>
      <c r="I256" s="329">
        <v>2409</v>
      </c>
      <c r="J256" s="240" t="s">
        <v>1189</v>
      </c>
      <c r="K256" s="242" t="s">
        <v>1190</v>
      </c>
      <c r="L256" s="257" t="s">
        <v>50</v>
      </c>
      <c r="M256" s="330" t="s">
        <v>1191</v>
      </c>
      <c r="N256" s="329">
        <v>2409009</v>
      </c>
      <c r="O256" s="330" t="s">
        <v>1192</v>
      </c>
      <c r="P256" s="257" t="s">
        <v>50</v>
      </c>
      <c r="Q256" s="242" t="s">
        <v>1193</v>
      </c>
      <c r="R256" s="329">
        <v>240900900</v>
      </c>
      <c r="S256" s="242" t="s">
        <v>1194</v>
      </c>
      <c r="T256" s="257" t="s">
        <v>58</v>
      </c>
      <c r="U256" s="257">
        <v>1</v>
      </c>
      <c r="V256" s="257"/>
      <c r="W256" s="233">
        <f t="shared" si="7"/>
        <v>1</v>
      </c>
      <c r="X256" s="239">
        <v>2020003630149</v>
      </c>
      <c r="Y256" s="331" t="s">
        <v>1195</v>
      </c>
      <c r="Z256" s="330" t="s">
        <v>1196</v>
      </c>
      <c r="AA256" s="243"/>
      <c r="AB256" s="243"/>
      <c r="AC256" s="243"/>
      <c r="AD256" s="243"/>
      <c r="AE256" s="243"/>
      <c r="AF256" s="332"/>
      <c r="AG256" s="243"/>
      <c r="AH256" s="243">
        <v>30542364.719999999</v>
      </c>
      <c r="AI256" s="243"/>
      <c r="AJ256" s="236">
        <f t="shared" si="8"/>
        <v>30542364.719999999</v>
      </c>
      <c r="AK256" s="333" t="s">
        <v>1197</v>
      </c>
    </row>
    <row r="257" spans="1:37" s="262" customFormat="1" ht="85.9" customHeight="1">
      <c r="A257" s="329">
        <v>321</v>
      </c>
      <c r="B257" s="330" t="s">
        <v>1187</v>
      </c>
      <c r="C257" s="329">
        <v>3</v>
      </c>
      <c r="D257" s="330" t="s">
        <v>197</v>
      </c>
      <c r="E257" s="329">
        <v>24</v>
      </c>
      <c r="F257" s="330" t="s">
        <v>198</v>
      </c>
      <c r="G257" s="329">
        <v>2409</v>
      </c>
      <c r="H257" s="240" t="s">
        <v>1188</v>
      </c>
      <c r="I257" s="329">
        <v>2409</v>
      </c>
      <c r="J257" s="240" t="s">
        <v>1189</v>
      </c>
      <c r="K257" s="242" t="s">
        <v>1190</v>
      </c>
      <c r="L257" s="257" t="s">
        <v>50</v>
      </c>
      <c r="M257" s="330" t="s">
        <v>1198</v>
      </c>
      <c r="N257" s="329">
        <v>2409022</v>
      </c>
      <c r="O257" s="330" t="s">
        <v>1199</v>
      </c>
      <c r="P257" s="257" t="s">
        <v>50</v>
      </c>
      <c r="Q257" s="242" t="s">
        <v>1200</v>
      </c>
      <c r="R257" s="329">
        <v>240902202</v>
      </c>
      <c r="S257" s="242" t="s">
        <v>1201</v>
      </c>
      <c r="T257" s="257" t="s">
        <v>58</v>
      </c>
      <c r="U257" s="257">
        <v>1</v>
      </c>
      <c r="V257" s="257"/>
      <c r="W257" s="233">
        <f t="shared" si="7"/>
        <v>1</v>
      </c>
      <c r="X257" s="239">
        <v>2020003630149</v>
      </c>
      <c r="Y257" s="331" t="s">
        <v>1195</v>
      </c>
      <c r="Z257" s="330" t="s">
        <v>1196</v>
      </c>
      <c r="AA257" s="243"/>
      <c r="AB257" s="243"/>
      <c r="AC257" s="243"/>
      <c r="AD257" s="243"/>
      <c r="AE257" s="243"/>
      <c r="AF257" s="332"/>
      <c r="AG257" s="243"/>
      <c r="AH257" s="243">
        <v>47955646.380000003</v>
      </c>
      <c r="AI257" s="243"/>
      <c r="AJ257" s="236">
        <f t="shared" si="8"/>
        <v>47955646.380000003</v>
      </c>
      <c r="AK257" s="333" t="s">
        <v>1197</v>
      </c>
    </row>
    <row r="258" spans="1:37" s="262" customFormat="1" ht="85.9" customHeight="1">
      <c r="A258" s="329">
        <v>321</v>
      </c>
      <c r="B258" s="330" t="s">
        <v>1187</v>
      </c>
      <c r="C258" s="329">
        <v>3</v>
      </c>
      <c r="D258" s="330" t="s">
        <v>197</v>
      </c>
      <c r="E258" s="329">
        <v>24</v>
      </c>
      <c r="F258" s="330" t="s">
        <v>198</v>
      </c>
      <c r="G258" s="329">
        <v>2409</v>
      </c>
      <c r="H258" s="240" t="s">
        <v>1188</v>
      </c>
      <c r="I258" s="329">
        <v>2409</v>
      </c>
      <c r="J258" s="240" t="s">
        <v>1189</v>
      </c>
      <c r="K258" s="242" t="s">
        <v>1190</v>
      </c>
      <c r="L258" s="257" t="s">
        <v>50</v>
      </c>
      <c r="M258" s="330" t="s">
        <v>1202</v>
      </c>
      <c r="N258" s="329">
        <v>2409014</v>
      </c>
      <c r="O258" s="330" t="s">
        <v>235</v>
      </c>
      <c r="P258" s="257" t="s">
        <v>50</v>
      </c>
      <c r="Q258" s="242" t="s">
        <v>1203</v>
      </c>
      <c r="R258" s="329">
        <v>240901400</v>
      </c>
      <c r="S258" s="242" t="s">
        <v>1204</v>
      </c>
      <c r="T258" s="257" t="s">
        <v>58</v>
      </c>
      <c r="U258" s="257">
        <v>1</v>
      </c>
      <c r="V258" s="257"/>
      <c r="W258" s="233">
        <f t="shared" si="7"/>
        <v>1</v>
      </c>
      <c r="X258" s="239">
        <v>2020003630149</v>
      </c>
      <c r="Y258" s="331" t="s">
        <v>1195</v>
      </c>
      <c r="Z258" s="330" t="s">
        <v>1196</v>
      </c>
      <c r="AA258" s="243"/>
      <c r="AB258" s="243"/>
      <c r="AC258" s="243"/>
      <c r="AD258" s="243"/>
      <c r="AE258" s="243"/>
      <c r="AF258" s="332"/>
      <c r="AG258" s="243"/>
      <c r="AH258" s="243">
        <v>29925000</v>
      </c>
      <c r="AI258" s="243"/>
      <c r="AJ258" s="236">
        <f t="shared" si="8"/>
        <v>29925000</v>
      </c>
      <c r="AK258" s="333" t="s">
        <v>1197</v>
      </c>
    </row>
    <row r="259" spans="1:37" s="262" customFormat="1" ht="85.9" customHeight="1" thickBot="1">
      <c r="A259" s="334">
        <v>321</v>
      </c>
      <c r="B259" s="335" t="s">
        <v>1187</v>
      </c>
      <c r="C259" s="334">
        <v>3</v>
      </c>
      <c r="D259" s="335" t="s">
        <v>197</v>
      </c>
      <c r="E259" s="334">
        <v>24</v>
      </c>
      <c r="F259" s="335" t="s">
        <v>198</v>
      </c>
      <c r="G259" s="334">
        <v>2409</v>
      </c>
      <c r="H259" s="335" t="s">
        <v>1188</v>
      </c>
      <c r="I259" s="334">
        <v>2409</v>
      </c>
      <c r="J259" s="335" t="s">
        <v>1189</v>
      </c>
      <c r="K259" s="336" t="s">
        <v>1190</v>
      </c>
      <c r="L259" s="337" t="s">
        <v>50</v>
      </c>
      <c r="M259" s="335" t="s">
        <v>1205</v>
      </c>
      <c r="N259" s="334">
        <v>2409039</v>
      </c>
      <c r="O259" s="335" t="s">
        <v>1206</v>
      </c>
      <c r="P259" s="337" t="s">
        <v>50</v>
      </c>
      <c r="Q259" s="336" t="s">
        <v>1207</v>
      </c>
      <c r="R259" s="334">
        <v>240903905</v>
      </c>
      <c r="S259" s="336" t="s">
        <v>1208</v>
      </c>
      <c r="T259" s="337" t="s">
        <v>58</v>
      </c>
      <c r="U259" s="337">
        <v>1</v>
      </c>
      <c r="V259" s="337"/>
      <c r="W259" s="290">
        <f t="shared" si="7"/>
        <v>1</v>
      </c>
      <c r="X259" s="338">
        <v>2020003630149</v>
      </c>
      <c r="Y259" s="339" t="s">
        <v>1195</v>
      </c>
      <c r="Z259" s="335" t="s">
        <v>1196</v>
      </c>
      <c r="AA259" s="340"/>
      <c r="AB259" s="340"/>
      <c r="AC259" s="340"/>
      <c r="AD259" s="340"/>
      <c r="AE259" s="340"/>
      <c r="AF259" s="341"/>
      <c r="AG259" s="340"/>
      <c r="AH259" s="340">
        <v>87160209.900000006</v>
      </c>
      <c r="AI259" s="340"/>
      <c r="AJ259" s="342">
        <f t="shared" si="8"/>
        <v>87160209.900000006</v>
      </c>
      <c r="AK259" s="343" t="s">
        <v>1197</v>
      </c>
    </row>
    <row r="260" spans="1:37" s="354" customFormat="1" ht="46.5" customHeight="1" thickBot="1">
      <c r="A260" s="344" t="s">
        <v>1209</v>
      </c>
      <c r="B260" s="345"/>
      <c r="C260" s="346"/>
      <c r="D260" s="347"/>
      <c r="E260" s="347"/>
      <c r="F260" s="347"/>
      <c r="G260" s="347"/>
      <c r="H260" s="348"/>
      <c r="I260" s="348"/>
      <c r="J260" s="348"/>
      <c r="K260" s="347"/>
      <c r="L260" s="347"/>
      <c r="M260" s="347"/>
      <c r="N260" s="346"/>
      <c r="O260" s="347"/>
      <c r="P260" s="347"/>
      <c r="Q260" s="348"/>
      <c r="R260" s="347"/>
      <c r="S260" s="348"/>
      <c r="T260" s="349"/>
      <c r="U260" s="347"/>
      <c r="V260" s="347"/>
      <c r="W260" s="347"/>
      <c r="X260" s="350"/>
      <c r="Y260" s="348"/>
      <c r="Z260" s="348"/>
      <c r="AA260" s="351">
        <f t="shared" ref="AA260:AF260" si="9">SUBTOTAL(9,AA7:AA259)</f>
        <v>35026096953.029999</v>
      </c>
      <c r="AB260" s="351">
        <f t="shared" si="9"/>
        <v>8015036661.9399996</v>
      </c>
      <c r="AC260" s="351">
        <f t="shared" si="9"/>
        <v>8452395949.3699999</v>
      </c>
      <c r="AD260" s="351">
        <f t="shared" si="9"/>
        <v>52909583682.220001</v>
      </c>
      <c r="AE260" s="351">
        <f t="shared" si="9"/>
        <v>209671988367.39999</v>
      </c>
      <c r="AF260" s="351">
        <f t="shared" si="9"/>
        <v>4105090661.21</v>
      </c>
      <c r="AG260" s="351">
        <f t="shared" ref="AG260" si="10">SUBTOTAL(9,AG7:AG259)</f>
        <v>56394044029.049995</v>
      </c>
      <c r="AH260" s="351">
        <f>SUBTOTAL(9,AH7:AH259)</f>
        <v>19905198807.420002</v>
      </c>
      <c r="AI260" s="351">
        <f>SUBTOTAL(9,AI7:AI259)</f>
        <v>31547190290.440002</v>
      </c>
      <c r="AJ260" s="352">
        <f>SUBTOTAL(9,AJ7:AJ259)</f>
        <v>426026625402.08008</v>
      </c>
      <c r="AK260" s="353"/>
    </row>
    <row r="261" spans="1:37">
      <c r="C261" s="24"/>
    </row>
    <row r="262" spans="1:37">
      <c r="C262" s="24"/>
    </row>
    <row r="263" spans="1:37">
      <c r="C263" s="24"/>
    </row>
    <row r="264" spans="1:37">
      <c r="C264" s="24"/>
    </row>
    <row r="265" spans="1:37">
      <c r="C265" s="24"/>
    </row>
    <row r="266" spans="1:37">
      <c r="C266" s="24"/>
    </row>
    <row r="267" spans="1:37">
      <c r="C267" s="24"/>
    </row>
    <row r="268" spans="1:37">
      <c r="C268" s="24"/>
    </row>
    <row r="269" spans="1:37">
      <c r="C269" s="24"/>
    </row>
    <row r="270" spans="1:37">
      <c r="C270" s="24"/>
    </row>
    <row r="271" spans="1:37">
      <c r="C271" s="24"/>
    </row>
    <row r="272" spans="1:37">
      <c r="C272" s="24"/>
    </row>
    <row r="273" spans="3:3">
      <c r="C273" s="24"/>
    </row>
    <row r="274" spans="3:3">
      <c r="C274" s="24"/>
    </row>
    <row r="275" spans="3:3">
      <c r="C275" s="24"/>
    </row>
    <row r="276" spans="3:3">
      <c r="C276" s="24"/>
    </row>
    <row r="277" spans="3:3">
      <c r="C277" s="24"/>
    </row>
    <row r="278" spans="3:3">
      <c r="C278" s="24"/>
    </row>
    <row r="279" spans="3:3">
      <c r="C279" s="24"/>
    </row>
    <row r="280" spans="3:3">
      <c r="C280" s="24"/>
    </row>
    <row r="281" spans="3:3">
      <c r="C281" s="24"/>
    </row>
    <row r="282" spans="3:3">
      <c r="C282" s="24"/>
    </row>
    <row r="283" spans="3:3">
      <c r="C283" s="24"/>
    </row>
    <row r="284" spans="3:3">
      <c r="C284" s="24"/>
    </row>
    <row r="285" spans="3:3">
      <c r="C285" s="24"/>
    </row>
    <row r="286" spans="3:3">
      <c r="C286" s="24"/>
    </row>
    <row r="287" spans="3:3">
      <c r="C287" s="24"/>
    </row>
    <row r="288" spans="3:3">
      <c r="C288" s="24"/>
    </row>
    <row r="289" spans="3:3">
      <c r="C289" s="24"/>
    </row>
    <row r="290" spans="3:3">
      <c r="C290" s="24"/>
    </row>
    <row r="291" spans="3:3">
      <c r="C291" s="24"/>
    </row>
    <row r="292" spans="3:3">
      <c r="C292" s="24"/>
    </row>
    <row r="293" spans="3:3">
      <c r="C293" s="24"/>
    </row>
    <row r="294" spans="3:3">
      <c r="C294" s="24"/>
    </row>
    <row r="295" spans="3:3">
      <c r="C295" s="24"/>
    </row>
    <row r="296" spans="3:3">
      <c r="C296" s="24"/>
    </row>
    <row r="297" spans="3:3">
      <c r="C297" s="24"/>
    </row>
    <row r="298" spans="3:3">
      <c r="C298" s="24"/>
    </row>
    <row r="299" spans="3:3">
      <c r="C299" s="24"/>
    </row>
    <row r="300" spans="3:3">
      <c r="C300" s="24"/>
    </row>
    <row r="301" spans="3:3">
      <c r="C301" s="24"/>
    </row>
    <row r="302" spans="3:3">
      <c r="C302" s="24"/>
    </row>
    <row r="303" spans="3:3">
      <c r="C303" s="24"/>
    </row>
    <row r="304" spans="3:3">
      <c r="C304" s="24"/>
    </row>
    <row r="305" spans="3:3">
      <c r="C305" s="24"/>
    </row>
    <row r="306" spans="3:3">
      <c r="C306" s="24"/>
    </row>
    <row r="307" spans="3:3">
      <c r="C307" s="24"/>
    </row>
    <row r="308" spans="3:3">
      <c r="C308" s="24"/>
    </row>
    <row r="309" spans="3:3">
      <c r="C309" s="24"/>
    </row>
    <row r="310" spans="3:3">
      <c r="C310" s="24"/>
    </row>
    <row r="311" spans="3:3">
      <c r="C311" s="24"/>
    </row>
    <row r="312" spans="3:3">
      <c r="C312" s="24"/>
    </row>
    <row r="313" spans="3:3">
      <c r="C313" s="24"/>
    </row>
    <row r="314" spans="3:3">
      <c r="C314" s="24"/>
    </row>
    <row r="315" spans="3:3">
      <c r="C315" s="24"/>
    </row>
    <row r="316" spans="3:3">
      <c r="C316" s="24"/>
    </row>
    <row r="317" spans="3:3">
      <c r="C317" s="24"/>
    </row>
    <row r="318" spans="3:3">
      <c r="C318" s="24"/>
    </row>
    <row r="319" spans="3:3">
      <c r="C319" s="24"/>
    </row>
    <row r="320" spans="3:3">
      <c r="C320" s="24"/>
    </row>
    <row r="321" spans="3:3">
      <c r="C321" s="24"/>
    </row>
    <row r="322" spans="3:3">
      <c r="C322" s="24"/>
    </row>
    <row r="323" spans="3:3">
      <c r="C323" s="24"/>
    </row>
    <row r="324" spans="3:3">
      <c r="C324" s="24"/>
    </row>
    <row r="325" spans="3:3">
      <c r="C325" s="24"/>
    </row>
    <row r="326" spans="3:3">
      <c r="C326" s="24"/>
    </row>
    <row r="327" spans="3:3">
      <c r="C327" s="24"/>
    </row>
    <row r="328" spans="3:3">
      <c r="C328" s="24"/>
    </row>
    <row r="329" spans="3:3">
      <c r="C329" s="24"/>
    </row>
    <row r="330" spans="3:3">
      <c r="C330" s="24"/>
    </row>
    <row r="331" spans="3:3">
      <c r="C331" s="24"/>
    </row>
    <row r="332" spans="3:3">
      <c r="C332" s="24"/>
    </row>
    <row r="333" spans="3:3">
      <c r="C333" s="24"/>
    </row>
    <row r="334" spans="3:3">
      <c r="C334" s="24"/>
    </row>
    <row r="335" spans="3:3">
      <c r="C335" s="24"/>
    </row>
    <row r="336" spans="3:3">
      <c r="C336" s="24"/>
    </row>
    <row r="337" spans="3:3">
      <c r="C337" s="24"/>
    </row>
    <row r="338" spans="3:3">
      <c r="C338" s="24"/>
    </row>
    <row r="339" spans="3:3">
      <c r="C339" s="24"/>
    </row>
    <row r="340" spans="3:3">
      <c r="C340" s="24"/>
    </row>
    <row r="341" spans="3:3">
      <c r="C341" s="24"/>
    </row>
    <row r="342" spans="3:3">
      <c r="C342" s="24"/>
    </row>
    <row r="343" spans="3:3">
      <c r="C343" s="24"/>
    </row>
    <row r="344" spans="3:3">
      <c r="C344" s="24"/>
    </row>
    <row r="345" spans="3:3">
      <c r="C345" s="24"/>
    </row>
    <row r="346" spans="3:3">
      <c r="C346" s="24"/>
    </row>
    <row r="347" spans="3:3">
      <c r="C347" s="24"/>
    </row>
    <row r="348" spans="3:3">
      <c r="C348" s="24"/>
    </row>
    <row r="349" spans="3:3">
      <c r="C349" s="24"/>
    </row>
    <row r="350" spans="3:3">
      <c r="C350" s="24"/>
    </row>
    <row r="351" spans="3:3">
      <c r="C351" s="24"/>
    </row>
    <row r="352" spans="3:3">
      <c r="C352" s="24"/>
    </row>
    <row r="353" spans="3:3">
      <c r="C353" s="24"/>
    </row>
    <row r="354" spans="3:3">
      <c r="C354" s="24"/>
    </row>
    <row r="355" spans="3:3">
      <c r="C355" s="24"/>
    </row>
    <row r="356" spans="3:3">
      <c r="C356" s="24"/>
    </row>
    <row r="357" spans="3:3">
      <c r="C357" s="24"/>
    </row>
    <row r="358" spans="3:3">
      <c r="C358" s="24"/>
    </row>
    <row r="359" spans="3:3">
      <c r="C359" s="24"/>
    </row>
    <row r="360" spans="3:3">
      <c r="C360" s="24"/>
    </row>
    <row r="361" spans="3:3">
      <c r="C361" s="24"/>
    </row>
    <row r="362" spans="3:3">
      <c r="C362" s="24"/>
    </row>
    <row r="363" spans="3:3">
      <c r="C363" s="24"/>
    </row>
    <row r="364" spans="3:3">
      <c r="C364" s="24"/>
    </row>
    <row r="365" spans="3:3">
      <c r="C365" s="24"/>
    </row>
    <row r="366" spans="3:3">
      <c r="C366" s="24"/>
    </row>
    <row r="367" spans="3:3">
      <c r="C367" s="24"/>
    </row>
    <row r="368" spans="3:3">
      <c r="C368" s="24"/>
    </row>
    <row r="369" spans="3:3">
      <c r="C369" s="24"/>
    </row>
    <row r="370" spans="3:3">
      <c r="C370" s="24"/>
    </row>
    <row r="371" spans="3:3">
      <c r="C371" s="24"/>
    </row>
    <row r="372" spans="3:3">
      <c r="C372" s="24"/>
    </row>
    <row r="373" spans="3:3">
      <c r="C373" s="24"/>
    </row>
    <row r="374" spans="3:3">
      <c r="C374" s="24"/>
    </row>
    <row r="375" spans="3:3">
      <c r="C375" s="24"/>
    </row>
    <row r="376" spans="3:3">
      <c r="C376" s="24"/>
    </row>
    <row r="377" spans="3:3">
      <c r="C377" s="24"/>
    </row>
    <row r="378" spans="3:3">
      <c r="C378" s="24"/>
    </row>
    <row r="379" spans="3:3">
      <c r="C379" s="24"/>
    </row>
    <row r="380" spans="3:3">
      <c r="C380" s="24"/>
    </row>
    <row r="381" spans="3:3">
      <c r="C381" s="24"/>
    </row>
    <row r="382" spans="3:3">
      <c r="C382" s="24"/>
    </row>
    <row r="383" spans="3:3">
      <c r="C383" s="24"/>
    </row>
    <row r="384" spans="3:3">
      <c r="C384" s="24"/>
    </row>
    <row r="385" spans="3:3">
      <c r="C385" s="24"/>
    </row>
    <row r="386" spans="3:3">
      <c r="C386" s="24"/>
    </row>
    <row r="387" spans="3:3">
      <c r="C387" s="24"/>
    </row>
    <row r="388" spans="3:3">
      <c r="C388" s="24"/>
    </row>
    <row r="389" spans="3:3">
      <c r="C389" s="24"/>
    </row>
    <row r="390" spans="3:3">
      <c r="C390" s="24"/>
    </row>
    <row r="391" spans="3:3">
      <c r="C391" s="24"/>
    </row>
    <row r="392" spans="3:3">
      <c r="C392" s="24"/>
    </row>
    <row r="393" spans="3:3">
      <c r="C393" s="24"/>
    </row>
    <row r="394" spans="3:3">
      <c r="C394" s="24"/>
    </row>
    <row r="395" spans="3:3">
      <c r="C395" s="24"/>
    </row>
    <row r="396" spans="3:3">
      <c r="C396" s="24"/>
    </row>
    <row r="397" spans="3:3">
      <c r="C397" s="24"/>
    </row>
    <row r="398" spans="3:3">
      <c r="C398" s="24"/>
    </row>
    <row r="399" spans="3:3">
      <c r="C399" s="24"/>
    </row>
    <row r="400" spans="3:3">
      <c r="C400" s="24"/>
    </row>
    <row r="401" spans="3:3">
      <c r="C401" s="24"/>
    </row>
    <row r="402" spans="3:3">
      <c r="C402" s="24"/>
    </row>
    <row r="403" spans="3:3">
      <c r="C403" s="24"/>
    </row>
    <row r="404" spans="3:3">
      <c r="C404" s="24"/>
    </row>
    <row r="405" spans="3:3">
      <c r="C405" s="24"/>
    </row>
    <row r="406" spans="3:3">
      <c r="C406" s="24"/>
    </row>
    <row r="407" spans="3:3">
      <c r="C407" s="24"/>
    </row>
    <row r="408" spans="3:3">
      <c r="C408" s="24"/>
    </row>
    <row r="409" spans="3:3">
      <c r="C409" s="24"/>
    </row>
    <row r="410" spans="3:3">
      <c r="C410" s="24"/>
    </row>
    <row r="411" spans="3:3">
      <c r="C411" s="24"/>
    </row>
    <row r="412" spans="3:3">
      <c r="C412" s="24"/>
    </row>
    <row r="413" spans="3:3">
      <c r="C413" s="24"/>
    </row>
    <row r="414" spans="3:3">
      <c r="C414" s="24"/>
    </row>
    <row r="415" spans="3:3">
      <c r="C415" s="24"/>
    </row>
    <row r="416" spans="3:3">
      <c r="C416" s="24"/>
    </row>
    <row r="417" spans="3:3">
      <c r="C417" s="24"/>
    </row>
    <row r="418" spans="3:3">
      <c r="C418" s="24"/>
    </row>
    <row r="419" spans="3:3">
      <c r="C419" s="24"/>
    </row>
    <row r="420" spans="3:3">
      <c r="C420" s="24"/>
    </row>
    <row r="421" spans="3:3">
      <c r="C421" s="24"/>
    </row>
    <row r="422" spans="3:3">
      <c r="C422" s="24"/>
    </row>
    <row r="423" spans="3:3">
      <c r="C423" s="24"/>
    </row>
    <row r="424" spans="3:3">
      <c r="C424" s="24"/>
    </row>
    <row r="425" spans="3:3">
      <c r="C425" s="24"/>
    </row>
    <row r="426" spans="3:3">
      <c r="C426" s="24"/>
    </row>
    <row r="427" spans="3:3">
      <c r="C427" s="24"/>
    </row>
    <row r="428" spans="3:3">
      <c r="C428" s="24"/>
    </row>
    <row r="429" spans="3:3">
      <c r="C429" s="24"/>
    </row>
    <row r="430" spans="3:3">
      <c r="C430" s="24"/>
    </row>
    <row r="431" spans="3:3">
      <c r="C431" s="24"/>
    </row>
    <row r="432" spans="3:3">
      <c r="C432" s="24"/>
    </row>
    <row r="433" spans="3:3">
      <c r="C433" s="24"/>
    </row>
    <row r="434" spans="3:3">
      <c r="C434" s="24"/>
    </row>
    <row r="435" spans="3:3">
      <c r="C435" s="24"/>
    </row>
    <row r="436" spans="3:3">
      <c r="C436" s="24"/>
    </row>
    <row r="437" spans="3:3">
      <c r="C437" s="24"/>
    </row>
    <row r="438" spans="3:3">
      <c r="C438" s="24"/>
    </row>
    <row r="439" spans="3:3">
      <c r="C439" s="24"/>
    </row>
    <row r="440" spans="3:3">
      <c r="C440" s="24"/>
    </row>
    <row r="441" spans="3:3">
      <c r="C441" s="24"/>
    </row>
    <row r="442" spans="3:3">
      <c r="C442" s="24"/>
    </row>
    <row r="443" spans="3:3">
      <c r="C443" s="24"/>
    </row>
    <row r="444" spans="3:3">
      <c r="C444" s="24"/>
    </row>
    <row r="445" spans="3:3">
      <c r="C445" s="24"/>
    </row>
    <row r="446" spans="3:3">
      <c r="C446" s="24"/>
    </row>
    <row r="447" spans="3:3">
      <c r="C447" s="24"/>
    </row>
    <row r="448" spans="3:3">
      <c r="C448" s="24"/>
    </row>
    <row r="449" spans="3:3">
      <c r="C449" s="24"/>
    </row>
    <row r="450" spans="3:3">
      <c r="C450" s="24"/>
    </row>
    <row r="451" spans="3:3">
      <c r="C451" s="24"/>
    </row>
    <row r="452" spans="3:3">
      <c r="C452" s="24"/>
    </row>
    <row r="453" spans="3:3">
      <c r="C453" s="24"/>
    </row>
    <row r="454" spans="3:3">
      <c r="C454" s="24"/>
    </row>
    <row r="455" spans="3:3">
      <c r="C455" s="24"/>
    </row>
    <row r="456" spans="3:3">
      <c r="C456" s="24"/>
    </row>
    <row r="457" spans="3:3">
      <c r="C457" s="24"/>
    </row>
    <row r="458" spans="3:3">
      <c r="C458" s="24"/>
    </row>
    <row r="459" spans="3:3">
      <c r="C459" s="24"/>
    </row>
    <row r="460" spans="3:3">
      <c r="C460" s="24"/>
    </row>
    <row r="461" spans="3:3">
      <c r="C461" s="24"/>
    </row>
    <row r="462" spans="3:3">
      <c r="C462" s="24"/>
    </row>
    <row r="463" spans="3:3">
      <c r="C463" s="24"/>
    </row>
    <row r="464" spans="3:3">
      <c r="C464" s="24"/>
    </row>
    <row r="465" spans="3:3">
      <c r="C465" s="24"/>
    </row>
    <row r="466" spans="3:3">
      <c r="C466" s="24"/>
    </row>
    <row r="467" spans="3:3">
      <c r="C467" s="24"/>
    </row>
    <row r="468" spans="3:3">
      <c r="C468" s="24"/>
    </row>
    <row r="469" spans="3:3">
      <c r="C469" s="24"/>
    </row>
    <row r="470" spans="3:3">
      <c r="C470" s="24"/>
    </row>
    <row r="471" spans="3:3">
      <c r="C471" s="24"/>
    </row>
    <row r="472" spans="3:3">
      <c r="C472" s="24"/>
    </row>
    <row r="473" spans="3:3">
      <c r="C473" s="24"/>
    </row>
    <row r="474" spans="3:3">
      <c r="C474" s="24"/>
    </row>
    <row r="475" spans="3:3">
      <c r="C475" s="24"/>
    </row>
    <row r="476" spans="3:3">
      <c r="C476" s="24"/>
    </row>
    <row r="477" spans="3:3">
      <c r="C477" s="24"/>
    </row>
    <row r="478" spans="3:3">
      <c r="C478" s="24"/>
    </row>
    <row r="479" spans="3:3">
      <c r="C479" s="24"/>
    </row>
    <row r="480" spans="3:3">
      <c r="C480" s="24"/>
    </row>
    <row r="481" spans="3:3">
      <c r="C481" s="24"/>
    </row>
    <row r="482" spans="3:3">
      <c r="C482" s="24"/>
    </row>
    <row r="483" spans="3:3">
      <c r="C483" s="24"/>
    </row>
    <row r="484" spans="3:3">
      <c r="C484" s="24"/>
    </row>
    <row r="485" spans="3:3">
      <c r="C485" s="24"/>
    </row>
    <row r="486" spans="3:3">
      <c r="C486" s="24"/>
    </row>
    <row r="487" spans="3:3">
      <c r="C487" s="24"/>
    </row>
    <row r="488" spans="3:3">
      <c r="C488" s="24"/>
    </row>
    <row r="489" spans="3:3">
      <c r="C489" s="24"/>
    </row>
    <row r="490" spans="3:3">
      <c r="C490" s="24"/>
    </row>
    <row r="491" spans="3:3">
      <c r="C491" s="24"/>
    </row>
    <row r="492" spans="3:3">
      <c r="C492" s="24"/>
    </row>
    <row r="493" spans="3:3">
      <c r="C493" s="24"/>
    </row>
    <row r="494" spans="3:3">
      <c r="C494" s="24"/>
    </row>
    <row r="495" spans="3:3">
      <c r="C495" s="24"/>
    </row>
    <row r="496" spans="3:3">
      <c r="C496" s="24"/>
    </row>
    <row r="497" spans="3:3">
      <c r="C497" s="24"/>
    </row>
    <row r="498" spans="3:3">
      <c r="C498" s="24"/>
    </row>
    <row r="499" spans="3:3">
      <c r="C499" s="24"/>
    </row>
    <row r="500" spans="3:3">
      <c r="C500" s="24"/>
    </row>
    <row r="501" spans="3:3">
      <c r="C501" s="24"/>
    </row>
    <row r="502" spans="3:3">
      <c r="C502" s="24"/>
    </row>
    <row r="503" spans="3:3">
      <c r="C503" s="24"/>
    </row>
    <row r="504" spans="3:3">
      <c r="C504" s="24"/>
    </row>
    <row r="505" spans="3:3">
      <c r="C505" s="24"/>
    </row>
    <row r="506" spans="3:3">
      <c r="C506" s="24"/>
    </row>
    <row r="507" spans="3:3">
      <c r="C507" s="24"/>
    </row>
    <row r="508" spans="3:3">
      <c r="C508" s="24"/>
    </row>
    <row r="509" spans="3:3">
      <c r="C509" s="24"/>
    </row>
    <row r="510" spans="3:3">
      <c r="C510" s="24"/>
    </row>
    <row r="511" spans="3:3">
      <c r="C511" s="24"/>
    </row>
    <row r="512" spans="3:3">
      <c r="C512" s="24"/>
    </row>
    <row r="513" spans="3:3">
      <c r="C513" s="24"/>
    </row>
    <row r="514" spans="3:3">
      <c r="C514" s="24"/>
    </row>
    <row r="515" spans="3:3">
      <c r="C515" s="24"/>
    </row>
    <row r="516" spans="3:3">
      <c r="C516" s="24"/>
    </row>
    <row r="517" spans="3:3">
      <c r="C517" s="24"/>
    </row>
    <row r="518" spans="3:3">
      <c r="C518" s="24"/>
    </row>
    <row r="519" spans="3:3">
      <c r="C519" s="24"/>
    </row>
    <row r="520" spans="3:3">
      <c r="C520" s="24"/>
    </row>
    <row r="521" spans="3:3">
      <c r="C521" s="24"/>
    </row>
    <row r="522" spans="3:3">
      <c r="C522" s="24"/>
    </row>
    <row r="523" spans="3:3">
      <c r="C523" s="24"/>
    </row>
    <row r="524" spans="3:3">
      <c r="C524" s="24"/>
    </row>
    <row r="525" spans="3:3">
      <c r="C525" s="24"/>
    </row>
    <row r="526" spans="3:3">
      <c r="C526" s="24"/>
    </row>
    <row r="527" spans="3:3">
      <c r="C527" s="24"/>
    </row>
    <row r="528" spans="3:3">
      <c r="C528" s="24"/>
    </row>
    <row r="529" spans="3:3">
      <c r="C529" s="24"/>
    </row>
    <row r="530" spans="3:3">
      <c r="C530" s="24"/>
    </row>
    <row r="531" spans="3:3">
      <c r="C531" s="24"/>
    </row>
    <row r="532" spans="3:3">
      <c r="C532" s="24"/>
    </row>
    <row r="533" spans="3:3">
      <c r="C533" s="24"/>
    </row>
    <row r="534" spans="3:3">
      <c r="C534" s="24"/>
    </row>
    <row r="535" spans="3:3">
      <c r="C535" s="24"/>
    </row>
    <row r="536" spans="3:3">
      <c r="C536" s="24"/>
    </row>
    <row r="537" spans="3:3">
      <c r="C537" s="24"/>
    </row>
    <row r="538" spans="3:3">
      <c r="C538" s="24"/>
    </row>
    <row r="539" spans="3:3">
      <c r="C539" s="24"/>
    </row>
    <row r="540" spans="3:3">
      <c r="C540" s="24"/>
    </row>
    <row r="541" spans="3:3">
      <c r="C541" s="24"/>
    </row>
    <row r="542" spans="3:3">
      <c r="C542" s="24"/>
    </row>
    <row r="543" spans="3:3">
      <c r="C543" s="24"/>
    </row>
    <row r="544" spans="3:3">
      <c r="C544" s="24"/>
    </row>
    <row r="545" spans="3:3">
      <c r="C545" s="24"/>
    </row>
    <row r="546" spans="3:3">
      <c r="C546" s="24"/>
    </row>
    <row r="547" spans="3:3">
      <c r="C547" s="24"/>
    </row>
    <row r="548" spans="3:3">
      <c r="C548" s="24"/>
    </row>
    <row r="549" spans="3:3">
      <c r="C549" s="24"/>
    </row>
    <row r="550" spans="3:3">
      <c r="C550" s="24"/>
    </row>
    <row r="551" spans="3:3">
      <c r="C551" s="24"/>
    </row>
    <row r="552" spans="3:3">
      <c r="C552" s="24"/>
    </row>
    <row r="553" spans="3:3">
      <c r="C553" s="24"/>
    </row>
    <row r="554" spans="3:3">
      <c r="C554" s="24"/>
    </row>
    <row r="555" spans="3:3">
      <c r="C555" s="24"/>
    </row>
    <row r="556" spans="3:3">
      <c r="C556" s="24"/>
    </row>
    <row r="557" spans="3:3">
      <c r="C557" s="24"/>
    </row>
    <row r="558" spans="3:3">
      <c r="C558" s="24"/>
    </row>
    <row r="559" spans="3:3">
      <c r="C559" s="24"/>
    </row>
    <row r="560" spans="3:3">
      <c r="C560" s="24"/>
    </row>
    <row r="561" spans="3:3">
      <c r="C561" s="24"/>
    </row>
    <row r="562" spans="3:3">
      <c r="C562" s="24"/>
    </row>
    <row r="563" spans="3:3">
      <c r="C563" s="24"/>
    </row>
    <row r="564" spans="3:3">
      <c r="C564" s="24"/>
    </row>
    <row r="565" spans="3:3">
      <c r="C565" s="24"/>
    </row>
    <row r="566" spans="3:3">
      <c r="C566" s="24"/>
    </row>
    <row r="567" spans="3:3">
      <c r="C567" s="24"/>
    </row>
    <row r="568" spans="3:3">
      <c r="C568" s="24"/>
    </row>
    <row r="569" spans="3:3">
      <c r="C569" s="24"/>
    </row>
    <row r="570" spans="3:3">
      <c r="C570" s="24"/>
    </row>
    <row r="571" spans="3:3">
      <c r="C571" s="24"/>
    </row>
    <row r="572" spans="3:3">
      <c r="C572" s="24"/>
    </row>
    <row r="573" spans="3:3">
      <c r="C573" s="24"/>
    </row>
    <row r="574" spans="3:3">
      <c r="C574" s="24"/>
    </row>
    <row r="575" spans="3:3">
      <c r="C575" s="24"/>
    </row>
    <row r="576" spans="3:3">
      <c r="C576" s="24"/>
    </row>
    <row r="577" spans="3:3">
      <c r="C577" s="24"/>
    </row>
    <row r="578" spans="3:3">
      <c r="C578" s="24"/>
    </row>
    <row r="579" spans="3:3">
      <c r="C579" s="24"/>
    </row>
    <row r="580" spans="3:3">
      <c r="C580" s="24"/>
    </row>
    <row r="581" spans="3:3">
      <c r="C581" s="24"/>
    </row>
    <row r="582" spans="3:3">
      <c r="C582" s="24"/>
    </row>
    <row r="583" spans="3:3">
      <c r="C583" s="24"/>
    </row>
    <row r="584" spans="3:3">
      <c r="C584" s="24"/>
    </row>
    <row r="585" spans="3:3">
      <c r="C585" s="24"/>
    </row>
    <row r="586" spans="3:3">
      <c r="C586" s="24"/>
    </row>
    <row r="587" spans="3:3">
      <c r="C587" s="24"/>
    </row>
    <row r="588" spans="3:3">
      <c r="C588" s="24"/>
    </row>
    <row r="589" spans="3:3">
      <c r="C589" s="24"/>
    </row>
    <row r="590" spans="3:3">
      <c r="C590" s="24"/>
    </row>
    <row r="591" spans="3:3">
      <c r="C591" s="24"/>
    </row>
    <row r="592" spans="3:3">
      <c r="C592" s="24"/>
    </row>
    <row r="593" spans="3:3">
      <c r="C593" s="24"/>
    </row>
    <row r="594" spans="3:3">
      <c r="C594" s="24"/>
    </row>
    <row r="595" spans="3:3">
      <c r="C595" s="24"/>
    </row>
    <row r="596" spans="3:3">
      <c r="C596" s="24"/>
    </row>
    <row r="597" spans="3:3">
      <c r="C597" s="24"/>
    </row>
    <row r="598" spans="3:3">
      <c r="C598" s="24"/>
    </row>
    <row r="599" spans="3:3">
      <c r="C599" s="24"/>
    </row>
    <row r="600" spans="3:3">
      <c r="C600" s="24"/>
    </row>
    <row r="601" spans="3:3">
      <c r="C601" s="24"/>
    </row>
    <row r="602" spans="3:3">
      <c r="C602" s="24"/>
    </row>
    <row r="603" spans="3:3">
      <c r="C603" s="24"/>
    </row>
    <row r="604" spans="3:3">
      <c r="C604" s="24"/>
    </row>
    <row r="605" spans="3:3">
      <c r="C605" s="24"/>
    </row>
    <row r="606" spans="3:3">
      <c r="C606" s="24"/>
    </row>
    <row r="607" spans="3:3">
      <c r="C607" s="24"/>
    </row>
    <row r="608" spans="3:3">
      <c r="C608" s="24"/>
    </row>
    <row r="609" spans="3:3">
      <c r="C609" s="24"/>
    </row>
    <row r="610" spans="3:3">
      <c r="C610" s="24"/>
    </row>
    <row r="611" spans="3:3">
      <c r="C611" s="24"/>
    </row>
    <row r="612" spans="3:3">
      <c r="C612" s="24"/>
    </row>
    <row r="613" spans="3:3">
      <c r="C613" s="24"/>
    </row>
    <row r="614" spans="3:3">
      <c r="C614" s="24"/>
    </row>
    <row r="615" spans="3:3">
      <c r="C615" s="24"/>
    </row>
    <row r="616" spans="3:3">
      <c r="C616" s="24"/>
    </row>
    <row r="617" spans="3:3">
      <c r="C617" s="24"/>
    </row>
    <row r="618" spans="3:3">
      <c r="C618" s="24"/>
    </row>
    <row r="619" spans="3:3">
      <c r="C619" s="24"/>
    </row>
    <row r="620" spans="3:3">
      <c r="C620" s="24"/>
    </row>
    <row r="621" spans="3:3">
      <c r="C621" s="24"/>
    </row>
    <row r="622" spans="3:3">
      <c r="C622" s="24"/>
    </row>
    <row r="623" spans="3:3">
      <c r="C623" s="24"/>
    </row>
    <row r="624" spans="3:3">
      <c r="C624" s="24"/>
    </row>
    <row r="625" spans="3:3">
      <c r="C625" s="24"/>
    </row>
    <row r="626" spans="3:3">
      <c r="C626" s="24"/>
    </row>
    <row r="627" spans="3:3">
      <c r="C627" s="24"/>
    </row>
    <row r="628" spans="3:3">
      <c r="C628" s="24"/>
    </row>
    <row r="629" spans="3:3">
      <c r="C629" s="24"/>
    </row>
    <row r="630" spans="3:3">
      <c r="C630" s="24"/>
    </row>
    <row r="631" spans="3:3">
      <c r="C631" s="24"/>
    </row>
    <row r="632" spans="3:3">
      <c r="C632" s="24"/>
    </row>
    <row r="633" spans="3:3">
      <c r="C633" s="24"/>
    </row>
    <row r="634" spans="3:3">
      <c r="C634" s="24"/>
    </row>
    <row r="635" spans="3:3">
      <c r="C635" s="24"/>
    </row>
    <row r="636" spans="3:3">
      <c r="C636" s="24"/>
    </row>
    <row r="637" spans="3:3">
      <c r="C637" s="24"/>
    </row>
    <row r="638" spans="3:3">
      <c r="C638" s="24"/>
    </row>
    <row r="639" spans="3:3">
      <c r="C639" s="24"/>
    </row>
    <row r="640" spans="3:3">
      <c r="C640" s="24"/>
    </row>
    <row r="641" spans="3:3">
      <c r="C641" s="24"/>
    </row>
    <row r="642" spans="3:3">
      <c r="C642" s="24"/>
    </row>
    <row r="643" spans="3:3">
      <c r="C643" s="24"/>
    </row>
    <row r="644" spans="3:3">
      <c r="C644" s="24"/>
    </row>
    <row r="645" spans="3:3">
      <c r="C645" s="24"/>
    </row>
    <row r="646" spans="3:3">
      <c r="C646" s="24"/>
    </row>
    <row r="647" spans="3:3">
      <c r="C647" s="24"/>
    </row>
    <row r="648" spans="3:3">
      <c r="C648" s="24"/>
    </row>
    <row r="649" spans="3:3">
      <c r="C649" s="24"/>
    </row>
    <row r="650" spans="3:3">
      <c r="C650" s="24"/>
    </row>
    <row r="651" spans="3:3">
      <c r="C651" s="24"/>
    </row>
    <row r="652" spans="3:3">
      <c r="C652" s="24"/>
    </row>
    <row r="653" spans="3:3">
      <c r="C653" s="24"/>
    </row>
    <row r="654" spans="3:3">
      <c r="C654" s="24"/>
    </row>
    <row r="655" spans="3:3">
      <c r="C655" s="24"/>
    </row>
    <row r="656" spans="3:3">
      <c r="C656" s="24"/>
    </row>
    <row r="657" spans="3:3">
      <c r="C657" s="24"/>
    </row>
    <row r="658" spans="3:3">
      <c r="C658" s="24"/>
    </row>
    <row r="659" spans="3:3">
      <c r="C659" s="24"/>
    </row>
    <row r="660" spans="3:3">
      <c r="C660" s="24"/>
    </row>
    <row r="661" spans="3:3">
      <c r="C661" s="24"/>
    </row>
    <row r="662" spans="3:3">
      <c r="C662" s="24"/>
    </row>
    <row r="663" spans="3:3">
      <c r="C663" s="24"/>
    </row>
    <row r="664" spans="3:3">
      <c r="C664" s="24"/>
    </row>
    <row r="665" spans="3:3">
      <c r="C665" s="24"/>
    </row>
    <row r="666" spans="3:3">
      <c r="C666" s="24"/>
    </row>
    <row r="667" spans="3:3">
      <c r="C667" s="24"/>
    </row>
    <row r="668" spans="3:3">
      <c r="C668" s="24"/>
    </row>
    <row r="669" spans="3:3">
      <c r="C669" s="24"/>
    </row>
    <row r="670" spans="3:3">
      <c r="C670" s="24"/>
    </row>
    <row r="671" spans="3:3">
      <c r="C671" s="24"/>
    </row>
    <row r="672" spans="3:3">
      <c r="C672" s="24"/>
    </row>
    <row r="673" spans="3:3">
      <c r="C673" s="24"/>
    </row>
    <row r="674" spans="3:3">
      <c r="C674" s="24"/>
    </row>
    <row r="675" spans="3:3">
      <c r="C675" s="24"/>
    </row>
  </sheetData>
  <mergeCells count="11">
    <mergeCell ref="X5:Z5"/>
    <mergeCell ref="P5:S5"/>
    <mergeCell ref="AA5:AI5"/>
    <mergeCell ref="C1:AI1"/>
    <mergeCell ref="C2:AI2"/>
    <mergeCell ref="T5:W5"/>
    <mergeCell ref="A5:B5"/>
    <mergeCell ref="C5:D5"/>
    <mergeCell ref="E5:F5"/>
    <mergeCell ref="G5:K5"/>
    <mergeCell ref="L5:O5"/>
  </mergeCells>
  <conditionalFormatting sqref="P116">
    <cfRule type="duplicateValues" dxfId="99" priority="71"/>
    <cfRule type="duplicateValues" dxfId="98" priority="72"/>
  </conditionalFormatting>
  <conditionalFormatting sqref="P117">
    <cfRule type="duplicateValues" dxfId="97" priority="69"/>
    <cfRule type="duplicateValues" dxfId="96" priority="70"/>
  </conditionalFormatting>
  <conditionalFormatting sqref="P142">
    <cfRule type="duplicateValues" dxfId="95" priority="61"/>
    <cfRule type="duplicateValues" dxfId="94" priority="62"/>
  </conditionalFormatting>
  <conditionalFormatting sqref="P160">
    <cfRule type="duplicateValues" dxfId="93" priority="53"/>
  </conditionalFormatting>
  <conditionalFormatting sqref="P161">
    <cfRule type="duplicateValues" dxfId="92" priority="52"/>
  </conditionalFormatting>
  <conditionalFormatting sqref="P162">
    <cfRule type="duplicateValues" dxfId="91" priority="51"/>
  </conditionalFormatting>
  <conditionalFormatting sqref="P163">
    <cfRule type="duplicateValues" dxfId="90" priority="50"/>
  </conditionalFormatting>
  <conditionalFormatting sqref="P164">
    <cfRule type="duplicateValues" dxfId="89" priority="47"/>
    <cfRule type="duplicateValues" dxfId="88" priority="48"/>
    <cfRule type="duplicateValues" dxfId="87" priority="49"/>
  </conditionalFormatting>
  <conditionalFormatting sqref="P168">
    <cfRule type="duplicateValues" dxfId="86" priority="31"/>
    <cfRule type="duplicateValues" dxfId="85" priority="32"/>
  </conditionalFormatting>
  <conditionalFormatting sqref="P169">
    <cfRule type="duplicateValues" dxfId="84" priority="3"/>
    <cfRule type="duplicateValues" dxfId="83" priority="4"/>
  </conditionalFormatting>
  <conditionalFormatting sqref="P170">
    <cfRule type="duplicateValues" dxfId="82" priority="29"/>
    <cfRule type="duplicateValues" dxfId="81" priority="30"/>
  </conditionalFormatting>
  <conditionalFormatting sqref="P171">
    <cfRule type="duplicateValues" dxfId="80" priority="27"/>
    <cfRule type="duplicateValues" dxfId="79" priority="28"/>
  </conditionalFormatting>
  <conditionalFormatting sqref="P176">
    <cfRule type="duplicateValues" dxfId="78" priority="25"/>
    <cfRule type="duplicateValues" dxfId="77" priority="26"/>
  </conditionalFormatting>
  <conditionalFormatting sqref="P177">
    <cfRule type="duplicateValues" dxfId="76" priority="23"/>
    <cfRule type="duplicateValues" dxfId="75" priority="24"/>
  </conditionalFormatting>
  <conditionalFormatting sqref="P178">
    <cfRule type="duplicateValues" dxfId="74" priority="21"/>
    <cfRule type="duplicateValues" dxfId="73" priority="22"/>
  </conditionalFormatting>
  <conditionalFormatting sqref="P179">
    <cfRule type="duplicateValues" dxfId="72" priority="19"/>
    <cfRule type="duplicateValues" dxfId="71" priority="20"/>
  </conditionalFormatting>
  <conditionalFormatting sqref="P197">
    <cfRule type="duplicateValues" dxfId="70" priority="11"/>
  </conditionalFormatting>
  <conditionalFormatting sqref="P205">
    <cfRule type="duplicateValues" dxfId="69" priority="9"/>
    <cfRule type="duplicateValues" dxfId="68" priority="10"/>
  </conditionalFormatting>
  <conditionalFormatting sqref="P210">
    <cfRule type="duplicateValues" dxfId="67" priority="5"/>
    <cfRule type="duplicateValues" dxfId="66" priority="6"/>
  </conditionalFormatting>
  <conditionalFormatting sqref="R116">
    <cfRule type="duplicateValues" dxfId="65" priority="67"/>
    <cfRule type="duplicateValues" dxfId="64" priority="68"/>
  </conditionalFormatting>
  <conditionalFormatting sqref="R117">
    <cfRule type="duplicateValues" dxfId="63" priority="65"/>
    <cfRule type="duplicateValues" dxfId="62" priority="66"/>
  </conditionalFormatting>
  <conditionalFormatting sqref="R142">
    <cfRule type="duplicateValues" dxfId="61" priority="63"/>
    <cfRule type="duplicateValues" dxfId="60" priority="64"/>
  </conditionalFormatting>
  <conditionalFormatting sqref="R160">
    <cfRule type="duplicateValues" dxfId="59" priority="59"/>
  </conditionalFormatting>
  <conditionalFormatting sqref="R161">
    <cfRule type="duplicateValues" dxfId="58" priority="58"/>
  </conditionalFormatting>
  <conditionalFormatting sqref="R162">
    <cfRule type="duplicateValues" dxfId="57" priority="60"/>
  </conditionalFormatting>
  <conditionalFormatting sqref="R163">
    <cfRule type="duplicateValues" dxfId="56" priority="57"/>
  </conditionalFormatting>
  <conditionalFormatting sqref="R164">
    <cfRule type="duplicateValues" dxfId="55" priority="54"/>
    <cfRule type="duplicateValues" dxfId="54" priority="55"/>
    <cfRule type="duplicateValues" dxfId="53" priority="56"/>
  </conditionalFormatting>
  <conditionalFormatting sqref="R168">
    <cfRule type="duplicateValues" dxfId="52" priority="45"/>
    <cfRule type="duplicateValues" dxfId="51" priority="46"/>
  </conditionalFormatting>
  <conditionalFormatting sqref="R169">
    <cfRule type="duplicateValues" dxfId="50" priority="1"/>
    <cfRule type="duplicateValues" dxfId="49" priority="2"/>
  </conditionalFormatting>
  <conditionalFormatting sqref="R170">
    <cfRule type="duplicateValues" dxfId="48" priority="43"/>
    <cfRule type="duplicateValues" dxfId="47" priority="44"/>
  </conditionalFormatting>
  <conditionalFormatting sqref="R171">
    <cfRule type="duplicateValues" dxfId="46" priority="41"/>
    <cfRule type="duplicateValues" dxfId="45" priority="42"/>
  </conditionalFormatting>
  <conditionalFormatting sqref="R176">
    <cfRule type="duplicateValues" dxfId="44" priority="39"/>
    <cfRule type="duplicateValues" dxfId="43" priority="40"/>
  </conditionalFormatting>
  <conditionalFormatting sqref="R177">
    <cfRule type="duplicateValues" dxfId="42" priority="37"/>
    <cfRule type="duplicateValues" dxfId="41" priority="38"/>
  </conditionalFormatting>
  <conditionalFormatting sqref="R178">
    <cfRule type="duplicateValues" dxfId="40" priority="35"/>
    <cfRule type="duplicateValues" dxfId="39" priority="36"/>
  </conditionalFormatting>
  <conditionalFormatting sqref="R179">
    <cfRule type="duplicateValues" dxfId="38" priority="33"/>
    <cfRule type="duplicateValues" dxfId="37" priority="34"/>
  </conditionalFormatting>
  <conditionalFormatting sqref="R197">
    <cfRule type="duplicateValues" dxfId="36" priority="18"/>
  </conditionalFormatting>
  <conditionalFormatting sqref="R205">
    <cfRule type="duplicateValues" dxfId="35" priority="16"/>
    <cfRule type="duplicateValues" dxfId="34" priority="17"/>
  </conditionalFormatting>
  <conditionalFormatting sqref="R210">
    <cfRule type="duplicateValues" dxfId="33" priority="12"/>
    <cfRule type="duplicateValues" dxfId="32" priority="13"/>
  </conditionalFormatting>
  <pageMargins left="0.7" right="0.7" top="0.75" bottom="0.75" header="0.3" footer="0.3"/>
  <pageSetup paperSize="14" scale="1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7"/>
  <sheetViews>
    <sheetView showGridLines="0" zoomScale="80" zoomScaleNormal="80" workbookViewId="0">
      <selection sqref="A1:E3"/>
    </sheetView>
  </sheetViews>
  <sheetFormatPr baseColWidth="10" defaultColWidth="11.42578125" defaultRowHeight="15"/>
  <cols>
    <col min="1" max="1" width="17.42578125" style="24" customWidth="1"/>
    <col min="2" max="2" width="11" style="24" customWidth="1"/>
    <col min="3" max="3" width="13.140625" style="24" customWidth="1"/>
    <col min="4" max="4" width="49.85546875" style="25" customWidth="1"/>
    <col min="5" max="5" width="34.42578125" style="25" customWidth="1"/>
    <col min="6" max="6" width="20.42578125" style="27" bestFit="1" customWidth="1"/>
    <col min="7" max="7" width="22.28515625" style="27" customWidth="1"/>
    <col min="8" max="16384" width="11.42578125" style="3"/>
  </cols>
  <sheetData>
    <row r="1" spans="1:7" ht="21" customHeight="1">
      <c r="A1" s="380" t="s">
        <v>1432</v>
      </c>
      <c r="B1" s="380"/>
      <c r="C1" s="380"/>
      <c r="D1" s="380"/>
      <c r="E1" s="380"/>
      <c r="F1" s="30"/>
    </row>
    <row r="2" spans="1:7" ht="21" customHeight="1">
      <c r="A2" s="380"/>
      <c r="B2" s="380"/>
      <c r="C2" s="380"/>
      <c r="D2" s="380"/>
      <c r="E2" s="380"/>
      <c r="F2" s="30"/>
    </row>
    <row r="3" spans="1:7" ht="21" customHeight="1">
      <c r="A3" s="380"/>
      <c r="B3" s="380"/>
      <c r="C3" s="380"/>
      <c r="D3" s="380"/>
      <c r="E3" s="380"/>
      <c r="F3" s="30"/>
    </row>
    <row r="4" spans="1:7" ht="9.75" customHeight="1">
      <c r="A4" s="217"/>
      <c r="B4" s="218"/>
      <c r="C4" s="218"/>
      <c r="D4" s="218"/>
      <c r="E4" s="218"/>
    </row>
    <row r="5" spans="1:7" s="9" customFormat="1" ht="45.75" customHeight="1">
      <c r="A5" s="164" t="s">
        <v>8</v>
      </c>
      <c r="B5" s="164" t="s">
        <v>9</v>
      </c>
      <c r="C5" s="381" t="s">
        <v>1210</v>
      </c>
      <c r="D5" s="381"/>
      <c r="E5" s="163" t="s">
        <v>1211</v>
      </c>
      <c r="F5" s="33"/>
      <c r="G5" s="33"/>
    </row>
    <row r="6" spans="1:7" s="39" customFormat="1" ht="24" customHeight="1">
      <c r="A6" s="165" t="s">
        <v>1212</v>
      </c>
      <c r="B6" s="166"/>
      <c r="C6" s="166"/>
      <c r="D6" s="136"/>
      <c r="E6" s="167">
        <f>E7</f>
        <v>223644454.75999999</v>
      </c>
      <c r="F6" s="38"/>
      <c r="G6" s="38"/>
    </row>
    <row r="7" spans="1:7" s="39" customFormat="1" ht="24" customHeight="1">
      <c r="A7" s="40">
        <v>4</v>
      </c>
      <c r="B7" s="41" t="s">
        <v>1213</v>
      </c>
      <c r="C7" s="41"/>
      <c r="D7" s="41"/>
      <c r="E7" s="42">
        <f>E8</f>
        <v>223644454.75999999</v>
      </c>
      <c r="F7" s="38"/>
      <c r="G7" s="38"/>
    </row>
    <row r="8" spans="1:7" ht="24" customHeight="1">
      <c r="A8" s="43"/>
      <c r="B8" s="44">
        <v>45</v>
      </c>
      <c r="C8" s="45" t="s">
        <v>49</v>
      </c>
      <c r="D8" s="46"/>
      <c r="E8" s="47">
        <f>SUM(E9:E10)</f>
        <v>223644454.75999999</v>
      </c>
    </row>
    <row r="9" spans="1:7" ht="70.5" customHeight="1">
      <c r="A9" s="48"/>
      <c r="B9" s="19"/>
      <c r="C9" s="49">
        <v>4502</v>
      </c>
      <c r="D9" s="50" t="s">
        <v>71</v>
      </c>
      <c r="E9" s="51">
        <f>'POAI 2024 JUNIO'!AJ10</f>
        <v>43500000</v>
      </c>
    </row>
    <row r="10" spans="1:7" ht="61.5" customHeight="1">
      <c r="A10" s="52"/>
      <c r="B10" s="53"/>
      <c r="C10" s="54">
        <v>4599</v>
      </c>
      <c r="D10" s="55" t="s">
        <v>52</v>
      </c>
      <c r="E10" s="56">
        <f>SUM('POAI 2024 JUNIO'!AJ7:AJ9)</f>
        <v>180144454.75999999</v>
      </c>
    </row>
    <row r="11" spans="1:7" s="39" customFormat="1" ht="24" customHeight="1">
      <c r="A11" s="57" t="s">
        <v>1214</v>
      </c>
      <c r="B11" s="58"/>
      <c r="C11" s="58"/>
      <c r="D11" s="59"/>
      <c r="E11" s="60">
        <f>E12</f>
        <v>1499246787</v>
      </c>
      <c r="F11" s="38"/>
      <c r="G11" s="38"/>
    </row>
    <row r="12" spans="1:7" ht="24" customHeight="1">
      <c r="A12" s="61">
        <v>4</v>
      </c>
      <c r="B12" s="62" t="s">
        <v>1213</v>
      </c>
      <c r="C12" s="62"/>
      <c r="D12" s="62"/>
      <c r="E12" s="63">
        <f>E13</f>
        <v>1499246787</v>
      </c>
    </row>
    <row r="13" spans="1:7" ht="24" customHeight="1">
      <c r="A13" s="43"/>
      <c r="B13" s="44">
        <v>45</v>
      </c>
      <c r="C13" s="45" t="s">
        <v>49</v>
      </c>
      <c r="D13" s="46"/>
      <c r="E13" s="47">
        <f>SUM(E14:E15)</f>
        <v>1499246787</v>
      </c>
    </row>
    <row r="14" spans="1:7" ht="56.25" customHeight="1">
      <c r="A14" s="64"/>
      <c r="B14" s="65"/>
      <c r="C14" s="49">
        <v>4502</v>
      </c>
      <c r="D14" s="50" t="s">
        <v>71</v>
      </c>
      <c r="E14" s="51">
        <f>SUM('POAI 2024 JUNIO'!AJ11:AJ11)</f>
        <v>200000000</v>
      </c>
      <c r="F14" s="3"/>
      <c r="G14" s="3"/>
    </row>
    <row r="15" spans="1:7" ht="56.25" customHeight="1">
      <c r="A15" s="53"/>
      <c r="B15" s="66"/>
      <c r="C15" s="49">
        <v>4599</v>
      </c>
      <c r="D15" s="55" t="s">
        <v>52</v>
      </c>
      <c r="E15" s="51">
        <f>SUM('POAI 2024 JUNIO'!AJ12:AJ22)</f>
        <v>1299246787</v>
      </c>
      <c r="F15" s="3"/>
      <c r="G15" s="3"/>
    </row>
    <row r="16" spans="1:7" ht="24" customHeight="1"/>
    <row r="17" spans="1:5" ht="32.25" customHeight="1">
      <c r="A17" s="57" t="s">
        <v>1215</v>
      </c>
      <c r="B17" s="58"/>
      <c r="C17" s="58"/>
      <c r="D17" s="59"/>
      <c r="E17" s="60">
        <f>E18</f>
        <v>5105542633.3500004</v>
      </c>
    </row>
    <row r="18" spans="1:5" ht="24" customHeight="1">
      <c r="A18" s="61">
        <v>4</v>
      </c>
      <c r="B18" s="62" t="s">
        <v>1213</v>
      </c>
      <c r="C18" s="62"/>
      <c r="D18" s="62"/>
      <c r="E18" s="63">
        <f>E19</f>
        <v>5105542633.3500004</v>
      </c>
    </row>
    <row r="19" spans="1:5" ht="24" customHeight="1">
      <c r="A19" s="43"/>
      <c r="B19" s="44">
        <v>45</v>
      </c>
      <c r="C19" s="45" t="s">
        <v>49</v>
      </c>
      <c r="D19" s="46"/>
      <c r="E19" s="47">
        <f>E20</f>
        <v>5105542633.3500004</v>
      </c>
    </row>
    <row r="20" spans="1:5" ht="70.5" customHeight="1">
      <c r="A20" s="53"/>
      <c r="B20" s="67"/>
      <c r="C20" s="68">
        <v>4599</v>
      </c>
      <c r="D20" s="55" t="s">
        <v>52</v>
      </c>
      <c r="E20" s="51">
        <f>'POAI 2024 JUNIO'!AJ23+'POAI 2024 JUNIO'!AJ24</f>
        <v>5105542633.3500004</v>
      </c>
    </row>
    <row r="21" spans="1:5" ht="25.5" customHeight="1">
      <c r="A21" s="34" t="s">
        <v>1216</v>
      </c>
      <c r="B21" s="35"/>
      <c r="C21" s="35"/>
      <c r="D21" s="36"/>
      <c r="E21" s="37">
        <f>E22+E35+E43</f>
        <v>43300292728.259995</v>
      </c>
    </row>
    <row r="22" spans="1:5" ht="18" customHeight="1">
      <c r="A22" s="40">
        <v>1</v>
      </c>
      <c r="B22" s="41" t="s">
        <v>1217</v>
      </c>
      <c r="C22" s="41"/>
      <c r="D22" s="41"/>
      <c r="E22" s="42">
        <f>E23+E25+E27+E29+E33+E31</f>
        <v>11766898548.970001</v>
      </c>
    </row>
    <row r="23" spans="1:5" ht="24" customHeight="1">
      <c r="A23" s="43"/>
      <c r="B23" s="44">
        <v>12</v>
      </c>
      <c r="C23" s="45" t="s">
        <v>1218</v>
      </c>
      <c r="D23" s="46"/>
      <c r="E23" s="47">
        <f>E24</f>
        <v>47800000</v>
      </c>
    </row>
    <row r="24" spans="1:5" ht="33.75" customHeight="1">
      <c r="A24" s="64"/>
      <c r="B24" s="67"/>
      <c r="C24" s="72">
        <v>1202</v>
      </c>
      <c r="D24" s="50" t="s">
        <v>1219</v>
      </c>
      <c r="E24" s="51">
        <f>'POAI 2024 JUNIO'!AJ25</f>
        <v>47800000</v>
      </c>
    </row>
    <row r="25" spans="1:5" ht="18.75" customHeight="1">
      <c r="A25" s="64"/>
      <c r="B25" s="44">
        <v>19</v>
      </c>
      <c r="C25" s="73" t="s">
        <v>144</v>
      </c>
      <c r="D25" s="74"/>
      <c r="E25" s="47">
        <f>E26</f>
        <v>30000000</v>
      </c>
    </row>
    <row r="26" spans="1:5" ht="32.25" customHeight="1">
      <c r="A26" s="64"/>
      <c r="B26" s="75"/>
      <c r="C26" s="72">
        <v>1903</v>
      </c>
      <c r="D26" s="50" t="s">
        <v>1220</v>
      </c>
      <c r="E26" s="76">
        <f>SUM('POAI 2024 JUNIO'!AJ42)</f>
        <v>30000000</v>
      </c>
    </row>
    <row r="27" spans="1:5" ht="20.25" customHeight="1">
      <c r="A27" s="77"/>
      <c r="B27" s="78">
        <v>22</v>
      </c>
      <c r="C27" s="79" t="s">
        <v>156</v>
      </c>
      <c r="D27" s="80"/>
      <c r="E27" s="47">
        <f>E28</f>
        <v>4056298548.9700003</v>
      </c>
    </row>
    <row r="28" spans="1:5" ht="48" customHeight="1">
      <c r="A28" s="64"/>
      <c r="B28" s="67"/>
      <c r="C28" s="72">
        <v>2201</v>
      </c>
      <c r="D28" s="50" t="s">
        <v>158</v>
      </c>
      <c r="E28" s="51">
        <f>'POAI 2024 JUNIO'!AJ26</f>
        <v>4056298548.9700003</v>
      </c>
    </row>
    <row r="29" spans="1:5" ht="17.25" customHeight="1">
      <c r="A29" s="77"/>
      <c r="B29" s="78">
        <v>33</v>
      </c>
      <c r="C29" s="81" t="s">
        <v>166</v>
      </c>
      <c r="D29" s="82"/>
      <c r="E29" s="47">
        <f>E30</f>
        <v>47800000</v>
      </c>
    </row>
    <row r="30" spans="1:5" ht="42.75" customHeight="1">
      <c r="A30" s="64"/>
      <c r="B30" s="67"/>
      <c r="C30" s="72">
        <v>3301</v>
      </c>
      <c r="D30" s="50" t="s">
        <v>168</v>
      </c>
      <c r="E30" s="51">
        <f>'POAI 2024 JUNIO'!AJ27</f>
        <v>47800000</v>
      </c>
    </row>
    <row r="31" spans="1:5" ht="18" customHeight="1">
      <c r="A31" s="64"/>
      <c r="B31" s="78">
        <v>41</v>
      </c>
      <c r="C31" s="45" t="s">
        <v>176</v>
      </c>
      <c r="D31" s="82"/>
      <c r="E31" s="47">
        <f>E32</f>
        <v>1900000000</v>
      </c>
    </row>
    <row r="32" spans="1:5" ht="57" customHeight="1">
      <c r="A32" s="64"/>
      <c r="B32" s="67"/>
      <c r="C32" s="72">
        <v>4104</v>
      </c>
      <c r="D32" s="50" t="s">
        <v>178</v>
      </c>
      <c r="E32" s="51">
        <f>SUM('POAI 2024 JUNIO'!AJ28)</f>
        <v>1900000000</v>
      </c>
    </row>
    <row r="33" spans="1:7" ht="16.5" customHeight="1">
      <c r="A33" s="77"/>
      <c r="B33" s="78">
        <v>43</v>
      </c>
      <c r="C33" s="45" t="s">
        <v>187</v>
      </c>
      <c r="D33" s="45"/>
      <c r="E33" s="47">
        <f>E34</f>
        <v>5685000000</v>
      </c>
    </row>
    <row r="34" spans="1:7" ht="65.25" customHeight="1">
      <c r="A34" s="53"/>
      <c r="B34" s="67"/>
      <c r="C34" s="72">
        <v>4301</v>
      </c>
      <c r="D34" s="50" t="s">
        <v>189</v>
      </c>
      <c r="E34" s="51">
        <f>'POAI 2024 JUNIO'!AJ29</f>
        <v>5685000000</v>
      </c>
      <c r="F34" s="3"/>
      <c r="G34" s="3"/>
    </row>
    <row r="35" spans="1:7" ht="24" customHeight="1">
      <c r="A35" s="172">
        <v>3</v>
      </c>
      <c r="B35" s="182" t="s">
        <v>1221</v>
      </c>
      <c r="C35" s="181"/>
      <c r="D35" s="41"/>
      <c r="E35" s="42">
        <f>E36+E38+E40</f>
        <v>31172171748.289997</v>
      </c>
      <c r="F35" s="3"/>
      <c r="G35" s="3"/>
    </row>
    <row r="36" spans="1:7" ht="24" customHeight="1">
      <c r="A36" s="175"/>
      <c r="B36" s="183">
        <v>24</v>
      </c>
      <c r="C36" s="177" t="s">
        <v>198</v>
      </c>
      <c r="D36" s="116"/>
      <c r="E36" s="47">
        <f>E37</f>
        <v>22941285177.699997</v>
      </c>
    </row>
    <row r="37" spans="1:7" ht="35.25" customHeight="1">
      <c r="A37" s="18"/>
      <c r="B37" s="184"/>
      <c r="C37" s="18">
        <v>2402</v>
      </c>
      <c r="D37" s="104" t="s">
        <v>200</v>
      </c>
      <c r="E37" s="51">
        <f>SUM('POAI 2024 JUNIO'!AJ30)</f>
        <v>22941285177.699997</v>
      </c>
      <c r="F37" s="3"/>
      <c r="G37" s="3"/>
    </row>
    <row r="38" spans="1:7" ht="24" customHeight="1">
      <c r="A38" s="175"/>
      <c r="B38" s="183">
        <v>32</v>
      </c>
      <c r="C38" s="177" t="s">
        <v>208</v>
      </c>
      <c r="D38" s="116"/>
      <c r="E38" s="47">
        <f>E39</f>
        <v>490000000</v>
      </c>
    </row>
    <row r="39" spans="1:7" ht="36" customHeight="1">
      <c r="A39" s="18"/>
      <c r="B39" s="184"/>
      <c r="C39" s="18">
        <v>3205</v>
      </c>
      <c r="D39" s="104" t="s">
        <v>210</v>
      </c>
      <c r="E39" s="51">
        <f>'POAI 2024 JUNIO'!AJ31+'POAI 2024 JUNIO'!AJ32</f>
        <v>490000000</v>
      </c>
      <c r="F39" s="3"/>
      <c r="G39" s="3"/>
    </row>
    <row r="40" spans="1:7" ht="24" customHeight="1">
      <c r="A40" s="175"/>
      <c r="B40" s="183">
        <v>40</v>
      </c>
      <c r="C40" s="177" t="s">
        <v>1222</v>
      </c>
      <c r="D40" s="82"/>
      <c r="E40" s="47">
        <f>SUM(E41:E42)</f>
        <v>7740886570.5900002</v>
      </c>
    </row>
    <row r="41" spans="1:7" ht="40.5" customHeight="1">
      <c r="A41" s="18"/>
      <c r="B41" s="184"/>
      <c r="C41" s="18">
        <v>4001</v>
      </c>
      <c r="D41" s="104" t="s">
        <v>1223</v>
      </c>
      <c r="E41" s="51">
        <f>'POAI 2024 JUNIO'!AJ33</f>
        <v>335795909.38</v>
      </c>
      <c r="F41" s="3"/>
      <c r="G41" s="3"/>
    </row>
    <row r="42" spans="1:7" ht="48" customHeight="1">
      <c r="A42" s="18"/>
      <c r="B42" s="184"/>
      <c r="C42" s="18">
        <v>4003</v>
      </c>
      <c r="D42" s="104" t="s">
        <v>1224</v>
      </c>
      <c r="E42" s="51">
        <f>SUM('POAI 2024 JUNIO'!AJ34:AJ39)</f>
        <v>7405090661.21</v>
      </c>
      <c r="F42" s="3"/>
      <c r="G42" s="3"/>
    </row>
    <row r="43" spans="1:7" ht="24" customHeight="1">
      <c r="A43" s="61">
        <v>4</v>
      </c>
      <c r="B43" s="62" t="s">
        <v>1213</v>
      </c>
      <c r="C43" s="62"/>
      <c r="D43" s="41"/>
      <c r="E43" s="42">
        <f>E44</f>
        <v>361222431</v>
      </c>
      <c r="F43" s="3"/>
      <c r="G43" s="3"/>
    </row>
    <row r="44" spans="1:7" ht="24" customHeight="1">
      <c r="A44" s="83"/>
      <c r="B44" s="84">
        <v>45</v>
      </c>
      <c r="C44" s="45" t="s">
        <v>49</v>
      </c>
      <c r="D44" s="82"/>
      <c r="E44" s="47">
        <f>SUM(E45:E46)</f>
        <v>361222431</v>
      </c>
    </row>
    <row r="45" spans="1:7" ht="45.75" customHeight="1">
      <c r="A45" s="72"/>
      <c r="B45" s="72"/>
      <c r="C45" s="72">
        <v>4502</v>
      </c>
      <c r="D45" s="50" t="s">
        <v>71</v>
      </c>
      <c r="E45" s="51">
        <f>'POAI 2024 JUNIO'!AJ41</f>
        <v>56822431</v>
      </c>
      <c r="F45" s="3"/>
      <c r="G45" s="3"/>
    </row>
    <row r="46" spans="1:7" ht="53.25" customHeight="1">
      <c r="A46" s="85"/>
      <c r="B46" s="85"/>
      <c r="C46" s="85">
        <v>4599</v>
      </c>
      <c r="D46" s="55" t="s">
        <v>52</v>
      </c>
      <c r="E46" s="86">
        <f>SUM('POAI 2024 JUNIO'!AJ40:AJ40)</f>
        <v>304400000</v>
      </c>
    </row>
    <row r="47" spans="1:7" ht="24" customHeight="1">
      <c r="A47" s="168" t="s">
        <v>1225</v>
      </c>
      <c r="B47" s="169"/>
      <c r="C47" s="169"/>
      <c r="D47" s="170"/>
      <c r="E47" s="171">
        <f>E48+E60+E65</f>
        <v>12493160277.9</v>
      </c>
    </row>
    <row r="48" spans="1:7" ht="24" customHeight="1">
      <c r="A48" s="172">
        <v>1</v>
      </c>
      <c r="B48" s="173" t="s">
        <v>1217</v>
      </c>
      <c r="C48" s="173"/>
      <c r="D48" s="173"/>
      <c r="E48" s="174">
        <f>E49+E53+E55+E58</f>
        <v>9630055658.2600002</v>
      </c>
    </row>
    <row r="49" spans="1:7" ht="24" customHeight="1">
      <c r="A49" s="175"/>
      <c r="B49" s="176">
        <v>12</v>
      </c>
      <c r="C49" s="177" t="s">
        <v>144</v>
      </c>
      <c r="D49" s="178"/>
      <c r="E49" s="179">
        <f>SUM(E50:E52)</f>
        <v>749200000</v>
      </c>
    </row>
    <row r="50" spans="1:7" ht="34.5" customHeight="1">
      <c r="A50" s="18"/>
      <c r="B50" s="18"/>
      <c r="C50" s="18">
        <v>1202</v>
      </c>
      <c r="D50" s="101" t="s">
        <v>1219</v>
      </c>
      <c r="E50" s="102">
        <f>'POAI 2024 JUNIO'!AJ43</f>
        <v>638200000</v>
      </c>
    </row>
    <row r="51" spans="1:7" ht="36.75" customHeight="1">
      <c r="A51" s="18"/>
      <c r="B51" s="18"/>
      <c r="C51" s="18">
        <v>1203</v>
      </c>
      <c r="D51" s="101" t="s">
        <v>1226</v>
      </c>
      <c r="E51" s="102">
        <f>'POAI 2024 JUNIO'!AJ44</f>
        <v>55000000</v>
      </c>
    </row>
    <row r="52" spans="1:7" ht="46.5" customHeight="1">
      <c r="A52" s="18"/>
      <c r="B52" s="18"/>
      <c r="C52" s="18">
        <v>1206</v>
      </c>
      <c r="D52" s="101" t="s">
        <v>1227</v>
      </c>
      <c r="E52" s="102">
        <f>'POAI 2024 JUNIO'!AJ45</f>
        <v>56000000</v>
      </c>
    </row>
    <row r="53" spans="1:7" ht="24" customHeight="1">
      <c r="A53" s="175"/>
      <c r="B53" s="176">
        <v>22</v>
      </c>
      <c r="C53" s="176" t="s">
        <v>156</v>
      </c>
      <c r="D53" s="178"/>
      <c r="E53" s="179">
        <f>E54</f>
        <v>88300000</v>
      </c>
    </row>
    <row r="54" spans="1:7" ht="51.75" customHeight="1">
      <c r="A54" s="18"/>
      <c r="B54" s="18"/>
      <c r="C54" s="18">
        <v>2201</v>
      </c>
      <c r="D54" s="101" t="s">
        <v>158</v>
      </c>
      <c r="E54" s="102">
        <f>'POAI 2024 JUNIO'!AJ46</f>
        <v>88300000</v>
      </c>
    </row>
    <row r="55" spans="1:7" ht="24" customHeight="1">
      <c r="A55" s="18"/>
      <c r="B55" s="176">
        <v>41</v>
      </c>
      <c r="C55" s="177" t="s">
        <v>293</v>
      </c>
      <c r="D55" s="178"/>
      <c r="E55" s="179">
        <f>SUM(E56:E57)</f>
        <v>379200000</v>
      </c>
    </row>
    <row r="56" spans="1:7" ht="33" customHeight="1">
      <c r="A56" s="18"/>
      <c r="B56" s="18"/>
      <c r="C56" s="18">
        <v>4101</v>
      </c>
      <c r="D56" s="101" t="s">
        <v>1228</v>
      </c>
      <c r="E56" s="102">
        <f>'POAI 2024 JUNIO'!AJ47+'POAI 2024 JUNIO'!AJ48+'POAI 2024 JUNIO'!AJ49+'POAI 2024 JUNIO'!AJ50+'POAI 2024 JUNIO'!AJ51</f>
        <v>343200000</v>
      </c>
    </row>
    <row r="57" spans="1:7" ht="48.75" customHeight="1">
      <c r="A57" s="18"/>
      <c r="B57" s="18"/>
      <c r="C57" s="18">
        <v>4103</v>
      </c>
      <c r="D57" s="101" t="s">
        <v>1229</v>
      </c>
      <c r="E57" s="102">
        <f>'POAI 2024 JUNIO'!AJ52</f>
        <v>36000000</v>
      </c>
      <c r="F57" s="3"/>
      <c r="G57" s="3"/>
    </row>
    <row r="58" spans="1:7" ht="24" customHeight="1">
      <c r="A58" s="175"/>
      <c r="B58" s="176">
        <v>45</v>
      </c>
      <c r="C58" s="177" t="s">
        <v>49</v>
      </c>
      <c r="D58" s="178"/>
      <c r="E58" s="179">
        <f>E59</f>
        <v>8413355658.2600002</v>
      </c>
    </row>
    <row r="59" spans="1:7" ht="36" customHeight="1">
      <c r="A59" s="18"/>
      <c r="B59" s="18"/>
      <c r="C59" s="18">
        <v>4501</v>
      </c>
      <c r="D59" s="101" t="s">
        <v>1230</v>
      </c>
      <c r="E59" s="102">
        <f>'POAI 2024 JUNIO'!AJ53+'POAI 2024 JUNIO'!AJ54</f>
        <v>8413355658.2600002</v>
      </c>
      <c r="F59" s="3"/>
      <c r="G59" s="3"/>
    </row>
    <row r="60" spans="1:7" ht="30" customHeight="1">
      <c r="A60" s="172">
        <v>3</v>
      </c>
      <c r="B60" s="173" t="s">
        <v>1221</v>
      </c>
      <c r="C60" s="173"/>
      <c r="D60" s="173"/>
      <c r="E60" s="174">
        <f>E61+E63</f>
        <v>622000000</v>
      </c>
      <c r="F60" s="3"/>
      <c r="G60" s="3"/>
    </row>
    <row r="61" spans="1:7" ht="24" customHeight="1">
      <c r="A61" s="175"/>
      <c r="B61" s="176">
        <v>32</v>
      </c>
      <c r="C61" s="177" t="s">
        <v>208</v>
      </c>
      <c r="D61" s="178"/>
      <c r="E61" s="179">
        <f>E62</f>
        <v>65000000</v>
      </c>
    </row>
    <row r="62" spans="1:7" ht="46.5" customHeight="1">
      <c r="A62" s="18"/>
      <c r="B62" s="18"/>
      <c r="C62" s="18">
        <v>3205</v>
      </c>
      <c r="D62" s="101" t="s">
        <v>1231</v>
      </c>
      <c r="E62" s="102">
        <f>'POAI 2024 JUNIO'!AJ55</f>
        <v>65000000</v>
      </c>
      <c r="F62" s="3"/>
      <c r="G62" s="3"/>
    </row>
    <row r="63" spans="1:7" ht="24" customHeight="1">
      <c r="A63" s="175"/>
      <c r="B63" s="176">
        <v>45</v>
      </c>
      <c r="C63" s="177" t="s">
        <v>49</v>
      </c>
      <c r="D63" s="178"/>
      <c r="E63" s="179">
        <f>E64</f>
        <v>557000000</v>
      </c>
    </row>
    <row r="64" spans="1:7" ht="44.25" customHeight="1">
      <c r="A64" s="18"/>
      <c r="B64" s="18"/>
      <c r="C64" s="18">
        <v>4503</v>
      </c>
      <c r="D64" s="101" t="s">
        <v>1232</v>
      </c>
      <c r="E64" s="102">
        <f>'POAI 2024 JUNIO'!AJ56+'POAI 2024 JUNIO'!AJ57+'POAI 2024 JUNIO'!AJ58</f>
        <v>557000000</v>
      </c>
      <c r="F64" s="3"/>
      <c r="G64" s="3"/>
    </row>
    <row r="65" spans="1:7" ht="24" customHeight="1">
      <c r="A65" s="172">
        <v>4</v>
      </c>
      <c r="B65" s="173" t="s">
        <v>1213</v>
      </c>
      <c r="C65" s="173"/>
      <c r="D65" s="173"/>
      <c r="E65" s="174">
        <f>E66</f>
        <v>2241104619.6399999</v>
      </c>
      <c r="F65" s="3"/>
      <c r="G65" s="3"/>
    </row>
    <row r="66" spans="1:7" ht="24" customHeight="1">
      <c r="A66" s="175"/>
      <c r="B66" s="176">
        <v>45</v>
      </c>
      <c r="C66" s="177" t="s">
        <v>49</v>
      </c>
      <c r="D66" s="178"/>
      <c r="E66" s="179">
        <f>E67</f>
        <v>2241104619.6399999</v>
      </c>
    </row>
    <row r="67" spans="1:7" ht="54.75" customHeight="1">
      <c r="A67" s="18"/>
      <c r="B67" s="18"/>
      <c r="C67" s="18">
        <v>4502</v>
      </c>
      <c r="D67" s="50" t="s">
        <v>71</v>
      </c>
      <c r="E67" s="148">
        <f>'POAI 2024 JUNIO'!AJ59+'POAI 2024 JUNIO'!AJ60+'POAI 2024 JUNIO'!AJ61+'POAI 2024 JUNIO'!AJ62+'POAI 2024 JUNIO'!AJ63</f>
        <v>2241104619.6399999</v>
      </c>
      <c r="F67" s="3"/>
      <c r="G67" s="3"/>
    </row>
    <row r="68" spans="1:7" ht="25.5" customHeight="1">
      <c r="A68" s="175"/>
      <c r="B68" s="175"/>
      <c r="C68" s="380"/>
      <c r="D68" s="380"/>
      <c r="E68" s="185"/>
      <c r="F68" s="3"/>
      <c r="G68" s="3"/>
    </row>
    <row r="69" spans="1:7" ht="30.75" customHeight="1">
      <c r="A69" s="168" t="s">
        <v>1233</v>
      </c>
      <c r="B69" s="169"/>
      <c r="C69" s="169"/>
      <c r="D69" s="170"/>
      <c r="E69" s="171">
        <f>E70</f>
        <v>6224987914.3900003</v>
      </c>
      <c r="F69" s="3"/>
      <c r="G69" s="3"/>
    </row>
    <row r="70" spans="1:7" ht="28.5" customHeight="1">
      <c r="A70" s="172">
        <v>1</v>
      </c>
      <c r="B70" s="173" t="s">
        <v>1217</v>
      </c>
      <c r="C70" s="173"/>
      <c r="D70" s="173"/>
      <c r="E70" s="174">
        <f>E71</f>
        <v>6224987914.3900003</v>
      </c>
      <c r="F70" s="3"/>
      <c r="G70" s="3"/>
    </row>
    <row r="71" spans="1:7" ht="28.5" customHeight="1">
      <c r="A71" s="175"/>
      <c r="B71" s="176">
        <v>33</v>
      </c>
      <c r="C71" s="180" t="s">
        <v>166</v>
      </c>
      <c r="D71" s="178"/>
      <c r="E71" s="179">
        <f>SUM(E72:E73)</f>
        <v>6224987914.3900003</v>
      </c>
    </row>
    <row r="72" spans="1:7" ht="46.5" customHeight="1">
      <c r="A72" s="18"/>
      <c r="B72" s="18"/>
      <c r="C72" s="18">
        <v>3301</v>
      </c>
      <c r="D72" s="101" t="s">
        <v>1234</v>
      </c>
      <c r="E72" s="102">
        <f>SUM('POAI 2024 JUNIO'!AJ64:AJ71)</f>
        <v>5974477089.0900002</v>
      </c>
      <c r="F72" s="3"/>
      <c r="G72" s="3"/>
    </row>
    <row r="73" spans="1:7" ht="51" customHeight="1">
      <c r="A73" s="18"/>
      <c r="B73" s="18"/>
      <c r="C73" s="18">
        <v>3302</v>
      </c>
      <c r="D73" s="101" t="s">
        <v>1235</v>
      </c>
      <c r="E73" s="148">
        <f>'POAI 2024 JUNIO'!AJ72+'POAI 2024 JUNIO'!AJ73</f>
        <v>250510825.30000001</v>
      </c>
      <c r="F73" s="3"/>
      <c r="G73" s="3"/>
    </row>
    <row r="74" spans="1:7" s="71" customFormat="1">
      <c r="F74" s="70"/>
      <c r="G74" s="70"/>
    </row>
    <row r="75" spans="1:7" ht="32.25" customHeight="1">
      <c r="A75" s="34" t="s">
        <v>1236</v>
      </c>
      <c r="B75" s="35"/>
      <c r="C75" s="35"/>
      <c r="D75" s="36"/>
      <c r="E75" s="37">
        <f>E76</f>
        <v>8107618879.0199995</v>
      </c>
      <c r="F75" s="3"/>
      <c r="G75" s="3"/>
    </row>
    <row r="76" spans="1:7" ht="24" customHeight="1">
      <c r="A76" s="40">
        <v>2</v>
      </c>
      <c r="B76" s="41" t="s">
        <v>1237</v>
      </c>
      <c r="C76" s="41"/>
      <c r="D76" s="41"/>
      <c r="E76" s="42">
        <f>E77+E79</f>
        <v>8107618879.0199995</v>
      </c>
      <c r="F76" s="3"/>
      <c r="G76" s="3"/>
    </row>
    <row r="77" spans="1:7" ht="24" customHeight="1">
      <c r="A77" s="83"/>
      <c r="B77" s="84">
        <v>35</v>
      </c>
      <c r="C77" s="45" t="s">
        <v>409</v>
      </c>
      <c r="D77" s="82"/>
      <c r="E77" s="47">
        <f>E78</f>
        <v>7137618879.0199995</v>
      </c>
    </row>
    <row r="78" spans="1:7" ht="53.25" customHeight="1">
      <c r="A78" s="64"/>
      <c r="B78" s="67"/>
      <c r="C78" s="68">
        <v>3502</v>
      </c>
      <c r="D78" s="50" t="s">
        <v>1238</v>
      </c>
      <c r="E78" s="51">
        <f>'POAI 2024 JUNIO'!AJ74+'POAI 2024 JUNIO'!AJ75+'POAI 2024 JUNIO'!AJ76+'POAI 2024 JUNIO'!AJ77</f>
        <v>7137618879.0199995</v>
      </c>
      <c r="F78" s="3"/>
      <c r="G78" s="3"/>
    </row>
    <row r="79" spans="1:7" ht="24" customHeight="1">
      <c r="A79" s="77"/>
      <c r="B79" s="78">
        <v>36</v>
      </c>
      <c r="C79" s="81" t="s">
        <v>432</v>
      </c>
      <c r="D79" s="82"/>
      <c r="E79" s="47">
        <f>E80</f>
        <v>970000000</v>
      </c>
    </row>
    <row r="80" spans="1:7" ht="53.25" customHeight="1">
      <c r="A80" s="53"/>
      <c r="B80" s="67"/>
      <c r="C80" s="68">
        <v>3602</v>
      </c>
      <c r="D80" s="50" t="s">
        <v>1239</v>
      </c>
      <c r="E80" s="51">
        <f>SUM('POAI 2024 JUNIO'!AJ78:AJ81)</f>
        <v>970000000</v>
      </c>
      <c r="F80" s="3"/>
      <c r="G80" s="3"/>
    </row>
    <row r="81" spans="1:7" s="71" customFormat="1" ht="27.75" customHeight="1">
      <c r="A81" s="175"/>
      <c r="B81" s="175"/>
      <c r="C81" s="380"/>
      <c r="D81" s="380"/>
      <c r="E81" s="185"/>
    </row>
    <row r="82" spans="1:7" ht="20.25" customHeight="1">
      <c r="A82" s="34" t="s">
        <v>1240</v>
      </c>
      <c r="B82" s="35"/>
      <c r="C82" s="35"/>
      <c r="D82" s="36"/>
      <c r="E82" s="37">
        <f>E83+E94</f>
        <v>7316140695.3199997</v>
      </c>
    </row>
    <row r="83" spans="1:7" ht="23.25" customHeight="1">
      <c r="A83" s="40">
        <v>2</v>
      </c>
      <c r="B83" s="41" t="s">
        <v>1237</v>
      </c>
      <c r="C83" s="41"/>
      <c r="D83" s="41"/>
      <c r="E83" s="42">
        <f>E84+E92</f>
        <v>2733712654</v>
      </c>
      <c r="F83" s="92"/>
    </row>
    <row r="84" spans="1:7" ht="24" customHeight="1">
      <c r="A84" s="83"/>
      <c r="B84" s="84">
        <v>17</v>
      </c>
      <c r="C84" s="45" t="s">
        <v>450</v>
      </c>
      <c r="D84" s="82"/>
      <c r="E84" s="47">
        <f>SUM(E85:E91)</f>
        <v>2577712654</v>
      </c>
    </row>
    <row r="85" spans="1:7" ht="51" customHeight="1">
      <c r="A85" s="64"/>
      <c r="B85" s="65"/>
      <c r="C85" s="67">
        <v>1702</v>
      </c>
      <c r="D85" s="50" t="s">
        <v>1241</v>
      </c>
      <c r="E85" s="51">
        <f>'POAI 2024 JUNIO'!AJ82+'POAI 2024 JUNIO'!AJ83+'POAI 2024 JUNIO'!AJ84+'POAI 2024 JUNIO'!AJ85+'POAI 2024 JUNIO'!AJ86+'POAI 2024 JUNIO'!AJ87+'POAI 2024 JUNIO'!AJ88+'POAI 2024 JUNIO'!AJ89+'POAI 2024 JUNIO'!AJ90+'POAI 2024 JUNIO'!AJ91+'POAI 2024 JUNIO'!AJ92</f>
        <v>1458000000</v>
      </c>
      <c r="F85" s="92"/>
    </row>
    <row r="86" spans="1:7" ht="50.25" customHeight="1">
      <c r="A86" s="64"/>
      <c r="B86" s="89"/>
      <c r="C86" s="67">
        <v>1703</v>
      </c>
      <c r="D86" s="50" t="s">
        <v>1242</v>
      </c>
      <c r="E86" s="51">
        <f>'POAI 2024 JUNIO'!AJ93</f>
        <v>265712654</v>
      </c>
      <c r="F86" s="92"/>
      <c r="G86" s="3"/>
    </row>
    <row r="87" spans="1:7" ht="44.25" customHeight="1">
      <c r="A87" s="64"/>
      <c r="B87" s="89"/>
      <c r="C87" s="67">
        <v>1704</v>
      </c>
      <c r="D87" s="50" t="s">
        <v>1243</v>
      </c>
      <c r="E87" s="51">
        <f>'POAI 2024 JUNIO'!AJ94+'POAI 2024 JUNIO'!AJ95</f>
        <v>153000000</v>
      </c>
      <c r="F87" s="92"/>
      <c r="G87" s="3"/>
    </row>
    <row r="88" spans="1:7" ht="35.25" customHeight="1">
      <c r="A88" s="64"/>
      <c r="B88" s="89"/>
      <c r="C88" s="67">
        <v>1706</v>
      </c>
      <c r="D88" s="50" t="s">
        <v>1244</v>
      </c>
      <c r="E88" s="51">
        <f>'POAI 2024 JUNIO'!AJ96</f>
        <v>110000000</v>
      </c>
      <c r="F88" s="92"/>
      <c r="G88" s="3"/>
    </row>
    <row r="89" spans="1:7" ht="48.75" customHeight="1">
      <c r="A89" s="64"/>
      <c r="B89" s="89"/>
      <c r="C89" s="67">
        <v>1707</v>
      </c>
      <c r="D89" s="50" t="s">
        <v>1245</v>
      </c>
      <c r="E89" s="51">
        <f>'POAI 2024 JUNIO'!AJ97</f>
        <v>143000000</v>
      </c>
      <c r="F89" s="92"/>
      <c r="G89" s="3"/>
    </row>
    <row r="90" spans="1:7" ht="38.25" customHeight="1">
      <c r="A90" s="64"/>
      <c r="B90" s="89"/>
      <c r="C90" s="67">
        <v>1708</v>
      </c>
      <c r="D90" s="50" t="s">
        <v>1246</v>
      </c>
      <c r="E90" s="51">
        <f>'POAI 2024 JUNIO'!AJ98+'POAI 2024 JUNIO'!AJ99</f>
        <v>130000000</v>
      </c>
      <c r="F90" s="92"/>
    </row>
    <row r="91" spans="1:7" ht="34.5" customHeight="1">
      <c r="A91" s="64"/>
      <c r="B91" s="66"/>
      <c r="C91" s="67">
        <v>1709</v>
      </c>
      <c r="D91" s="50" t="s">
        <v>1247</v>
      </c>
      <c r="E91" s="51">
        <f>'POAI 2024 JUNIO'!AJ100+'POAI 2024 JUNIO'!AJ101+'POAI 2024 JUNIO'!AJ102</f>
        <v>318000000</v>
      </c>
      <c r="F91" s="92"/>
    </row>
    <row r="92" spans="1:7" ht="24" customHeight="1">
      <c r="A92" s="77"/>
      <c r="B92" s="88">
        <v>35</v>
      </c>
      <c r="C92" s="45" t="s">
        <v>409</v>
      </c>
      <c r="D92" s="46"/>
      <c r="E92" s="47">
        <f>E93</f>
        <v>156000000</v>
      </c>
    </row>
    <row r="93" spans="1:7" ht="48" customHeight="1">
      <c r="A93" s="53"/>
      <c r="B93" s="67"/>
      <c r="C93" s="72">
        <v>3502</v>
      </c>
      <c r="D93" s="50" t="s">
        <v>1248</v>
      </c>
      <c r="E93" s="51">
        <f>'POAI 2024 JUNIO'!AJ103+'POAI 2024 JUNIO'!AJ104</f>
        <v>156000000</v>
      </c>
      <c r="F93" s="92"/>
    </row>
    <row r="94" spans="1:7" ht="24" customHeight="1">
      <c r="A94" s="40">
        <v>3</v>
      </c>
      <c r="B94" s="41" t="s">
        <v>1221</v>
      </c>
      <c r="C94" s="41"/>
      <c r="D94" s="41"/>
      <c r="E94" s="42">
        <f>E95</f>
        <v>4582428041.3199997</v>
      </c>
      <c r="F94" s="92"/>
    </row>
    <row r="95" spans="1:7" ht="24" customHeight="1">
      <c r="A95" s="83"/>
      <c r="B95" s="84">
        <v>32</v>
      </c>
      <c r="C95" s="45" t="s">
        <v>208</v>
      </c>
      <c r="D95" s="82"/>
      <c r="E95" s="47">
        <f>SUM(E96:E100)</f>
        <v>4582428041.3199997</v>
      </c>
    </row>
    <row r="96" spans="1:7" ht="52.5" customHeight="1">
      <c r="A96" s="48"/>
      <c r="B96" s="19"/>
      <c r="C96" s="67" t="s">
        <v>552</v>
      </c>
      <c r="D96" s="50" t="s">
        <v>1249</v>
      </c>
      <c r="E96" s="51">
        <f>'POAI 2024 JUNIO'!AJ105+'POAI 2024 JUNIO'!AJ106</f>
        <v>152000000</v>
      </c>
      <c r="F96" s="93"/>
      <c r="G96" s="3"/>
    </row>
    <row r="97" spans="1:7" ht="52.5" customHeight="1">
      <c r="A97" s="48"/>
      <c r="B97" s="64"/>
      <c r="C97" s="67">
        <v>3202</v>
      </c>
      <c r="D97" s="50" t="s">
        <v>1250</v>
      </c>
      <c r="E97" s="51">
        <f>'POAI 2024 JUNIO'!AJ107+'POAI 2024 JUNIO'!AJ108+'POAI 2024 JUNIO'!AJ109+'POAI 2024 JUNIO'!AJ110+'POAI 2024 JUNIO'!AJ111</f>
        <v>3415428040.3699999</v>
      </c>
      <c r="F97" s="93"/>
      <c r="G97" s="3"/>
    </row>
    <row r="98" spans="1:7" ht="52.5" customHeight="1">
      <c r="A98" s="48"/>
      <c r="B98" s="64"/>
      <c r="C98" s="67" t="s">
        <v>588</v>
      </c>
      <c r="D98" s="50" t="s">
        <v>1251</v>
      </c>
      <c r="E98" s="51">
        <f>'POAI 2024 JUNIO'!AJ112</f>
        <v>168000000</v>
      </c>
      <c r="F98" s="93"/>
      <c r="G98" s="3"/>
    </row>
    <row r="99" spans="1:7" ht="52.5" customHeight="1">
      <c r="A99" s="48"/>
      <c r="B99" s="64"/>
      <c r="C99" s="67">
        <v>3205</v>
      </c>
      <c r="D99" s="50" t="s">
        <v>1252</v>
      </c>
      <c r="E99" s="51">
        <f>'POAI 2024 JUNIO'!AJ113+'POAI 2024 JUNIO'!AJ114+'POAI 2024 JUNIO'!AJ115</f>
        <v>380000000</v>
      </c>
      <c r="F99" s="93"/>
      <c r="G99" s="3"/>
    </row>
    <row r="100" spans="1:7" ht="52.5" customHeight="1">
      <c r="A100" s="52"/>
      <c r="B100" s="53"/>
      <c r="C100" s="67" t="s">
        <v>606</v>
      </c>
      <c r="D100" s="50" t="s">
        <v>1253</v>
      </c>
      <c r="E100" s="51">
        <f>'POAI 2024 JUNIO'!AJ116+'POAI 2024 JUNIO'!AJ117+'POAI 2024 JUNIO'!AJ118</f>
        <v>467000000.94999999</v>
      </c>
      <c r="F100" s="93"/>
      <c r="G100" s="3"/>
    </row>
    <row r="101" spans="1:7" s="71" customFormat="1">
      <c r="A101" s="24"/>
      <c r="B101" s="24"/>
      <c r="C101" s="24"/>
      <c r="D101" s="25"/>
      <c r="E101" s="69"/>
      <c r="F101" s="70"/>
      <c r="G101" s="70"/>
    </row>
    <row r="102" spans="1:7" s="71" customFormat="1" ht="22.5" customHeight="1">
      <c r="A102" s="175"/>
      <c r="B102" s="175"/>
      <c r="C102" s="380"/>
      <c r="D102" s="380"/>
      <c r="E102" s="185"/>
    </row>
    <row r="103" spans="1:7" ht="24" customHeight="1">
      <c r="A103" s="34" t="s">
        <v>1254</v>
      </c>
      <c r="B103" s="35"/>
      <c r="C103" s="35"/>
      <c r="D103" s="36"/>
      <c r="E103" s="37">
        <f>E104</f>
        <v>2203002887.2799997</v>
      </c>
    </row>
    <row r="104" spans="1:7" ht="24" customHeight="1">
      <c r="A104" s="40">
        <v>4</v>
      </c>
      <c r="B104" s="41" t="s">
        <v>1213</v>
      </c>
      <c r="C104" s="41"/>
      <c r="D104" s="41"/>
      <c r="E104" s="42">
        <f>E105</f>
        <v>2203002887.2799997</v>
      </c>
    </row>
    <row r="105" spans="1:7" ht="24" customHeight="1">
      <c r="A105" s="83"/>
      <c r="B105" s="84">
        <v>45</v>
      </c>
      <c r="C105" s="45" t="s">
        <v>49</v>
      </c>
      <c r="D105" s="82"/>
      <c r="E105" s="47">
        <f>SUM(E106:E107)</f>
        <v>2203002887.2799997</v>
      </c>
    </row>
    <row r="106" spans="1:7" s="94" customFormat="1" ht="74.25" customHeight="1">
      <c r="A106" s="48"/>
      <c r="B106" s="19"/>
      <c r="C106" s="67">
        <v>4502</v>
      </c>
      <c r="D106" s="50" t="s">
        <v>1255</v>
      </c>
      <c r="E106" s="51">
        <f>'POAI 2024 JUNIO'!AJ121</f>
        <v>953002887.27999997</v>
      </c>
    </row>
    <row r="107" spans="1:7" ht="54.75" customHeight="1">
      <c r="A107" s="52"/>
      <c r="B107" s="53"/>
      <c r="C107" s="67">
        <v>4599</v>
      </c>
      <c r="D107" s="194" t="s">
        <v>52</v>
      </c>
      <c r="E107" s="90">
        <f>SUM('POAI 2024 JUNIO'!AJ119,'POAI 2024 JUNIO'!AJ120)</f>
        <v>1250000000</v>
      </c>
      <c r="F107" s="3"/>
      <c r="G107" s="3"/>
    </row>
    <row r="108" spans="1:7" s="71" customFormat="1">
      <c r="A108" s="24"/>
      <c r="B108" s="95"/>
      <c r="C108" s="75"/>
      <c r="D108" s="96"/>
      <c r="E108" s="97"/>
      <c r="F108" s="70"/>
      <c r="G108" s="70"/>
    </row>
    <row r="109" spans="1:7" ht="32.25" customHeight="1">
      <c r="A109" s="34" t="s">
        <v>1256</v>
      </c>
      <c r="B109" s="35"/>
      <c r="C109" s="35"/>
      <c r="D109" s="36"/>
      <c r="E109" s="37">
        <f>E110</f>
        <v>239658564531.30997</v>
      </c>
      <c r="F109" s="3"/>
      <c r="G109" s="3"/>
    </row>
    <row r="110" spans="1:7" ht="30" customHeight="1">
      <c r="A110" s="40">
        <v>1</v>
      </c>
      <c r="B110" s="41" t="s">
        <v>1217</v>
      </c>
      <c r="C110" s="41"/>
      <c r="D110" s="41"/>
      <c r="E110" s="42">
        <f>E111</f>
        <v>239658564531.30997</v>
      </c>
      <c r="F110" s="3"/>
      <c r="G110" s="3"/>
    </row>
    <row r="111" spans="1:7" ht="33.75" customHeight="1">
      <c r="A111" s="83"/>
      <c r="B111" s="84">
        <v>22</v>
      </c>
      <c r="C111" s="91" t="s">
        <v>156</v>
      </c>
      <c r="D111" s="82"/>
      <c r="E111" s="47">
        <f>SUM(E112:E113)</f>
        <v>239658564531.30997</v>
      </c>
    </row>
    <row r="112" spans="1:7" ht="55.5" customHeight="1">
      <c r="A112" s="64"/>
      <c r="B112" s="65"/>
      <c r="C112" s="49">
        <v>2201</v>
      </c>
      <c r="D112" s="17" t="s">
        <v>158</v>
      </c>
      <c r="E112" s="90">
        <f>SUM('POAI 2024 JUNIO'!AJ122:AJ135)</f>
        <v>239408564531.30997</v>
      </c>
      <c r="F112" s="3"/>
      <c r="G112" s="3"/>
    </row>
    <row r="113" spans="1:7" ht="55.5" customHeight="1">
      <c r="A113" s="53"/>
      <c r="B113" s="66"/>
      <c r="C113" s="67">
        <v>2202</v>
      </c>
      <c r="D113" s="17" t="s">
        <v>687</v>
      </c>
      <c r="E113" s="51">
        <f>'POAI 2024 JUNIO'!AJ136</f>
        <v>250000000</v>
      </c>
      <c r="F113" s="3"/>
      <c r="G113" s="3"/>
    </row>
    <row r="114" spans="1:7" s="71" customFormat="1">
      <c r="A114" s="24"/>
      <c r="B114" s="24"/>
      <c r="C114" s="24"/>
      <c r="D114" s="25"/>
      <c r="E114" s="69"/>
      <c r="F114" s="70"/>
      <c r="G114" s="70"/>
    </row>
    <row r="115" spans="1:7" s="71" customFormat="1" ht="24" customHeight="1">
      <c r="A115" s="34" t="s">
        <v>1257</v>
      </c>
      <c r="B115" s="35"/>
      <c r="C115" s="35"/>
      <c r="D115" s="36"/>
      <c r="E115" s="37">
        <f>E116+E125+E130</f>
        <v>11041207464.599998</v>
      </c>
      <c r="F115" s="70"/>
      <c r="G115" s="70"/>
    </row>
    <row r="116" spans="1:7" s="71" customFormat="1" ht="24" customHeight="1">
      <c r="A116" s="40">
        <v>1</v>
      </c>
      <c r="B116" s="41" t="s">
        <v>1217</v>
      </c>
      <c r="C116" s="41"/>
      <c r="D116" s="41"/>
      <c r="E116" s="42">
        <f>E117+E119+E121</f>
        <v>10421207464.599998</v>
      </c>
      <c r="F116" s="70"/>
      <c r="G116" s="70"/>
    </row>
    <row r="117" spans="1:7" ht="24" customHeight="1">
      <c r="A117" s="83"/>
      <c r="B117" s="84">
        <v>19</v>
      </c>
      <c r="C117" s="45" t="s">
        <v>262</v>
      </c>
      <c r="D117" s="82"/>
      <c r="E117" s="47">
        <f>E118</f>
        <v>140000000</v>
      </c>
    </row>
    <row r="118" spans="1:7" s="71" customFormat="1" ht="36" customHeight="1">
      <c r="A118" s="64"/>
      <c r="B118" s="67"/>
      <c r="C118" s="72">
        <v>1905</v>
      </c>
      <c r="D118" s="98" t="s">
        <v>1258</v>
      </c>
      <c r="E118" s="51">
        <f>'POAI 2024 JUNIO'!AJ137+'POAI 2024 JUNIO'!AJ138</f>
        <v>140000000</v>
      </c>
    </row>
    <row r="119" spans="1:7" ht="24" customHeight="1">
      <c r="A119" s="77"/>
      <c r="B119" s="78">
        <v>33</v>
      </c>
      <c r="C119" s="81" t="s">
        <v>166</v>
      </c>
      <c r="D119" s="82"/>
      <c r="E119" s="47">
        <f>E120</f>
        <v>35000000</v>
      </c>
    </row>
    <row r="120" spans="1:7" s="71" customFormat="1" ht="51.75" customHeight="1">
      <c r="A120" s="64"/>
      <c r="B120" s="67"/>
      <c r="C120" s="72">
        <v>3301</v>
      </c>
      <c r="D120" s="50" t="s">
        <v>1234</v>
      </c>
      <c r="E120" s="51">
        <f>'POAI 2024 JUNIO'!AJ139</f>
        <v>35000000</v>
      </c>
    </row>
    <row r="121" spans="1:7" ht="24" customHeight="1">
      <c r="A121" s="77"/>
      <c r="B121" s="44">
        <v>41</v>
      </c>
      <c r="C121" s="45" t="s">
        <v>711</v>
      </c>
      <c r="D121" s="46"/>
      <c r="E121" s="47">
        <f>SUM(E122:E124)</f>
        <v>10246207464.599998</v>
      </c>
    </row>
    <row r="122" spans="1:7" s="71" customFormat="1" ht="53.25" customHeight="1">
      <c r="A122" s="48"/>
      <c r="B122" s="19"/>
      <c r="C122" s="67">
        <v>4102</v>
      </c>
      <c r="D122" s="17" t="s">
        <v>713</v>
      </c>
      <c r="E122" s="51">
        <f>'POAI 2024 JUNIO'!AJ140+'POAI 2024 JUNIO'!AJ141+'POAI 2024 JUNIO'!AJ142+'POAI 2024 JUNIO'!AJ143+'POAI 2024 JUNIO'!AJ144+'POAI 2024 JUNIO'!AJ145+'POAI 2024 JUNIO'!AJ146+'POAI 2024 JUNIO'!AJ147+'POAI 2024 JUNIO'!AJ148</f>
        <v>952200000</v>
      </c>
    </row>
    <row r="123" spans="1:7" s="71" customFormat="1" ht="48.75" customHeight="1">
      <c r="A123" s="48"/>
      <c r="B123" s="64"/>
      <c r="C123" s="67">
        <v>4103</v>
      </c>
      <c r="D123" s="17" t="s">
        <v>312</v>
      </c>
      <c r="E123" s="51">
        <f>'POAI 2024 JUNIO'!AJ149+'POAI 2024 JUNIO'!AJ150+'POAI 2024 JUNIO'!AJ151+'POAI 2024 JUNIO'!AJ152+'POAI 2024 JUNIO'!AJ153+'POAI 2024 JUNIO'!AJ154+'POAI 2024 JUNIO'!AJ155</f>
        <v>771000000</v>
      </c>
    </row>
    <row r="124" spans="1:7" s="71" customFormat="1" ht="51.75" customHeight="1">
      <c r="A124" s="52"/>
      <c r="B124" s="53"/>
      <c r="C124" s="67">
        <v>4104</v>
      </c>
      <c r="D124" s="50" t="s">
        <v>178</v>
      </c>
      <c r="E124" s="51">
        <f>'POAI 2024 JUNIO'!AJ156+'POAI 2024 JUNIO'!AJ157+'POAI 2024 JUNIO'!AJ158+'POAI 2024 JUNIO'!AJ159+'POAI 2024 JUNIO'!AJ160</f>
        <v>8523007464.5999994</v>
      </c>
    </row>
    <row r="125" spans="1:7" s="71" customFormat="1" ht="24" customHeight="1">
      <c r="A125" s="40">
        <v>2</v>
      </c>
      <c r="B125" s="41" t="s">
        <v>1237</v>
      </c>
      <c r="C125" s="41"/>
      <c r="D125" s="41"/>
      <c r="E125" s="42">
        <f>E126+E128</f>
        <v>105000000</v>
      </c>
      <c r="F125" s="70"/>
      <c r="G125" s="70"/>
    </row>
    <row r="126" spans="1:7" ht="24" customHeight="1">
      <c r="A126" s="83"/>
      <c r="B126" s="84">
        <v>17</v>
      </c>
      <c r="C126" s="45" t="s">
        <v>450</v>
      </c>
      <c r="D126" s="82"/>
      <c r="E126" s="47">
        <f>E127</f>
        <v>60000000</v>
      </c>
    </row>
    <row r="127" spans="1:7" s="71" customFormat="1" ht="51.75" customHeight="1">
      <c r="A127" s="64"/>
      <c r="B127" s="67"/>
      <c r="C127" s="72">
        <v>1702</v>
      </c>
      <c r="D127" s="50" t="s">
        <v>1241</v>
      </c>
      <c r="E127" s="51">
        <f>'POAI 2024 JUNIO'!AJ161</f>
        <v>60000000</v>
      </c>
    </row>
    <row r="128" spans="1:7" ht="25.5" customHeight="1">
      <c r="A128" s="77"/>
      <c r="B128" s="78">
        <v>36</v>
      </c>
      <c r="C128" s="81" t="s">
        <v>432</v>
      </c>
      <c r="D128" s="82"/>
      <c r="E128" s="47">
        <f>E129</f>
        <v>45000000</v>
      </c>
    </row>
    <row r="129" spans="1:7" s="71" customFormat="1" ht="51" customHeight="1">
      <c r="A129" s="53"/>
      <c r="B129" s="67"/>
      <c r="C129" s="72">
        <v>3604</v>
      </c>
      <c r="D129" s="50" t="s">
        <v>1259</v>
      </c>
      <c r="E129" s="51">
        <f>'POAI 2024 JUNIO'!AJ162</f>
        <v>45000000</v>
      </c>
    </row>
    <row r="130" spans="1:7" s="71" customFormat="1" ht="24" customHeight="1">
      <c r="A130" s="40">
        <v>4</v>
      </c>
      <c r="B130" s="41" t="s">
        <v>1213</v>
      </c>
      <c r="C130" s="41"/>
      <c r="D130" s="41"/>
      <c r="E130" s="42">
        <f>E131</f>
        <v>515000000</v>
      </c>
      <c r="F130" s="70"/>
      <c r="G130" s="70"/>
    </row>
    <row r="131" spans="1:7" ht="24" customHeight="1">
      <c r="A131" s="43"/>
      <c r="B131" s="99">
        <v>45</v>
      </c>
      <c r="C131" s="45" t="s">
        <v>846</v>
      </c>
      <c r="D131" s="82"/>
      <c r="E131" s="47">
        <f>SUM(E132:E132)</f>
        <v>515000000</v>
      </c>
    </row>
    <row r="132" spans="1:7" ht="50.25" customHeight="1">
      <c r="A132" s="53"/>
      <c r="B132" s="100"/>
      <c r="C132" s="18">
        <v>4502</v>
      </c>
      <c r="D132" s="17" t="s">
        <v>71</v>
      </c>
      <c r="E132" s="102">
        <f>'POAI 2024 JUNIO'!AJ163+'POAI 2024 JUNIO'!AJ164+'POAI 2024 JUNIO'!AJ165+'POAI 2024 JUNIO'!AJ166+'POAI 2024 JUNIO'!AJ167</f>
        <v>515000000</v>
      </c>
    </row>
    <row r="133" spans="1:7" s="71" customFormat="1">
      <c r="A133" s="24"/>
      <c r="B133" s="24"/>
      <c r="C133" s="24"/>
      <c r="D133" s="25"/>
      <c r="E133" s="69"/>
      <c r="F133" s="70"/>
      <c r="G133" s="70"/>
    </row>
    <row r="134" spans="1:7" ht="30" customHeight="1">
      <c r="A134" s="34" t="s">
        <v>1260</v>
      </c>
      <c r="B134" s="35"/>
      <c r="C134" s="35"/>
      <c r="D134" s="36"/>
      <c r="E134" s="37">
        <f>E135</f>
        <v>70324344086.01001</v>
      </c>
    </row>
    <row r="135" spans="1:7" ht="30" customHeight="1">
      <c r="A135" s="40">
        <v>1</v>
      </c>
      <c r="B135" s="41" t="s">
        <v>1217</v>
      </c>
      <c r="C135" s="41"/>
      <c r="D135" s="41"/>
      <c r="E135" s="42">
        <f>E136</f>
        <v>70324344086.01001</v>
      </c>
    </row>
    <row r="136" spans="1:7" ht="30.75" customHeight="1">
      <c r="A136" s="83"/>
      <c r="B136" s="84">
        <v>19</v>
      </c>
      <c r="C136" s="45" t="s">
        <v>262</v>
      </c>
      <c r="D136" s="82"/>
      <c r="E136" s="47">
        <f>SUM(E137:E139)</f>
        <v>70324344086.01001</v>
      </c>
    </row>
    <row r="137" spans="1:7" ht="35.25" customHeight="1">
      <c r="A137" s="64"/>
      <c r="B137" s="65"/>
      <c r="C137" s="67">
        <v>1903</v>
      </c>
      <c r="D137" s="50" t="s">
        <v>1220</v>
      </c>
      <c r="E137" s="51">
        <f>SUM('POAI 2024 JUNIO'!AJ168:AJ184)+'POAI 2024 JUNIO'!AJ211</f>
        <v>3429707543.2600002</v>
      </c>
      <c r="F137" s="3"/>
      <c r="G137" s="3"/>
    </row>
    <row r="138" spans="1:7" ht="31.5" customHeight="1">
      <c r="A138" s="64"/>
      <c r="B138" s="89"/>
      <c r="C138" s="67">
        <v>1905</v>
      </c>
      <c r="D138" s="50" t="s">
        <v>1258</v>
      </c>
      <c r="E138" s="51">
        <f>'POAI 2024 JUNIO'!AJ185+'POAI 2024 JUNIO'!AJ186+'POAI 2024 JUNIO'!AJ187+'POAI 2024 JUNIO'!AJ188+'POAI 2024 JUNIO'!AJ189+'POAI 2024 JUNIO'!AJ190+'POAI 2024 JUNIO'!AJ191+'POAI 2024 JUNIO'!AJ192+'POAI 2024 JUNIO'!AJ193+'POAI 2024 JUNIO'!AJ194+'POAI 2024 JUNIO'!AJ195+'POAI 2024 JUNIO'!AJ196+'POAI 2024 JUNIO'!AJ197+'POAI 2024 JUNIO'!AJ198+'POAI 2024 JUNIO'!AJ199+'POAI 2024 JUNIO'!AJ200+'POAI 2024 JUNIO'!AJ201+'POAI 2024 JUNIO'!AJ202+'POAI 2024 JUNIO'!AJ203+'POAI 2024 JUNIO'!AJ204+'POAI 2024 JUNIO'!AJ205+'POAI 2024 JUNIO'!AJ212+'POAI 2024 JUNIO'!AJ213+'POAI 2024 JUNIO'!AJ214+'POAI 2024 JUNIO'!AJ215+'POAI 2024 JUNIO'!AJ216+'POAI 2024 JUNIO'!AJ217</f>
        <v>6324738796.5299997</v>
      </c>
      <c r="F138" s="3"/>
      <c r="G138" s="3"/>
    </row>
    <row r="139" spans="1:7" ht="57.75" customHeight="1">
      <c r="A139" s="53"/>
      <c r="B139" s="66"/>
      <c r="C139" s="67">
        <v>1906</v>
      </c>
      <c r="D139" s="195" t="s">
        <v>1007</v>
      </c>
      <c r="E139" s="51">
        <f>SUM('POAI 2024 JUNIO'!AJ206:AJ210)</f>
        <v>60569897746.220001</v>
      </c>
      <c r="F139" s="3"/>
      <c r="G139" s="3"/>
    </row>
    <row r="140" spans="1:7" s="71" customFormat="1">
      <c r="A140" s="24"/>
      <c r="B140" s="24"/>
      <c r="C140" s="24"/>
      <c r="D140" s="25"/>
      <c r="E140" s="69"/>
      <c r="F140" s="70"/>
      <c r="G140" s="70"/>
    </row>
    <row r="141" spans="1:7" s="39" customFormat="1" ht="24" customHeight="1">
      <c r="A141" s="34" t="s">
        <v>1261</v>
      </c>
      <c r="B141" s="35"/>
      <c r="C141" s="35"/>
      <c r="D141" s="36"/>
      <c r="E141" s="37">
        <f>E142+E146+E150</f>
        <v>1284521994.78</v>
      </c>
      <c r="F141" s="38"/>
      <c r="G141" s="38"/>
    </row>
    <row r="142" spans="1:7" s="39" customFormat="1" ht="24" customHeight="1">
      <c r="A142" s="40">
        <v>1</v>
      </c>
      <c r="B142" s="41" t="s">
        <v>1217</v>
      </c>
      <c r="C142" s="41"/>
      <c r="D142" s="41"/>
      <c r="E142" s="42">
        <f>E143</f>
        <v>874521994.77999997</v>
      </c>
      <c r="F142" s="38"/>
      <c r="G142" s="38"/>
    </row>
    <row r="143" spans="1:7" ht="19.5" customHeight="1">
      <c r="A143" s="83"/>
      <c r="B143" s="84">
        <v>23</v>
      </c>
      <c r="C143" s="45" t="s">
        <v>1052</v>
      </c>
      <c r="D143" s="82"/>
      <c r="E143" s="47">
        <f>SUM(E144:E145)</f>
        <v>874521994.77999997</v>
      </c>
    </row>
    <row r="144" spans="1:7" s="94" customFormat="1" ht="54.75" customHeight="1">
      <c r="A144" s="64"/>
      <c r="B144" s="65"/>
      <c r="C144" s="49">
        <v>2301</v>
      </c>
      <c r="D144" s="50" t="s">
        <v>1054</v>
      </c>
      <c r="E144" s="51">
        <f>'POAI 2024 JUNIO'!AJ218+'POAI 2024 JUNIO'!AJ219+'POAI 2024 JUNIO'!AJ220+'POAI 2024 JUNIO'!AJ221+'POAI 2024 JUNIO'!AJ222+'POAI 2024 JUNIO'!AJ223+'POAI 2024 JUNIO'!AJ224+'POAI 2024 JUNIO'!AJ225+'POAI 2024 JUNIO'!AJ226</f>
        <v>629521994.77999997</v>
      </c>
    </row>
    <row r="145" spans="1:7" s="94" customFormat="1" ht="62.25" customHeight="1">
      <c r="A145" s="53"/>
      <c r="B145" s="66"/>
      <c r="C145" s="49">
        <v>2302</v>
      </c>
      <c r="D145" s="50" t="s">
        <v>1262</v>
      </c>
      <c r="E145" s="51">
        <f>SUM('POAI 2024 JUNIO'!AJ227:AJ231)</f>
        <v>245000000</v>
      </c>
    </row>
    <row r="146" spans="1:7" s="39" customFormat="1" ht="24" customHeight="1">
      <c r="A146" s="40">
        <v>2</v>
      </c>
      <c r="B146" s="41" t="s">
        <v>1237</v>
      </c>
      <c r="C146" s="41"/>
      <c r="D146" s="41"/>
      <c r="E146" s="42">
        <f>E147</f>
        <v>120000000</v>
      </c>
      <c r="F146" s="38"/>
      <c r="G146" s="38"/>
    </row>
    <row r="147" spans="1:7" ht="24" customHeight="1">
      <c r="A147" s="83"/>
      <c r="B147" s="84">
        <v>39</v>
      </c>
      <c r="C147" s="45" t="s">
        <v>1094</v>
      </c>
      <c r="D147" s="82"/>
      <c r="E147" s="47">
        <f>SUM(E148:E149)</f>
        <v>120000000</v>
      </c>
    </row>
    <row r="148" spans="1:7" s="94" customFormat="1" ht="36.75" customHeight="1">
      <c r="A148" s="64"/>
      <c r="B148" s="23"/>
      <c r="C148" s="103" t="s">
        <v>1095</v>
      </c>
      <c r="D148" s="104" t="s">
        <v>1096</v>
      </c>
      <c r="E148" s="51">
        <f>'POAI 2024 JUNIO'!AJ232+'POAI 2024 JUNIO'!AJ233+'POAI 2024 JUNIO'!AJ234</f>
        <v>95000000</v>
      </c>
    </row>
    <row r="149" spans="1:7" s="94" customFormat="1" ht="44.25" customHeight="1">
      <c r="A149" s="53"/>
      <c r="B149" s="23"/>
      <c r="C149" s="103">
        <v>3904</v>
      </c>
      <c r="D149" s="104" t="s">
        <v>1108</v>
      </c>
      <c r="E149" s="51">
        <f>'POAI 2024 JUNIO'!AJ235</f>
        <v>25000000</v>
      </c>
    </row>
    <row r="150" spans="1:7" s="39" customFormat="1" ht="24" customHeight="1">
      <c r="A150" s="40">
        <v>4</v>
      </c>
      <c r="B150" s="41" t="s">
        <v>1213</v>
      </c>
      <c r="C150" s="41"/>
      <c r="D150" s="41"/>
      <c r="E150" s="42">
        <f>E151</f>
        <v>290000000</v>
      </c>
      <c r="F150" s="38"/>
      <c r="G150" s="38"/>
    </row>
    <row r="151" spans="1:7" ht="24" customHeight="1">
      <c r="A151" s="83"/>
      <c r="B151" s="84">
        <v>23</v>
      </c>
      <c r="C151" s="45" t="s">
        <v>1052</v>
      </c>
      <c r="D151" s="82"/>
      <c r="E151" s="47">
        <f>E152</f>
        <v>290000000</v>
      </c>
    </row>
    <row r="152" spans="1:7" s="94" customFormat="1" ht="66" customHeight="1">
      <c r="A152" s="53"/>
      <c r="B152" s="67"/>
      <c r="C152" s="68">
        <v>2302</v>
      </c>
      <c r="D152" s="50" t="s">
        <v>1262</v>
      </c>
      <c r="E152" s="51">
        <f>'POAI 2024 JUNIO'!AJ236+'POAI 2024 JUNIO'!AJ237+'POAI 2024 JUNIO'!AJ238+'POAI 2024 JUNIO'!AJ239+'POAI 2024 JUNIO'!AJ240+'POAI 2024 JUNIO'!AJ241</f>
        <v>290000000</v>
      </c>
    </row>
    <row r="153" spans="1:7" s="71" customFormat="1" ht="18.75" customHeight="1">
      <c r="A153" s="24"/>
      <c r="B153" s="24"/>
      <c r="C153" s="24"/>
      <c r="D153" s="25"/>
      <c r="E153" s="69"/>
      <c r="F153" s="70"/>
      <c r="G153" s="70"/>
    </row>
    <row r="154" spans="1:7" s="110" customFormat="1" ht="30" customHeight="1">
      <c r="A154" s="105" t="s">
        <v>1263</v>
      </c>
      <c r="B154" s="106"/>
      <c r="C154" s="105"/>
      <c r="D154" s="107"/>
      <c r="E154" s="108">
        <f>E6+E11+E17+E21+E47+E69+E75+E82+E103+E109+E115+E134+E141</f>
        <v>408782275333.97998</v>
      </c>
      <c r="F154" s="109"/>
      <c r="G154" s="109"/>
    </row>
    <row r="155" spans="1:7" s="71" customFormat="1" ht="29.25" customHeight="1">
      <c r="A155" s="24"/>
      <c r="B155" s="24"/>
      <c r="C155" s="24"/>
      <c r="D155" s="25"/>
      <c r="E155" s="69"/>
      <c r="F155" s="70"/>
      <c r="G155" s="70"/>
    </row>
    <row r="156" spans="1:7" ht="34.5" customHeight="1">
      <c r="A156" s="34" t="s">
        <v>1264</v>
      </c>
      <c r="B156" s="35"/>
      <c r="C156" s="35"/>
      <c r="D156" s="36"/>
      <c r="E156" s="37">
        <f>E157</f>
        <v>9697144343.4699993</v>
      </c>
    </row>
    <row r="157" spans="1:7" ht="30.75" customHeight="1">
      <c r="A157" s="40">
        <v>1</v>
      </c>
      <c r="B157" s="41" t="s">
        <v>1217</v>
      </c>
      <c r="C157" s="41"/>
      <c r="D157" s="41"/>
      <c r="E157" s="42">
        <f>E158</f>
        <v>9697144343.4699993</v>
      </c>
    </row>
    <row r="158" spans="1:7" ht="30" customHeight="1">
      <c r="A158" s="83"/>
      <c r="B158" s="84">
        <v>43</v>
      </c>
      <c r="C158" s="45" t="s">
        <v>187</v>
      </c>
      <c r="D158" s="82"/>
      <c r="E158" s="47">
        <f>SUM(E159:E160)</f>
        <v>9697144343.4699993</v>
      </c>
    </row>
    <row r="159" spans="1:7" ht="76.5" customHeight="1">
      <c r="A159" s="48"/>
      <c r="B159" s="19"/>
      <c r="C159" s="67">
        <v>4301</v>
      </c>
      <c r="D159" s="111" t="s">
        <v>189</v>
      </c>
      <c r="E159" s="51">
        <f>SUM('POAI 2024 JUNIO'!AJ242:AJ245)</f>
        <v>4075300389.25</v>
      </c>
      <c r="F159" s="3"/>
      <c r="G159" s="94"/>
    </row>
    <row r="160" spans="1:7" ht="37.5" customHeight="1">
      <c r="A160" s="52"/>
      <c r="B160" s="53"/>
      <c r="C160" s="67">
        <v>4302</v>
      </c>
      <c r="D160" s="111" t="s">
        <v>1265</v>
      </c>
      <c r="E160" s="51">
        <f>SUM('POAI 2024 JUNIO'!AJ246:AJ246)</f>
        <v>5621843954.2199993</v>
      </c>
      <c r="F160" s="3"/>
      <c r="G160" s="94"/>
    </row>
    <row r="161" spans="1:7" s="71" customFormat="1" ht="18.75" customHeight="1">
      <c r="A161" s="24"/>
      <c r="B161" s="24"/>
      <c r="C161" s="24"/>
      <c r="D161" s="25"/>
      <c r="E161" s="69"/>
      <c r="F161" s="70"/>
      <c r="G161" s="70"/>
    </row>
    <row r="162" spans="1:7" s="71" customFormat="1" ht="24" customHeight="1">
      <c r="A162" s="34" t="s">
        <v>1266</v>
      </c>
      <c r="B162" s="35"/>
      <c r="C162" s="35"/>
      <c r="D162" s="36"/>
      <c r="E162" s="37">
        <f>E163+E168+E174</f>
        <v>7351622503.6300011</v>
      </c>
      <c r="F162" s="70"/>
      <c r="G162" s="70"/>
    </row>
    <row r="163" spans="1:7" s="71" customFormat="1" ht="24" customHeight="1">
      <c r="A163" s="40">
        <v>1</v>
      </c>
      <c r="B163" s="41" t="s">
        <v>1217</v>
      </c>
      <c r="C163" s="41"/>
      <c r="D163" s="41"/>
      <c r="E163" s="42">
        <f>E164+E166</f>
        <v>3947855823.6100001</v>
      </c>
      <c r="F163" s="70"/>
      <c r="G163" s="70"/>
    </row>
    <row r="164" spans="1:7" ht="24" customHeight="1">
      <c r="A164" s="83"/>
      <c r="B164" s="84">
        <v>43</v>
      </c>
      <c r="C164" s="45" t="s">
        <v>187</v>
      </c>
      <c r="D164" s="82"/>
      <c r="E164" s="47">
        <f>E165</f>
        <v>1766021823.6100001</v>
      </c>
    </row>
    <row r="165" spans="1:7" s="71" customFormat="1" ht="51.75" customHeight="1">
      <c r="A165" s="112"/>
      <c r="B165" s="49"/>
      <c r="C165" s="72">
        <v>4301</v>
      </c>
      <c r="D165" s="111" t="s">
        <v>189</v>
      </c>
      <c r="E165" s="51">
        <f>'POAI 2024 JUNIO'!AJ247</f>
        <v>1766021823.6100001</v>
      </c>
    </row>
    <row r="166" spans="1:7" ht="24" customHeight="1">
      <c r="A166" s="77"/>
      <c r="B166" s="99">
        <v>22</v>
      </c>
      <c r="C166" s="78" t="s">
        <v>156</v>
      </c>
      <c r="D166" s="46"/>
      <c r="E166" s="47">
        <f>E167</f>
        <v>2181834000</v>
      </c>
    </row>
    <row r="167" spans="1:7" s="71" customFormat="1" ht="39.75" customHeight="1">
      <c r="A167" s="113"/>
      <c r="B167" s="49"/>
      <c r="C167" s="72">
        <v>2201</v>
      </c>
      <c r="D167" s="50" t="s">
        <v>1267</v>
      </c>
      <c r="E167" s="51">
        <f>'POAI 2024 JUNIO'!AJ248</f>
        <v>2181834000</v>
      </c>
    </row>
    <row r="168" spans="1:7" s="71" customFormat="1" ht="24" customHeight="1">
      <c r="A168" s="40">
        <v>3</v>
      </c>
      <c r="B168" s="41" t="s">
        <v>1221</v>
      </c>
      <c r="C168" s="41"/>
      <c r="D168" s="41"/>
      <c r="E168" s="42">
        <f>E169+E171</f>
        <v>2976481000</v>
      </c>
      <c r="F168" s="70"/>
      <c r="G168" s="70"/>
    </row>
    <row r="169" spans="1:7" ht="24" customHeight="1">
      <c r="A169" s="83"/>
      <c r="B169" s="84">
        <v>24</v>
      </c>
      <c r="C169" s="45" t="s">
        <v>198</v>
      </c>
      <c r="D169" s="82"/>
      <c r="E169" s="47">
        <f>E170</f>
        <v>1000481000</v>
      </c>
    </row>
    <row r="170" spans="1:7" s="71" customFormat="1" ht="25.5" customHeight="1">
      <c r="A170" s="112"/>
      <c r="B170" s="49"/>
      <c r="C170" s="72">
        <v>2402</v>
      </c>
      <c r="D170" s="114" t="s">
        <v>1268</v>
      </c>
      <c r="E170" s="115">
        <f>'POAI 2024 JUNIO'!AJ249</f>
        <v>1000481000</v>
      </c>
      <c r="F170" s="70"/>
      <c r="G170" s="70"/>
    </row>
    <row r="171" spans="1:7" ht="24" customHeight="1">
      <c r="A171" s="77"/>
      <c r="B171" s="99">
        <v>40</v>
      </c>
      <c r="C171" s="116" t="s">
        <v>1222</v>
      </c>
      <c r="D171" s="82"/>
      <c r="E171" s="47">
        <f>+E172+E173</f>
        <v>1976000000</v>
      </c>
    </row>
    <row r="172" spans="1:7" s="71" customFormat="1" ht="34.5" customHeight="1">
      <c r="A172" s="113"/>
      <c r="B172" s="49"/>
      <c r="C172" s="72">
        <v>4001</v>
      </c>
      <c r="D172" s="117" t="s">
        <v>1223</v>
      </c>
      <c r="E172" s="115">
        <f>SUM('POAI 2024 JUNIO'!AJ250:AJ253)</f>
        <v>1226000000</v>
      </c>
      <c r="F172" s="70"/>
      <c r="G172" s="70"/>
    </row>
    <row r="173" spans="1:7" s="71" customFormat="1" ht="34.5" customHeight="1">
      <c r="A173" s="77"/>
      <c r="B173" s="49"/>
      <c r="C173" s="17">
        <v>4003</v>
      </c>
      <c r="D173" s="200" t="s">
        <v>1178</v>
      </c>
      <c r="E173" s="115">
        <f>SUM('POAI 2024 JUNIO'!AJ255)</f>
        <v>750000000</v>
      </c>
      <c r="F173" s="70"/>
      <c r="G173" s="70"/>
    </row>
    <row r="174" spans="1:7" ht="24" customHeight="1">
      <c r="A174" s="40">
        <v>4</v>
      </c>
      <c r="B174" s="41" t="s">
        <v>1213</v>
      </c>
      <c r="C174" s="41"/>
      <c r="D174" s="41"/>
      <c r="E174" s="42">
        <f>E175</f>
        <v>427285680.02000004</v>
      </c>
      <c r="F174" s="3"/>
      <c r="G174" s="3"/>
    </row>
    <row r="175" spans="1:7" ht="24" customHeight="1">
      <c r="A175" s="83"/>
      <c r="B175" s="84">
        <v>45</v>
      </c>
      <c r="C175" s="45" t="s">
        <v>49</v>
      </c>
      <c r="D175" s="82"/>
      <c r="E175" s="47">
        <f>SUM(E176:E176)</f>
        <v>427285680.02000004</v>
      </c>
    </row>
    <row r="176" spans="1:7" ht="42" customHeight="1">
      <c r="A176" s="72"/>
      <c r="B176" s="72"/>
      <c r="C176" s="72">
        <v>4599</v>
      </c>
      <c r="D176" s="50" t="s">
        <v>52</v>
      </c>
      <c r="E176" s="51">
        <f>'POAI 2024 JUNIO'!AJ254</f>
        <v>427285680.02000004</v>
      </c>
    </row>
    <row r="177" spans="1:7" s="71" customFormat="1" ht="18.75" customHeight="1">
      <c r="A177" s="24"/>
      <c r="B177" s="24"/>
      <c r="C177" s="24"/>
      <c r="D177" s="25"/>
      <c r="E177" s="69"/>
      <c r="F177" s="70"/>
      <c r="G177" s="70"/>
    </row>
    <row r="178" spans="1:7" ht="34.5" customHeight="1">
      <c r="A178" s="34" t="s">
        <v>1269</v>
      </c>
      <c r="B178" s="35"/>
      <c r="C178" s="35"/>
      <c r="D178" s="36"/>
      <c r="E178" s="37">
        <f>E179</f>
        <v>195583221</v>
      </c>
    </row>
    <row r="179" spans="1:7" ht="30.75" customHeight="1">
      <c r="A179" s="40">
        <v>3</v>
      </c>
      <c r="B179" s="41" t="s">
        <v>1221</v>
      </c>
      <c r="C179" s="41"/>
      <c r="D179" s="41"/>
      <c r="E179" s="42">
        <f>E180</f>
        <v>195583221</v>
      </c>
    </row>
    <row r="180" spans="1:7" ht="31.5" customHeight="1">
      <c r="A180" s="83"/>
      <c r="B180" s="84">
        <v>24</v>
      </c>
      <c r="C180" s="45" t="s">
        <v>198</v>
      </c>
      <c r="D180" s="82"/>
      <c r="E180" s="47">
        <f>E181</f>
        <v>195583221</v>
      </c>
    </row>
    <row r="181" spans="1:7" ht="54" customHeight="1">
      <c r="A181" s="53"/>
      <c r="B181" s="67"/>
      <c r="C181" s="72">
        <v>2409</v>
      </c>
      <c r="D181" s="50" t="s">
        <v>1270</v>
      </c>
      <c r="E181" s="51">
        <f>'POAI 2024 JUNIO'!AJ256+'POAI 2024 JUNIO'!AJ257+'POAI 2024 JUNIO'!AJ258+'POAI 2024 JUNIO'!AJ259</f>
        <v>195583221</v>
      </c>
      <c r="F181" s="3"/>
      <c r="G181" s="3"/>
    </row>
    <row r="182" spans="1:7" s="71" customFormat="1" ht="23.25" customHeight="1">
      <c r="A182" s="24"/>
      <c r="B182" s="24"/>
      <c r="C182" s="24"/>
      <c r="D182" s="25"/>
      <c r="E182" s="118"/>
      <c r="F182" s="70"/>
      <c r="G182" s="70"/>
    </row>
    <row r="183" spans="1:7" s="110" customFormat="1" ht="30" customHeight="1">
      <c r="A183" s="105" t="s">
        <v>1271</v>
      </c>
      <c r="B183" s="105"/>
      <c r="C183" s="105"/>
      <c r="D183" s="105"/>
      <c r="E183" s="119">
        <f>E178+E162+E156</f>
        <v>17244350068.099998</v>
      </c>
    </row>
    <row r="184" spans="1:7" s="110" customFormat="1" ht="16.5" thickBot="1">
      <c r="A184" s="120"/>
      <c r="B184" s="120"/>
      <c r="C184" s="120"/>
      <c r="D184" s="121"/>
      <c r="E184" s="122"/>
    </row>
    <row r="185" spans="1:7" s="110" customFormat="1" ht="30" customHeight="1" thickBot="1">
      <c r="A185" s="123" t="s">
        <v>1272</v>
      </c>
      <c r="B185" s="124"/>
      <c r="C185" s="124"/>
      <c r="D185" s="125"/>
      <c r="E185" s="126">
        <f>E154+E183</f>
        <v>426026625402.07996</v>
      </c>
    </row>
    <row r="187" spans="1:7" ht="28.5" customHeight="1"/>
  </sheetData>
  <mergeCells count="5">
    <mergeCell ref="A1:E3"/>
    <mergeCell ref="C5:D5"/>
    <mergeCell ref="C81:D81"/>
    <mergeCell ref="C102:D102"/>
    <mergeCell ref="C68:D68"/>
  </mergeCells>
  <pageMargins left="0.7" right="0.7" top="0.75" bottom="0.75" header="0.3" footer="0.3"/>
  <pageSetup orientation="portrait"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9"/>
  <sheetViews>
    <sheetView showGridLines="0" zoomScale="80" zoomScaleNormal="80" workbookViewId="0">
      <selection activeCell="B4" sqref="B4"/>
    </sheetView>
  </sheetViews>
  <sheetFormatPr baseColWidth="10" defaultColWidth="11.42578125" defaultRowHeight="15"/>
  <cols>
    <col min="2" max="2" width="49.42578125" customWidth="1"/>
    <col min="3" max="3" width="29.42578125" customWidth="1"/>
    <col min="4" max="4" width="23" customWidth="1"/>
  </cols>
  <sheetData>
    <row r="1" spans="2:4" ht="15" customHeight="1">
      <c r="B1" s="382" t="s">
        <v>1433</v>
      </c>
      <c r="C1" s="383"/>
      <c r="D1" s="384"/>
    </row>
    <row r="2" spans="2:4" ht="15" customHeight="1">
      <c r="B2" s="385"/>
      <c r="C2" s="386"/>
      <c r="D2" s="387"/>
    </row>
    <row r="3" spans="2:4" ht="28.5" customHeight="1">
      <c r="B3" s="385"/>
      <c r="C3" s="386"/>
      <c r="D3" s="387"/>
    </row>
    <row r="4" spans="2:4" ht="32.25" customHeight="1">
      <c r="B4" s="127" t="s">
        <v>1273</v>
      </c>
      <c r="C4" s="150" t="s">
        <v>1274</v>
      </c>
      <c r="D4" s="150" t="s">
        <v>1275</v>
      </c>
    </row>
    <row r="5" spans="2:4" ht="39" customHeight="1">
      <c r="B5" s="129" t="s">
        <v>1276</v>
      </c>
      <c r="C5" s="102">
        <f>'RESUMEN PROGRAMAS'!E22+'RESUMEN PROGRAMAS'!E48+'RESUMEN PROGRAMAS'!E70+'RESUMEN PROGRAMAS'!E110+'RESUMEN PROGRAMAS'!E116+'RESUMEN PROGRAMAS'!E135+'RESUMEN PROGRAMAS'!E142+'RESUMEN PROGRAMAS'!E157+'RESUMEN PROGRAMAS'!E163</f>
        <v>362545580365.39996</v>
      </c>
      <c r="D5" s="130">
        <f>C5/$C$9</f>
        <v>0.85099277544738627</v>
      </c>
    </row>
    <row r="6" spans="2:4" ht="40.5" customHeight="1">
      <c r="B6" s="129" t="s">
        <v>1277</v>
      </c>
      <c r="C6" s="131">
        <f>+'RESUMEN PROGRAMAS'!E76+'RESUMEN PROGRAMAS'!E83+'RESUMEN PROGRAMAS'!E125+'RESUMEN PROGRAMAS'!E146</f>
        <v>11066331533.02</v>
      </c>
      <c r="D6" s="130">
        <f>C6/$C$9</f>
        <v>2.5975680563569706E-2</v>
      </c>
    </row>
    <row r="7" spans="2:4" ht="36.75" customHeight="1">
      <c r="B7" s="129" t="s">
        <v>1278</v>
      </c>
      <c r="C7" s="131">
        <f>'RESUMEN PROGRAMAS'!E35+'RESUMEN PROGRAMAS'!E60+'RESUMEN PROGRAMAS'!E94+'RESUMEN PROGRAMAS'!E168+'RESUMEN PROGRAMAS'!E179</f>
        <v>39548664010.610001</v>
      </c>
      <c r="D7" s="130">
        <f>C7/$C$9</f>
        <v>9.2831437409068837E-2</v>
      </c>
    </row>
    <row r="8" spans="2:4" ht="41.25" customHeight="1">
      <c r="B8" s="129" t="s">
        <v>1279</v>
      </c>
      <c r="C8" s="131">
        <f>'RESUMEN PROGRAMAS'!E7+'RESUMEN PROGRAMAS'!E12+'RESUMEN PROGRAMAS'!E18+'RESUMEN PROGRAMAS'!E43+'RESUMEN PROGRAMAS'!E65+'RESUMEN PROGRAMAS'!E104+'RESUMEN PROGRAMAS'!E130+'RESUMEN PROGRAMAS'!E150+'RESUMEN PROGRAMAS'!E174</f>
        <v>12866049493.049999</v>
      </c>
      <c r="D8" s="130">
        <f>C8/$C$9</f>
        <v>3.0200106579975235E-2</v>
      </c>
    </row>
    <row r="9" spans="2:4" s="135" customFormat="1" ht="30.75" customHeight="1">
      <c r="B9" s="132" t="s">
        <v>1280</v>
      </c>
      <c r="C9" s="133">
        <f>SUM(C5:C8)</f>
        <v>426026625402.07996</v>
      </c>
      <c r="D9" s="134">
        <f>SUM(D5:D8)</f>
        <v>1</v>
      </c>
    </row>
  </sheetData>
  <mergeCells count="1">
    <mergeCell ref="B1:D3"/>
  </mergeCells>
  <pageMargins left="0.7" right="0.7" top="0.75" bottom="0.75" header="0.3" footer="0.3"/>
  <pageSetup orientation="portrait"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zoomScale="80" zoomScaleNormal="80" workbookViewId="0">
      <selection activeCell="A4" sqref="A4"/>
    </sheetView>
  </sheetViews>
  <sheetFormatPr baseColWidth="10" defaultColWidth="11.42578125" defaultRowHeight="15"/>
  <cols>
    <col min="1" max="1" width="15.28515625" style="24" customWidth="1"/>
    <col min="2" max="2" width="49" style="25" customWidth="1"/>
    <col min="3" max="3" width="34.42578125" style="25" customWidth="1"/>
    <col min="4" max="4" width="42.7109375" style="3" customWidth="1"/>
    <col min="5" max="16384" width="11.42578125" style="3"/>
  </cols>
  <sheetData>
    <row r="1" spans="1:3" ht="21" customHeight="1">
      <c r="A1" s="388" t="s">
        <v>1434</v>
      </c>
      <c r="B1" s="389"/>
      <c r="C1" s="390"/>
    </row>
    <row r="2" spans="1:3" ht="21" customHeight="1">
      <c r="A2" s="391"/>
      <c r="B2" s="392"/>
      <c r="C2" s="393"/>
    </row>
    <row r="3" spans="1:3" ht="21" customHeight="1">
      <c r="A3" s="394"/>
      <c r="B3" s="395"/>
      <c r="C3" s="396"/>
    </row>
    <row r="4" spans="1:3" ht="9" customHeight="1">
      <c r="A4" s="217"/>
      <c r="B4" s="218"/>
      <c r="C4" s="218"/>
    </row>
    <row r="5" spans="1:3" s="9" customFormat="1" ht="30" customHeight="1">
      <c r="A5" s="31" t="s">
        <v>1281</v>
      </c>
      <c r="B5" s="216" t="s">
        <v>1282</v>
      </c>
      <c r="C5" s="32" t="s">
        <v>1283</v>
      </c>
    </row>
    <row r="6" spans="1:3" s="39" customFormat="1" ht="30" customHeight="1">
      <c r="A6" s="87" t="s">
        <v>1212</v>
      </c>
      <c r="B6" s="136"/>
      <c r="C6" s="37">
        <f>C7</f>
        <v>223644454.75999999</v>
      </c>
    </row>
    <row r="7" spans="1:3" ht="30" customHeight="1">
      <c r="A7" s="18"/>
      <c r="B7" s="137" t="s">
        <v>1284</v>
      </c>
      <c r="C7" s="51">
        <f>SUM('POAI 2024 JUNIO'!AG7:AG10)</f>
        <v>223644454.75999999</v>
      </c>
    </row>
    <row r="8" spans="1:3" ht="30" customHeight="1"/>
    <row r="9" spans="1:3" s="39" customFormat="1" ht="30" customHeight="1">
      <c r="A9" s="57" t="s">
        <v>1214</v>
      </c>
      <c r="B9" s="59"/>
      <c r="C9" s="60">
        <f>C10</f>
        <v>1499246787</v>
      </c>
    </row>
    <row r="10" spans="1:3" ht="30" customHeight="1">
      <c r="A10" s="18"/>
      <c r="B10" s="137" t="s">
        <v>1284</v>
      </c>
      <c r="C10" s="51">
        <f>SUM('POAI 2024 JUNIO'!AG11:AG22)</f>
        <v>1499246787</v>
      </c>
    </row>
    <row r="11" spans="1:3" ht="30" customHeight="1"/>
    <row r="12" spans="1:3" ht="30" customHeight="1">
      <c r="A12" s="57" t="s">
        <v>1215</v>
      </c>
      <c r="B12" s="59"/>
      <c r="C12" s="60">
        <f>SUM(C13:C15)</f>
        <v>5105542633.3500004</v>
      </c>
    </row>
    <row r="13" spans="1:3" ht="30" customHeight="1">
      <c r="A13" s="53"/>
      <c r="B13" s="138" t="s">
        <v>1284</v>
      </c>
      <c r="C13" s="51">
        <f>SUM('POAI 2024 JUNIO'!AG23:AG24)</f>
        <v>4255542633.3499999</v>
      </c>
    </row>
    <row r="14" spans="1:3" s="71" customFormat="1" ht="30" customHeight="1">
      <c r="A14" s="64"/>
      <c r="B14" s="207" t="s">
        <v>1285</v>
      </c>
      <c r="C14" s="86">
        <f>SUM('POAI 2024 JUNIO'!AI23:AI24)</f>
        <v>500000000</v>
      </c>
    </row>
    <row r="15" spans="1:3" s="71" customFormat="1" ht="30" customHeight="1">
      <c r="A15" s="72"/>
      <c r="B15" s="50" t="s">
        <v>1286</v>
      </c>
      <c r="C15" s="51">
        <f>SUM('POAI 2024 JUNIO'!AH23:AH24)</f>
        <v>350000000</v>
      </c>
    </row>
    <row r="16" spans="1:3" ht="42" customHeight="1">
      <c r="A16" s="208" t="s">
        <v>1281</v>
      </c>
      <c r="B16" s="209" t="s">
        <v>1282</v>
      </c>
      <c r="C16" s="210" t="s">
        <v>1211</v>
      </c>
    </row>
    <row r="17" spans="1:3" ht="30" customHeight="1">
      <c r="A17" s="87" t="s">
        <v>1216</v>
      </c>
      <c r="B17" s="36"/>
      <c r="C17" s="37">
        <f>SUM(C18:C22)</f>
        <v>43300292728.260002</v>
      </c>
    </row>
    <row r="18" spans="1:3" ht="30" customHeight="1">
      <c r="A18" s="18"/>
      <c r="B18" s="104" t="s">
        <v>1287</v>
      </c>
      <c r="C18" s="51">
        <f>SUM('POAI 2024 JUNIO'!AA25:AA42)</f>
        <v>13341298548.970001</v>
      </c>
    </row>
    <row r="19" spans="1:3" ht="30" customHeight="1">
      <c r="A19" s="18"/>
      <c r="B19" s="104" t="s">
        <v>1288</v>
      </c>
      <c r="C19" s="51">
        <f>SUM('POAI 2024 JUNIO'!AF25:AF42)</f>
        <v>4105090661.21</v>
      </c>
    </row>
    <row r="20" spans="1:3" ht="30" customHeight="1">
      <c r="A20" s="18"/>
      <c r="B20" s="137" t="s">
        <v>1284</v>
      </c>
      <c r="C20" s="51">
        <f>SUM('POAI 2024 JUNIO'!AG25:AG42)</f>
        <v>12374857279.609999</v>
      </c>
    </row>
    <row r="21" spans="1:3" ht="30" customHeight="1">
      <c r="A21" s="19"/>
      <c r="B21" s="139" t="s">
        <v>1289</v>
      </c>
      <c r="C21" s="86">
        <f>SUM('POAI 2024 JUNIO'!AH25:AH42)</f>
        <v>3353597987.0699997</v>
      </c>
    </row>
    <row r="22" spans="1:3" ht="30" customHeight="1">
      <c r="A22" s="72"/>
      <c r="B22" s="50" t="s">
        <v>1290</v>
      </c>
      <c r="C22" s="51">
        <f>SUM('POAI 2024 JUNIO'!AI25:AI42)</f>
        <v>10125448251.4</v>
      </c>
    </row>
    <row r="23" spans="1:3" ht="30" customHeight="1">
      <c r="C23" s="69"/>
    </row>
    <row r="24" spans="1:3" ht="30" customHeight="1">
      <c r="A24" s="140" t="s">
        <v>1225</v>
      </c>
      <c r="B24" s="141"/>
      <c r="C24" s="142">
        <f>SUM(C25:C26)</f>
        <v>12493160277.9</v>
      </c>
    </row>
    <row r="25" spans="1:3" ht="30" customHeight="1">
      <c r="A25" s="18"/>
      <c r="B25" s="138" t="s">
        <v>1284</v>
      </c>
      <c r="C25" s="143">
        <f>SUM('POAI 2024 JUNIO'!AG43:AG63)</f>
        <v>3964804619.6399999</v>
      </c>
    </row>
    <row r="26" spans="1:3" ht="30" customHeight="1">
      <c r="A26" s="18"/>
      <c r="B26" s="104" t="s">
        <v>1291</v>
      </c>
      <c r="C26" s="51">
        <f>SUM('POAI 2024 JUNIO'!AH43:AH63)</f>
        <v>8528355658.2600002</v>
      </c>
    </row>
    <row r="27" spans="1:3" ht="30" customHeight="1">
      <c r="C27" s="69"/>
    </row>
    <row r="28" spans="1:3" ht="30" customHeight="1">
      <c r="A28" s="87" t="s">
        <v>1233</v>
      </c>
      <c r="B28" s="36"/>
      <c r="C28" s="37">
        <f>SUM(C29:C31)</f>
        <v>6224987914.3900003</v>
      </c>
    </row>
    <row r="29" spans="1:3" ht="30" customHeight="1">
      <c r="A29" s="18"/>
      <c r="B29" s="104" t="s">
        <v>1292</v>
      </c>
      <c r="C29" s="51">
        <f>SUM('POAI 2024 JUNIO'!AA64:AA73)</f>
        <v>3613883304.8900003</v>
      </c>
    </row>
    <row r="30" spans="1:3" ht="30" customHeight="1">
      <c r="A30" s="18"/>
      <c r="B30" s="137" t="s">
        <v>1284</v>
      </c>
      <c r="C30" s="51">
        <f>SUM('POAI 2024 JUNIO'!AG64:AG73)</f>
        <v>2250593784.1999998</v>
      </c>
    </row>
    <row r="31" spans="1:3" s="71" customFormat="1" ht="30" customHeight="1">
      <c r="A31" s="18"/>
      <c r="B31" s="104" t="s">
        <v>1293</v>
      </c>
      <c r="C31" s="90">
        <f>SUM('POAI 2024 JUNIO'!AH64:AH73)</f>
        <v>360510825.30000001</v>
      </c>
    </row>
    <row r="32" spans="1:3" ht="30" customHeight="1">
      <c r="C32" s="69"/>
    </row>
    <row r="33" spans="1:3" ht="30" customHeight="1">
      <c r="A33" s="87" t="s">
        <v>1236</v>
      </c>
      <c r="B33" s="36"/>
      <c r="C33" s="37">
        <f>SUM(C34:C35)</f>
        <v>8107618879.0200005</v>
      </c>
    </row>
    <row r="34" spans="1:3" ht="30" customHeight="1">
      <c r="A34" s="18"/>
      <c r="B34" s="137" t="s">
        <v>1284</v>
      </c>
      <c r="C34" s="51">
        <f>SUM('POAI 2024 JUNIO'!AG74:AG81)</f>
        <v>4893133951.4499998</v>
      </c>
    </row>
    <row r="35" spans="1:3" s="71" customFormat="1" ht="30" customHeight="1">
      <c r="A35" s="18"/>
      <c r="B35" s="104" t="s">
        <v>1294</v>
      </c>
      <c r="C35" s="51">
        <f>SUM('POAI 2024 JUNIO'!AH74:AH81)</f>
        <v>3214484927.5700002</v>
      </c>
    </row>
    <row r="36" spans="1:3" ht="30" customHeight="1">
      <c r="C36" s="69"/>
    </row>
    <row r="37" spans="1:3" ht="30" customHeight="1">
      <c r="A37" s="87" t="s">
        <v>1240</v>
      </c>
      <c r="B37" s="205"/>
      <c r="C37" s="206">
        <f>C38+C39</f>
        <v>7316140695.3199997</v>
      </c>
    </row>
    <row r="38" spans="1:3" ht="30" customHeight="1">
      <c r="A38" s="72"/>
      <c r="B38" s="138" t="s">
        <v>1284</v>
      </c>
      <c r="C38" s="51">
        <f>SUM('POAI 2024 JUNIO'!AG82:AG118)</f>
        <v>7116140695.3199997</v>
      </c>
    </row>
    <row r="39" spans="1:3" ht="30" customHeight="1">
      <c r="A39" s="68"/>
      <c r="B39" s="201" t="s">
        <v>1286</v>
      </c>
      <c r="C39" s="202">
        <f>SUM('POAI 2024 JUNIO'!AH82:AH118)</f>
        <v>200000000</v>
      </c>
    </row>
    <row r="40" spans="1:3" ht="30" customHeight="1">
      <c r="A40" s="204" t="s">
        <v>1295</v>
      </c>
      <c r="B40" s="136"/>
      <c r="C40" s="167">
        <f>SUM(C41:C42)</f>
        <v>2203002887.2799997</v>
      </c>
    </row>
    <row r="41" spans="1:3" ht="30" customHeight="1">
      <c r="A41" s="19"/>
      <c r="B41" s="203" t="s">
        <v>1284</v>
      </c>
      <c r="C41" s="86">
        <f>SUM('POAI 2024 JUNIO'!AG119:AG121)</f>
        <v>1403002887.28</v>
      </c>
    </row>
    <row r="42" spans="1:3" ht="30" customHeight="1">
      <c r="A42" s="68"/>
      <c r="B42" s="50" t="s">
        <v>1286</v>
      </c>
      <c r="C42" s="202">
        <f>SUM('POAI 2024 JUNIO'!AH119:AH121)</f>
        <v>800000000</v>
      </c>
    </row>
    <row r="43" spans="1:3" ht="30" customHeight="1">
      <c r="A43" s="204" t="s">
        <v>1296</v>
      </c>
      <c r="B43" s="136"/>
      <c r="C43" s="167">
        <f>SUM(C44:C47)</f>
        <v>239658564531.31</v>
      </c>
    </row>
    <row r="44" spans="1:3" ht="30" customHeight="1">
      <c r="A44" s="18"/>
      <c r="B44" s="104" t="s">
        <v>1297</v>
      </c>
      <c r="C44" s="90">
        <f>SUM('POAI 2024 JUNIO'!AB122:AB136)</f>
        <v>5823150206.1099997</v>
      </c>
    </row>
    <row r="45" spans="1:3" ht="30" customHeight="1">
      <c r="A45" s="18"/>
      <c r="B45" s="104" t="s">
        <v>1298</v>
      </c>
      <c r="C45" s="51">
        <f>SUM('POAI 2024 JUNIO'!AE122:AE136)</f>
        <v>209671988367.39999</v>
      </c>
    </row>
    <row r="46" spans="1:3" ht="30" customHeight="1">
      <c r="A46" s="144"/>
      <c r="B46" s="145" t="s">
        <v>1284</v>
      </c>
      <c r="C46" s="146">
        <f>SUM('POAI 2024 JUNIO'!AG122:AG136)</f>
        <v>8204972918.7600002</v>
      </c>
    </row>
    <row r="47" spans="1:3" ht="30" customHeight="1">
      <c r="A47" s="18"/>
      <c r="B47" s="147" t="s">
        <v>1299</v>
      </c>
      <c r="C47" s="148">
        <f>SUM('POAI 2024 JUNIO'!AI122:AI136)</f>
        <v>15958453039.040001</v>
      </c>
    </row>
    <row r="48" spans="1:3" s="71" customFormat="1" ht="30" customHeight="1">
      <c r="A48" s="24"/>
      <c r="B48" s="25"/>
      <c r="C48" s="69"/>
    </row>
    <row r="49" spans="1:3" s="71" customFormat="1" ht="30" customHeight="1">
      <c r="A49" s="87" t="s">
        <v>1257</v>
      </c>
      <c r="B49" s="36"/>
      <c r="C49" s="37">
        <f>SUM(C50:C52)</f>
        <v>11041207464.6</v>
      </c>
    </row>
    <row r="50" spans="1:3" s="71" customFormat="1" ht="30" customHeight="1">
      <c r="A50" s="18"/>
      <c r="B50" s="104" t="s">
        <v>1300</v>
      </c>
      <c r="C50" s="51">
        <f>'POAI 2024 JUNIO'!AA160</f>
        <v>7749432426.1999998</v>
      </c>
    </row>
    <row r="51" spans="1:3" s="71" customFormat="1" ht="30" customHeight="1">
      <c r="A51" s="19"/>
      <c r="B51" s="203" t="s">
        <v>1284</v>
      </c>
      <c r="C51" s="86">
        <f>SUM('POAI 2024 JUNIO'!AG137:AG167)</f>
        <v>3091775038.4000001</v>
      </c>
    </row>
    <row r="52" spans="1:3" ht="30" customHeight="1">
      <c r="A52" s="68"/>
      <c r="B52" s="211" t="s">
        <v>1286</v>
      </c>
      <c r="C52" s="202">
        <f>SUM('POAI 2024 JUNIO'!AH137:AH167)</f>
        <v>200000000</v>
      </c>
    </row>
    <row r="53" spans="1:3" ht="30" customHeight="1">
      <c r="A53" s="204" t="s">
        <v>1260</v>
      </c>
      <c r="B53" s="136"/>
      <c r="C53" s="167">
        <f>SUM(C54:C59)</f>
        <v>70324344086.009995</v>
      </c>
    </row>
    <row r="54" spans="1:3" ht="30" customHeight="1">
      <c r="A54" s="18"/>
      <c r="B54" s="104" t="s">
        <v>1297</v>
      </c>
      <c r="C54" s="51">
        <f>SUM('POAI 2024 JUNIO'!AB168:AB217)</f>
        <v>650000000</v>
      </c>
    </row>
    <row r="55" spans="1:3" ht="30" customHeight="1">
      <c r="A55" s="18"/>
      <c r="B55" s="104" t="s">
        <v>1301</v>
      </c>
      <c r="C55" s="51">
        <f>SUM('POAI 2024 JUNIO'!AC168:AC217)</f>
        <v>8452395949.3699999</v>
      </c>
    </row>
    <row r="56" spans="1:3" ht="30" customHeight="1">
      <c r="A56" s="18"/>
      <c r="B56" s="104" t="s">
        <v>1302</v>
      </c>
      <c r="C56" s="51">
        <f>SUM('POAI 2024 JUNIO'!AD168:AD217)</f>
        <v>51370928467.989998</v>
      </c>
    </row>
    <row r="57" spans="1:3" ht="30" customHeight="1">
      <c r="A57" s="18"/>
      <c r="B57" s="104" t="s">
        <v>1284</v>
      </c>
      <c r="C57" s="51">
        <f>SUM('POAI 2024 JUNIO'!AG168:AG217)</f>
        <v>4838831160.4499998</v>
      </c>
    </row>
    <row r="58" spans="1:3" ht="30" customHeight="1">
      <c r="A58" s="18"/>
      <c r="B58" s="104" t="s">
        <v>1303</v>
      </c>
      <c r="C58" s="51">
        <f>SUM('POAI 2024 JUNIO'!AH167:AH216)</f>
        <v>1048899508.2</v>
      </c>
    </row>
    <row r="59" spans="1:3" ht="30" customHeight="1">
      <c r="A59" s="18"/>
      <c r="B59" s="104" t="s">
        <v>1304</v>
      </c>
      <c r="C59" s="51">
        <f>SUM('POAI 2024 JUNIO'!AI168:AI217)</f>
        <v>3963289000</v>
      </c>
    </row>
    <row r="60" spans="1:3" s="39" customFormat="1" ht="30" customHeight="1">
      <c r="A60" s="24"/>
      <c r="B60" s="25"/>
      <c r="C60" s="69"/>
    </row>
    <row r="61" spans="1:3" s="39" customFormat="1" ht="30" customHeight="1">
      <c r="A61" s="34" t="s">
        <v>1305</v>
      </c>
      <c r="B61" s="36"/>
      <c r="C61" s="37">
        <f>C62</f>
        <v>1284521994.78</v>
      </c>
    </row>
    <row r="62" spans="1:3" s="39" customFormat="1" ht="30" customHeight="1">
      <c r="A62" s="53"/>
      <c r="B62" s="50" t="s">
        <v>1284</v>
      </c>
      <c r="C62" s="51">
        <f>SUM('POAI 2024 JUNIO'!AG218:AG241)</f>
        <v>1284521994.78</v>
      </c>
    </row>
    <row r="63" spans="1:3" s="110" customFormat="1" ht="30" customHeight="1">
      <c r="A63" s="24"/>
      <c r="B63" s="25"/>
      <c r="C63" s="69"/>
    </row>
    <row r="64" spans="1:3" s="71" customFormat="1" ht="30" customHeight="1">
      <c r="A64" s="105" t="s">
        <v>1263</v>
      </c>
      <c r="B64" s="107"/>
      <c r="C64" s="108">
        <f>C6+C9+C12+C17+C24+C28+C33+C37+C40+C43+C49+C53+C61</f>
        <v>408782275333.97998</v>
      </c>
    </row>
    <row r="65" spans="1:3" ht="30" customHeight="1">
      <c r="C65" s="69"/>
    </row>
    <row r="66" spans="1:3" ht="30" customHeight="1">
      <c r="A66" s="87" t="s">
        <v>1264</v>
      </c>
      <c r="B66" s="36"/>
      <c r="C66" s="37">
        <f>SUM(C67:C71)</f>
        <v>9697144343.4699993</v>
      </c>
    </row>
    <row r="67" spans="1:3" ht="30" customHeight="1">
      <c r="A67" s="18"/>
      <c r="B67" s="149" t="s">
        <v>1306</v>
      </c>
      <c r="C67" s="51">
        <f>SUM('POAI 2024 JUNIO'!AA242:AA246)</f>
        <v>4623626849.3599997</v>
      </c>
    </row>
    <row r="68" spans="1:3" ht="30" customHeight="1">
      <c r="A68" s="18"/>
      <c r="B68" s="149" t="s">
        <v>1307</v>
      </c>
      <c r="C68" s="51">
        <f>SUM('POAI 2024 JUNIO'!AB242:AB246)</f>
        <v>1541886455.8299999</v>
      </c>
    </row>
    <row r="69" spans="1:3" ht="30" customHeight="1">
      <c r="A69" s="18"/>
      <c r="B69" s="149" t="s">
        <v>1302</v>
      </c>
      <c r="C69" s="51">
        <f>SUM('POAI 2024 JUNIO'!AD242:AD246)</f>
        <v>1538655214.23</v>
      </c>
    </row>
    <row r="70" spans="1:3" ht="30" customHeight="1">
      <c r="A70" s="18"/>
      <c r="B70" s="149" t="s">
        <v>1308</v>
      </c>
      <c r="C70" s="51">
        <f>SUM('POAI 2024 JUNIO'!AG242:AG246)</f>
        <v>992975824.04999995</v>
      </c>
    </row>
    <row r="71" spans="1:3" s="71" customFormat="1" ht="30" customHeight="1">
      <c r="A71" s="18"/>
      <c r="B71" s="149" t="s">
        <v>1290</v>
      </c>
      <c r="C71" s="51">
        <f>SUM('POAI 2024 JUNIO'!AI242:AI246)</f>
        <v>1000000000</v>
      </c>
    </row>
    <row r="72" spans="1:3" s="71" customFormat="1" ht="30" customHeight="1">
      <c r="A72" s="24"/>
      <c r="B72" s="25"/>
      <c r="C72" s="69"/>
    </row>
    <row r="73" spans="1:3" s="71" customFormat="1" ht="30" customHeight="1">
      <c r="A73" s="87" t="s">
        <v>1266</v>
      </c>
      <c r="B73" s="36"/>
      <c r="C73" s="37">
        <f>SUM(C74:C75)</f>
        <v>7351622503.6300011</v>
      </c>
    </row>
    <row r="74" spans="1:3" ht="30" customHeight="1">
      <c r="A74" s="103"/>
      <c r="B74" s="104" t="s">
        <v>1309</v>
      </c>
      <c r="C74" s="51">
        <f>SUM('POAI 2024 JUNIO'!AA247:AA255)</f>
        <v>5697855823.6100006</v>
      </c>
    </row>
    <row r="75" spans="1:3" s="71" customFormat="1" ht="30" customHeight="1">
      <c r="A75" s="103"/>
      <c r="B75" s="104" t="s">
        <v>1310</v>
      </c>
      <c r="C75" s="51">
        <f>SUM('POAI 2024 JUNIO'!AH247:AH254)</f>
        <v>1653766680.02</v>
      </c>
    </row>
    <row r="76" spans="1:3" ht="30" customHeight="1">
      <c r="C76" s="69"/>
    </row>
    <row r="77" spans="1:3" ht="30" customHeight="1">
      <c r="A77" s="34" t="s">
        <v>1269</v>
      </c>
      <c r="B77" s="36"/>
      <c r="C77" s="37">
        <f>C78</f>
        <v>195583221</v>
      </c>
    </row>
    <row r="78" spans="1:3" s="71" customFormat="1" ht="30" customHeight="1">
      <c r="A78" s="53"/>
      <c r="B78" s="50" t="s">
        <v>1311</v>
      </c>
      <c r="C78" s="51">
        <f>SUM('POAI 2024 JUNIO'!AH256:AH259)</f>
        <v>195583221</v>
      </c>
    </row>
    <row r="79" spans="1:3" s="110" customFormat="1" ht="30" customHeight="1">
      <c r="A79" s="24"/>
      <c r="B79" s="25"/>
      <c r="C79" s="118"/>
    </row>
    <row r="80" spans="1:3" s="110" customFormat="1" ht="30" customHeight="1">
      <c r="A80" s="105" t="s">
        <v>1271</v>
      </c>
      <c r="B80" s="105"/>
      <c r="C80" s="119">
        <f>C77+C73+C66</f>
        <v>17244350068.099998</v>
      </c>
    </row>
    <row r="81" spans="1:3" s="110" customFormat="1" ht="30" customHeight="1" thickBot="1">
      <c r="A81" s="120"/>
      <c r="B81" s="121"/>
      <c r="C81" s="122"/>
    </row>
    <row r="82" spans="1:3" ht="30" customHeight="1" thickBot="1">
      <c r="A82" s="123" t="s">
        <v>1272</v>
      </c>
      <c r="B82" s="125"/>
      <c r="C82" s="126">
        <f>C64+C80</f>
        <v>426026625402.07996</v>
      </c>
    </row>
    <row r="83" spans="1:3" ht="28.5" customHeight="1"/>
  </sheetData>
  <mergeCells count="1">
    <mergeCell ref="A1:C3"/>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9"/>
  <sheetViews>
    <sheetView showGridLines="0" workbookViewId="0">
      <selection activeCell="C10" sqref="C10"/>
    </sheetView>
  </sheetViews>
  <sheetFormatPr baseColWidth="10" defaultColWidth="11.42578125" defaultRowHeight="15"/>
  <cols>
    <col min="1" max="1" width="4.140625" customWidth="1"/>
    <col min="2" max="2" width="11.140625" customWidth="1"/>
    <col min="3" max="3" width="32.42578125" customWidth="1"/>
    <col min="4" max="4" width="23.85546875" customWidth="1"/>
    <col min="5" max="5" width="18.7109375" customWidth="1"/>
    <col min="7" max="7" width="28" customWidth="1"/>
    <col min="9" max="9" width="17.5703125" bestFit="1" customWidth="1"/>
  </cols>
  <sheetData>
    <row r="1" spans="2:7" ht="21.75" customHeight="1">
      <c r="B1" s="382" t="s">
        <v>1435</v>
      </c>
      <c r="C1" s="383"/>
      <c r="D1" s="383"/>
      <c r="E1" s="384"/>
    </row>
    <row r="2" spans="2:7" ht="21.75" customHeight="1">
      <c r="B2" s="385"/>
      <c r="C2" s="386"/>
      <c r="D2" s="386"/>
      <c r="E2" s="387"/>
    </row>
    <row r="3" spans="2:7" ht="10.5" customHeight="1">
      <c r="B3" s="385"/>
      <c r="C3" s="386"/>
      <c r="D3" s="386"/>
      <c r="E3" s="387"/>
    </row>
    <row r="4" spans="2:7" ht="21.75" customHeight="1">
      <c r="B4" s="127" t="s">
        <v>1312</v>
      </c>
      <c r="C4" s="127" t="s">
        <v>1313</v>
      </c>
      <c r="D4" s="150" t="s">
        <v>1274</v>
      </c>
      <c r="E4" s="128" t="s">
        <v>1275</v>
      </c>
    </row>
    <row r="5" spans="2:7" ht="24" customHeight="1">
      <c r="B5" s="18">
        <v>304</v>
      </c>
      <c r="C5" s="129" t="s">
        <v>1314</v>
      </c>
      <c r="D5" s="102">
        <f>CONSOLIDADO!C18</f>
        <v>223644454.75999999</v>
      </c>
      <c r="E5" s="130">
        <f t="shared" ref="E5:E17" si="0">D5/$D$18</f>
        <v>5.4709919743286281E-4</v>
      </c>
    </row>
    <row r="6" spans="2:7" ht="24" customHeight="1">
      <c r="B6" s="18">
        <v>305</v>
      </c>
      <c r="C6" s="213" t="s">
        <v>1315</v>
      </c>
      <c r="D6" s="214">
        <f>CONSOLIDADO!C102</f>
        <v>1499246787</v>
      </c>
      <c r="E6" s="215">
        <f t="shared" si="0"/>
        <v>3.6675924507125401E-3</v>
      </c>
    </row>
    <row r="7" spans="2:7" ht="27" customHeight="1">
      <c r="B7" s="18">
        <v>307</v>
      </c>
      <c r="C7" s="213" t="s">
        <v>1316</v>
      </c>
      <c r="D7" s="214">
        <f>CONSOLIDADO!C94</f>
        <v>5105542633.3500004</v>
      </c>
      <c r="E7" s="215">
        <f t="shared" si="0"/>
        <v>1.2489637984373738E-2</v>
      </c>
    </row>
    <row r="8" spans="2:7" ht="21" customHeight="1">
      <c r="B8" s="18">
        <v>308</v>
      </c>
      <c r="C8" s="129" t="s">
        <v>1317</v>
      </c>
      <c r="D8" s="131">
        <f>CONSOLIDADO!C52</f>
        <v>43300292728.259995</v>
      </c>
      <c r="E8" s="130">
        <f t="shared" si="0"/>
        <v>0.10592507391100346</v>
      </c>
    </row>
    <row r="9" spans="2:7" ht="24.75" customHeight="1">
      <c r="B9" s="18">
        <v>309</v>
      </c>
      <c r="C9" s="129" t="s">
        <v>1318</v>
      </c>
      <c r="D9" s="131">
        <f>CONSOLIDADO!C143</f>
        <v>12493160277.9</v>
      </c>
      <c r="E9" s="130">
        <f t="shared" si="0"/>
        <v>3.0561893290732674E-2</v>
      </c>
      <c r="G9" s="199"/>
    </row>
    <row r="10" spans="2:7" ht="23.25" customHeight="1">
      <c r="B10" s="18">
        <v>310</v>
      </c>
      <c r="C10" s="129" t="s">
        <v>166</v>
      </c>
      <c r="D10" s="131">
        <f>CONSOLIDADO!C57</f>
        <v>6224987914.3900003</v>
      </c>
      <c r="E10" s="130">
        <f t="shared" si="0"/>
        <v>1.5228125801942148E-2</v>
      </c>
    </row>
    <row r="11" spans="2:7" ht="24.75" customHeight="1">
      <c r="B11" s="18">
        <v>311</v>
      </c>
      <c r="C11" s="129" t="s">
        <v>1319</v>
      </c>
      <c r="D11" s="131">
        <f>CONSOLIDADO!C130</f>
        <v>8107618879.0199995</v>
      </c>
      <c r="E11" s="130">
        <f t="shared" si="0"/>
        <v>1.983358713974567E-2</v>
      </c>
    </row>
    <row r="12" spans="2:7" ht="35.25" customHeight="1">
      <c r="B12" s="18">
        <v>312</v>
      </c>
      <c r="C12" s="129" t="s">
        <v>1320</v>
      </c>
      <c r="D12" s="131">
        <f>CONSOLIDADO!C38</f>
        <v>7316140695.3199997</v>
      </c>
      <c r="E12" s="130">
        <f t="shared" si="0"/>
        <v>1.7897401958885388E-2</v>
      </c>
    </row>
    <row r="13" spans="2:7" ht="25.5" customHeight="1">
      <c r="B13" s="18">
        <v>313</v>
      </c>
      <c r="C13" s="129" t="s">
        <v>1321</v>
      </c>
      <c r="D13" s="131">
        <f>CONSOLIDADO!C147</f>
        <v>2203002887.2799997</v>
      </c>
      <c r="E13" s="130">
        <f t="shared" si="0"/>
        <v>5.3891839744766822E-3</v>
      </c>
    </row>
    <row r="14" spans="2:7" ht="24.75" customHeight="1">
      <c r="B14" s="18">
        <v>314</v>
      </c>
      <c r="C14" s="129" t="s">
        <v>156</v>
      </c>
      <c r="D14" s="131">
        <f>CONSOLIDADO!C65</f>
        <v>239658564531.30997</v>
      </c>
      <c r="E14" s="130">
        <f t="shared" si="0"/>
        <v>0.58627435432592101</v>
      </c>
    </row>
    <row r="15" spans="2:7" ht="30.75" customHeight="1">
      <c r="B15" s="18">
        <v>316</v>
      </c>
      <c r="C15" s="129" t="s">
        <v>1322</v>
      </c>
      <c r="D15" s="131">
        <f>CONSOLIDADO!C91</f>
        <v>11041207464.599998</v>
      </c>
      <c r="E15" s="130">
        <f t="shared" si="0"/>
        <v>2.7009995615830458E-2</v>
      </c>
    </row>
    <row r="16" spans="2:7" ht="27.75" customHeight="1">
      <c r="B16" s="18">
        <v>318</v>
      </c>
      <c r="C16" s="129" t="s">
        <v>1323</v>
      </c>
      <c r="D16" s="131">
        <f>CONSOLIDADO!C125</f>
        <v>70324344086.009995</v>
      </c>
      <c r="E16" s="130">
        <f t="shared" si="0"/>
        <v>0.17203374101422125</v>
      </c>
    </row>
    <row r="17" spans="2:5" ht="36" customHeight="1">
      <c r="B17" s="18">
        <v>324</v>
      </c>
      <c r="C17" s="129" t="s">
        <v>1324</v>
      </c>
      <c r="D17" s="131">
        <f>CONSOLIDADO!C154</f>
        <v>1284521994.78</v>
      </c>
      <c r="E17" s="130">
        <f t="shared" si="0"/>
        <v>3.1423133347220846E-3</v>
      </c>
    </row>
    <row r="18" spans="2:5" ht="27" customHeight="1">
      <c r="B18" s="397" t="s">
        <v>1280</v>
      </c>
      <c r="C18" s="398"/>
      <c r="D18" s="133">
        <f>SUM(D5:D17)</f>
        <v>408782275333.97998</v>
      </c>
      <c r="E18" s="134">
        <f>SUM(E5:E17)</f>
        <v>0.99999999999999989</v>
      </c>
    </row>
    <row r="20" spans="2:5" ht="23.25" customHeight="1">
      <c r="B20" s="382" t="s">
        <v>1436</v>
      </c>
      <c r="C20" s="383"/>
      <c r="D20" s="383"/>
      <c r="E20" s="384"/>
    </row>
    <row r="21" spans="2:5" ht="16.5" customHeight="1">
      <c r="B21" s="385"/>
      <c r="C21" s="386"/>
      <c r="D21" s="386"/>
      <c r="E21" s="387"/>
    </row>
    <row r="22" spans="2:5" ht="14.25" customHeight="1">
      <c r="B22" s="385"/>
      <c r="C22" s="386"/>
      <c r="D22" s="386"/>
      <c r="E22" s="387"/>
    </row>
    <row r="23" spans="2:5" ht="15.75">
      <c r="B23" s="127" t="s">
        <v>1312</v>
      </c>
      <c r="C23" s="127" t="s">
        <v>1313</v>
      </c>
      <c r="D23" s="150" t="s">
        <v>1274</v>
      </c>
      <c r="E23" s="128" t="s">
        <v>1275</v>
      </c>
    </row>
    <row r="24" spans="2:5" ht="24.75" customHeight="1">
      <c r="B24" s="18">
        <v>319</v>
      </c>
      <c r="C24" s="129" t="s">
        <v>1325</v>
      </c>
      <c r="D24" s="102">
        <f>CONSOLIDADO!C4</f>
        <v>9697144343.4699993</v>
      </c>
      <c r="E24" s="130">
        <f>D24/$D$27</f>
        <v>0.56233747895251596</v>
      </c>
    </row>
    <row r="25" spans="2:5" ht="31.5" customHeight="1">
      <c r="B25" s="18">
        <v>320</v>
      </c>
      <c r="C25" s="129" t="s">
        <v>1326</v>
      </c>
      <c r="D25" s="131">
        <f>CONSOLIDADO!C13</f>
        <v>7351622503.6300011</v>
      </c>
      <c r="E25" s="130">
        <f>D25/$D$27</f>
        <v>0.42632064847892587</v>
      </c>
    </row>
    <row r="26" spans="2:5" ht="24.75" customHeight="1">
      <c r="B26" s="18">
        <v>321</v>
      </c>
      <c r="C26" s="129" t="s">
        <v>1327</v>
      </c>
      <c r="D26" s="131">
        <f>CONSOLIDADO!C6</f>
        <v>195583221</v>
      </c>
      <c r="E26" s="130">
        <f>D26/$D$27</f>
        <v>1.1341872568558311E-2</v>
      </c>
    </row>
    <row r="27" spans="2:5" ht="24.75" customHeight="1">
      <c r="B27" s="397" t="s">
        <v>1280</v>
      </c>
      <c r="C27" s="398"/>
      <c r="D27" s="133">
        <f>SUM(D24:D26)</f>
        <v>17244350068.099998</v>
      </c>
      <c r="E27" s="134">
        <f>SUM(E24:E26)</f>
        <v>1.0000000000000002</v>
      </c>
    </row>
    <row r="29" spans="2:5" s="152" customFormat="1" ht="24" customHeight="1">
      <c r="B29" s="151" t="s">
        <v>1328</v>
      </c>
      <c r="C29" s="151"/>
      <c r="D29" s="399">
        <f>D27+D18</f>
        <v>426026625402.07996</v>
      </c>
      <c r="E29" s="400"/>
    </row>
  </sheetData>
  <mergeCells count="5">
    <mergeCell ref="B1:E3"/>
    <mergeCell ref="B18:C18"/>
    <mergeCell ref="B20:E22"/>
    <mergeCell ref="B27:C27"/>
    <mergeCell ref="D29:E2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5"/>
  <sheetViews>
    <sheetView showGridLines="0" workbookViewId="0"/>
  </sheetViews>
  <sheetFormatPr baseColWidth="10" defaultColWidth="9.140625" defaultRowHeight="15"/>
  <cols>
    <col min="1" max="1" width="57.42578125" bestFit="1" customWidth="1"/>
    <col min="2" max="2" width="16.85546875" bestFit="1" customWidth="1"/>
    <col min="3" max="3" width="33.5703125" bestFit="1" customWidth="1"/>
    <col min="4" max="5" width="21.28515625" bestFit="1" customWidth="1"/>
  </cols>
  <sheetData>
    <row r="1" spans="1:3">
      <c r="A1" s="162" t="s">
        <v>17</v>
      </c>
      <c r="B1" s="162" t="s">
        <v>34</v>
      </c>
      <c r="C1" t="s">
        <v>1329</v>
      </c>
    </row>
    <row r="2" spans="1:3">
      <c r="A2" t="s">
        <v>1128</v>
      </c>
      <c r="B2" s="161">
        <v>2020003630009</v>
      </c>
      <c r="C2">
        <v>4075300389.25</v>
      </c>
    </row>
    <row r="3" spans="1:3">
      <c r="B3" s="161">
        <v>2020003630010</v>
      </c>
      <c r="C3">
        <v>5621843954.2199993</v>
      </c>
    </row>
    <row r="4" spans="1:3">
      <c r="A4" s="161" t="s">
        <v>1330</v>
      </c>
      <c r="B4" s="161"/>
      <c r="C4">
        <v>9697144343.4699993</v>
      </c>
    </row>
    <row r="5" spans="1:3">
      <c r="A5" t="s">
        <v>1187</v>
      </c>
      <c r="B5" s="161">
        <v>2020003630149</v>
      </c>
      <c r="C5">
        <v>195583221</v>
      </c>
    </row>
    <row r="6" spans="1:3">
      <c r="A6" s="161" t="s">
        <v>1331</v>
      </c>
      <c r="B6" s="161"/>
      <c r="C6">
        <v>195583221</v>
      </c>
    </row>
    <row r="7" spans="1:3">
      <c r="A7" t="s">
        <v>1150</v>
      </c>
      <c r="B7" s="161">
        <v>2020003630142</v>
      </c>
      <c r="C7">
        <v>1766021823.6100001</v>
      </c>
    </row>
    <row r="8" spans="1:3">
      <c r="B8" s="161">
        <v>2020003630143</v>
      </c>
      <c r="C8">
        <v>2181834000</v>
      </c>
    </row>
    <row r="9" spans="1:3">
      <c r="B9" s="161">
        <v>2020003630144</v>
      </c>
      <c r="C9">
        <v>1000481000</v>
      </c>
    </row>
    <row r="10" spans="1:3">
      <c r="B10" s="161">
        <v>2020003630145</v>
      </c>
      <c r="C10">
        <v>1226000000</v>
      </c>
    </row>
    <row r="11" spans="1:3">
      <c r="B11" s="161">
        <v>2022003630006</v>
      </c>
      <c r="C11">
        <v>427285680.02000004</v>
      </c>
    </row>
    <row r="12" spans="1:3">
      <c r="B12" t="s">
        <v>1184</v>
      </c>
      <c r="C12">
        <v>750000000</v>
      </c>
    </row>
    <row r="13" spans="1:3">
      <c r="A13" s="161" t="s">
        <v>1332</v>
      </c>
      <c r="B13" s="161"/>
      <c r="C13">
        <v>7351622503.6300011</v>
      </c>
    </row>
    <row r="14" spans="1:3">
      <c r="A14" t="s">
        <v>47</v>
      </c>
      <c r="B14" s="161">
        <v>2020003630005</v>
      </c>
      <c r="C14">
        <v>43500000</v>
      </c>
    </row>
    <row r="15" spans="1:3">
      <c r="B15" s="161">
        <v>2020003630006</v>
      </c>
      <c r="C15">
        <v>104040000</v>
      </c>
    </row>
    <row r="16" spans="1:3">
      <c r="B16" s="161">
        <v>2020003630007</v>
      </c>
      <c r="C16">
        <v>53750000</v>
      </c>
    </row>
    <row r="17" spans="1:3">
      <c r="B17" s="161">
        <v>2022003630011</v>
      </c>
      <c r="C17">
        <v>22354454.760000002</v>
      </c>
    </row>
    <row r="18" spans="1:3">
      <c r="A18" s="161" t="s">
        <v>1333</v>
      </c>
      <c r="B18" s="161"/>
      <c r="C18">
        <v>223644454.75999999</v>
      </c>
    </row>
    <row r="19" spans="1:3">
      <c r="A19" t="s">
        <v>449</v>
      </c>
      <c r="B19" s="161">
        <v>2020003630022</v>
      </c>
      <c r="C19">
        <v>151000000</v>
      </c>
    </row>
    <row r="20" spans="1:3">
      <c r="B20" s="161">
        <v>2020003630023</v>
      </c>
      <c r="C20">
        <v>402000000</v>
      </c>
    </row>
    <row r="21" spans="1:3">
      <c r="B21" s="161">
        <v>2020003630024</v>
      </c>
      <c r="C21">
        <v>318000000</v>
      </c>
    </row>
    <row r="22" spans="1:3">
      <c r="B22" s="161">
        <v>2020003630025</v>
      </c>
      <c r="C22">
        <v>153000000</v>
      </c>
    </row>
    <row r="23" spans="1:3">
      <c r="B23" s="161">
        <v>2020003630026</v>
      </c>
      <c r="C23">
        <v>130000000</v>
      </c>
    </row>
    <row r="24" spans="1:3">
      <c r="B24" s="161">
        <v>2020003630027</v>
      </c>
      <c r="C24">
        <v>152000000</v>
      </c>
    </row>
    <row r="25" spans="1:3">
      <c r="B25" s="161">
        <v>2020003630028</v>
      </c>
      <c r="C25">
        <v>76000000</v>
      </c>
    </row>
    <row r="26" spans="1:3">
      <c r="B26" s="161">
        <v>2020003630029</v>
      </c>
      <c r="C26">
        <v>168000000</v>
      </c>
    </row>
    <row r="27" spans="1:3">
      <c r="B27" s="161">
        <v>2020003630030</v>
      </c>
      <c r="C27">
        <v>380000000</v>
      </c>
    </row>
    <row r="28" spans="1:3">
      <c r="B28" s="161">
        <v>2020003630079</v>
      </c>
      <c r="C28">
        <v>650000000</v>
      </c>
    </row>
    <row r="29" spans="1:3">
      <c r="B29" s="161">
        <v>2020003630080</v>
      </c>
      <c r="C29">
        <v>188000000</v>
      </c>
    </row>
    <row r="30" spans="1:3">
      <c r="B30" s="161">
        <v>2020003630081</v>
      </c>
      <c r="C30">
        <v>67000000</v>
      </c>
    </row>
    <row r="31" spans="1:3">
      <c r="B31" s="161">
        <v>2020003630082</v>
      </c>
      <c r="C31">
        <v>265712654</v>
      </c>
    </row>
    <row r="32" spans="1:3">
      <c r="B32" s="161">
        <v>2020003630083</v>
      </c>
      <c r="C32">
        <v>110000000</v>
      </c>
    </row>
    <row r="33" spans="1:3">
      <c r="B33" s="161">
        <v>2020003630084</v>
      </c>
      <c r="C33">
        <v>143000000</v>
      </c>
    </row>
    <row r="34" spans="1:3">
      <c r="B34" s="161">
        <v>2020003630085</v>
      </c>
      <c r="C34">
        <v>156000000</v>
      </c>
    </row>
    <row r="35" spans="1:3">
      <c r="B35" s="161">
        <v>2020003630086</v>
      </c>
      <c r="C35">
        <v>3245428040.3699999</v>
      </c>
    </row>
    <row r="36" spans="1:3">
      <c r="B36" s="161">
        <v>2020003630087</v>
      </c>
      <c r="C36">
        <v>94000000</v>
      </c>
    </row>
    <row r="37" spans="1:3">
      <c r="B37" s="161">
        <v>2020003630088</v>
      </c>
      <c r="C37">
        <v>467000000.94999999</v>
      </c>
    </row>
    <row r="38" spans="1:3">
      <c r="A38" s="161" t="s">
        <v>1334</v>
      </c>
      <c r="B38" s="161"/>
      <c r="C38">
        <v>7316140695.3199997</v>
      </c>
    </row>
    <row r="39" spans="1:3">
      <c r="A39" t="s">
        <v>142</v>
      </c>
      <c r="B39" s="161">
        <v>2020003630014</v>
      </c>
      <c r="C39">
        <v>7405090661.21</v>
      </c>
    </row>
    <row r="40" spans="1:3">
      <c r="B40" s="161">
        <v>2020003630017</v>
      </c>
      <c r="C40">
        <v>47800000</v>
      </c>
    </row>
    <row r="41" spans="1:3">
      <c r="B41" s="161">
        <v>2020003630050</v>
      </c>
      <c r="C41">
        <v>4056298548.9700003</v>
      </c>
    </row>
    <row r="42" spans="1:3">
      <c r="B42" s="161">
        <v>2020003630052</v>
      </c>
      <c r="C42">
        <v>5685000000</v>
      </c>
    </row>
    <row r="43" spans="1:3">
      <c r="B43" s="161">
        <v>2020003630053</v>
      </c>
      <c r="C43">
        <v>22941285177.699997</v>
      </c>
    </row>
    <row r="44" spans="1:3">
      <c r="B44" s="161">
        <v>2020003630057</v>
      </c>
      <c r="C44">
        <v>335795909.38</v>
      </c>
    </row>
    <row r="45" spans="1:3">
      <c r="B45" s="161">
        <v>2021003630001</v>
      </c>
      <c r="C45">
        <v>47800000</v>
      </c>
    </row>
    <row r="46" spans="1:3">
      <c r="B46" s="161">
        <v>2021003630002</v>
      </c>
      <c r="C46">
        <v>250000000</v>
      </c>
    </row>
    <row r="47" spans="1:3">
      <c r="B47" s="161">
        <v>2021003630003</v>
      </c>
      <c r="C47">
        <v>304400000</v>
      </c>
    </row>
    <row r="48" spans="1:3">
      <c r="B48" s="161">
        <v>2021003630004</v>
      </c>
      <c r="C48">
        <v>240000000</v>
      </c>
    </row>
    <row r="49" spans="1:3">
      <c r="B49" s="161">
        <v>2021003630006</v>
      </c>
      <c r="C49">
        <v>56822431</v>
      </c>
    </row>
    <row r="50" spans="1:3">
      <c r="B50" s="161">
        <v>2022003630007</v>
      </c>
      <c r="C50">
        <v>1900000000</v>
      </c>
    </row>
    <row r="51" spans="1:3">
      <c r="B51" s="161">
        <v>2023003630002</v>
      </c>
      <c r="C51">
        <v>30000000</v>
      </c>
    </row>
    <row r="52" spans="1:3">
      <c r="A52" s="161" t="s">
        <v>1335</v>
      </c>
      <c r="B52" s="161"/>
      <c r="C52">
        <v>43300292728.259995</v>
      </c>
    </row>
    <row r="53" spans="1:3">
      <c r="A53" t="s">
        <v>367</v>
      </c>
      <c r="B53" s="161">
        <v>2020003630020</v>
      </c>
      <c r="C53">
        <v>799182232.59000003</v>
      </c>
    </row>
    <row r="54" spans="1:3">
      <c r="B54" s="161">
        <v>2020003630021</v>
      </c>
      <c r="C54">
        <v>4698414166.9300003</v>
      </c>
    </row>
    <row r="55" spans="1:3">
      <c r="B55" s="161">
        <v>2020003630072</v>
      </c>
      <c r="C55">
        <v>476880689.56999999</v>
      </c>
    </row>
    <row r="56" spans="1:3">
      <c r="B56" s="161">
        <v>2020003630073</v>
      </c>
      <c r="C56">
        <v>250510825.30000001</v>
      </c>
    </row>
    <row r="57" spans="1:3">
      <c r="A57" s="161" t="s">
        <v>1336</v>
      </c>
      <c r="B57" s="161"/>
      <c r="C57">
        <v>6224987914.3900003</v>
      </c>
    </row>
    <row r="58" spans="1:3">
      <c r="A58" t="s">
        <v>638</v>
      </c>
      <c r="B58" s="161">
        <v>2020003630016</v>
      </c>
      <c r="C58">
        <v>215760497522.92996</v>
      </c>
    </row>
    <row r="59" spans="1:3">
      <c r="B59" s="161">
        <v>2020003630091</v>
      </c>
      <c r="C59">
        <v>22154720448.379997</v>
      </c>
    </row>
    <row r="60" spans="1:3">
      <c r="B60" s="161">
        <v>2020003630092</v>
      </c>
      <c r="C60">
        <v>755000000</v>
      </c>
    </row>
    <row r="61" spans="1:3">
      <c r="B61" s="161">
        <v>2020003630093</v>
      </c>
      <c r="C61">
        <v>148000000</v>
      </c>
    </row>
    <row r="62" spans="1:3">
      <c r="B62" s="161">
        <v>2020003630094</v>
      </c>
      <c r="C62">
        <v>590346560</v>
      </c>
    </row>
    <row r="63" spans="1:3">
      <c r="B63" s="161">
        <v>2020003630095</v>
      </c>
      <c r="C63">
        <v>0</v>
      </c>
    </row>
    <row r="64" spans="1:3">
      <c r="B64" s="161">
        <v>2020003630096</v>
      </c>
      <c r="C64">
        <v>250000000</v>
      </c>
    </row>
    <row r="65" spans="1:3">
      <c r="A65" s="161" t="s">
        <v>1337</v>
      </c>
      <c r="B65" s="161"/>
      <c r="C65">
        <v>239658564531.30997</v>
      </c>
    </row>
    <row r="66" spans="1:3">
      <c r="A66" t="s">
        <v>694</v>
      </c>
      <c r="B66" s="161">
        <v>2020003630011</v>
      </c>
      <c r="C66">
        <v>140000000</v>
      </c>
    </row>
    <row r="67" spans="1:3">
      <c r="B67" s="161">
        <v>2020003630012</v>
      </c>
      <c r="C67">
        <v>170000000</v>
      </c>
    </row>
    <row r="68" spans="1:3">
      <c r="B68" s="161">
        <v>2020003630033</v>
      </c>
      <c r="C68">
        <v>70000000</v>
      </c>
    </row>
    <row r="69" spans="1:3">
      <c r="B69" s="161">
        <v>2020003630034</v>
      </c>
      <c r="C69">
        <v>45000000</v>
      </c>
    </row>
    <row r="70" spans="1:3">
      <c r="B70" s="161">
        <v>2020003630035</v>
      </c>
      <c r="C70">
        <v>390000000</v>
      </c>
    </row>
    <row r="71" spans="1:3">
      <c r="B71" s="161">
        <v>2020003630036</v>
      </c>
      <c r="C71">
        <v>180000000</v>
      </c>
    </row>
    <row r="72" spans="1:3">
      <c r="B72" s="161">
        <v>2020003630037</v>
      </c>
      <c r="C72">
        <v>130000000</v>
      </c>
    </row>
    <row r="73" spans="1:3">
      <c r="B73" s="161">
        <v>2020003630098</v>
      </c>
      <c r="C73">
        <v>35000000</v>
      </c>
    </row>
    <row r="74" spans="1:3">
      <c r="B74" s="161">
        <v>2020003630099</v>
      </c>
      <c r="C74">
        <v>82000000</v>
      </c>
    </row>
    <row r="75" spans="1:3">
      <c r="B75" s="161">
        <v>2020003630100</v>
      </c>
      <c r="C75">
        <v>130200000</v>
      </c>
    </row>
    <row r="76" spans="1:3">
      <c r="B76" s="161">
        <v>2020003630101</v>
      </c>
      <c r="C76">
        <v>380000000</v>
      </c>
    </row>
    <row r="77" spans="1:3">
      <c r="B77" s="161">
        <v>2020003630102</v>
      </c>
      <c r="C77">
        <v>210000000</v>
      </c>
    </row>
    <row r="78" spans="1:3">
      <c r="B78" s="161">
        <v>2020003630103</v>
      </c>
      <c r="C78">
        <v>175000000</v>
      </c>
    </row>
    <row r="79" spans="1:3">
      <c r="B79" s="161">
        <v>2020003630104</v>
      </c>
      <c r="C79">
        <v>66000000</v>
      </c>
    </row>
    <row r="80" spans="1:3">
      <c r="B80" s="161">
        <v>2020003630105</v>
      </c>
      <c r="C80">
        <v>70000000</v>
      </c>
    </row>
    <row r="81" spans="1:3">
      <c r="B81" s="161">
        <v>2020003630106</v>
      </c>
      <c r="C81">
        <v>150000000</v>
      </c>
    </row>
    <row r="82" spans="1:3">
      <c r="B82" s="161">
        <v>2020003630109</v>
      </c>
      <c r="C82">
        <v>7963007464.5999994</v>
      </c>
    </row>
    <row r="83" spans="1:3">
      <c r="B83" s="161">
        <v>2020003630111</v>
      </c>
      <c r="C83">
        <v>65000000</v>
      </c>
    </row>
    <row r="84" spans="1:3">
      <c r="B84" s="161">
        <v>2020003630112</v>
      </c>
      <c r="C84">
        <v>75000000</v>
      </c>
    </row>
    <row r="85" spans="1:3">
      <c r="B85" s="161">
        <v>2020003630113</v>
      </c>
      <c r="C85">
        <v>60000000</v>
      </c>
    </row>
    <row r="86" spans="1:3">
      <c r="B86" s="161">
        <v>2020003630114</v>
      </c>
      <c r="C86">
        <v>45000000</v>
      </c>
    </row>
    <row r="87" spans="1:3">
      <c r="B87" s="161">
        <v>2020003630115</v>
      </c>
      <c r="C87">
        <v>30000000</v>
      </c>
    </row>
    <row r="88" spans="1:3">
      <c r="B88" s="161">
        <v>2021003630007</v>
      </c>
      <c r="C88">
        <v>165000000</v>
      </c>
    </row>
    <row r="89" spans="1:3">
      <c r="B89" s="161">
        <v>2021003630008</v>
      </c>
      <c r="C89">
        <v>180000000</v>
      </c>
    </row>
    <row r="90" spans="1:3">
      <c r="B90" s="161">
        <v>2021003630010</v>
      </c>
      <c r="C90">
        <v>35000000</v>
      </c>
    </row>
    <row r="91" spans="1:3">
      <c r="A91" s="161" t="s">
        <v>1338</v>
      </c>
      <c r="B91" s="161"/>
      <c r="C91">
        <v>11041207464.599998</v>
      </c>
    </row>
    <row r="92" spans="1:3">
      <c r="A92" t="s">
        <v>128</v>
      </c>
      <c r="B92" s="161">
        <v>2020003630048</v>
      </c>
      <c r="C92">
        <v>3959256833.3499999</v>
      </c>
    </row>
    <row r="93" spans="1:3">
      <c r="B93" s="161">
        <v>2020003630049</v>
      </c>
      <c r="C93">
        <v>1146285800</v>
      </c>
    </row>
    <row r="94" spans="1:3">
      <c r="A94" s="161" t="s">
        <v>1339</v>
      </c>
      <c r="B94" s="161"/>
      <c r="C94">
        <v>5105542633.3500004</v>
      </c>
    </row>
    <row r="95" spans="1:3">
      <c r="A95" t="s">
        <v>79</v>
      </c>
      <c r="B95" s="161">
        <v>2020003630008</v>
      </c>
      <c r="C95">
        <v>92000000</v>
      </c>
    </row>
    <row r="96" spans="1:3">
      <c r="B96" s="161">
        <v>2020003630042</v>
      </c>
      <c r="C96">
        <v>200000000</v>
      </c>
    </row>
    <row r="97" spans="1:3">
      <c r="B97" s="161">
        <v>2020003630044</v>
      </c>
      <c r="C97">
        <v>170000000</v>
      </c>
    </row>
    <row r="98" spans="1:3">
      <c r="B98" s="161">
        <v>2020003630045</v>
      </c>
      <c r="C98">
        <v>106000000</v>
      </c>
    </row>
    <row r="99" spans="1:3">
      <c r="B99" s="161">
        <v>2020003630046</v>
      </c>
      <c r="C99">
        <v>375246787</v>
      </c>
    </row>
    <row r="100" spans="1:3">
      <c r="B100" s="161">
        <v>2020003630047</v>
      </c>
      <c r="C100">
        <v>286000000</v>
      </c>
    </row>
    <row r="101" spans="1:3">
      <c r="B101" s="161">
        <v>2023003630007</v>
      </c>
      <c r="C101">
        <v>270000000</v>
      </c>
    </row>
    <row r="102" spans="1:3">
      <c r="A102" s="161" t="s">
        <v>1340</v>
      </c>
      <c r="B102" s="161"/>
      <c r="C102">
        <v>1499246787</v>
      </c>
    </row>
    <row r="103" spans="1:3">
      <c r="A103" t="s">
        <v>872</v>
      </c>
      <c r="B103" s="161">
        <v>2020003630116</v>
      </c>
      <c r="C103">
        <v>1398699508.2</v>
      </c>
    </row>
    <row r="104" spans="1:3">
      <c r="B104" s="161">
        <v>2020003630117</v>
      </c>
      <c r="C104">
        <v>297393318</v>
      </c>
    </row>
    <row r="105" spans="1:3">
      <c r="B105" s="161">
        <v>2020003630118</v>
      </c>
      <c r="C105">
        <v>1333614717.0599999</v>
      </c>
    </row>
    <row r="106" spans="1:3">
      <c r="B106" s="161">
        <v>2020003630119</v>
      </c>
      <c r="C106">
        <v>100000000</v>
      </c>
    </row>
    <row r="107" spans="1:3">
      <c r="B107" s="161">
        <v>2020003630120</v>
      </c>
      <c r="C107">
        <v>150000000</v>
      </c>
    </row>
    <row r="108" spans="1:3">
      <c r="B108" s="161">
        <v>2020003630121</v>
      </c>
      <c r="C108">
        <v>150000000</v>
      </c>
    </row>
    <row r="109" spans="1:3">
      <c r="B109" s="161">
        <v>2020003630122</v>
      </c>
      <c r="C109">
        <v>312000000</v>
      </c>
    </row>
    <row r="110" spans="1:3">
      <c r="B110" s="161">
        <v>2020003630123</v>
      </c>
      <c r="C110">
        <v>480000000</v>
      </c>
    </row>
    <row r="111" spans="1:3">
      <c r="B111" s="161">
        <v>2020003630124</v>
      </c>
      <c r="C111">
        <v>204000000</v>
      </c>
    </row>
    <row r="112" spans="1:3">
      <c r="B112" s="161">
        <v>2020003630125</v>
      </c>
      <c r="C112">
        <v>192000000</v>
      </c>
    </row>
    <row r="113" spans="1:3">
      <c r="B113" s="161">
        <v>2020003630126</v>
      </c>
      <c r="C113">
        <v>218000000</v>
      </c>
    </row>
    <row r="114" spans="1:3">
      <c r="B114" s="161">
        <v>2020003630127</v>
      </c>
      <c r="C114">
        <v>598000000</v>
      </c>
    </row>
    <row r="115" spans="1:3">
      <c r="B115" s="161">
        <v>2020003630128</v>
      </c>
      <c r="C115">
        <v>1280177114.53</v>
      </c>
    </row>
    <row r="116" spans="1:3">
      <c r="B116" s="161">
        <v>2020003630129</v>
      </c>
      <c r="C116">
        <v>311500000</v>
      </c>
    </row>
    <row r="117" spans="1:3">
      <c r="B117" s="161">
        <v>2020003630131</v>
      </c>
      <c r="C117">
        <v>24000000</v>
      </c>
    </row>
    <row r="118" spans="1:3">
      <c r="B118" s="161">
        <v>2020003630132</v>
      </c>
      <c r="C118">
        <v>102000000</v>
      </c>
    </row>
    <row r="119" spans="1:3">
      <c r="B119" s="161">
        <v>2020003630133</v>
      </c>
      <c r="C119">
        <v>580165182</v>
      </c>
    </row>
    <row r="120" spans="1:3">
      <c r="B120" s="161">
        <v>2020003630134</v>
      </c>
      <c r="C120">
        <v>400000000</v>
      </c>
    </row>
    <row r="121" spans="1:3">
      <c r="B121" s="161">
        <v>2020003630135</v>
      </c>
      <c r="C121">
        <v>1622896500</v>
      </c>
    </row>
    <row r="122" spans="1:3">
      <c r="B122" s="161">
        <v>2020003630136</v>
      </c>
      <c r="C122">
        <v>46213945543.389999</v>
      </c>
    </row>
    <row r="123" spans="1:3">
      <c r="B123" s="161">
        <v>2020003630137</v>
      </c>
      <c r="C123">
        <v>13088163202.83</v>
      </c>
    </row>
    <row r="124" spans="1:3">
      <c r="B124" s="161">
        <v>2020003630138</v>
      </c>
      <c r="C124">
        <v>1267789000</v>
      </c>
    </row>
    <row r="125" spans="1:3">
      <c r="A125" s="161" t="s">
        <v>1341</v>
      </c>
      <c r="B125" s="161"/>
      <c r="C125">
        <v>70324344086.009995</v>
      </c>
    </row>
    <row r="126" spans="1:3">
      <c r="A126" t="s">
        <v>407</v>
      </c>
      <c r="B126" s="161">
        <v>2020003630074</v>
      </c>
      <c r="C126">
        <v>88000000</v>
      </c>
    </row>
    <row r="127" spans="1:3">
      <c r="B127" s="161">
        <v>2020003630076</v>
      </c>
      <c r="C127">
        <v>1035133951.45</v>
      </c>
    </row>
    <row r="128" spans="1:3">
      <c r="B128" s="161">
        <v>2020003630077</v>
      </c>
      <c r="C128">
        <v>6014484927.5699997</v>
      </c>
    </row>
    <row r="129" spans="1:3">
      <c r="B129" s="161">
        <v>2020003630078</v>
      </c>
      <c r="C129">
        <v>970000000</v>
      </c>
    </row>
    <row r="130" spans="1:3">
      <c r="A130" s="161" t="s">
        <v>1342</v>
      </c>
      <c r="B130" s="161"/>
      <c r="C130">
        <v>8107618879.0199995</v>
      </c>
    </row>
    <row r="131" spans="1:3">
      <c r="A131" t="s">
        <v>270</v>
      </c>
      <c r="B131" s="161">
        <v>2020003630060</v>
      </c>
      <c r="C131">
        <v>638200000</v>
      </c>
    </row>
    <row r="132" spans="1:3">
      <c r="B132" s="161">
        <v>2020003630061</v>
      </c>
      <c r="C132">
        <v>55000000</v>
      </c>
    </row>
    <row r="133" spans="1:3">
      <c r="B133" s="161">
        <v>2020003630062</v>
      </c>
      <c r="C133">
        <v>56000000</v>
      </c>
    </row>
    <row r="134" spans="1:3">
      <c r="B134" s="161">
        <v>2020003630063</v>
      </c>
      <c r="C134">
        <v>88300000</v>
      </c>
    </row>
    <row r="135" spans="1:3">
      <c r="B135" s="161">
        <v>2020003630064</v>
      </c>
      <c r="C135">
        <v>343200000</v>
      </c>
    </row>
    <row r="136" spans="1:3">
      <c r="B136" s="161">
        <v>2020003630065</v>
      </c>
      <c r="C136">
        <v>36000000</v>
      </c>
    </row>
    <row r="137" spans="1:3">
      <c r="B137" s="161">
        <v>2020003630066</v>
      </c>
      <c r="C137">
        <v>8328355658.2600002</v>
      </c>
    </row>
    <row r="138" spans="1:3">
      <c r="B138" s="161">
        <v>2020003630067</v>
      </c>
      <c r="C138">
        <v>123000000</v>
      </c>
    </row>
    <row r="139" spans="1:3">
      <c r="B139" s="161">
        <v>2020003630068</v>
      </c>
      <c r="C139">
        <v>85000000</v>
      </c>
    </row>
    <row r="140" spans="1:3">
      <c r="B140" s="161">
        <v>2020003630069</v>
      </c>
      <c r="C140">
        <v>65000000</v>
      </c>
    </row>
    <row r="141" spans="1:3">
      <c r="B141" s="161">
        <v>2020003630070</v>
      </c>
      <c r="C141">
        <v>557000000</v>
      </c>
    </row>
    <row r="142" spans="1:3">
      <c r="B142" s="161">
        <v>2020003630071</v>
      </c>
      <c r="C142">
        <v>2118104619.6400001</v>
      </c>
    </row>
    <row r="143" spans="1:3">
      <c r="A143" s="161" t="s">
        <v>1343</v>
      </c>
      <c r="B143" s="161"/>
      <c r="C143">
        <v>12493160277.9</v>
      </c>
    </row>
    <row r="144" spans="1:3">
      <c r="A144" t="s">
        <v>622</v>
      </c>
      <c r="B144" s="161">
        <v>2020003630031</v>
      </c>
      <c r="C144">
        <v>953002887.27999997</v>
      </c>
    </row>
    <row r="145" spans="1:3">
      <c r="B145" s="161">
        <v>2020003630090</v>
      </c>
      <c r="C145">
        <v>1050000000</v>
      </c>
    </row>
    <row r="146" spans="1:3">
      <c r="B146" s="161">
        <v>2021003630005</v>
      </c>
      <c r="C146">
        <v>200000000</v>
      </c>
    </row>
    <row r="147" spans="1:3">
      <c r="A147" s="161" t="s">
        <v>1344</v>
      </c>
      <c r="B147" s="161"/>
      <c r="C147">
        <v>2203002887.2799997</v>
      </c>
    </row>
    <row r="148" spans="1:3">
      <c r="A148" t="s">
        <v>1051</v>
      </c>
      <c r="B148" s="161">
        <v>2020003630038</v>
      </c>
      <c r="C148">
        <v>195000000</v>
      </c>
    </row>
    <row r="149" spans="1:3">
      <c r="B149" s="161">
        <v>2020003630039</v>
      </c>
      <c r="C149">
        <v>245000000</v>
      </c>
    </row>
    <row r="150" spans="1:3">
      <c r="B150" s="161">
        <v>2020003630040</v>
      </c>
      <c r="C150">
        <v>25000000</v>
      </c>
    </row>
    <row r="151" spans="1:3">
      <c r="B151" s="161">
        <v>2020003630139</v>
      </c>
      <c r="C151">
        <v>434521994.77999997</v>
      </c>
    </row>
    <row r="152" spans="1:3">
      <c r="B152" s="161">
        <v>2020003630140</v>
      </c>
      <c r="C152">
        <v>95000000</v>
      </c>
    </row>
    <row r="153" spans="1:3">
      <c r="B153" s="161">
        <v>2020003630141</v>
      </c>
      <c r="C153">
        <v>290000000</v>
      </c>
    </row>
    <row r="154" spans="1:3">
      <c r="A154" t="s">
        <v>1345</v>
      </c>
      <c r="C154">
        <v>1284521994.78</v>
      </c>
    </row>
    <row r="155" spans="1:3">
      <c r="A155" t="s">
        <v>1346</v>
      </c>
      <c r="C155" s="212">
        <v>426026625402.08008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8"/>
  <sheetViews>
    <sheetView showGridLines="0" zoomScale="80" zoomScaleNormal="80" workbookViewId="0">
      <selection activeCell="C6" sqref="C6"/>
    </sheetView>
  </sheetViews>
  <sheetFormatPr baseColWidth="10" defaultColWidth="11.42578125" defaultRowHeight="12.75"/>
  <cols>
    <col min="1" max="1" width="17.85546875" style="153" customWidth="1"/>
    <col min="2" max="2" width="54.7109375" style="153" customWidth="1"/>
    <col min="3" max="3" width="20.85546875" style="153" customWidth="1"/>
    <col min="4" max="16384" width="11.42578125" style="153"/>
  </cols>
  <sheetData>
    <row r="1" spans="1:3" ht="45" customHeight="1">
      <c r="A1" s="402" t="s">
        <v>1437</v>
      </c>
      <c r="B1" s="403"/>
      <c r="C1" s="403"/>
    </row>
    <row r="2" spans="1:3" ht="30" customHeight="1">
      <c r="A2" s="188" t="s">
        <v>34</v>
      </c>
      <c r="B2" s="188" t="s">
        <v>35</v>
      </c>
      <c r="C2" s="188" t="s">
        <v>1211</v>
      </c>
    </row>
    <row r="3" spans="1:3" ht="27" customHeight="1">
      <c r="A3" s="401" t="s">
        <v>1212</v>
      </c>
      <c r="B3" s="401"/>
      <c r="C3" s="189">
        <f>SUM(C4:C7)</f>
        <v>223644454.75999999</v>
      </c>
    </row>
    <row r="4" spans="1:3" ht="46.5" customHeight="1">
      <c r="A4" s="154">
        <v>2020003630005</v>
      </c>
      <c r="B4" s="155" t="s">
        <v>77</v>
      </c>
      <c r="C4" s="156">
        <f>CONSOLIDADO!C14</f>
        <v>43500000</v>
      </c>
    </row>
    <row r="5" spans="1:3" ht="63" customHeight="1">
      <c r="A5" s="190">
        <v>2020003630006</v>
      </c>
      <c r="B5" s="157" t="s">
        <v>59</v>
      </c>
      <c r="C5" s="156">
        <f>CONSOLIDADO!C15</f>
        <v>104040000</v>
      </c>
    </row>
    <row r="6" spans="1:3" ht="66.75" customHeight="1">
      <c r="A6" s="190">
        <v>2022003630011</v>
      </c>
      <c r="B6" s="157" t="s">
        <v>68</v>
      </c>
      <c r="C6" s="156">
        <f>CONSOLIDADO!C16</f>
        <v>53750000</v>
      </c>
    </row>
    <row r="7" spans="1:3" ht="49.5" customHeight="1">
      <c r="A7" s="190">
        <v>2020003630007</v>
      </c>
      <c r="B7" s="157" t="s">
        <v>66</v>
      </c>
      <c r="C7" s="156">
        <f>CONSOLIDADO!C17</f>
        <v>22354454.760000002</v>
      </c>
    </row>
    <row r="8" spans="1:3" ht="25.5" customHeight="1">
      <c r="A8" s="401" t="s">
        <v>1347</v>
      </c>
      <c r="B8" s="401"/>
      <c r="C8" s="191">
        <f>SUM(C9:C15)</f>
        <v>1499246787</v>
      </c>
    </row>
    <row r="9" spans="1:3" ht="47.25" customHeight="1">
      <c r="A9" s="154">
        <v>2020003630008</v>
      </c>
      <c r="B9" s="157" t="s">
        <v>1348</v>
      </c>
      <c r="C9" s="156">
        <f>CONSOLIDADO!C95</f>
        <v>92000000</v>
      </c>
    </row>
    <row r="10" spans="1:3" ht="47.25" customHeight="1">
      <c r="A10" s="154">
        <v>2020003630042</v>
      </c>
      <c r="B10" s="157" t="s">
        <v>1349</v>
      </c>
      <c r="C10" s="156">
        <f>CONSOLIDADO!C96</f>
        <v>200000000</v>
      </c>
    </row>
    <row r="11" spans="1:3" ht="47.25" customHeight="1">
      <c r="A11" s="154">
        <v>2020003630044</v>
      </c>
      <c r="B11" s="155" t="s">
        <v>1350</v>
      </c>
      <c r="C11" s="156">
        <f>CONSOLIDADO!C97</f>
        <v>170000000</v>
      </c>
    </row>
    <row r="12" spans="1:3" ht="47.25" customHeight="1">
      <c r="A12" s="154">
        <v>2020003630045</v>
      </c>
      <c r="B12" s="157" t="s">
        <v>1351</v>
      </c>
      <c r="C12" s="156">
        <f>CONSOLIDADO!C98</f>
        <v>106000000</v>
      </c>
    </row>
    <row r="13" spans="1:3" ht="47.25" customHeight="1">
      <c r="A13" s="154">
        <v>2020003630046</v>
      </c>
      <c r="B13" s="157" t="s">
        <v>103</v>
      </c>
      <c r="C13" s="156">
        <f>CONSOLIDADO!C99</f>
        <v>375246787</v>
      </c>
    </row>
    <row r="14" spans="1:3" ht="47.25" customHeight="1">
      <c r="A14" s="154">
        <v>2020003630047</v>
      </c>
      <c r="B14" s="155" t="s">
        <v>110</v>
      </c>
      <c r="C14" s="156">
        <f>CONSOLIDADO!C100</f>
        <v>286000000</v>
      </c>
    </row>
    <row r="15" spans="1:3" ht="27" customHeight="1">
      <c r="A15" s="154">
        <v>2023003630007</v>
      </c>
      <c r="B15" s="155" t="s">
        <v>1352</v>
      </c>
      <c r="C15" s="156">
        <f>CONSOLIDADO!C101</f>
        <v>270000000</v>
      </c>
    </row>
    <row r="16" spans="1:3" ht="24" customHeight="1">
      <c r="A16" s="401" t="s">
        <v>1353</v>
      </c>
      <c r="B16" s="401"/>
      <c r="C16" s="191">
        <f>SUM(C17:C18)</f>
        <v>5105542633.3500004</v>
      </c>
    </row>
    <row r="17" spans="1:3" ht="48.75" customHeight="1">
      <c r="A17" s="154">
        <v>2020003630048</v>
      </c>
      <c r="B17" s="155" t="s">
        <v>133</v>
      </c>
      <c r="C17" s="156">
        <f>CONSOLIDADO!C92</f>
        <v>3959256833.3499999</v>
      </c>
    </row>
    <row r="18" spans="1:3" ht="45" customHeight="1">
      <c r="A18" s="154">
        <v>2020003630049</v>
      </c>
      <c r="B18" s="155" t="s">
        <v>1354</v>
      </c>
      <c r="C18" s="156">
        <f>CONSOLIDADO!C93</f>
        <v>1146285800</v>
      </c>
    </row>
    <row r="19" spans="1:3" ht="24.75" customHeight="1">
      <c r="A19" s="401" t="s">
        <v>1355</v>
      </c>
      <c r="B19" s="401"/>
      <c r="C19" s="191">
        <f>SUM(C20:C32)</f>
        <v>43300292728.259995</v>
      </c>
    </row>
    <row r="20" spans="1:3" ht="45" customHeight="1">
      <c r="A20" s="154">
        <v>2020003630014</v>
      </c>
      <c r="B20" s="157" t="s">
        <v>238</v>
      </c>
      <c r="C20" s="156">
        <f>CONSOLIDADO!C39</f>
        <v>7405090661.21</v>
      </c>
    </row>
    <row r="21" spans="1:3" ht="45" customHeight="1">
      <c r="A21" s="154">
        <v>2020003630017</v>
      </c>
      <c r="B21" s="155" t="s">
        <v>153</v>
      </c>
      <c r="C21" s="156">
        <f>CONSOLIDADO!C40</f>
        <v>47800000</v>
      </c>
    </row>
    <row r="22" spans="1:3" ht="45" customHeight="1">
      <c r="A22" s="154">
        <v>2020003630050</v>
      </c>
      <c r="B22" s="155" t="s">
        <v>1356</v>
      </c>
      <c r="C22" s="156">
        <f>CONSOLIDADO!C41</f>
        <v>4056298548.9700003</v>
      </c>
    </row>
    <row r="23" spans="1:3" ht="45" customHeight="1">
      <c r="A23" s="154">
        <v>2020003630052</v>
      </c>
      <c r="B23" s="155" t="s">
        <v>195</v>
      </c>
      <c r="C23" s="156">
        <f>CONSOLIDADO!C42</f>
        <v>5685000000</v>
      </c>
    </row>
    <row r="24" spans="1:3" ht="45" customHeight="1">
      <c r="A24" s="154">
        <v>2020003630053</v>
      </c>
      <c r="B24" s="155" t="s">
        <v>206</v>
      </c>
      <c r="C24" s="156">
        <f>CONSOLIDADO!C43</f>
        <v>22941285177.699997</v>
      </c>
    </row>
    <row r="25" spans="1:3" ht="45" customHeight="1">
      <c r="A25" s="154">
        <v>2020003630057</v>
      </c>
      <c r="B25" s="155" t="s">
        <v>229</v>
      </c>
      <c r="C25" s="156">
        <f>CONSOLIDADO!C44</f>
        <v>335795909.38</v>
      </c>
    </row>
    <row r="26" spans="1:3" ht="45" customHeight="1">
      <c r="A26" s="154">
        <v>2021003630001</v>
      </c>
      <c r="B26" s="155" t="s">
        <v>1357</v>
      </c>
      <c r="C26" s="156">
        <f>CONSOLIDADO!C45</f>
        <v>47800000</v>
      </c>
    </row>
    <row r="27" spans="1:3" ht="53.25" customHeight="1">
      <c r="A27" s="154">
        <v>2021003630002</v>
      </c>
      <c r="B27" s="155" t="s">
        <v>1358</v>
      </c>
      <c r="C27" s="156">
        <f>CONSOLIDADO!C46</f>
        <v>250000000</v>
      </c>
    </row>
    <row r="28" spans="1:3" ht="45" customHeight="1">
      <c r="A28" s="154">
        <v>2021003630003</v>
      </c>
      <c r="B28" s="155" t="s">
        <v>256</v>
      </c>
      <c r="C28" s="156">
        <f>CONSOLIDADO!C47</f>
        <v>304400000</v>
      </c>
    </row>
    <row r="29" spans="1:3" ht="45" customHeight="1">
      <c r="A29" s="154">
        <v>2021003630004</v>
      </c>
      <c r="B29" s="155" t="s">
        <v>215</v>
      </c>
      <c r="C29" s="156">
        <f>CONSOLIDADO!C48</f>
        <v>240000000</v>
      </c>
    </row>
    <row r="30" spans="1:3" ht="45" customHeight="1">
      <c r="A30" s="154">
        <v>2021003630006</v>
      </c>
      <c r="B30" s="155" t="s">
        <v>260</v>
      </c>
      <c r="C30" s="156">
        <f>CONSOLIDADO!C49</f>
        <v>56822431</v>
      </c>
    </row>
    <row r="31" spans="1:3" ht="45" customHeight="1">
      <c r="A31" s="154">
        <v>2022003630007</v>
      </c>
      <c r="B31" s="155" t="s">
        <v>185</v>
      </c>
      <c r="C31" s="156">
        <f>CONSOLIDADO!C50</f>
        <v>1900000000</v>
      </c>
    </row>
    <row r="32" spans="1:3" ht="25.5" customHeight="1">
      <c r="A32" s="154">
        <v>2023003630002</v>
      </c>
      <c r="B32" s="155" t="s">
        <v>268</v>
      </c>
      <c r="C32" s="156">
        <f>CONSOLIDADO!C51</f>
        <v>30000000</v>
      </c>
    </row>
    <row r="33" spans="1:3" ht="24" customHeight="1">
      <c r="A33" s="401" t="s">
        <v>1359</v>
      </c>
      <c r="B33" s="401"/>
      <c r="C33" s="191">
        <f>SUM(C34:C45)</f>
        <v>12493160277.9</v>
      </c>
    </row>
    <row r="34" spans="1:3" ht="59.25" customHeight="1">
      <c r="A34" s="154">
        <v>2020003630060</v>
      </c>
      <c r="B34" s="157" t="s">
        <v>1360</v>
      </c>
      <c r="C34" s="156">
        <f>CONSOLIDADO!C131</f>
        <v>638200000</v>
      </c>
    </row>
    <row r="35" spans="1:3" ht="59.25" customHeight="1">
      <c r="A35" s="154">
        <v>2020003630061</v>
      </c>
      <c r="B35" s="157" t="s">
        <v>1361</v>
      </c>
      <c r="C35" s="156">
        <f>CONSOLIDADO!C132</f>
        <v>55000000</v>
      </c>
    </row>
    <row r="36" spans="1:3" ht="59.25" customHeight="1">
      <c r="A36" s="154">
        <v>2020003630062</v>
      </c>
      <c r="B36" s="157" t="s">
        <v>1362</v>
      </c>
      <c r="C36" s="156">
        <f>CONSOLIDADO!C133</f>
        <v>56000000</v>
      </c>
    </row>
    <row r="37" spans="1:3" ht="59.25" customHeight="1">
      <c r="A37" s="154">
        <v>2020003630063</v>
      </c>
      <c r="B37" s="155" t="s">
        <v>1363</v>
      </c>
      <c r="C37" s="156">
        <f>CONSOLIDADO!C134</f>
        <v>88300000</v>
      </c>
    </row>
    <row r="38" spans="1:3" ht="59.25" customHeight="1">
      <c r="A38" s="154">
        <v>2020003630064</v>
      </c>
      <c r="B38" s="155" t="s">
        <v>299</v>
      </c>
      <c r="C38" s="156">
        <f>CONSOLIDADO!C135</f>
        <v>343200000</v>
      </c>
    </row>
    <row r="39" spans="1:3" ht="59.25" customHeight="1">
      <c r="A39" s="154">
        <v>2020003630065</v>
      </c>
      <c r="B39" s="155" t="s">
        <v>1364</v>
      </c>
      <c r="C39" s="156">
        <f>CONSOLIDADO!C136</f>
        <v>36000000</v>
      </c>
    </row>
    <row r="40" spans="1:3" ht="59.25" customHeight="1">
      <c r="A40" s="154">
        <v>2020003630066</v>
      </c>
      <c r="B40" s="155" t="s">
        <v>1365</v>
      </c>
      <c r="C40" s="156">
        <f>CONSOLIDADO!C137</f>
        <v>8328355658.2600002</v>
      </c>
    </row>
    <row r="41" spans="1:3" ht="59.25" customHeight="1">
      <c r="A41" s="154">
        <v>2020003630067</v>
      </c>
      <c r="B41" s="157" t="s">
        <v>1366</v>
      </c>
      <c r="C41" s="156">
        <f>CONSOLIDADO!C138</f>
        <v>123000000</v>
      </c>
    </row>
    <row r="42" spans="1:3" ht="59.25" customHeight="1">
      <c r="A42" s="154">
        <v>2020003630068</v>
      </c>
      <c r="B42" s="155" t="s">
        <v>329</v>
      </c>
      <c r="C42" s="156">
        <f>CONSOLIDADO!C139</f>
        <v>85000000</v>
      </c>
    </row>
    <row r="43" spans="1:3" ht="59.25" customHeight="1">
      <c r="A43" s="154">
        <v>2020003630069</v>
      </c>
      <c r="B43" s="155" t="s">
        <v>334</v>
      </c>
      <c r="C43" s="156">
        <f>CONSOLIDADO!C140</f>
        <v>65000000</v>
      </c>
    </row>
    <row r="44" spans="1:3" ht="59.25" customHeight="1">
      <c r="A44" s="154">
        <v>2020003630070</v>
      </c>
      <c r="B44" s="155" t="s">
        <v>341</v>
      </c>
      <c r="C44" s="156">
        <f>CONSOLIDADO!C141</f>
        <v>557000000</v>
      </c>
    </row>
    <row r="45" spans="1:3" ht="59.25" customHeight="1">
      <c r="A45" s="154">
        <v>2020003630071</v>
      </c>
      <c r="B45" s="157" t="s">
        <v>1367</v>
      </c>
      <c r="C45" s="156">
        <f>CONSOLIDADO!C142</f>
        <v>2118104619.6400001</v>
      </c>
    </row>
    <row r="46" spans="1:3" ht="30" customHeight="1">
      <c r="A46" s="401" t="s">
        <v>1368</v>
      </c>
      <c r="B46" s="401"/>
      <c r="C46" s="191">
        <f>SUM(C47:C50)</f>
        <v>6224987914.3900003</v>
      </c>
    </row>
    <row r="47" spans="1:3" ht="42.75" customHeight="1">
      <c r="A47" s="154">
        <v>2020003630020</v>
      </c>
      <c r="B47" s="155" t="s">
        <v>387</v>
      </c>
      <c r="C47" s="156">
        <f>CONSOLIDADO!C53</f>
        <v>799182232.59000003</v>
      </c>
    </row>
    <row r="48" spans="1:3" ht="54" customHeight="1">
      <c r="A48" s="154">
        <v>2020003630021</v>
      </c>
      <c r="B48" s="155" t="s">
        <v>370</v>
      </c>
      <c r="C48" s="156">
        <f>CONSOLIDADO!C54</f>
        <v>4698414166.9300003</v>
      </c>
    </row>
    <row r="49" spans="1:3" ht="42.75" customHeight="1">
      <c r="A49" s="154">
        <v>2020003630072</v>
      </c>
      <c r="B49" s="157" t="s">
        <v>1369</v>
      </c>
      <c r="C49" s="156">
        <f>CONSOLIDADO!C55</f>
        <v>476880689.56999999</v>
      </c>
    </row>
    <row r="50" spans="1:3" ht="54" customHeight="1">
      <c r="A50" s="154">
        <v>2020003630073</v>
      </c>
      <c r="B50" s="157" t="s">
        <v>1370</v>
      </c>
      <c r="C50" s="156">
        <f>CONSOLIDADO!C56</f>
        <v>250510825.30000001</v>
      </c>
    </row>
    <row r="51" spans="1:3" ht="25.5" customHeight="1">
      <c r="A51" s="401" t="s">
        <v>1371</v>
      </c>
      <c r="B51" s="401"/>
      <c r="C51" s="191">
        <f>SUM(C52:C55)</f>
        <v>8107618879.0199995</v>
      </c>
    </row>
    <row r="52" spans="1:3" ht="36.75" customHeight="1">
      <c r="A52" s="154">
        <v>2020003630074</v>
      </c>
      <c r="B52" s="157" t="s">
        <v>416</v>
      </c>
      <c r="C52" s="156">
        <f>CONSOLIDADO!C126</f>
        <v>88000000</v>
      </c>
    </row>
    <row r="53" spans="1:3" ht="36.75" customHeight="1">
      <c r="A53" s="154">
        <v>2020003630076</v>
      </c>
      <c r="B53" s="155" t="s">
        <v>1372</v>
      </c>
      <c r="C53" s="156">
        <f>CONSOLIDADO!C127</f>
        <v>1035133951.45</v>
      </c>
    </row>
    <row r="54" spans="1:3" ht="36.75" customHeight="1">
      <c r="A54" s="154">
        <v>2020003630077</v>
      </c>
      <c r="B54" s="157" t="s">
        <v>1373</v>
      </c>
      <c r="C54" s="156">
        <f>CONSOLIDADO!C128</f>
        <v>6014484927.5699997</v>
      </c>
    </row>
    <row r="55" spans="1:3" ht="36.75" customHeight="1">
      <c r="A55" s="154">
        <v>2020003630078</v>
      </c>
      <c r="B55" s="157" t="s">
        <v>438</v>
      </c>
      <c r="C55" s="156">
        <f>CONSOLIDADO!C129</f>
        <v>970000000</v>
      </c>
    </row>
    <row r="56" spans="1:3" ht="24.75" customHeight="1">
      <c r="A56" s="401" t="s">
        <v>1374</v>
      </c>
      <c r="B56" s="401"/>
      <c r="C56" s="191">
        <f>SUM(C57:C75)</f>
        <v>7316140695.3199997</v>
      </c>
    </row>
    <row r="57" spans="1:3" ht="54" customHeight="1">
      <c r="A57" s="154">
        <v>2020003630022</v>
      </c>
      <c r="B57" s="155" t="s">
        <v>486</v>
      </c>
      <c r="C57" s="156">
        <f>CONSOLIDADO!C19</f>
        <v>151000000</v>
      </c>
    </row>
    <row r="58" spans="1:3" ht="54" customHeight="1">
      <c r="A58" s="154">
        <v>2020003630023</v>
      </c>
      <c r="B58" s="155" t="s">
        <v>469</v>
      </c>
      <c r="C58" s="156">
        <f>CONSOLIDADO!C20</f>
        <v>402000000</v>
      </c>
    </row>
    <row r="59" spans="1:3" ht="54" customHeight="1">
      <c r="A59" s="154">
        <v>2020003630024</v>
      </c>
      <c r="B59" s="155" t="s">
        <v>538</v>
      </c>
      <c r="C59" s="156">
        <f>CONSOLIDADO!C21</f>
        <v>318000000</v>
      </c>
    </row>
    <row r="60" spans="1:3" ht="54" customHeight="1">
      <c r="A60" s="154">
        <v>2020003630025</v>
      </c>
      <c r="B60" s="155" t="s">
        <v>507</v>
      </c>
      <c r="C60" s="156">
        <f>CONSOLIDADO!C22</f>
        <v>153000000</v>
      </c>
    </row>
    <row r="61" spans="1:3" ht="54" customHeight="1">
      <c r="A61" s="154">
        <v>2020003630026</v>
      </c>
      <c r="B61" s="155" t="s">
        <v>530</v>
      </c>
      <c r="C61" s="156">
        <f>CONSOLIDADO!C23</f>
        <v>130000000</v>
      </c>
    </row>
    <row r="62" spans="1:3" ht="54" customHeight="1">
      <c r="A62" s="154">
        <v>2020003630027</v>
      </c>
      <c r="B62" s="157" t="s">
        <v>558</v>
      </c>
      <c r="C62" s="156">
        <f>CONSOLIDADO!C24</f>
        <v>152000000</v>
      </c>
    </row>
    <row r="63" spans="1:3" ht="54" customHeight="1">
      <c r="A63" s="154">
        <v>2020003630028</v>
      </c>
      <c r="B63" s="155" t="s">
        <v>582</v>
      </c>
      <c r="C63" s="156">
        <f>CONSOLIDADO!C25</f>
        <v>76000000</v>
      </c>
    </row>
    <row r="64" spans="1:3" ht="54" customHeight="1">
      <c r="A64" s="154">
        <v>2020003630029</v>
      </c>
      <c r="B64" s="155" t="s">
        <v>594</v>
      </c>
      <c r="C64" s="156">
        <f>CONSOLIDADO!C26</f>
        <v>168000000</v>
      </c>
    </row>
    <row r="65" spans="1:3" ht="51.75" customHeight="1">
      <c r="A65" s="154">
        <v>2020003630030</v>
      </c>
      <c r="B65" s="155" t="s">
        <v>600</v>
      </c>
      <c r="C65" s="156">
        <f>CONSOLIDADO!C27</f>
        <v>380000000</v>
      </c>
    </row>
    <row r="66" spans="1:3" ht="51.75" customHeight="1">
      <c r="A66" s="154">
        <v>2020003630079</v>
      </c>
      <c r="B66" s="155" t="s">
        <v>457</v>
      </c>
      <c r="C66" s="156">
        <f>CONSOLIDADO!C28</f>
        <v>650000000</v>
      </c>
    </row>
    <row r="67" spans="1:3" ht="51.75" customHeight="1">
      <c r="A67" s="154">
        <v>2020003630080</v>
      </c>
      <c r="B67" s="155" t="s">
        <v>1375</v>
      </c>
      <c r="C67" s="156">
        <f>CONSOLIDADO!C29</f>
        <v>188000000</v>
      </c>
    </row>
    <row r="68" spans="1:3" ht="51.75" customHeight="1">
      <c r="A68" s="154">
        <v>2020003630081</v>
      </c>
      <c r="B68" s="155" t="s">
        <v>1376</v>
      </c>
      <c r="C68" s="156">
        <f>CONSOLIDADO!C30</f>
        <v>67000000</v>
      </c>
    </row>
    <row r="69" spans="1:3" ht="51.75" customHeight="1">
      <c r="A69" s="154">
        <v>2020003630082</v>
      </c>
      <c r="B69" s="155" t="s">
        <v>1377</v>
      </c>
      <c r="C69" s="156">
        <f>CONSOLIDADO!C31</f>
        <v>265712654</v>
      </c>
    </row>
    <row r="70" spans="1:3" ht="51.75" customHeight="1">
      <c r="A70" s="154">
        <v>2020003630083</v>
      </c>
      <c r="B70" s="155" t="s">
        <v>517</v>
      </c>
      <c r="C70" s="156">
        <f>CONSOLIDADO!C32</f>
        <v>110000000</v>
      </c>
    </row>
    <row r="71" spans="1:3" ht="51.75" customHeight="1">
      <c r="A71" s="154">
        <v>2020003630084</v>
      </c>
      <c r="B71" s="155" t="s">
        <v>1378</v>
      </c>
      <c r="C71" s="156">
        <f>CONSOLIDADO!C33</f>
        <v>143000000</v>
      </c>
    </row>
    <row r="72" spans="1:3" ht="51.75" customHeight="1">
      <c r="A72" s="154">
        <v>2020003630085</v>
      </c>
      <c r="B72" s="155" t="s">
        <v>1379</v>
      </c>
      <c r="C72" s="156">
        <f>CONSOLIDADO!C34</f>
        <v>156000000</v>
      </c>
    </row>
    <row r="73" spans="1:3" ht="51.75" customHeight="1">
      <c r="A73" s="154">
        <v>2020003630086</v>
      </c>
      <c r="B73" s="155" t="s">
        <v>1380</v>
      </c>
      <c r="C73" s="156">
        <f>CONSOLIDADO!C35</f>
        <v>3245428040.3699999</v>
      </c>
    </row>
    <row r="74" spans="1:3" ht="51.75" customHeight="1">
      <c r="A74" s="154">
        <v>2020003630087</v>
      </c>
      <c r="B74" s="155" t="s">
        <v>586</v>
      </c>
      <c r="C74" s="156">
        <f>CONSOLIDADO!C36</f>
        <v>94000000</v>
      </c>
    </row>
    <row r="75" spans="1:3" ht="51.75" customHeight="1">
      <c r="A75" s="154">
        <v>2020003630088</v>
      </c>
      <c r="B75" s="155" t="s">
        <v>613</v>
      </c>
      <c r="C75" s="156">
        <f>CONSOLIDADO!C37</f>
        <v>467000000.94999999</v>
      </c>
    </row>
    <row r="76" spans="1:3" ht="24.75" customHeight="1">
      <c r="A76" s="401" t="s">
        <v>1381</v>
      </c>
      <c r="B76" s="401"/>
      <c r="C76" s="191">
        <f>SUM(C77:C79)</f>
        <v>2203002887.2799997</v>
      </c>
    </row>
    <row r="77" spans="1:3" ht="62.25" customHeight="1">
      <c r="A77" s="154">
        <v>2020003630031</v>
      </c>
      <c r="B77" s="155" t="s">
        <v>636</v>
      </c>
      <c r="C77" s="156">
        <f>CONSOLIDADO!C144</f>
        <v>953002887.27999997</v>
      </c>
    </row>
    <row r="78" spans="1:3" ht="59.25" customHeight="1">
      <c r="A78" s="154">
        <v>2020003630090</v>
      </c>
      <c r="B78" s="157" t="s">
        <v>631</v>
      </c>
      <c r="C78" s="156">
        <f>CONSOLIDADO!C145</f>
        <v>1050000000</v>
      </c>
    </row>
    <row r="79" spans="1:3" ht="74.25" customHeight="1">
      <c r="A79" s="154">
        <v>2021003630005</v>
      </c>
      <c r="B79" s="158" t="s">
        <v>626</v>
      </c>
      <c r="C79" s="156">
        <f>CONSOLIDADO!C146</f>
        <v>200000000</v>
      </c>
    </row>
    <row r="80" spans="1:3" ht="22.5" customHeight="1">
      <c r="A80" s="401" t="s">
        <v>1296</v>
      </c>
      <c r="B80" s="401"/>
      <c r="C80" s="191">
        <f>SUM(C81:C87)</f>
        <v>239658564531.30997</v>
      </c>
    </row>
    <row r="81" spans="1:3" ht="54" customHeight="1">
      <c r="A81" s="154">
        <v>2020003630016</v>
      </c>
      <c r="B81" s="157" t="s">
        <v>674</v>
      </c>
      <c r="C81" s="156">
        <f>CONSOLIDADO!C58</f>
        <v>215760497522.92996</v>
      </c>
    </row>
    <row r="82" spans="1:3" ht="54" customHeight="1">
      <c r="A82" s="154">
        <v>2020003630091</v>
      </c>
      <c r="B82" s="157" t="s">
        <v>1382</v>
      </c>
      <c r="C82" s="156">
        <f>CONSOLIDADO!C59</f>
        <v>22154720448.379997</v>
      </c>
    </row>
    <row r="83" spans="1:3" ht="54" customHeight="1">
      <c r="A83" s="154">
        <v>2020003630092</v>
      </c>
      <c r="B83" s="157" t="s">
        <v>1383</v>
      </c>
      <c r="C83" s="156">
        <f>CONSOLIDADO!C60</f>
        <v>755000000</v>
      </c>
    </row>
    <row r="84" spans="1:3" ht="54" customHeight="1">
      <c r="A84" s="154">
        <v>2020003630093</v>
      </c>
      <c r="B84" s="157" t="s">
        <v>1384</v>
      </c>
      <c r="C84" s="156">
        <f>CONSOLIDADO!C61</f>
        <v>148000000</v>
      </c>
    </row>
    <row r="85" spans="1:3" ht="54" customHeight="1">
      <c r="A85" s="154">
        <v>2020003630094</v>
      </c>
      <c r="B85" s="157" t="s">
        <v>1385</v>
      </c>
      <c r="C85" s="156">
        <f>CONSOLIDADO!C62</f>
        <v>590346560</v>
      </c>
    </row>
    <row r="86" spans="1:3" ht="54" customHeight="1">
      <c r="A86" s="154">
        <v>2020003630095</v>
      </c>
      <c r="B86" s="157" t="s">
        <v>1386</v>
      </c>
      <c r="C86" s="156">
        <f>CONSOLIDADO!C63</f>
        <v>0</v>
      </c>
    </row>
    <row r="87" spans="1:3" ht="65.25" customHeight="1">
      <c r="A87" s="154">
        <v>2020003630096</v>
      </c>
      <c r="B87" s="157" t="s">
        <v>1387</v>
      </c>
      <c r="C87" s="156">
        <f>CONSOLIDADO!C64</f>
        <v>250000000</v>
      </c>
    </row>
    <row r="88" spans="1:3" ht="24.75" customHeight="1">
      <c r="A88" s="401" t="s">
        <v>1257</v>
      </c>
      <c r="B88" s="401"/>
      <c r="C88" s="191">
        <f>SUM(C89:C113)</f>
        <v>11041207464.599998</v>
      </c>
    </row>
    <row r="89" spans="1:3" ht="63" customHeight="1">
      <c r="A89" s="154">
        <v>2020003630011</v>
      </c>
      <c r="B89" s="157" t="s">
        <v>1388</v>
      </c>
      <c r="C89" s="156">
        <f>CONSOLIDADO!C66</f>
        <v>140000000</v>
      </c>
    </row>
    <row r="90" spans="1:3" ht="49.5" customHeight="1">
      <c r="A90" s="154">
        <v>2020003630012</v>
      </c>
      <c r="B90" s="155" t="s">
        <v>820</v>
      </c>
      <c r="C90" s="156">
        <f>CONSOLIDADO!C67</f>
        <v>170000000</v>
      </c>
    </row>
    <row r="91" spans="1:3" ht="64.5" customHeight="1">
      <c r="A91" s="154">
        <v>2020003630033</v>
      </c>
      <c r="B91" s="155" t="s">
        <v>1389</v>
      </c>
      <c r="C91" s="156">
        <f>CONSOLIDADO!C68</f>
        <v>70000000</v>
      </c>
    </row>
    <row r="92" spans="1:3" ht="65.25" customHeight="1">
      <c r="A92" s="154">
        <v>2020003630034</v>
      </c>
      <c r="B92" s="157" t="s">
        <v>1390</v>
      </c>
      <c r="C92" s="156">
        <f>CONSOLIDADO!C69</f>
        <v>45000000</v>
      </c>
    </row>
    <row r="93" spans="1:3" ht="49.5" customHeight="1">
      <c r="A93" s="154">
        <v>2020003630035</v>
      </c>
      <c r="B93" s="157" t="s">
        <v>811</v>
      </c>
      <c r="C93" s="156">
        <f>CONSOLIDADO!C70</f>
        <v>390000000</v>
      </c>
    </row>
    <row r="94" spans="1:3" ht="49.5" customHeight="1">
      <c r="A94" s="154">
        <v>2020003630036</v>
      </c>
      <c r="B94" s="155" t="s">
        <v>1391</v>
      </c>
      <c r="C94" s="156">
        <f>CONSOLIDADO!C71</f>
        <v>180000000</v>
      </c>
    </row>
    <row r="95" spans="1:3" ht="49.5" customHeight="1">
      <c r="A95" s="154">
        <v>2020003630037</v>
      </c>
      <c r="B95" s="155" t="s">
        <v>803</v>
      </c>
      <c r="C95" s="156">
        <f>CONSOLIDADO!C72</f>
        <v>130000000</v>
      </c>
    </row>
    <row r="96" spans="1:3" ht="49.5" customHeight="1">
      <c r="A96" s="154">
        <v>2020003630098</v>
      </c>
      <c r="B96" s="155" t="s">
        <v>1392</v>
      </c>
      <c r="C96" s="156">
        <f>CONSOLIDADO!C73</f>
        <v>35000000</v>
      </c>
    </row>
    <row r="97" spans="1:3" ht="49.5" customHeight="1">
      <c r="A97" s="154">
        <v>2020003630099</v>
      </c>
      <c r="B97" s="155" t="s">
        <v>1393</v>
      </c>
      <c r="C97" s="156">
        <f>CONSOLIDADO!C74</f>
        <v>82000000</v>
      </c>
    </row>
    <row r="98" spans="1:3" ht="49.5" customHeight="1">
      <c r="A98" s="154">
        <v>2020003630100</v>
      </c>
      <c r="B98" s="155" t="s">
        <v>1394</v>
      </c>
      <c r="C98" s="156">
        <f>CONSOLIDADO!C75</f>
        <v>130200000</v>
      </c>
    </row>
    <row r="99" spans="1:3" ht="49.5" customHeight="1">
      <c r="A99" s="154">
        <v>2020003630101</v>
      </c>
      <c r="B99" s="155" t="s">
        <v>738</v>
      </c>
      <c r="C99" s="156">
        <f>CONSOLIDADO!C76</f>
        <v>380000000</v>
      </c>
    </row>
    <row r="100" spans="1:3" ht="49.5" customHeight="1">
      <c r="A100" s="154">
        <v>2020003630102</v>
      </c>
      <c r="B100" s="155" t="s">
        <v>745</v>
      </c>
      <c r="C100" s="156">
        <f>CONSOLIDADO!C77</f>
        <v>210000000</v>
      </c>
    </row>
    <row r="101" spans="1:3" ht="49.5" customHeight="1">
      <c r="A101" s="154">
        <v>2020003630103</v>
      </c>
      <c r="B101" s="157" t="s">
        <v>774</v>
      </c>
      <c r="C101" s="156">
        <f>CONSOLIDADO!C78</f>
        <v>175000000</v>
      </c>
    </row>
    <row r="102" spans="1:3" ht="49.5" customHeight="1">
      <c r="A102" s="154">
        <v>2020003630104</v>
      </c>
      <c r="B102" s="157" t="s">
        <v>1395</v>
      </c>
      <c r="C102" s="156">
        <f>CONSOLIDADO!C79</f>
        <v>66000000</v>
      </c>
    </row>
    <row r="103" spans="1:3" ht="65.25" customHeight="1">
      <c r="A103" s="154">
        <v>2020003630105</v>
      </c>
      <c r="B103" s="157" t="s">
        <v>783</v>
      </c>
      <c r="C103" s="156">
        <f>CONSOLIDADO!C80</f>
        <v>70000000</v>
      </c>
    </row>
    <row r="104" spans="1:3" ht="64.5" customHeight="1">
      <c r="A104" s="154">
        <v>2020003630106</v>
      </c>
      <c r="B104" s="157" t="s">
        <v>1396</v>
      </c>
      <c r="C104" s="156">
        <f>CONSOLIDADO!C81</f>
        <v>150000000</v>
      </c>
    </row>
    <row r="105" spans="1:3" ht="49.5" customHeight="1">
      <c r="A105" s="154">
        <v>2020003630109</v>
      </c>
      <c r="B105" s="155" t="s">
        <v>1397</v>
      </c>
      <c r="C105" s="156">
        <f>CONSOLIDADO!C82</f>
        <v>7963007464.5999994</v>
      </c>
    </row>
    <row r="106" spans="1:3" ht="68.25" customHeight="1">
      <c r="A106" s="154">
        <v>2020003630111</v>
      </c>
      <c r="B106" s="157" t="s">
        <v>1398</v>
      </c>
      <c r="C106" s="156">
        <f>CONSOLIDADO!C83</f>
        <v>65000000</v>
      </c>
    </row>
    <row r="107" spans="1:3" ht="49.5" customHeight="1">
      <c r="A107" s="154">
        <v>2020003630112</v>
      </c>
      <c r="B107" s="157" t="s">
        <v>870</v>
      </c>
      <c r="C107" s="156">
        <f>CONSOLIDADO!C84</f>
        <v>75000000</v>
      </c>
    </row>
    <row r="108" spans="1:3" ht="49.5" customHeight="1">
      <c r="A108" s="154">
        <v>2020003630113</v>
      </c>
      <c r="B108" s="155" t="s">
        <v>1399</v>
      </c>
      <c r="C108" s="156">
        <f>CONSOLIDADO!C85</f>
        <v>60000000</v>
      </c>
    </row>
    <row r="109" spans="1:3" ht="49.5" customHeight="1">
      <c r="A109" s="154">
        <v>2020003630114</v>
      </c>
      <c r="B109" s="155" t="s">
        <v>844</v>
      </c>
      <c r="C109" s="156">
        <f>CONSOLIDADO!C86</f>
        <v>45000000</v>
      </c>
    </row>
    <row r="110" spans="1:3" ht="49.5" customHeight="1">
      <c r="A110" s="154">
        <v>2020003630115</v>
      </c>
      <c r="B110" s="155" t="s">
        <v>1400</v>
      </c>
      <c r="C110" s="156">
        <f>CONSOLIDADO!C87</f>
        <v>30000000</v>
      </c>
    </row>
    <row r="111" spans="1:3" ht="49.5" customHeight="1">
      <c r="A111" s="154">
        <v>2021003630007</v>
      </c>
      <c r="B111" s="157" t="s">
        <v>1401</v>
      </c>
      <c r="C111" s="156">
        <f>CONSOLIDADO!C88</f>
        <v>165000000</v>
      </c>
    </row>
    <row r="112" spans="1:3" ht="49.5" customHeight="1">
      <c r="A112" s="154">
        <v>2021003630008</v>
      </c>
      <c r="B112" s="157" t="s">
        <v>1402</v>
      </c>
      <c r="C112" s="156">
        <f>CONSOLIDADO!C89</f>
        <v>180000000</v>
      </c>
    </row>
    <row r="113" spans="1:3" ht="69" customHeight="1">
      <c r="A113" s="154">
        <v>2021003630010</v>
      </c>
      <c r="B113" s="155" t="s">
        <v>1403</v>
      </c>
      <c r="C113" s="156">
        <f>CONSOLIDADO!C90</f>
        <v>35000000</v>
      </c>
    </row>
    <row r="114" spans="1:3" ht="30.75" customHeight="1">
      <c r="A114" s="401" t="s">
        <v>1404</v>
      </c>
      <c r="B114" s="401"/>
      <c r="C114" s="191">
        <f>SUM(C115:C136)</f>
        <v>70324344086.009995</v>
      </c>
    </row>
    <row r="115" spans="1:3" ht="49.5" customHeight="1">
      <c r="A115" s="154">
        <v>2020003630116</v>
      </c>
      <c r="B115" s="155" t="s">
        <v>878</v>
      </c>
      <c r="C115" s="156">
        <f>CONSOLIDADO!C103</f>
        <v>1398699508.2</v>
      </c>
    </row>
    <row r="116" spans="1:3" ht="49.5" customHeight="1">
      <c r="A116" s="154">
        <v>2020003630117</v>
      </c>
      <c r="B116" s="155" t="s">
        <v>908</v>
      </c>
      <c r="C116" s="156">
        <f>CONSOLIDADO!C104</f>
        <v>297393318</v>
      </c>
    </row>
    <row r="117" spans="1:3" ht="49.5" customHeight="1">
      <c r="A117" s="154">
        <v>2020003630118</v>
      </c>
      <c r="B117" s="155" t="s">
        <v>913</v>
      </c>
      <c r="C117" s="156">
        <f>CONSOLIDADO!C105</f>
        <v>1333614717.0599999</v>
      </c>
    </row>
    <row r="118" spans="1:3" ht="49.5" customHeight="1">
      <c r="A118" s="154">
        <v>2020003630119</v>
      </c>
      <c r="B118" s="155" t="s">
        <v>921</v>
      </c>
      <c r="C118" s="156">
        <f>CONSOLIDADO!C106</f>
        <v>100000000</v>
      </c>
    </row>
    <row r="119" spans="1:3" ht="49.5" customHeight="1">
      <c r="A119" s="154">
        <v>2020003630120</v>
      </c>
      <c r="B119" s="155" t="s">
        <v>926</v>
      </c>
      <c r="C119" s="156">
        <f>CONSOLIDADO!C107</f>
        <v>150000000</v>
      </c>
    </row>
    <row r="120" spans="1:3" ht="49.5" customHeight="1">
      <c r="A120" s="154">
        <v>2020003630121</v>
      </c>
      <c r="B120" s="155" t="s">
        <v>1405</v>
      </c>
      <c r="C120" s="156">
        <f>CONSOLIDADO!C108</f>
        <v>150000000</v>
      </c>
    </row>
    <row r="121" spans="1:3" ht="49.5" customHeight="1">
      <c r="A121" s="154">
        <v>2020003630122</v>
      </c>
      <c r="B121" s="155" t="s">
        <v>1406</v>
      </c>
      <c r="C121" s="156">
        <f>CONSOLIDADO!C109</f>
        <v>312000000</v>
      </c>
    </row>
    <row r="122" spans="1:3" ht="49.5" customHeight="1">
      <c r="A122" s="154">
        <v>2020003630123</v>
      </c>
      <c r="B122" s="155" t="s">
        <v>945</v>
      </c>
      <c r="C122" s="156">
        <f>CONSOLIDADO!C110</f>
        <v>480000000</v>
      </c>
    </row>
    <row r="123" spans="1:3" ht="49.5" customHeight="1">
      <c r="A123" s="154">
        <v>2020003630124</v>
      </c>
      <c r="B123" s="155" t="s">
        <v>965</v>
      </c>
      <c r="C123" s="156">
        <f>CONSOLIDADO!C111</f>
        <v>204000000</v>
      </c>
    </row>
    <row r="124" spans="1:3" ht="49.5" customHeight="1">
      <c r="A124" s="154">
        <v>2020003630125</v>
      </c>
      <c r="B124" s="155" t="s">
        <v>972</v>
      </c>
      <c r="C124" s="156">
        <f>CONSOLIDADO!C112</f>
        <v>192000000</v>
      </c>
    </row>
    <row r="125" spans="1:3" ht="49.5" customHeight="1">
      <c r="A125" s="154">
        <v>2020003630126</v>
      </c>
      <c r="B125" s="155" t="s">
        <v>974</v>
      </c>
      <c r="C125" s="156">
        <f>CONSOLIDADO!C113</f>
        <v>218000000</v>
      </c>
    </row>
    <row r="126" spans="1:3" ht="49.5" customHeight="1">
      <c r="A126" s="154">
        <v>2020003630127</v>
      </c>
      <c r="B126" s="155" t="s">
        <v>978</v>
      </c>
      <c r="C126" s="156">
        <f>CONSOLIDADO!C114</f>
        <v>598000000</v>
      </c>
    </row>
    <row r="127" spans="1:3" ht="49.5" customHeight="1">
      <c r="A127" s="154">
        <v>2020003630128</v>
      </c>
      <c r="B127" s="155" t="s">
        <v>989</v>
      </c>
      <c r="C127" s="156">
        <f>CONSOLIDADO!C115</f>
        <v>1280177114.53</v>
      </c>
    </row>
    <row r="128" spans="1:3" ht="49.5" customHeight="1">
      <c r="A128" s="154">
        <v>2020003630129</v>
      </c>
      <c r="B128" s="155" t="s">
        <v>1407</v>
      </c>
      <c r="C128" s="156">
        <f>CONSOLIDADO!C116</f>
        <v>311500000</v>
      </c>
    </row>
    <row r="129" spans="1:3" ht="67.5" customHeight="1">
      <c r="A129" s="154">
        <v>2020003630131</v>
      </c>
      <c r="B129" s="155" t="s">
        <v>1044</v>
      </c>
      <c r="C129" s="156">
        <f>CONSOLIDADO!C117</f>
        <v>24000000</v>
      </c>
    </row>
    <row r="130" spans="1:3" ht="49.5" customHeight="1">
      <c r="A130" s="154">
        <v>2020003630132</v>
      </c>
      <c r="B130" s="155" t="s">
        <v>1408</v>
      </c>
      <c r="C130" s="156">
        <f>CONSOLIDADO!C118</f>
        <v>102000000</v>
      </c>
    </row>
    <row r="131" spans="1:3" ht="49.5" customHeight="1">
      <c r="A131" s="154">
        <v>2020003630133</v>
      </c>
      <c r="B131" s="155" t="s">
        <v>1409</v>
      </c>
      <c r="C131" s="156">
        <f>CONSOLIDADO!C119</f>
        <v>580165182</v>
      </c>
    </row>
    <row r="132" spans="1:3" ht="49.5" customHeight="1">
      <c r="A132" s="154">
        <v>2020003630134</v>
      </c>
      <c r="B132" s="155" t="s">
        <v>1002</v>
      </c>
      <c r="C132" s="156">
        <f>CONSOLIDADO!C120</f>
        <v>400000000</v>
      </c>
    </row>
    <row r="133" spans="1:3" ht="49.5" customHeight="1">
      <c r="A133" s="154">
        <v>2020003630135</v>
      </c>
      <c r="B133" s="155" t="s">
        <v>1410</v>
      </c>
      <c r="C133" s="156">
        <f>CONSOLIDADO!C121</f>
        <v>1622896500</v>
      </c>
    </row>
    <row r="134" spans="1:3" ht="49.5" customHeight="1">
      <c r="A134" s="154">
        <v>2020003630136</v>
      </c>
      <c r="B134" s="155" t="s">
        <v>1013</v>
      </c>
      <c r="C134" s="156">
        <f>CONSOLIDADO!C122</f>
        <v>46213945543.389999</v>
      </c>
    </row>
    <row r="135" spans="1:3" ht="49.5" customHeight="1">
      <c r="A135" s="154">
        <v>2020003630137</v>
      </c>
      <c r="B135" s="155" t="s">
        <v>1018</v>
      </c>
      <c r="C135" s="156">
        <f>CONSOLIDADO!C123</f>
        <v>13088163202.83</v>
      </c>
    </row>
    <row r="136" spans="1:3" ht="49.5" customHeight="1">
      <c r="A136" s="154">
        <v>2020003630138</v>
      </c>
      <c r="B136" s="155" t="s">
        <v>1027</v>
      </c>
      <c r="C136" s="156">
        <f>CONSOLIDADO!C124</f>
        <v>1267789000</v>
      </c>
    </row>
    <row r="137" spans="1:3" ht="30" customHeight="1">
      <c r="A137" s="401" t="s">
        <v>1411</v>
      </c>
      <c r="B137" s="401"/>
      <c r="C137" s="191">
        <f>SUM(C138:C143)</f>
        <v>1284521994.78</v>
      </c>
    </row>
    <row r="138" spans="1:3" ht="46.5" customHeight="1">
      <c r="A138" s="154">
        <v>2020003630038</v>
      </c>
      <c r="B138" s="155" t="s">
        <v>1412</v>
      </c>
      <c r="C138" s="192">
        <f>CONSOLIDADO!C148</f>
        <v>195000000</v>
      </c>
    </row>
    <row r="139" spans="1:3" ht="46.5" customHeight="1">
      <c r="A139" s="154">
        <v>2020003630039</v>
      </c>
      <c r="B139" s="155" t="s">
        <v>1413</v>
      </c>
      <c r="C139" s="192">
        <f>CONSOLIDADO!C149</f>
        <v>245000000</v>
      </c>
    </row>
    <row r="140" spans="1:3" ht="46.5" customHeight="1">
      <c r="A140" s="154">
        <v>2020003630040</v>
      </c>
      <c r="B140" s="155" t="s">
        <v>1414</v>
      </c>
      <c r="C140" s="192">
        <f>CONSOLIDADO!C150</f>
        <v>25000000</v>
      </c>
    </row>
    <row r="141" spans="1:3" ht="46.5" customHeight="1">
      <c r="A141" s="154">
        <v>2020003630139</v>
      </c>
      <c r="B141" s="155" t="s">
        <v>1415</v>
      </c>
      <c r="C141" s="192">
        <f>CONSOLIDADO!C151</f>
        <v>434521994.77999997</v>
      </c>
    </row>
    <row r="142" spans="1:3" ht="46.5" customHeight="1">
      <c r="A142" s="154">
        <v>2020003630140</v>
      </c>
      <c r="B142" s="155" t="s">
        <v>1416</v>
      </c>
      <c r="C142" s="192">
        <f>CONSOLIDADO!C152</f>
        <v>95000000</v>
      </c>
    </row>
    <row r="143" spans="1:3" ht="46.5" customHeight="1">
      <c r="A143" s="154">
        <v>2020003630141</v>
      </c>
      <c r="B143" s="155" t="s">
        <v>1417</v>
      </c>
      <c r="C143" s="192">
        <f>CONSOLIDADO!C153</f>
        <v>290000000</v>
      </c>
    </row>
    <row r="144" spans="1:3" ht="23.25" customHeight="1">
      <c r="A144" s="401" t="s">
        <v>1418</v>
      </c>
      <c r="B144" s="401"/>
      <c r="C144" s="191">
        <f>SUM(C145:C146)</f>
        <v>9697144343.4699993</v>
      </c>
    </row>
    <row r="145" spans="1:3" ht="51.75" customHeight="1">
      <c r="A145" s="154">
        <v>2020003630009</v>
      </c>
      <c r="B145" s="155" t="s">
        <v>1132</v>
      </c>
      <c r="C145" s="156">
        <f>CONSOLIDADO!C2</f>
        <v>4075300389.25</v>
      </c>
    </row>
    <row r="146" spans="1:3" ht="51.75" customHeight="1">
      <c r="A146" s="154">
        <v>2020003630010</v>
      </c>
      <c r="B146" s="155" t="s">
        <v>1148</v>
      </c>
      <c r="C146" s="156">
        <f>CONSOLIDADO!C3</f>
        <v>5621843954.2199993</v>
      </c>
    </row>
    <row r="147" spans="1:3" ht="23.25" customHeight="1">
      <c r="A147" s="401" t="s">
        <v>1266</v>
      </c>
      <c r="B147" s="401"/>
      <c r="C147" s="191">
        <f>SUM(C148:C153)</f>
        <v>7351622503.6300011</v>
      </c>
    </row>
    <row r="148" spans="1:3" ht="45" customHeight="1">
      <c r="A148" s="154">
        <v>2020003630142</v>
      </c>
      <c r="B148" s="155" t="s">
        <v>1153</v>
      </c>
      <c r="C148" s="156">
        <f>CONSOLIDADO!C7</f>
        <v>1766021823.6100001</v>
      </c>
    </row>
    <row r="149" spans="1:3" ht="45" customHeight="1">
      <c r="A149" s="154">
        <v>2020003630143</v>
      </c>
      <c r="B149" s="155" t="s">
        <v>1157</v>
      </c>
      <c r="C149" s="156">
        <f>CONSOLIDADO!C8</f>
        <v>2181834000</v>
      </c>
    </row>
    <row r="150" spans="1:3" ht="45" customHeight="1">
      <c r="A150" s="154">
        <v>2020003630144</v>
      </c>
      <c r="B150" s="155" t="s">
        <v>1419</v>
      </c>
      <c r="C150" s="156">
        <f>CONSOLIDADO!C9</f>
        <v>1000481000</v>
      </c>
    </row>
    <row r="151" spans="1:3" ht="45" customHeight="1">
      <c r="A151" s="154">
        <v>2020003630145</v>
      </c>
      <c r="B151" s="155" t="s">
        <v>1420</v>
      </c>
      <c r="C151" s="156">
        <f>CONSOLIDADO!C10</f>
        <v>1226000000</v>
      </c>
    </row>
    <row r="152" spans="1:3" ht="45" customHeight="1">
      <c r="A152" s="154">
        <v>2022003630006</v>
      </c>
      <c r="B152" s="155" t="s">
        <v>1175</v>
      </c>
      <c r="C152" s="156">
        <f>CONSOLIDADO!C11</f>
        <v>427285680.02000004</v>
      </c>
    </row>
    <row r="153" spans="1:3" ht="45" customHeight="1">
      <c r="A153" s="154">
        <v>2023003630001</v>
      </c>
      <c r="B153" s="155" t="s">
        <v>1421</v>
      </c>
      <c r="C153" s="156">
        <f>+CONSOLIDADO!C12</f>
        <v>750000000</v>
      </c>
    </row>
    <row r="154" spans="1:3" ht="30" customHeight="1">
      <c r="A154" s="401" t="s">
        <v>1422</v>
      </c>
      <c r="B154" s="401"/>
      <c r="C154" s="191">
        <f>SUM(C155)</f>
        <v>195583221</v>
      </c>
    </row>
    <row r="155" spans="1:3" ht="48.75" customHeight="1">
      <c r="A155" s="154">
        <v>2020003630149</v>
      </c>
      <c r="B155" s="155" t="s">
        <v>1195</v>
      </c>
      <c r="C155" s="156">
        <f>CONSOLIDADO!C6</f>
        <v>195583221</v>
      </c>
    </row>
    <row r="156" spans="1:3" ht="30" customHeight="1">
      <c r="A156" s="404" t="s">
        <v>1423</v>
      </c>
      <c r="B156" s="404"/>
      <c r="C156" s="193">
        <f>SUM(C3,C8,C16,C19,C33,C46,C51,C56,C76,C80,C88,C114,C137,C144,C147,C154)</f>
        <v>426026625402.07996</v>
      </c>
    </row>
    <row r="157" spans="1:3" ht="19.5" customHeight="1">
      <c r="A157" s="153" t="s">
        <v>1424</v>
      </c>
    </row>
    <row r="162" spans="1:9">
      <c r="A162" s="219"/>
      <c r="B162" s="159" t="s">
        <v>1425</v>
      </c>
      <c r="C162" s="219"/>
    </row>
    <row r="163" spans="1:9" ht="12.75" customHeight="1">
      <c r="A163" s="405" t="s">
        <v>1426</v>
      </c>
      <c r="B163" s="405"/>
      <c r="C163" s="405"/>
      <c r="I163" s="160"/>
    </row>
    <row r="165" spans="1:9" ht="12.75" customHeight="1">
      <c r="A165" s="405"/>
      <c r="B165" s="405"/>
      <c r="C165" s="405"/>
    </row>
    <row r="166" spans="1:9" ht="17.25" customHeight="1">
      <c r="A166" s="406" t="s">
        <v>1427</v>
      </c>
      <c r="B166" s="407"/>
      <c r="C166" s="407"/>
    </row>
    <row r="167" spans="1:9" ht="12" customHeight="1">
      <c r="A167" s="406" t="s">
        <v>1428</v>
      </c>
      <c r="B167" s="407"/>
      <c r="C167" s="407"/>
    </row>
    <row r="168" spans="1:9" ht="14.25" customHeight="1">
      <c r="A168" s="408" t="s">
        <v>1429</v>
      </c>
      <c r="B168" s="407"/>
      <c r="C168" s="407"/>
    </row>
  </sheetData>
  <mergeCells count="23">
    <mergeCell ref="A163:C163"/>
    <mergeCell ref="A165:C165"/>
    <mergeCell ref="A166:C166"/>
    <mergeCell ref="A167:C167"/>
    <mergeCell ref="A168:C168"/>
    <mergeCell ref="A156:B156"/>
    <mergeCell ref="A46:B46"/>
    <mergeCell ref="A51:B51"/>
    <mergeCell ref="A56:B56"/>
    <mergeCell ref="A76:B76"/>
    <mergeCell ref="A80:B80"/>
    <mergeCell ref="A88:B88"/>
    <mergeCell ref="A114:B114"/>
    <mergeCell ref="A137:B137"/>
    <mergeCell ref="A144:B144"/>
    <mergeCell ref="A147:B147"/>
    <mergeCell ref="A154:B154"/>
    <mergeCell ref="A33:B33"/>
    <mergeCell ref="A1:C1"/>
    <mergeCell ref="A3:B3"/>
    <mergeCell ref="A8:B8"/>
    <mergeCell ref="A16:B16"/>
    <mergeCell ref="A19:B19"/>
  </mergeCells>
  <pageMargins left="0.7" right="0.7" top="0.75" bottom="0.75" header="0.3" footer="0.3"/>
  <pageSetup orientation="portrait"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POAI 2024 JUNIO</vt:lpstr>
      <vt:lpstr>RESUMEN PROGRAMAS</vt:lpstr>
      <vt:lpstr>LÍNEA ESTRATEGICA</vt:lpstr>
      <vt:lpstr>FUENTES POR UNIDAD</vt:lpstr>
      <vt:lpstr>UNIDADES EJECUTORA</vt:lpstr>
      <vt:lpstr>CONSOLIDADO</vt:lpstr>
      <vt:lpstr>RELACIÓN PROYECTOS</vt:lpstr>
      <vt:lpstr>'POAI 2024 JUNIO'!Área_de_impresión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AUXPLANEACION56</dc:creator>
  <cp:keywords/>
  <dc:description/>
  <cp:lastModifiedBy>AUXPLANEACION03</cp:lastModifiedBy>
  <cp:revision/>
  <dcterms:created xsi:type="dcterms:W3CDTF">2023-08-23T19:35:28Z</dcterms:created>
  <dcterms:modified xsi:type="dcterms:W3CDTF">2024-08-28T19:59:56Z</dcterms:modified>
  <cp:category/>
  <cp:contentStatus/>
</cp:coreProperties>
</file>