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Gobernación 2025\MIGP 2025\MAPA RIESGOS INSTITUCIONALES 2025\"/>
    </mc:Choice>
  </mc:AlternateContent>
  <bookViews>
    <workbookView xWindow="0" yWindow="0" windowWidth="13125" windowHeight="9480"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62913"/>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 l="1"/>
  <c r="AR53" i="1" l="1"/>
  <c r="AM53" i="1"/>
  <c r="T53" i="1"/>
  <c r="Q53" i="1"/>
  <c r="AR52" i="1"/>
  <c r="AM52" i="1"/>
  <c r="T52" i="1"/>
  <c r="Q52" i="1"/>
  <c r="AB53" i="1" s="1"/>
  <c r="AA53" i="1" s="1"/>
  <c r="AR51" i="1"/>
  <c r="AM51" i="1"/>
  <c r="T51" i="1"/>
  <c r="Q51" i="1"/>
  <c r="AR50" i="1"/>
  <c r="AM50" i="1"/>
  <c r="T50" i="1"/>
  <c r="Q50" i="1"/>
  <c r="AB51" i="1" s="1"/>
  <c r="AA51" i="1" s="1"/>
  <c r="AR49" i="1"/>
  <c r="AM49" i="1"/>
  <c r="T49" i="1"/>
  <c r="Q49" i="1"/>
  <c r="AR48" i="1"/>
  <c r="AM48" i="1"/>
  <c r="T48" i="1"/>
  <c r="Q48" i="1"/>
  <c r="K49" i="1"/>
  <c r="K51" i="1"/>
  <c r="K50" i="1"/>
  <c r="K53" i="1"/>
  <c r="K52" i="1"/>
  <c r="AB50" i="1" l="1"/>
  <c r="AA50" i="1" s="1"/>
  <c r="AB52" i="1"/>
  <c r="AA52" i="1" s="1"/>
  <c r="X49" i="1"/>
  <c r="AB49" i="1"/>
  <c r="AA49" i="1" s="1"/>
  <c r="X51" i="1"/>
  <c r="X53" i="1"/>
  <c r="X50" i="1"/>
  <c r="X52" i="1"/>
  <c r="Z52" i="1" l="1"/>
  <c r="Y52" i="1"/>
  <c r="AC52" i="1" s="1"/>
  <c r="Z48" i="1"/>
  <c r="Y48" i="1"/>
  <c r="Y51" i="1"/>
  <c r="AC51" i="1" s="1"/>
  <c r="Z51" i="1"/>
  <c r="Y49" i="1"/>
  <c r="AC49" i="1" s="1"/>
  <c r="Z49" i="1"/>
  <c r="Z50" i="1"/>
  <c r="Y50" i="1"/>
  <c r="AC50" i="1" s="1"/>
  <c r="Y53" i="1"/>
  <c r="AC53" i="1" s="1"/>
  <c r="Z53" i="1"/>
  <c r="K48" i="1" l="1"/>
  <c r="L48" i="1" s="1"/>
  <c r="M48" i="1" s="1"/>
  <c r="AB48" i="1" s="1"/>
  <c r="AA48" i="1" s="1"/>
  <c r="AC48" i="1" s="1"/>
  <c r="N48" i="1" l="1"/>
  <c r="AR13" i="1" l="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54" i="1"/>
  <c r="AR55" i="1"/>
  <c r="AR56" i="1"/>
  <c r="AR57" i="1"/>
  <c r="AR58" i="1"/>
  <c r="AR59" i="1"/>
  <c r="AR60" i="1"/>
  <c r="AR61" i="1"/>
  <c r="AR62" i="1"/>
  <c r="AR63" i="1"/>
  <c r="AR64" i="1"/>
  <c r="AR65" i="1"/>
  <c r="AR66" i="1"/>
  <c r="AR67" i="1"/>
  <c r="AR68" i="1"/>
  <c r="AR69" i="1"/>
  <c r="AR70" i="1"/>
  <c r="AR71" i="1"/>
  <c r="AR72" i="1"/>
  <c r="AR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54" i="1"/>
  <c r="AM55" i="1"/>
  <c r="AM56" i="1"/>
  <c r="AM57" i="1"/>
  <c r="AM58" i="1"/>
  <c r="AM59" i="1"/>
  <c r="AM60" i="1"/>
  <c r="AM61" i="1"/>
  <c r="AM62" i="1"/>
  <c r="AM63" i="1"/>
  <c r="AM64" i="1"/>
  <c r="AM65" i="1"/>
  <c r="AM66" i="1"/>
  <c r="AM67" i="1"/>
  <c r="AM68" i="1"/>
  <c r="AM69" i="1"/>
  <c r="AM70" i="1"/>
  <c r="AM71" i="1"/>
  <c r="AM72" i="1"/>
  <c r="AM12" i="1"/>
  <c r="T77" i="1"/>
  <c r="Q77" i="1"/>
  <c r="T76" i="1"/>
  <c r="Q76" i="1"/>
  <c r="T75" i="1"/>
  <c r="Q75" i="1"/>
  <c r="T74" i="1"/>
  <c r="Q74" i="1"/>
  <c r="T73" i="1"/>
  <c r="Q73" i="1"/>
  <c r="T72" i="1"/>
  <c r="Q72" i="1"/>
  <c r="H72" i="1"/>
  <c r="I72" i="1" s="1"/>
  <c r="T71" i="1"/>
  <c r="Q71" i="1"/>
  <c r="T70" i="1"/>
  <c r="Q70" i="1"/>
  <c r="T69" i="1"/>
  <c r="Q69" i="1"/>
  <c r="T68" i="1"/>
  <c r="Q68" i="1"/>
  <c r="T67" i="1"/>
  <c r="Q67" i="1"/>
  <c r="T66" i="1"/>
  <c r="Q66" i="1"/>
  <c r="H66" i="1"/>
  <c r="T65" i="1"/>
  <c r="Q65" i="1"/>
  <c r="T64" i="1"/>
  <c r="Q64" i="1"/>
  <c r="T63" i="1"/>
  <c r="Q63" i="1"/>
  <c r="T62" i="1"/>
  <c r="Q62" i="1"/>
  <c r="T61" i="1"/>
  <c r="Q61" i="1"/>
  <c r="T60" i="1"/>
  <c r="Q60" i="1"/>
  <c r="H60" i="1"/>
  <c r="I60" i="1" s="1"/>
  <c r="H42" i="1"/>
  <c r="H12" i="1"/>
  <c r="I12" i="1" s="1"/>
  <c r="K70" i="1"/>
  <c r="K26" i="1"/>
  <c r="K64" i="1"/>
  <c r="K61" i="1"/>
  <c r="K31" i="1"/>
  <c r="K43" i="1"/>
  <c r="K29" i="1"/>
  <c r="K33" i="1"/>
  <c r="K20" i="1"/>
  <c r="K41" i="1"/>
  <c r="K44" i="1"/>
  <c r="K39" i="1"/>
  <c r="K62" i="1"/>
  <c r="K22" i="1"/>
  <c r="K56" i="1"/>
  <c r="K59" i="1"/>
  <c r="K57" i="1"/>
  <c r="K32" i="1"/>
  <c r="K37" i="1"/>
  <c r="K77" i="1"/>
  <c r="K45" i="1"/>
  <c r="K58" i="1"/>
  <c r="K74" i="1"/>
  <c r="K38" i="1"/>
  <c r="K27" i="1"/>
  <c r="K25" i="1"/>
  <c r="K67" i="1"/>
  <c r="K69" i="1"/>
  <c r="K40" i="1"/>
  <c r="K68" i="1"/>
  <c r="K73" i="1"/>
  <c r="K19" i="1"/>
  <c r="K47" i="1"/>
  <c r="K55" i="1"/>
  <c r="K71" i="1"/>
  <c r="K21" i="1"/>
  <c r="K23" i="1"/>
  <c r="K46" i="1"/>
  <c r="K34" i="1"/>
  <c r="K28" i="1"/>
  <c r="K35" i="1"/>
  <c r="K75" i="1"/>
  <c r="K76" i="1"/>
  <c r="K63" i="1"/>
  <c r="K65" i="1"/>
  <c r="AB73" i="1" l="1"/>
  <c r="AA73" i="1" s="1"/>
  <c r="AB77" i="1"/>
  <c r="AA77" i="1" s="1"/>
  <c r="AB61" i="1"/>
  <c r="AA61" i="1" s="1"/>
  <c r="AB63" i="1"/>
  <c r="AA63" i="1" s="1"/>
  <c r="AB65" i="1"/>
  <c r="AA65" i="1" s="1"/>
  <c r="AB68" i="1"/>
  <c r="AA68" i="1" s="1"/>
  <c r="AB70" i="1"/>
  <c r="AA70" i="1" s="1"/>
  <c r="AB74" i="1"/>
  <c r="AA74" i="1" s="1"/>
  <c r="AB76" i="1"/>
  <c r="AA76" i="1" s="1"/>
  <c r="X73" i="1"/>
  <c r="Y73" i="1" s="1"/>
  <c r="AB67" i="1"/>
  <c r="AA67" i="1" s="1"/>
  <c r="AB69" i="1"/>
  <c r="AA69" i="1" s="1"/>
  <c r="AB71" i="1"/>
  <c r="AA71" i="1" s="1"/>
  <c r="X77" i="1"/>
  <c r="Y77" i="1" s="1"/>
  <c r="AB62" i="1"/>
  <c r="AA62" i="1" s="1"/>
  <c r="AB64" i="1"/>
  <c r="AA64" i="1" s="1"/>
  <c r="X75" i="1"/>
  <c r="AB75" i="1"/>
  <c r="AA75" i="1" s="1"/>
  <c r="X72" i="1"/>
  <c r="X76" i="1"/>
  <c r="X74" i="1"/>
  <c r="X67" i="1"/>
  <c r="X68" i="1"/>
  <c r="X69" i="1"/>
  <c r="X70" i="1"/>
  <c r="X71" i="1"/>
  <c r="I66" i="1"/>
  <c r="X66" i="1" s="1"/>
  <c r="X60" i="1"/>
  <c r="X61" i="1"/>
  <c r="X62" i="1"/>
  <c r="X63" i="1"/>
  <c r="X64" i="1"/>
  <c r="X65" i="1"/>
  <c r="F221" i="13"/>
  <c r="F211" i="13"/>
  <c r="F212" i="13"/>
  <c r="F213" i="13"/>
  <c r="F214" i="13"/>
  <c r="F215" i="13"/>
  <c r="F216" i="13"/>
  <c r="F217" i="13"/>
  <c r="F218" i="13"/>
  <c r="F219" i="13"/>
  <c r="F220" i="13"/>
  <c r="F210" i="13"/>
  <c r="K16" i="1"/>
  <c r="K13" i="1"/>
  <c r="K15" i="1"/>
  <c r="K17" i="1"/>
  <c r="K14" i="1"/>
  <c r="B221" i="13" a="1"/>
  <c r="AC73" i="1" l="1"/>
  <c r="AC47" i="19"/>
  <c r="Q47" i="19"/>
  <c r="K47" i="19"/>
  <c r="K58" i="19"/>
  <c r="W47" i="19"/>
  <c r="AC77" i="1"/>
  <c r="AG47" i="19"/>
  <c r="U47" i="19"/>
  <c r="O47" i="19"/>
  <c r="O58" i="19"/>
  <c r="AA47" i="19"/>
  <c r="Z73" i="1"/>
  <c r="Z77" i="1"/>
  <c r="Z74" i="1"/>
  <c r="Y74" i="1"/>
  <c r="Z75" i="1"/>
  <c r="Y75" i="1"/>
  <c r="Z72" i="1"/>
  <c r="Y72" i="1"/>
  <c r="Z76" i="1"/>
  <c r="Y76" i="1"/>
  <c r="Y67" i="1"/>
  <c r="Z67" i="1"/>
  <c r="Y70" i="1"/>
  <c r="Z70" i="1"/>
  <c r="Y68" i="1"/>
  <c r="Z68" i="1"/>
  <c r="Y71" i="1"/>
  <c r="Z71" i="1"/>
  <c r="Y69" i="1"/>
  <c r="Z69" i="1"/>
  <c r="Y66" i="1"/>
  <c r="Z66" i="1"/>
  <c r="Y62" i="1"/>
  <c r="Z62" i="1"/>
  <c r="Y65" i="1"/>
  <c r="Z65" i="1"/>
  <c r="Y61" i="1"/>
  <c r="Z61" i="1"/>
  <c r="Y64" i="1"/>
  <c r="Z64" i="1"/>
  <c r="Y63" i="1"/>
  <c r="Z63" i="1"/>
  <c r="Y60" i="1"/>
  <c r="Z60" i="1"/>
  <c r="B221" i="13"/>
  <c r="Q54" i="1"/>
  <c r="Q43" i="1"/>
  <c r="AC69" i="1" l="1"/>
  <c r="AE35" i="19"/>
  <c r="M46" i="19"/>
  <c r="AE57" i="19"/>
  <c r="S57" i="19"/>
  <c r="AE46" i="19"/>
  <c r="S46" i="19"/>
  <c r="Y57" i="19"/>
  <c r="Y46" i="19"/>
  <c r="M57" i="19"/>
  <c r="AC61" i="1"/>
  <c r="AC56" i="19"/>
  <c r="Q56" i="19"/>
  <c r="AI45" i="19"/>
  <c r="K45" i="19"/>
  <c r="Q34" i="19"/>
  <c r="W24" i="19"/>
  <c r="AC14" i="19"/>
  <c r="AI56" i="19"/>
  <c r="AC45" i="19"/>
  <c r="AI34" i="19"/>
  <c r="K34" i="19"/>
  <c r="Q24" i="19"/>
  <c r="W14" i="19"/>
  <c r="W34" i="19"/>
  <c r="AC24" i="19"/>
  <c r="W56" i="19"/>
  <c r="W45" i="19"/>
  <c r="AC34" i="19"/>
  <c r="AI24" i="19"/>
  <c r="K24" i="19"/>
  <c r="Q14" i="19"/>
  <c r="K56" i="19"/>
  <c r="Q45" i="19"/>
  <c r="AI14" i="19"/>
  <c r="K14" i="19"/>
  <c r="AC67" i="1"/>
  <c r="W57" i="19"/>
  <c r="K57" i="19"/>
  <c r="W46" i="19"/>
  <c r="AC46" i="19"/>
  <c r="AC35" i="19"/>
  <c r="K46" i="19"/>
  <c r="AC57" i="19"/>
  <c r="Q57" i="19"/>
  <c r="Q46" i="19"/>
  <c r="AC76" i="1"/>
  <c r="AF47" i="19"/>
  <c r="T47" i="19"/>
  <c r="N58" i="19"/>
  <c r="N47" i="19"/>
  <c r="Z47" i="19"/>
  <c r="AC75" i="1"/>
  <c r="M58" i="19"/>
  <c r="Y47" i="19"/>
  <c r="AE47" i="19"/>
  <c r="S47" i="19"/>
  <c r="M47" i="19"/>
  <c r="AC74" i="1"/>
  <c r="L47" i="19"/>
  <c r="L58" i="19"/>
  <c r="X47" i="19"/>
  <c r="R47" i="19"/>
  <c r="AD47" i="19"/>
  <c r="AC63" i="1"/>
  <c r="Y56" i="19"/>
  <c r="Y45" i="19"/>
  <c r="AE34" i="19"/>
  <c r="AK24" i="19"/>
  <c r="M24" i="19"/>
  <c r="S14" i="19"/>
  <c r="M56" i="19"/>
  <c r="S45" i="19"/>
  <c r="Y34" i="19"/>
  <c r="AE24" i="19"/>
  <c r="AK14" i="19"/>
  <c r="M14" i="19"/>
  <c r="S24" i="19"/>
  <c r="AE56" i="19"/>
  <c r="S56" i="19"/>
  <c r="AK45" i="19"/>
  <c r="M45" i="19"/>
  <c r="S34" i="19"/>
  <c r="Y24" i="19"/>
  <c r="AE14" i="19"/>
  <c r="AK56" i="19"/>
  <c r="AE45" i="19"/>
  <c r="AK34" i="19"/>
  <c r="M34" i="19"/>
  <c r="Y14" i="19"/>
  <c r="AC62" i="1"/>
  <c r="AJ56" i="19"/>
  <c r="AD45" i="19"/>
  <c r="AJ34" i="19"/>
  <c r="L34" i="19"/>
  <c r="R24" i="19"/>
  <c r="X14" i="19"/>
  <c r="X56" i="19"/>
  <c r="X45" i="19"/>
  <c r="AD34" i="19"/>
  <c r="AJ24" i="19"/>
  <c r="L24" i="19"/>
  <c r="R14" i="19"/>
  <c r="R56" i="19"/>
  <c r="AJ45" i="19"/>
  <c r="L45" i="19"/>
  <c r="AD14" i="19"/>
  <c r="L56" i="19"/>
  <c r="R45" i="19"/>
  <c r="X34" i="19"/>
  <c r="AD24" i="19"/>
  <c r="AJ14" i="19"/>
  <c r="L14" i="19"/>
  <c r="AD56" i="19"/>
  <c r="R34" i="19"/>
  <c r="X24" i="19"/>
  <c r="AC68" i="1"/>
  <c r="X57" i="19"/>
  <c r="L57" i="19"/>
  <c r="X46" i="19"/>
  <c r="AD35" i="19"/>
  <c r="L46" i="19"/>
  <c r="AD57" i="19"/>
  <c r="R57" i="19"/>
  <c r="AD46" i="19"/>
  <c r="R46" i="19"/>
  <c r="AC64" i="1"/>
  <c r="N56" i="19"/>
  <c r="T45" i="19"/>
  <c r="Z34" i="19"/>
  <c r="AF24" i="19"/>
  <c r="AL14" i="19"/>
  <c r="N14" i="19"/>
  <c r="AF56" i="19"/>
  <c r="T56" i="19"/>
  <c r="AL45" i="19"/>
  <c r="N45" i="19"/>
  <c r="T34" i="19"/>
  <c r="Z24" i="19"/>
  <c r="AF14" i="19"/>
  <c r="AF34" i="19"/>
  <c r="AL24" i="19"/>
  <c r="AL56" i="19"/>
  <c r="AF45" i="19"/>
  <c r="AL34" i="19"/>
  <c r="N34" i="19"/>
  <c r="T24" i="19"/>
  <c r="Z14" i="19"/>
  <c r="Z56" i="19"/>
  <c r="Z45" i="19"/>
  <c r="N24" i="19"/>
  <c r="T14" i="19"/>
  <c r="AC65" i="1"/>
  <c r="AG56" i="19"/>
  <c r="U56" i="19"/>
  <c r="AM45" i="19"/>
  <c r="O45" i="19"/>
  <c r="U34" i="19"/>
  <c r="AA24" i="19"/>
  <c r="AG14" i="19"/>
  <c r="AM56" i="19"/>
  <c r="AG45" i="19"/>
  <c r="AM34" i="19"/>
  <c r="O34" i="19"/>
  <c r="U24" i="19"/>
  <c r="AA14" i="19"/>
  <c r="O56" i="19"/>
  <c r="U45" i="19"/>
  <c r="AM14" i="19"/>
  <c r="O14" i="19"/>
  <c r="AA56" i="19"/>
  <c r="AA45" i="19"/>
  <c r="AG34" i="19"/>
  <c r="AM24" i="19"/>
  <c r="O24" i="19"/>
  <c r="U14" i="19"/>
  <c r="AA34" i="19"/>
  <c r="AG24" i="19"/>
  <c r="AC71" i="1"/>
  <c r="AA57" i="19"/>
  <c r="O57" i="19"/>
  <c r="AA46" i="19"/>
  <c r="U57" i="19"/>
  <c r="U46" i="19"/>
  <c r="AG35" i="19"/>
  <c r="O46" i="19"/>
  <c r="AG57" i="19"/>
  <c r="AG46" i="19"/>
  <c r="AC70" i="1"/>
  <c r="AF57" i="19"/>
  <c r="T57" i="19"/>
  <c r="AF46" i="19"/>
  <c r="T46" i="19"/>
  <c r="AF35" i="19"/>
  <c r="Z57" i="19"/>
  <c r="N57" i="19"/>
  <c r="Z46" i="19"/>
  <c r="N46" i="19"/>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9" i="1" l="1"/>
  <c r="Q59" i="1"/>
  <c r="T58" i="1"/>
  <c r="Q58" i="1"/>
  <c r="T57" i="1"/>
  <c r="Q57" i="1"/>
  <c r="T56" i="1"/>
  <c r="Q56" i="1"/>
  <c r="T55" i="1"/>
  <c r="Q55" i="1"/>
  <c r="T54" i="1"/>
  <c r="H54" i="1"/>
  <c r="T47" i="1"/>
  <c r="Q47" i="1"/>
  <c r="T46" i="1"/>
  <c r="Q46" i="1"/>
  <c r="T45" i="1"/>
  <c r="Q45" i="1"/>
  <c r="T44" i="1"/>
  <c r="Q44" i="1"/>
  <c r="T43" i="1"/>
  <c r="T42" i="1"/>
  <c r="Q42" i="1"/>
  <c r="I42" i="1"/>
  <c r="T41" i="1"/>
  <c r="Q41" i="1"/>
  <c r="T40" i="1"/>
  <c r="Q40" i="1"/>
  <c r="T39" i="1"/>
  <c r="Q39" i="1"/>
  <c r="T38" i="1"/>
  <c r="Q38" i="1"/>
  <c r="T37" i="1"/>
  <c r="Q37" i="1"/>
  <c r="H36" i="1"/>
  <c r="I36" i="1" s="1"/>
  <c r="T35" i="1"/>
  <c r="Q35" i="1"/>
  <c r="T34" i="1"/>
  <c r="Q34" i="1"/>
  <c r="T33" i="1"/>
  <c r="Q33" i="1"/>
  <c r="T32" i="1"/>
  <c r="Q32" i="1"/>
  <c r="T31" i="1"/>
  <c r="Q31" i="1"/>
  <c r="T30" i="1"/>
  <c r="Q30" i="1"/>
  <c r="H30" i="1"/>
  <c r="I30" i="1" s="1"/>
  <c r="T29" i="1"/>
  <c r="Q29" i="1"/>
  <c r="T28" i="1"/>
  <c r="Q28" i="1"/>
  <c r="T27" i="1"/>
  <c r="Q27" i="1"/>
  <c r="T26" i="1"/>
  <c r="Q26" i="1"/>
  <c r="T25" i="1"/>
  <c r="Q25" i="1"/>
  <c r="T24" i="1"/>
  <c r="Q24" i="1"/>
  <c r="H24" i="1"/>
  <c r="I24" i="1" s="1"/>
  <c r="H18" i="1"/>
  <c r="Q17" i="1"/>
  <c r="Q16" i="1"/>
  <c r="Q15" i="1"/>
  <c r="T23" i="1"/>
  <c r="Q23" i="1"/>
  <c r="T22" i="1"/>
  <c r="Q22" i="1"/>
  <c r="T21" i="1"/>
  <c r="Q21" i="1"/>
  <c r="T20" i="1"/>
  <c r="Q20" i="1"/>
  <c r="T19" i="1"/>
  <c r="Q19" i="1"/>
  <c r="T18" i="1"/>
  <c r="Q18" i="1"/>
  <c r="I54" i="1" l="1"/>
  <c r="I18" i="1"/>
  <c r="X18" i="1" s="1"/>
  <c r="X54" i="1"/>
  <c r="X42" i="1"/>
  <c r="X30" i="1"/>
  <c r="X24" i="1"/>
  <c r="Y54" i="1" l="1"/>
  <c r="Z54" i="1"/>
  <c r="X55" i="1" s="1"/>
  <c r="Z55" i="1" s="1"/>
  <c r="X56" i="1" s="1"/>
  <c r="Y42" i="1"/>
  <c r="Z42" i="1"/>
  <c r="X43" i="1" s="1"/>
  <c r="Z43" i="1" s="1"/>
  <c r="X44" i="1" s="1"/>
  <c r="Y30" i="1"/>
  <c r="Z30" i="1"/>
  <c r="X31" i="1" s="1"/>
  <c r="Z31" i="1" s="1"/>
  <c r="X32" i="1" s="1"/>
  <c r="Y32" i="1" s="1"/>
  <c r="Y24" i="1"/>
  <c r="Z24" i="1"/>
  <c r="X25" i="1" s="1"/>
  <c r="Y25" i="1" s="1"/>
  <c r="Y18" i="1"/>
  <c r="Z18" i="1"/>
  <c r="X19" i="1" s="1"/>
  <c r="Y55" i="1" l="1"/>
  <c r="Z25" i="1"/>
  <c r="X26" i="1" s="1"/>
  <c r="Y26" i="1" s="1"/>
  <c r="Y43" i="1"/>
  <c r="Y31" i="1"/>
  <c r="Y44" i="1"/>
  <c r="Z44" i="1"/>
  <c r="Z56" i="1"/>
  <c r="X57" i="1" s="1"/>
  <c r="Y56" i="1"/>
  <c r="X37" i="1"/>
  <c r="Z32" i="1"/>
  <c r="T54" i="19"/>
  <c r="AF32" i="19"/>
  <c r="N22" i="19"/>
  <c r="AL32" i="19"/>
  <c r="N54" i="19"/>
  <c r="AL12" i="19"/>
  <c r="AL54" i="19"/>
  <c r="AL43" i="19"/>
  <c r="T32" i="19"/>
  <c r="AF12" i="19"/>
  <c r="N32" i="19"/>
  <c r="T43" i="19"/>
  <c r="N12" i="19"/>
  <c r="Z54" i="19"/>
  <c r="Z43" i="19"/>
  <c r="AL22" i="19"/>
  <c r="T12" i="19"/>
  <c r="T22" i="19"/>
  <c r="Z32" i="19"/>
  <c r="AF54" i="19"/>
  <c r="N43" i="19"/>
  <c r="Z22" i="19"/>
  <c r="AF43" i="19"/>
  <c r="Z12" i="19"/>
  <c r="AF22" i="19"/>
  <c r="AM43" i="19"/>
  <c r="U32" i="19"/>
  <c r="AG12" i="19"/>
  <c r="U43" i="19"/>
  <c r="O12" i="19"/>
  <c r="U22" i="19"/>
  <c r="AM54" i="19"/>
  <c r="AA43" i="19"/>
  <c r="AM22" i="19"/>
  <c r="U12" i="19"/>
  <c r="AA32" i="19"/>
  <c r="AG43" i="19"/>
  <c r="AA12" i="19"/>
  <c r="AG54" i="19"/>
  <c r="O43" i="19"/>
  <c r="AA22" i="19"/>
  <c r="AA54" i="19"/>
  <c r="AG22" i="19"/>
  <c r="AM32" i="19"/>
  <c r="U54" i="19"/>
  <c r="AG32" i="19"/>
  <c r="O22" i="19"/>
  <c r="O54" i="19"/>
  <c r="AM12" i="19"/>
  <c r="O32" i="19"/>
  <c r="T13" i="1"/>
  <c r="T14" i="1"/>
  <c r="T15" i="1"/>
  <c r="T16" i="1"/>
  <c r="T17" i="1"/>
  <c r="Y57" i="1" l="1"/>
  <c r="Z57" i="1"/>
  <c r="X58" i="1" s="1"/>
  <c r="Z26" i="1"/>
  <c r="X27" i="1" s="1"/>
  <c r="Z27" i="1" s="1"/>
  <c r="X45" i="1"/>
  <c r="Y37" i="1"/>
  <c r="Z37" i="1"/>
  <c r="X38" i="1" s="1"/>
  <c r="Y38" i="1" s="1"/>
  <c r="X34" i="1"/>
  <c r="Y34" i="1" s="1"/>
  <c r="X33" i="1"/>
  <c r="Y19" i="1"/>
  <c r="Z19" i="1"/>
  <c r="X20" i="1" s="1"/>
  <c r="Y20" i="1" s="1"/>
  <c r="Z38" i="1" l="1"/>
  <c r="X39" i="1" s="1"/>
  <c r="Z39" i="1" s="1"/>
  <c r="X40" i="1" s="1"/>
  <c r="Y58" i="1"/>
  <c r="Z58" i="1"/>
  <c r="X59" i="1" s="1"/>
  <c r="Y27" i="1"/>
  <c r="Y45" i="1"/>
  <c r="Z45" i="1"/>
  <c r="X46" i="1" s="1"/>
  <c r="Y46" i="1" s="1"/>
  <c r="X28" i="1"/>
  <c r="Y33" i="1"/>
  <c r="Z33" i="1"/>
  <c r="Z34" i="1"/>
  <c r="X35" i="1" s="1"/>
  <c r="Z20" i="1"/>
  <c r="X21" i="1" s="1"/>
  <c r="Y21" i="1" s="1"/>
  <c r="Q14" i="1"/>
  <c r="Y39" i="1" l="1"/>
  <c r="Y59" i="1"/>
  <c r="Z59" i="1"/>
  <c r="Z46" i="1"/>
  <c r="X47" i="1" s="1"/>
  <c r="Y47" i="1" s="1"/>
  <c r="Z40" i="1"/>
  <c r="X41" i="1" s="1"/>
  <c r="Y40" i="1"/>
  <c r="Y28" i="1"/>
  <c r="Z28" i="1"/>
  <c r="X29" i="1" s="1"/>
  <c r="Y29" i="1" s="1"/>
  <c r="Y35" i="1"/>
  <c r="Z35" i="1"/>
  <c r="Z21" i="1"/>
  <c r="X22" i="1" s="1"/>
  <c r="Z22" i="1" s="1"/>
  <c r="X23" i="1" s="1"/>
  <c r="X12" i="1"/>
  <c r="Y12" i="1" s="1"/>
  <c r="Y41" i="1" l="1"/>
  <c r="Z41" i="1"/>
  <c r="Z47" i="1"/>
  <c r="Z29" i="1"/>
  <c r="Y22" i="1"/>
  <c r="Y23" i="1"/>
  <c r="Z23" i="1"/>
  <c r="Z12" i="1" l="1"/>
  <c r="X13" i="1" s="1"/>
  <c r="Y13" i="1" l="1"/>
  <c r="Z13" i="1" l="1"/>
  <c r="X14" i="1" s="1"/>
  <c r="Y14" i="1" s="1"/>
  <c r="Z14" i="1" l="1"/>
  <c r="X15" i="1" s="1"/>
  <c r="Z15" i="1" l="1"/>
  <c r="X16" i="1" s="1"/>
  <c r="Y16" i="1" l="1"/>
  <c r="Z16" i="1"/>
  <c r="X17" i="1" s="1"/>
  <c r="Y15" i="1"/>
  <c r="Y17" i="1" l="1"/>
  <c r="Z17" i="1"/>
  <c r="AH34" i="18" l="1"/>
  <c r="AH42" i="18"/>
  <c r="AH18" i="18"/>
  <c r="AB10" i="18"/>
  <c r="J26" i="18"/>
  <c r="V18" i="18"/>
  <c r="V42" i="18"/>
  <c r="J42" i="18"/>
  <c r="P10" i="18"/>
  <c r="AB26" i="18"/>
  <c r="J34" i="18"/>
  <c r="J18" i="18"/>
  <c r="AH10" i="18"/>
  <c r="AB34" i="18"/>
  <c r="P26" i="18"/>
  <c r="P34" i="18"/>
  <c r="V34" i="18"/>
  <c r="AH26" i="18"/>
  <c r="J10" i="18"/>
  <c r="P18" i="18"/>
  <c r="AB42" i="18"/>
  <c r="V10" i="18"/>
  <c r="AB18" i="18"/>
  <c r="P42" i="18"/>
  <c r="V26" i="18"/>
  <c r="AB31" i="1" l="1"/>
  <c r="AB43" i="1"/>
  <c r="AB55" i="1"/>
  <c r="AB13" i="1"/>
  <c r="AB19" i="1"/>
  <c r="AB25" i="1"/>
  <c r="AB37" i="1"/>
  <c r="J41" i="19" l="1"/>
  <c r="V30" i="19"/>
  <c r="AH20" i="19"/>
  <c r="J30" i="19"/>
  <c r="V20" i="19"/>
  <c r="AH10" i="19"/>
  <c r="P10" i="19"/>
  <c r="AB52" i="19"/>
  <c r="J52" i="19"/>
  <c r="AB41" i="19"/>
  <c r="P30" i="19"/>
  <c r="V52" i="19"/>
  <c r="P52" i="19"/>
  <c r="AB10" i="19"/>
  <c r="AH30" i="19"/>
  <c r="AH41" i="19"/>
  <c r="J10" i="19"/>
  <c r="AB20" i="19"/>
  <c r="AH52" i="19"/>
  <c r="V10" i="19"/>
  <c r="P20" i="19"/>
  <c r="J20" i="19"/>
  <c r="P41" i="19"/>
  <c r="V41" i="19"/>
  <c r="AB30" i="19"/>
  <c r="AA25" i="1"/>
  <c r="AB26" i="1"/>
  <c r="AB14" i="1"/>
  <c r="AA13" i="1"/>
  <c r="AB38" i="1"/>
  <c r="AA37" i="1"/>
  <c r="AA43" i="1"/>
  <c r="AB44" i="1"/>
  <c r="AA44" i="1" s="1"/>
  <c r="AB45" i="1"/>
  <c r="V32" i="19"/>
  <c r="P43" i="19"/>
  <c r="J12" i="19"/>
  <c r="J32" i="19"/>
  <c r="AB54" i="19"/>
  <c r="J22" i="19"/>
  <c r="V22" i="19"/>
  <c r="J54" i="19"/>
  <c r="AH12" i="19"/>
  <c r="J43" i="19"/>
  <c r="AH43" i="19"/>
  <c r="P32" i="19"/>
  <c r="AB12" i="19"/>
  <c r="AH32" i="19"/>
  <c r="AB32" i="19"/>
  <c r="AB43" i="19"/>
  <c r="V43" i="19"/>
  <c r="V12" i="19"/>
  <c r="V54" i="19"/>
  <c r="AB22" i="19"/>
  <c r="AH54" i="19"/>
  <c r="AH22" i="19"/>
  <c r="P22" i="19"/>
  <c r="P12" i="19"/>
  <c r="P54" i="19"/>
  <c r="AB20" i="1"/>
  <c r="AA19" i="1"/>
  <c r="AA55" i="1"/>
  <c r="AB56" i="1"/>
  <c r="AA31" i="1"/>
  <c r="AB32" i="1"/>
  <c r="W38" i="19" l="1"/>
  <c r="AI7" i="19"/>
  <c r="W17" i="19"/>
  <c r="W27" i="19"/>
  <c r="Q49" i="19"/>
  <c r="W7" i="19"/>
  <c r="AI17" i="19"/>
  <c r="K49" i="19"/>
  <c r="AI49" i="19"/>
  <c r="Q27" i="19"/>
  <c r="AC27" i="19"/>
  <c r="AC49" i="19"/>
  <c r="AC38" i="19"/>
  <c r="AI38" i="19"/>
  <c r="AC19" i="1"/>
  <c r="AC17" i="19"/>
  <c r="K38" i="19"/>
  <c r="AC7" i="19"/>
  <c r="W49" i="19"/>
  <c r="Q38" i="19"/>
  <c r="AI27" i="19"/>
  <c r="Q7" i="19"/>
  <c r="K27" i="19"/>
  <c r="K17" i="19"/>
  <c r="K7" i="19"/>
  <c r="Q17" i="19"/>
  <c r="K36" i="19"/>
  <c r="AC25" i="19"/>
  <c r="AI47" i="19"/>
  <c r="Q36" i="19"/>
  <c r="AC15" i="19"/>
  <c r="Q15" i="19"/>
  <c r="AC36" i="19"/>
  <c r="AI36" i="19"/>
  <c r="Q58" i="19"/>
  <c r="AI25" i="19"/>
  <c r="AC58" i="19"/>
  <c r="W15" i="19"/>
  <c r="K15" i="19"/>
  <c r="W25" i="19"/>
  <c r="Q25" i="19"/>
  <c r="W58" i="19"/>
  <c r="K25" i="19"/>
  <c r="W36" i="19"/>
  <c r="AI58" i="19"/>
  <c r="AI15" i="19"/>
  <c r="AI42" i="19"/>
  <c r="W11" i="19"/>
  <c r="Q53" i="19"/>
  <c r="W21" i="19"/>
  <c r="AC11" i="19"/>
  <c r="AI53" i="19"/>
  <c r="W42" i="19"/>
  <c r="K42" i="19"/>
  <c r="AI11" i="19"/>
  <c r="AC42" i="19"/>
  <c r="AC21" i="19"/>
  <c r="K31" i="19"/>
  <c r="W53" i="19"/>
  <c r="Q21" i="19"/>
  <c r="Q31" i="19"/>
  <c r="AI21" i="19"/>
  <c r="K53" i="19"/>
  <c r="K21" i="19"/>
  <c r="AI31" i="19"/>
  <c r="Q42" i="19"/>
  <c r="K11" i="19"/>
  <c r="AC31" i="19"/>
  <c r="AC53" i="19"/>
  <c r="W31" i="19"/>
  <c r="Q11" i="19"/>
  <c r="AC43" i="1"/>
  <c r="AD58" i="19"/>
  <c r="R15" i="19"/>
  <c r="AJ36" i="19"/>
  <c r="AJ15" i="19"/>
  <c r="AJ58" i="19"/>
  <c r="R25" i="19"/>
  <c r="X15" i="19"/>
  <c r="R58" i="19"/>
  <c r="X58" i="19"/>
  <c r="AD15" i="19"/>
  <c r="L36" i="19"/>
  <c r="L15" i="19"/>
  <c r="L25" i="19"/>
  <c r="AD25" i="19"/>
  <c r="X36" i="19"/>
  <c r="X25" i="19"/>
  <c r="R36" i="19"/>
  <c r="AJ25" i="19"/>
  <c r="AD36" i="19"/>
  <c r="AJ47" i="19"/>
  <c r="AJ54" i="19"/>
  <c r="AJ32" i="19"/>
  <c r="L32" i="19"/>
  <c r="AJ43" i="19"/>
  <c r="L12" i="19"/>
  <c r="L54" i="19"/>
  <c r="X12" i="19"/>
  <c r="R12" i="19"/>
  <c r="AD43" i="19"/>
  <c r="X43" i="19"/>
  <c r="AJ12" i="19"/>
  <c r="X32" i="19"/>
  <c r="R54" i="19"/>
  <c r="R32" i="19"/>
  <c r="X22" i="19"/>
  <c r="AJ22" i="19"/>
  <c r="L22" i="19"/>
  <c r="R22" i="19"/>
  <c r="AD12" i="19"/>
  <c r="AD32" i="19"/>
  <c r="AD22" i="19"/>
  <c r="X54" i="19"/>
  <c r="AD54" i="19"/>
  <c r="L43" i="19"/>
  <c r="R43" i="19"/>
  <c r="AJ21" i="19"/>
  <c r="AD31" i="19"/>
  <c r="R21" i="19"/>
  <c r="AD42" i="19"/>
  <c r="AJ11" i="19"/>
  <c r="AJ53" i="19"/>
  <c r="AC44" i="1"/>
  <c r="L42" i="19"/>
  <c r="AD11" i="19"/>
  <c r="L21" i="19"/>
  <c r="L11" i="19"/>
  <c r="X53" i="19"/>
  <c r="X21" i="19"/>
  <c r="R11" i="19"/>
  <c r="R31" i="19"/>
  <c r="AJ42" i="19"/>
  <c r="L31" i="19"/>
  <c r="R53" i="19"/>
  <c r="X31" i="19"/>
  <c r="X11" i="19"/>
  <c r="X42" i="19"/>
  <c r="AJ31" i="19"/>
  <c r="AD53" i="19"/>
  <c r="R42" i="19"/>
  <c r="AD21" i="19"/>
  <c r="L53" i="19"/>
  <c r="AB21" i="1"/>
  <c r="AA20" i="1"/>
  <c r="AA32" i="1"/>
  <c r="AB33" i="1"/>
  <c r="AA56" i="1"/>
  <c r="AB57" i="1"/>
  <c r="K43" i="19"/>
  <c r="AC32" i="19"/>
  <c r="W43" i="19"/>
  <c r="AI54" i="19"/>
  <c r="K22" i="19"/>
  <c r="Q32" i="19"/>
  <c r="AI12" i="19"/>
  <c r="AC54" i="19"/>
  <c r="Q43" i="19"/>
  <c r="AC43" i="19"/>
  <c r="K12" i="19"/>
  <c r="Q22" i="19"/>
  <c r="W54" i="19"/>
  <c r="AI43" i="19"/>
  <c r="W32" i="19"/>
  <c r="AI22" i="19"/>
  <c r="W12" i="19"/>
  <c r="AI32" i="19"/>
  <c r="AC12" i="19"/>
  <c r="Q12" i="19"/>
  <c r="Q54" i="19"/>
  <c r="K32" i="19"/>
  <c r="W22" i="19"/>
  <c r="K54" i="19"/>
  <c r="AC22" i="19"/>
  <c r="AC41" i="19"/>
  <c r="W10" i="19"/>
  <c r="AC52" i="19"/>
  <c r="Q10" i="19"/>
  <c r="Q30" i="19"/>
  <c r="W52" i="19"/>
  <c r="K41" i="19"/>
  <c r="Q52" i="19"/>
  <c r="W20" i="19"/>
  <c r="AC37" i="1"/>
  <c r="K10" i="19"/>
  <c r="Q41" i="19"/>
  <c r="K30" i="19"/>
  <c r="AI52" i="19"/>
  <c r="AI20" i="19"/>
  <c r="K52" i="19"/>
  <c r="AI41" i="19"/>
  <c r="W41" i="19"/>
  <c r="K20" i="19"/>
  <c r="AC10" i="19"/>
  <c r="AI10" i="19"/>
  <c r="AC20" i="19"/>
  <c r="AI30" i="19"/>
  <c r="AC30" i="19"/>
  <c r="W30" i="19"/>
  <c r="Q20" i="19"/>
  <c r="AC13" i="1"/>
  <c r="AI6" i="19"/>
  <c r="W26" i="19"/>
  <c r="AI37" i="19"/>
  <c r="W37" i="19"/>
  <c r="K48" i="19"/>
  <c r="Q48" i="19"/>
  <c r="W16" i="19"/>
  <c r="Q6" i="19"/>
  <c r="AI16" i="19"/>
  <c r="K26" i="19"/>
  <c r="AI26" i="19"/>
  <c r="AC37" i="19"/>
  <c r="AI48" i="19"/>
  <c r="AC26" i="19"/>
  <c r="K37" i="19"/>
  <c r="K6" i="19"/>
  <c r="Q37" i="19"/>
  <c r="W48" i="19"/>
  <c r="AC6" i="19"/>
  <c r="K16" i="19"/>
  <c r="AC48" i="19"/>
  <c r="AC16" i="19"/>
  <c r="Q26" i="19"/>
  <c r="Q16" i="19"/>
  <c r="W6" i="19"/>
  <c r="AB27" i="1"/>
  <c r="AA26" i="1"/>
  <c r="K40" i="19"/>
  <c r="AC40" i="19"/>
  <c r="W29" i="19"/>
  <c r="AI51" i="19"/>
  <c r="W9" i="19"/>
  <c r="AC19" i="19"/>
  <c r="Q51" i="19"/>
  <c r="W51" i="19"/>
  <c r="AC9" i="19"/>
  <c r="AI9" i="19"/>
  <c r="Q29" i="19"/>
  <c r="W40" i="19"/>
  <c r="Q40" i="19"/>
  <c r="AC31" i="1"/>
  <c r="K9" i="19"/>
  <c r="W19" i="19"/>
  <c r="AI40" i="19"/>
  <c r="K29" i="19"/>
  <c r="AC51" i="19"/>
  <c r="AI19" i="19"/>
  <c r="AC29" i="19"/>
  <c r="K19" i="19"/>
  <c r="K51" i="19"/>
  <c r="Q19" i="19"/>
  <c r="Q9" i="19"/>
  <c r="AI29" i="19"/>
  <c r="K23" i="19"/>
  <c r="AI44" i="19"/>
  <c r="AC44" i="19"/>
  <c r="AC55" i="19"/>
  <c r="W44" i="19"/>
  <c r="K13" i="19"/>
  <c r="Q55" i="19"/>
  <c r="AI55" i="19"/>
  <c r="K33" i="19"/>
  <c r="K44" i="19"/>
  <c r="AI33" i="19"/>
  <c r="AC33" i="19"/>
  <c r="AC55" i="1"/>
  <c r="Q33" i="19"/>
  <c r="AI23" i="19"/>
  <c r="K55" i="19"/>
  <c r="AC23" i="19"/>
  <c r="AC13" i="19"/>
  <c r="W23" i="19"/>
  <c r="W33" i="19"/>
  <c r="Q13" i="19"/>
  <c r="W13" i="19"/>
  <c r="AI13" i="19"/>
  <c r="Q44" i="19"/>
  <c r="Q23" i="19"/>
  <c r="W55" i="19"/>
  <c r="M12" i="19"/>
  <c r="AK43" i="19"/>
  <c r="AE32" i="19"/>
  <c r="M54" i="19"/>
  <c r="S12" i="19"/>
  <c r="M32" i="19"/>
  <c r="S54" i="19"/>
  <c r="Y54" i="19"/>
  <c r="Y43" i="19"/>
  <c r="AK12" i="19"/>
  <c r="S22" i="19"/>
  <c r="AE12" i="19"/>
  <c r="Y22" i="19"/>
  <c r="S32" i="19"/>
  <c r="AK54" i="19"/>
  <c r="M22" i="19"/>
  <c r="AK32" i="19"/>
  <c r="AE22" i="19"/>
  <c r="AE43" i="19"/>
  <c r="Y32" i="19"/>
  <c r="M43" i="19"/>
  <c r="Y12" i="19"/>
  <c r="AE54" i="19"/>
  <c r="AK22" i="19"/>
  <c r="S43" i="19"/>
  <c r="AA45" i="1"/>
  <c r="AB47" i="1"/>
  <c r="AA47" i="1" s="1"/>
  <c r="AB46" i="1"/>
  <c r="AA46" i="1" s="1"/>
  <c r="AA38" i="1"/>
  <c r="AB39" i="1"/>
  <c r="AB15" i="1"/>
  <c r="AA15" i="1" s="1"/>
  <c r="AA14" i="1"/>
  <c r="AB16" i="1"/>
  <c r="AC18" i="19"/>
  <c r="W28" i="19"/>
  <c r="W39" i="19"/>
  <c r="K18" i="19"/>
  <c r="AC8" i="19"/>
  <c r="AI50" i="19"/>
  <c r="AI28" i="19"/>
  <c r="K8" i="19"/>
  <c r="W18" i="19"/>
  <c r="W8" i="19"/>
  <c r="K39" i="19"/>
  <c r="AC28" i="19"/>
  <c r="AI8" i="19"/>
  <c r="Q8" i="19"/>
  <c r="W50" i="19"/>
  <c r="AI18" i="19"/>
  <c r="Q50" i="19"/>
  <c r="K50" i="19"/>
  <c r="Q39" i="19"/>
  <c r="K28" i="19"/>
  <c r="AC39" i="19"/>
  <c r="AC50" i="19"/>
  <c r="AI39" i="19"/>
  <c r="Q18" i="19"/>
  <c r="Q28" i="19"/>
  <c r="AC25" i="1"/>
  <c r="AA16" i="1" l="1"/>
  <c r="AB17" i="1"/>
  <c r="AA17" i="1" s="1"/>
  <c r="R41" i="19"/>
  <c r="AD10" i="19"/>
  <c r="X41" i="19"/>
  <c r="AJ10" i="19"/>
  <c r="R52" i="19"/>
  <c r="X10" i="19"/>
  <c r="R30" i="19"/>
  <c r="AC38" i="1"/>
  <c r="L10" i="19"/>
  <c r="L52" i="19"/>
  <c r="AJ20" i="19"/>
  <c r="AJ41" i="19"/>
  <c r="AD30" i="19"/>
  <c r="R20" i="19"/>
  <c r="AD52" i="19"/>
  <c r="AJ30" i="19"/>
  <c r="AJ52" i="19"/>
  <c r="X30" i="19"/>
  <c r="AD20" i="19"/>
  <c r="L41" i="19"/>
  <c r="X52" i="19"/>
  <c r="X20" i="19"/>
  <c r="AD41" i="19"/>
  <c r="R10" i="19"/>
  <c r="L30" i="19"/>
  <c r="L20" i="19"/>
  <c r="AA57" i="1"/>
  <c r="AB58" i="1"/>
  <c r="AD49" i="19"/>
  <c r="AJ27" i="19"/>
  <c r="AD27" i="19"/>
  <c r="AJ7" i="19"/>
  <c r="AJ38" i="19"/>
  <c r="L27" i="19"/>
  <c r="AD17" i="19"/>
  <c r="L38" i="19"/>
  <c r="R17" i="19"/>
  <c r="AJ17" i="19"/>
  <c r="X7" i="19"/>
  <c r="X49" i="19"/>
  <c r="L7" i="19"/>
  <c r="L17" i="19"/>
  <c r="R27" i="19"/>
  <c r="X27" i="19"/>
  <c r="R7" i="19"/>
  <c r="X17" i="19"/>
  <c r="AJ49" i="19"/>
  <c r="L49" i="19"/>
  <c r="R38" i="19"/>
  <c r="AD7" i="19"/>
  <c r="X38" i="19"/>
  <c r="AC20" i="1"/>
  <c r="R49" i="19"/>
  <c r="AD38" i="19"/>
  <c r="AB28" i="1"/>
  <c r="AA28" i="1" s="1"/>
  <c r="AA27" i="1"/>
  <c r="AB29" i="1"/>
  <c r="AA29" i="1" s="1"/>
  <c r="AJ44" i="19"/>
  <c r="AD33" i="19"/>
  <c r="X33" i="19"/>
  <c r="X13" i="19"/>
  <c r="AD44" i="19"/>
  <c r="L44" i="19"/>
  <c r="AC56" i="1"/>
  <c r="X23" i="19"/>
  <c r="R33" i="19"/>
  <c r="R44" i="19"/>
  <c r="AD55" i="19"/>
  <c r="AJ13" i="19"/>
  <c r="R23" i="19"/>
  <c r="R13" i="19"/>
  <c r="AJ55" i="19"/>
  <c r="L33" i="19"/>
  <c r="L23" i="19"/>
  <c r="X44" i="19"/>
  <c r="X55" i="19"/>
  <c r="AD13" i="19"/>
  <c r="L55" i="19"/>
  <c r="L13" i="19"/>
  <c r="AD23" i="19"/>
  <c r="AJ33" i="19"/>
  <c r="AJ23" i="19"/>
  <c r="R55" i="19"/>
  <c r="AA21" i="1"/>
  <c r="AB22" i="1"/>
  <c r="AK15" i="19"/>
  <c r="AE25" i="19"/>
  <c r="Y36" i="19"/>
  <c r="M25" i="19"/>
  <c r="S58" i="19"/>
  <c r="S36" i="19"/>
  <c r="M15" i="19"/>
  <c r="Y15" i="19"/>
  <c r="AK47" i="19"/>
  <c r="AE58" i="19"/>
  <c r="M36" i="19"/>
  <c r="S25" i="19"/>
  <c r="AK36" i="19"/>
  <c r="Y25" i="19"/>
  <c r="AE15" i="19"/>
  <c r="AE36" i="19"/>
  <c r="AK25" i="19"/>
  <c r="Y58" i="19"/>
  <c r="S15" i="19"/>
  <c r="AK58" i="19"/>
  <c r="X8" i="19"/>
  <c r="R50" i="19"/>
  <c r="L8" i="19"/>
  <c r="AD39" i="19"/>
  <c r="AD50" i="19"/>
  <c r="AD8" i="19"/>
  <c r="R18" i="19"/>
  <c r="L39" i="19"/>
  <c r="AC26" i="1"/>
  <c r="AJ28" i="19"/>
  <c r="X18" i="19"/>
  <c r="X50" i="19"/>
  <c r="R28" i="19"/>
  <c r="L18" i="19"/>
  <c r="X28" i="19"/>
  <c r="R8" i="19"/>
  <c r="X39" i="19"/>
  <c r="AJ8" i="19"/>
  <c r="AD18" i="19"/>
  <c r="AJ39" i="19"/>
  <c r="L50" i="19"/>
  <c r="AJ50" i="19"/>
  <c r="AJ18" i="19"/>
  <c r="R39" i="19"/>
  <c r="AD28" i="19"/>
  <c r="L28" i="19"/>
  <c r="Z11" i="19"/>
  <c r="AF31" i="19"/>
  <c r="T53" i="19"/>
  <c r="N53" i="19"/>
  <c r="Z42" i="19"/>
  <c r="AF21" i="19"/>
  <c r="AL31" i="19"/>
  <c r="T31" i="19"/>
  <c r="Z31" i="19"/>
  <c r="N21" i="19"/>
  <c r="N31" i="19"/>
  <c r="AL11" i="19"/>
  <c r="T11" i="19"/>
  <c r="AF11" i="19"/>
  <c r="AL42" i="19"/>
  <c r="T21" i="19"/>
  <c r="Z21" i="19"/>
  <c r="AL53" i="19"/>
  <c r="N11" i="19"/>
  <c r="AF53" i="19"/>
  <c r="N42" i="19"/>
  <c r="Z53" i="19"/>
  <c r="AC46" i="1"/>
  <c r="AL21" i="19"/>
  <c r="T42" i="19"/>
  <c r="AF42" i="19"/>
  <c r="AE48" i="19"/>
  <c r="M37" i="19"/>
  <c r="Y16" i="19"/>
  <c r="AK48" i="19"/>
  <c r="S37" i="19"/>
  <c r="AE16" i="19"/>
  <c r="M6" i="19"/>
  <c r="AK16" i="19"/>
  <c r="M26" i="19"/>
  <c r="S48" i="19"/>
  <c r="AE26" i="19"/>
  <c r="M16" i="19"/>
  <c r="Y48" i="19"/>
  <c r="AK26" i="19"/>
  <c r="S16" i="19"/>
  <c r="Y6" i="19"/>
  <c r="AK37" i="19"/>
  <c r="S26" i="19"/>
  <c r="AE6" i="19"/>
  <c r="M48" i="19"/>
  <c r="Y26" i="19"/>
  <c r="AK6" i="19"/>
  <c r="Y37" i="19"/>
  <c r="S6" i="19"/>
  <c r="AE37" i="19"/>
  <c r="AC15" i="1"/>
  <c r="O11" i="19"/>
  <c r="O21" i="19"/>
  <c r="O53" i="19"/>
  <c r="AA31" i="19"/>
  <c r="AM31" i="19"/>
  <c r="AG53" i="19"/>
  <c r="AA42" i="19"/>
  <c r="AM11" i="19"/>
  <c r="U21" i="19"/>
  <c r="AG42" i="19"/>
  <c r="AM21" i="19"/>
  <c r="AM53" i="19"/>
  <c r="O42" i="19"/>
  <c r="U11" i="19"/>
  <c r="AG31" i="19"/>
  <c r="U42" i="19"/>
  <c r="AC47" i="1"/>
  <c r="AG11" i="19"/>
  <c r="AM42" i="19"/>
  <c r="AA21" i="19"/>
  <c r="AA53" i="19"/>
  <c r="U53" i="19"/>
  <c r="U31" i="19"/>
  <c r="AA11" i="19"/>
  <c r="AG21" i="19"/>
  <c r="O31" i="19"/>
  <c r="AA33" i="1"/>
  <c r="AB34" i="1"/>
  <c r="AA34" i="1" s="1"/>
  <c r="AB35" i="1"/>
  <c r="AA35" i="1" s="1"/>
  <c r="AJ48" i="19"/>
  <c r="AD48" i="19"/>
  <c r="L37" i="19"/>
  <c r="X16" i="19"/>
  <c r="AJ26" i="19"/>
  <c r="L48" i="19"/>
  <c r="X6" i="19"/>
  <c r="R37" i="19"/>
  <c r="X37" i="19"/>
  <c r="R6" i="19"/>
  <c r="AJ6" i="19"/>
  <c r="AD37" i="19"/>
  <c r="R48" i="19"/>
  <c r="AD26" i="19"/>
  <c r="L16" i="19"/>
  <c r="AD16" i="19"/>
  <c r="AC14" i="1"/>
  <c r="X48" i="19"/>
  <c r="X26" i="19"/>
  <c r="AJ37" i="19"/>
  <c r="R26" i="19"/>
  <c r="AD6" i="19"/>
  <c r="L6" i="19"/>
  <c r="L26" i="19"/>
  <c r="R16" i="19"/>
  <c r="AJ16" i="19"/>
  <c r="AA39" i="1"/>
  <c r="AB40" i="1"/>
  <c r="AE11" i="19"/>
  <c r="Y42" i="19"/>
  <c r="M42" i="19"/>
  <c r="Y21" i="19"/>
  <c r="AK42" i="19"/>
  <c r="S31" i="19"/>
  <c r="M31" i="19"/>
  <c r="M53" i="19"/>
  <c r="Y53" i="19"/>
  <c r="AK21" i="19"/>
  <c r="AK31" i="19"/>
  <c r="Y11" i="19"/>
  <c r="AE42" i="19"/>
  <c r="AE21" i="19"/>
  <c r="S53" i="19"/>
  <c r="AE53" i="19"/>
  <c r="AK53" i="19"/>
  <c r="M21" i="19"/>
  <c r="AE31" i="19"/>
  <c r="AC45" i="1"/>
  <c r="S42" i="19"/>
  <c r="AK11" i="19"/>
  <c r="S11" i="19"/>
  <c r="Y31" i="19"/>
  <c r="S21" i="19"/>
  <c r="M11" i="19"/>
  <c r="AD29" i="19"/>
  <c r="AD19" i="19"/>
  <c r="R40" i="19"/>
  <c r="R9" i="19"/>
  <c r="X51" i="19"/>
  <c r="X9" i="19"/>
  <c r="AD40" i="19"/>
  <c r="R29" i="19"/>
  <c r="L51" i="19"/>
  <c r="X19" i="19"/>
  <c r="X29" i="19"/>
  <c r="X40" i="19"/>
  <c r="L9" i="19"/>
  <c r="AC32" i="1"/>
  <c r="AD9" i="19"/>
  <c r="AJ51" i="19"/>
  <c r="L40" i="19"/>
  <c r="R19" i="19"/>
  <c r="AJ40" i="19"/>
  <c r="AJ29" i="19"/>
  <c r="AJ19" i="19"/>
  <c r="AJ9" i="19"/>
  <c r="AD51" i="19"/>
  <c r="L19" i="19"/>
  <c r="L29" i="19"/>
  <c r="R51" i="19"/>
  <c r="AA40" i="1" l="1"/>
  <c r="AB41" i="1"/>
  <c r="AA41" i="1" s="1"/>
  <c r="AG40" i="19"/>
  <c r="AG29" i="19"/>
  <c r="AM19" i="19"/>
  <c r="O40" i="19"/>
  <c r="AC35" i="1"/>
  <c r="AG51" i="19"/>
  <c r="O29" i="19"/>
  <c r="U29" i="19"/>
  <c r="O51" i="19"/>
  <c r="U51" i="19"/>
  <c r="AA19" i="19"/>
  <c r="U40" i="19"/>
  <c r="AG9" i="19"/>
  <c r="AA40" i="19"/>
  <c r="AM51" i="19"/>
  <c r="O19" i="19"/>
  <c r="AM40" i="19"/>
  <c r="AM29" i="19"/>
  <c r="O9" i="19"/>
  <c r="AM9" i="19"/>
  <c r="AA51" i="19"/>
  <c r="AG19" i="19"/>
  <c r="U9" i="19"/>
  <c r="U19" i="19"/>
  <c r="AA9" i="19"/>
  <c r="AA29" i="19"/>
  <c r="AK17" i="19"/>
  <c r="S27" i="19"/>
  <c r="S38" i="19"/>
  <c r="AE27" i="19"/>
  <c r="Y49" i="19"/>
  <c r="S7" i="19"/>
  <c r="M17" i="19"/>
  <c r="AE17" i="19"/>
  <c r="AK27" i="19"/>
  <c r="Y7" i="19"/>
  <c r="Y38" i="19"/>
  <c r="AE38" i="19"/>
  <c r="Y27" i="19"/>
  <c r="M49" i="19"/>
  <c r="AC21" i="1"/>
  <c r="AE49" i="19"/>
  <c r="Y17" i="19"/>
  <c r="AE7" i="19"/>
  <c r="M27" i="19"/>
  <c r="S49" i="19"/>
  <c r="M7" i="19"/>
  <c r="M38" i="19"/>
  <c r="S17" i="19"/>
  <c r="AK7" i="19"/>
  <c r="AK49" i="19"/>
  <c r="AK38" i="19"/>
  <c r="M50" i="19"/>
  <c r="S50" i="19"/>
  <c r="AE8" i="19"/>
  <c r="AE39" i="19"/>
  <c r="M39" i="19"/>
  <c r="AE18" i="19"/>
  <c r="AK50" i="19"/>
  <c r="AK18" i="19"/>
  <c r="AK28" i="19"/>
  <c r="S28" i="19"/>
  <c r="Y50" i="19"/>
  <c r="M8" i="19"/>
  <c r="Y8" i="19"/>
  <c r="M28" i="19"/>
  <c r="AK39" i="19"/>
  <c r="M18" i="19"/>
  <c r="Y28" i="19"/>
  <c r="S39" i="19"/>
  <c r="AE50" i="19"/>
  <c r="Y18" i="19"/>
  <c r="AK8" i="19"/>
  <c r="Y39" i="19"/>
  <c r="S8" i="19"/>
  <c r="S18" i="19"/>
  <c r="AC27" i="1"/>
  <c r="AE28" i="19"/>
  <c r="AA58" i="19"/>
  <c r="AA15" i="19"/>
  <c r="AM58" i="19"/>
  <c r="AG36" i="19"/>
  <c r="AM25" i="19"/>
  <c r="AM36" i="19"/>
  <c r="AA25" i="19"/>
  <c r="AM47" i="19"/>
  <c r="AG25" i="19"/>
  <c r="AA36" i="19"/>
  <c r="O25" i="19"/>
  <c r="U25" i="19"/>
  <c r="U36" i="19"/>
  <c r="AM15" i="19"/>
  <c r="O36" i="19"/>
  <c r="O15" i="19"/>
  <c r="AG15" i="19"/>
  <c r="U15" i="19"/>
  <c r="AG58" i="19"/>
  <c r="U58" i="19"/>
  <c r="AE41" i="19"/>
  <c r="Y30" i="19"/>
  <c r="M20" i="19"/>
  <c r="AC39" i="1"/>
  <c r="Y20" i="19"/>
  <c r="M41" i="19"/>
  <c r="M10" i="19"/>
  <c r="AK20" i="19"/>
  <c r="AK10" i="19"/>
  <c r="AK30" i="19"/>
  <c r="Y41" i="19"/>
  <c r="S41" i="19"/>
  <c r="AE30" i="19"/>
  <c r="Y10" i="19"/>
  <c r="M30" i="19"/>
  <c r="AE52" i="19"/>
  <c r="AE20" i="19"/>
  <c r="S52" i="19"/>
  <c r="S10" i="19"/>
  <c r="Y52" i="19"/>
  <c r="S30" i="19"/>
  <c r="AK52" i="19"/>
  <c r="AE10" i="19"/>
  <c r="S20" i="19"/>
  <c r="M52" i="19"/>
  <c r="AK41" i="19"/>
  <c r="AF40" i="19"/>
  <c r="AL19" i="19"/>
  <c r="N40" i="19"/>
  <c r="Z19" i="19"/>
  <c r="AF19" i="19"/>
  <c r="N29" i="19"/>
  <c r="AL29" i="19"/>
  <c r="AL40" i="19"/>
  <c r="AF51" i="19"/>
  <c r="AF9" i="19"/>
  <c r="AL9" i="19"/>
  <c r="N51" i="19"/>
  <c r="Z9" i="19"/>
  <c r="Z51" i="19"/>
  <c r="N19" i="19"/>
  <c r="Z40" i="19"/>
  <c r="T9" i="19"/>
  <c r="T40" i="19"/>
  <c r="Z29" i="19"/>
  <c r="N9" i="19"/>
  <c r="T51" i="19"/>
  <c r="AC34" i="1"/>
  <c r="T19" i="19"/>
  <c r="AL51" i="19"/>
  <c r="T29" i="19"/>
  <c r="AF29" i="19"/>
  <c r="T18" i="19"/>
  <c r="N50" i="19"/>
  <c r="N8" i="19"/>
  <c r="T28" i="19"/>
  <c r="AF39" i="19"/>
  <c r="Z28" i="19"/>
  <c r="Z18" i="19"/>
  <c r="AF8" i="19"/>
  <c r="AC28" i="1"/>
  <c r="AL8" i="19"/>
  <c r="Z50" i="19"/>
  <c r="AL50" i="19"/>
  <c r="AL28" i="19"/>
  <c r="N39" i="19"/>
  <c r="AL39" i="19"/>
  <c r="AF28" i="19"/>
  <c r="AF18" i="19"/>
  <c r="AL18" i="19"/>
  <c r="Z8" i="19"/>
  <c r="T50" i="19"/>
  <c r="T8" i="19"/>
  <c r="T39" i="19"/>
  <c r="Z39" i="19"/>
  <c r="AF50" i="19"/>
  <c r="N28" i="19"/>
  <c r="N18" i="19"/>
  <c r="AL58" i="19"/>
  <c r="Z36" i="19"/>
  <c r="N25" i="19"/>
  <c r="Z58" i="19"/>
  <c r="T36" i="19"/>
  <c r="AL25" i="19"/>
  <c r="AL15" i="19"/>
  <c r="N36" i="19"/>
  <c r="AL36" i="19"/>
  <c r="Z25" i="19"/>
  <c r="AF25" i="19"/>
  <c r="T15" i="19"/>
  <c r="T58" i="19"/>
  <c r="AL47" i="19"/>
  <c r="T25" i="19"/>
  <c r="AF15" i="19"/>
  <c r="N15" i="19"/>
  <c r="AF58" i="19"/>
  <c r="Z15" i="19"/>
  <c r="AF36" i="19"/>
  <c r="S40" i="19"/>
  <c r="M51" i="19"/>
  <c r="AE19" i="19"/>
  <c r="S51" i="19"/>
  <c r="AK19" i="19"/>
  <c r="Y9" i="19"/>
  <c r="M29" i="19"/>
  <c r="AE51" i="19"/>
  <c r="Y40" i="19"/>
  <c r="AK51" i="19"/>
  <c r="AK29" i="19"/>
  <c r="AK40" i="19"/>
  <c r="S19" i="19"/>
  <c r="M19" i="19"/>
  <c r="AE9" i="19"/>
  <c r="AE40" i="19"/>
  <c r="M40" i="19"/>
  <c r="AK9" i="19"/>
  <c r="Y19" i="19"/>
  <c r="S29" i="19"/>
  <c r="S9" i="19"/>
  <c r="AE29" i="19"/>
  <c r="Y51" i="19"/>
  <c r="AC33" i="1"/>
  <c r="M9" i="19"/>
  <c r="Y29" i="19"/>
  <c r="AA58" i="1"/>
  <c r="AB59" i="1"/>
  <c r="AA59" i="1" s="1"/>
  <c r="AM48" i="19"/>
  <c r="U37" i="19"/>
  <c r="AG16" i="19"/>
  <c r="O6" i="19"/>
  <c r="AA37" i="19"/>
  <c r="AM16" i="19"/>
  <c r="U6" i="19"/>
  <c r="AG48" i="19"/>
  <c r="AA16" i="19"/>
  <c r="AC17" i="1"/>
  <c r="AA6" i="19"/>
  <c r="AG6" i="19"/>
  <c r="AA48" i="19"/>
  <c r="AM26" i="19"/>
  <c r="U16" i="19"/>
  <c r="O37" i="19"/>
  <c r="U26" i="19"/>
  <c r="O48" i="19"/>
  <c r="AA26" i="19"/>
  <c r="AM6" i="19"/>
  <c r="U48" i="19"/>
  <c r="AG26" i="19"/>
  <c r="O16" i="19"/>
  <c r="AG37" i="19"/>
  <c r="O26" i="19"/>
  <c r="AM37" i="19"/>
  <c r="AB23" i="1"/>
  <c r="AA23" i="1" s="1"/>
  <c r="AA22" i="1"/>
  <c r="O8" i="19"/>
  <c r="AA50" i="19"/>
  <c r="AM39" i="19"/>
  <c r="U50" i="19"/>
  <c r="AA18" i="19"/>
  <c r="AG18" i="19"/>
  <c r="AG50" i="19"/>
  <c r="AM18" i="19"/>
  <c r="AA28" i="19"/>
  <c r="AG28" i="19"/>
  <c r="AA8" i="19"/>
  <c r="U18" i="19"/>
  <c r="AG39" i="19"/>
  <c r="U39" i="19"/>
  <c r="AM8" i="19"/>
  <c r="AA39" i="19"/>
  <c r="AM50" i="19"/>
  <c r="U28" i="19"/>
  <c r="O39" i="19"/>
  <c r="U8" i="19"/>
  <c r="AG8" i="19"/>
  <c r="AC29" i="1"/>
  <c r="O18" i="19"/>
  <c r="O28" i="19"/>
  <c r="O50" i="19"/>
  <c r="AM28" i="19"/>
  <c r="Y33" i="19"/>
  <c r="AE13" i="19"/>
  <c r="S23" i="19"/>
  <c r="Y13" i="19"/>
  <c r="AE23" i="19"/>
  <c r="AK33" i="19"/>
  <c r="AK13" i="19"/>
  <c r="S44" i="19"/>
  <c r="M23" i="19"/>
  <c r="Y44" i="19"/>
  <c r="M44" i="19"/>
  <c r="AE44" i="19"/>
  <c r="AE55" i="19"/>
  <c r="M13" i="19"/>
  <c r="AK44" i="19"/>
  <c r="AK23" i="19"/>
  <c r="Y23" i="19"/>
  <c r="AE33" i="19"/>
  <c r="M55" i="19"/>
  <c r="S13" i="19"/>
  <c r="S33" i="19"/>
  <c r="AK55" i="19"/>
  <c r="Y55" i="19"/>
  <c r="S55" i="19"/>
  <c r="AC57" i="1"/>
  <c r="M33" i="19"/>
  <c r="AF6" i="19"/>
  <c r="N48" i="19"/>
  <c r="Z26" i="19"/>
  <c r="AL6" i="19"/>
  <c r="AL37" i="19"/>
  <c r="AF26" i="19"/>
  <c r="Z6" i="19"/>
  <c r="T26" i="19"/>
  <c r="Z48" i="19"/>
  <c r="AF48" i="19"/>
  <c r="T48" i="19"/>
  <c r="T6" i="19"/>
  <c r="AF37" i="19"/>
  <c r="N26" i="19"/>
  <c r="Z16" i="19"/>
  <c r="AL26" i="19"/>
  <c r="Z37" i="19"/>
  <c r="N37" i="19"/>
  <c r="AL48" i="19"/>
  <c r="T37" i="19"/>
  <c r="AF16" i="19"/>
  <c r="N6" i="19"/>
  <c r="N16" i="19"/>
  <c r="AC16" i="1"/>
  <c r="AL16" i="19"/>
  <c r="T16" i="19"/>
  <c r="U44" i="19" l="1"/>
  <c r="U13" i="19"/>
  <c r="AM55" i="19"/>
  <c r="AA55" i="19"/>
  <c r="AA44" i="19"/>
  <c r="O55" i="19"/>
  <c r="O23" i="19"/>
  <c r="O13" i="19"/>
  <c r="AG44" i="19"/>
  <c r="U33" i="19"/>
  <c r="U23" i="19"/>
  <c r="AM13" i="19"/>
  <c r="AM23" i="19"/>
  <c r="AG13" i="19"/>
  <c r="AA23" i="19"/>
  <c r="AG33" i="19"/>
  <c r="AA33" i="19"/>
  <c r="AM33" i="19"/>
  <c r="AA13" i="19"/>
  <c r="AC59" i="1"/>
  <c r="AG23" i="19"/>
  <c r="U55" i="19"/>
  <c r="AG55" i="19"/>
  <c r="O44" i="19"/>
  <c r="AM44" i="19"/>
  <c r="O33" i="19"/>
  <c r="AF55" i="19"/>
  <c r="T44" i="19"/>
  <c r="Z55" i="19"/>
  <c r="N44" i="19"/>
  <c r="T23" i="19"/>
  <c r="AF44" i="19"/>
  <c r="Z13" i="19"/>
  <c r="Z44" i="19"/>
  <c r="AF23" i="19"/>
  <c r="AL13" i="19"/>
  <c r="Z23" i="19"/>
  <c r="AL44" i="19"/>
  <c r="AF13" i="19"/>
  <c r="AL23" i="19"/>
  <c r="N13" i="19"/>
  <c r="T33" i="19"/>
  <c r="AL55" i="19"/>
  <c r="N23" i="19"/>
  <c r="N55" i="19"/>
  <c r="AF33" i="19"/>
  <c r="N33" i="19"/>
  <c r="AC58" i="1"/>
  <c r="T55" i="19"/>
  <c r="AL33" i="19"/>
  <c r="T13" i="19"/>
  <c r="Z33" i="19"/>
  <c r="Z49" i="19"/>
  <c r="T7" i="19"/>
  <c r="AL38" i="19"/>
  <c r="T17" i="19"/>
  <c r="Z17" i="19"/>
  <c r="AF7" i="19"/>
  <c r="AF38" i="19"/>
  <c r="N17" i="19"/>
  <c r="AF27" i="19"/>
  <c r="AC22" i="1"/>
  <c r="AF49" i="19"/>
  <c r="AL49" i="19"/>
  <c r="T27" i="19"/>
  <c r="Z38" i="19"/>
  <c r="T38" i="19"/>
  <c r="N38" i="19"/>
  <c r="N49" i="19"/>
  <c r="Z27" i="19"/>
  <c r="AL7" i="19"/>
  <c r="AL17" i="19"/>
  <c r="AF17" i="19"/>
  <c r="AL27" i="19"/>
  <c r="N27" i="19"/>
  <c r="N7" i="19"/>
  <c r="Z7" i="19"/>
  <c r="T49" i="19"/>
  <c r="O20" i="19"/>
  <c r="AM41" i="19"/>
  <c r="O30" i="19"/>
  <c r="AM52" i="19"/>
  <c r="AA52" i="19"/>
  <c r="AM30" i="19"/>
  <c r="AM10" i="19"/>
  <c r="AM20" i="19"/>
  <c r="O52" i="19"/>
  <c r="U30" i="19"/>
  <c r="AA10" i="19"/>
  <c r="U41" i="19"/>
  <c r="O41" i="19"/>
  <c r="U20" i="19"/>
  <c r="AC41" i="1"/>
  <c r="AG41" i="19"/>
  <c r="AG52" i="19"/>
  <c r="U52" i="19"/>
  <c r="AA30" i="19"/>
  <c r="AG10" i="19"/>
  <c r="AA41" i="19"/>
  <c r="AG20" i="19"/>
  <c r="AA20" i="19"/>
  <c r="U10" i="19"/>
  <c r="AG30" i="19"/>
  <c r="O10" i="19"/>
  <c r="AG38" i="19"/>
  <c r="AG49" i="19"/>
  <c r="U7" i="19"/>
  <c r="AM49" i="19"/>
  <c r="U27" i="19"/>
  <c r="O38" i="19"/>
  <c r="O17" i="19"/>
  <c r="AA7" i="19"/>
  <c r="AA49" i="19"/>
  <c r="O27" i="19"/>
  <c r="U38" i="19"/>
  <c r="AM17" i="19"/>
  <c r="AM38" i="19"/>
  <c r="AG27" i="19"/>
  <c r="AM7" i="19"/>
  <c r="AG7" i="19"/>
  <c r="AC23" i="1"/>
  <c r="AA17" i="19"/>
  <c r="O7" i="19"/>
  <c r="AA38" i="19"/>
  <c r="AA27" i="19"/>
  <c r="AM27" i="19"/>
  <c r="U17" i="19"/>
  <c r="U49" i="19"/>
  <c r="AG17" i="19"/>
  <c r="O49" i="19"/>
  <c r="Z41" i="19"/>
  <c r="AC40" i="1"/>
  <c r="T10" i="19"/>
  <c r="AF10" i="19"/>
  <c r="T20" i="19"/>
  <c r="N30" i="19"/>
  <c r="Z20" i="19"/>
  <c r="AF52" i="19"/>
  <c r="T52" i="19"/>
  <c r="AL30" i="19"/>
  <c r="T41" i="19"/>
  <c r="AF41" i="19"/>
  <c r="AF30" i="19"/>
  <c r="N52" i="19"/>
  <c r="AL41" i="19"/>
  <c r="AL20" i="19"/>
  <c r="Z10" i="19"/>
  <c r="AF20" i="19"/>
  <c r="N10" i="19"/>
  <c r="Z52" i="19"/>
  <c r="AL52" i="19"/>
  <c r="N41" i="19"/>
  <c r="T30" i="19"/>
  <c r="Z30" i="19"/>
  <c r="AL10" i="19"/>
  <c r="N20" i="19"/>
  <c r="B223" i="13"/>
  <c r="B222" i="13"/>
  <c r="K66" i="1" l="1"/>
  <c r="L66" i="1" s="1"/>
  <c r="K72" i="1"/>
  <c r="L72" i="1" s="1"/>
  <c r="K60" i="1"/>
  <c r="L60" i="1" s="1"/>
  <c r="K42" i="1"/>
  <c r="L42" i="1" s="1"/>
  <c r="K30" i="1"/>
  <c r="L30" i="1" s="1"/>
  <c r="K24" i="1"/>
  <c r="L24" i="1" s="1"/>
  <c r="K54" i="1"/>
  <c r="L54" i="1" s="1"/>
  <c r="K12" i="1"/>
  <c r="K36" i="1"/>
  <c r="L36" i="1" s="1"/>
  <c r="K18" i="1"/>
  <c r="L18" i="1" s="1"/>
  <c r="N54" i="1" l="1"/>
  <c r="AJ34" i="18"/>
  <c r="R26" i="18"/>
  <c r="M54" i="1"/>
  <c r="AB54" i="1" s="1"/>
  <c r="AA54" i="1" s="1"/>
  <c r="L18" i="18"/>
  <c r="AJ26" i="18"/>
  <c r="X34" i="18"/>
  <c r="AD26" i="18"/>
  <c r="X10" i="18"/>
  <c r="L10" i="18"/>
  <c r="R34" i="18"/>
  <c r="L34" i="18"/>
  <c r="AJ42" i="18"/>
  <c r="R10" i="18"/>
  <c r="T34" i="18"/>
  <c r="R42" i="18"/>
  <c r="X26" i="18"/>
  <c r="AJ18" i="18"/>
  <c r="AD18" i="18"/>
  <c r="L26" i="18"/>
  <c r="AD10" i="18"/>
  <c r="X18" i="18"/>
  <c r="X42" i="18"/>
  <c r="L42" i="18"/>
  <c r="AD34" i="18"/>
  <c r="AJ10" i="18"/>
  <c r="AD42" i="18"/>
  <c r="R18" i="18"/>
  <c r="M30" i="1"/>
  <c r="AB30" i="1" s="1"/>
  <c r="AA30" i="1" s="1"/>
  <c r="AB16" i="18"/>
  <c r="V40" i="18"/>
  <c r="AH40" i="18"/>
  <c r="J16" i="18"/>
  <c r="V24" i="18"/>
  <c r="P24" i="18"/>
  <c r="P40" i="18"/>
  <c r="V8" i="18"/>
  <c r="J40" i="18"/>
  <c r="AB40" i="18"/>
  <c r="AH32" i="18"/>
  <c r="AB24" i="18"/>
  <c r="P32" i="18"/>
  <c r="P16" i="18"/>
  <c r="V32" i="18"/>
  <c r="AH24" i="18"/>
  <c r="AH8" i="18"/>
  <c r="V16" i="18"/>
  <c r="N30" i="1"/>
  <c r="J32" i="18"/>
  <c r="AB8" i="18"/>
  <c r="P8" i="18"/>
  <c r="J8" i="18"/>
  <c r="J24" i="18"/>
  <c r="AH16" i="18"/>
  <c r="AB32" i="18"/>
  <c r="Z40" i="18"/>
  <c r="AL8" i="18"/>
  <c r="AF8" i="18"/>
  <c r="Z32" i="18"/>
  <c r="N32" i="18"/>
  <c r="N16" i="18"/>
  <c r="Z8" i="18"/>
  <c r="N24" i="18"/>
  <c r="T32" i="18"/>
  <c r="T16" i="18"/>
  <c r="AL32" i="18"/>
  <c r="Z16" i="18"/>
  <c r="T24" i="18"/>
  <c r="AL24" i="18"/>
  <c r="AF40" i="18"/>
  <c r="N40" i="18"/>
  <c r="Z24" i="18"/>
  <c r="AL40" i="18"/>
  <c r="T40" i="18"/>
  <c r="AL16" i="18"/>
  <c r="M42" i="1"/>
  <c r="AB42" i="1" s="1"/>
  <c r="AA42" i="1" s="1"/>
  <c r="AF32" i="18"/>
  <c r="AF16" i="18"/>
  <c r="N42" i="1"/>
  <c r="N8" i="18"/>
  <c r="AF24" i="18"/>
  <c r="T8" i="18"/>
  <c r="Z34" i="18"/>
  <c r="T26" i="18"/>
  <c r="AF10" i="18"/>
  <c r="T10" i="18"/>
  <c r="AL42" i="18"/>
  <c r="AL26" i="18"/>
  <c r="T18" i="18"/>
  <c r="T42" i="18"/>
  <c r="Z18" i="18"/>
  <c r="AF34" i="18"/>
  <c r="AF18" i="18"/>
  <c r="N10" i="18"/>
  <c r="AF42" i="18"/>
  <c r="AL18" i="18"/>
  <c r="N34" i="18"/>
  <c r="Z42" i="18"/>
  <c r="Z10" i="18"/>
  <c r="Z26" i="18"/>
  <c r="AL34" i="18"/>
  <c r="N42" i="18"/>
  <c r="N60" i="1"/>
  <c r="M60" i="1"/>
  <c r="AB60" i="1" s="1"/>
  <c r="AA60" i="1" s="1"/>
  <c r="AF26" i="18"/>
  <c r="N26" i="18"/>
  <c r="AL10" i="18"/>
  <c r="N18" i="18"/>
  <c r="AH30" i="18"/>
  <c r="J22" i="18"/>
  <c r="V38" i="18"/>
  <c r="AH14" i="18"/>
  <c r="J14" i="18"/>
  <c r="V30" i="18"/>
  <c r="AB6" i="18"/>
  <c r="P14" i="18"/>
  <c r="V22" i="18"/>
  <c r="V14" i="18"/>
  <c r="AH38" i="18"/>
  <c r="AB22" i="18"/>
  <c r="AB14" i="18"/>
  <c r="J30" i="18"/>
  <c r="P38" i="18"/>
  <c r="J38" i="18"/>
  <c r="AB12" i="1"/>
  <c r="AA12" i="1" s="1"/>
  <c r="AH6" i="18"/>
  <c r="AB30" i="18"/>
  <c r="V6" i="18"/>
  <c r="P6" i="18"/>
  <c r="P30" i="18"/>
  <c r="P22" i="18"/>
  <c r="AH22" i="18"/>
  <c r="J6" i="18"/>
  <c r="AB38" i="18"/>
  <c r="L22" i="18"/>
  <c r="R6" i="18"/>
  <c r="X14" i="18"/>
  <c r="R30" i="18"/>
  <c r="X22" i="18"/>
  <c r="AD38" i="18"/>
  <c r="AD22" i="18"/>
  <c r="M18" i="1"/>
  <c r="AB18" i="1" s="1"/>
  <c r="AA18" i="1" s="1"/>
  <c r="L30" i="18"/>
  <c r="R38" i="18"/>
  <c r="R14" i="18"/>
  <c r="X6" i="18"/>
  <c r="AJ30" i="18"/>
  <c r="R22" i="18"/>
  <c r="L6" i="18"/>
  <c r="N18" i="1"/>
  <c r="AJ14" i="18"/>
  <c r="L38" i="18"/>
  <c r="AJ22" i="18"/>
  <c r="AD30" i="18"/>
  <c r="AJ6" i="18"/>
  <c r="L14" i="18"/>
  <c r="AJ38" i="18"/>
  <c r="AD6" i="18"/>
  <c r="AD14" i="18"/>
  <c r="X38" i="18"/>
  <c r="X30" i="18"/>
  <c r="AH28" i="18"/>
  <c r="AH36" i="18"/>
  <c r="J36" i="18"/>
  <c r="AH12" i="18"/>
  <c r="P44" i="18"/>
  <c r="AB12" i="18"/>
  <c r="N72" i="1"/>
  <c r="P28" i="18"/>
  <c r="V44" i="18"/>
  <c r="J12" i="18"/>
  <c r="J44" i="18"/>
  <c r="AB28" i="18"/>
  <c r="AB36" i="18"/>
  <c r="J20" i="18"/>
  <c r="P12" i="18"/>
  <c r="AB44" i="18"/>
  <c r="V28" i="18"/>
  <c r="J28" i="18"/>
  <c r="AH44" i="18"/>
  <c r="P20" i="18"/>
  <c r="M72" i="1"/>
  <c r="AB72" i="1" s="1"/>
  <c r="AA72" i="1" s="1"/>
  <c r="V36" i="18"/>
  <c r="V20" i="18"/>
  <c r="AH20" i="18"/>
  <c r="P36" i="18"/>
  <c r="V12" i="18"/>
  <c r="N24" i="1"/>
  <c r="Z30" i="18"/>
  <c r="N30" i="18"/>
  <c r="T38" i="18"/>
  <c r="AL14" i="18"/>
  <c r="AF22" i="18"/>
  <c r="N6" i="18"/>
  <c r="AF38" i="18"/>
  <c r="AL30" i="18"/>
  <c r="T14" i="18"/>
  <c r="AL38" i="18"/>
  <c r="N14" i="18"/>
  <c r="T22" i="18"/>
  <c r="N22" i="18"/>
  <c r="AF6" i="18"/>
  <c r="N38" i="18"/>
  <c r="AL22" i="18"/>
  <c r="T6" i="18"/>
  <c r="Z6" i="18"/>
  <c r="T30" i="18"/>
  <c r="AF30" i="18"/>
  <c r="Z22" i="18"/>
  <c r="Z14" i="18"/>
  <c r="M24" i="1"/>
  <c r="AB24" i="1" s="1"/>
  <c r="AA24" i="1" s="1"/>
  <c r="Z38" i="18"/>
  <c r="AF14" i="18"/>
  <c r="AL6" i="18"/>
  <c r="AJ8" i="18"/>
  <c r="AJ24" i="18"/>
  <c r="AD16" i="18"/>
  <c r="R32" i="18"/>
  <c r="AJ32" i="18"/>
  <c r="AD8" i="18"/>
  <c r="X40" i="18"/>
  <c r="N36" i="1"/>
  <c r="L16" i="18"/>
  <c r="R24" i="18"/>
  <c r="L8" i="18"/>
  <c r="AJ16" i="18"/>
  <c r="R8" i="18"/>
  <c r="L32" i="18"/>
  <c r="X8" i="18"/>
  <c r="X32" i="18"/>
  <c r="X16" i="18"/>
  <c r="X24" i="18"/>
  <c r="AJ40" i="18"/>
  <c r="L40" i="18"/>
  <c r="L24" i="18"/>
  <c r="AD32" i="18"/>
  <c r="AD40" i="18"/>
  <c r="R40" i="18"/>
  <c r="AD24" i="18"/>
  <c r="R16" i="18"/>
  <c r="M36" i="1"/>
  <c r="M66" i="1"/>
  <c r="AB66" i="1" s="1"/>
  <c r="AA66" i="1" s="1"/>
  <c r="N66" i="1"/>
  <c r="AB20" i="18"/>
  <c r="J45" i="19" l="1"/>
  <c r="V24" i="19"/>
  <c r="AC60" i="1"/>
  <c r="AB34" i="19"/>
  <c r="AB56" i="19"/>
  <c r="V34" i="19"/>
  <c r="P34" i="19"/>
  <c r="AB14" i="19"/>
  <c r="J34" i="19"/>
  <c r="AH24" i="19"/>
  <c r="J14" i="19"/>
  <c r="P56" i="19"/>
  <c r="P45" i="19"/>
  <c r="P14" i="19"/>
  <c r="AH56" i="19"/>
  <c r="AH34" i="19"/>
  <c r="P24" i="19"/>
  <c r="J24" i="19"/>
  <c r="J56" i="19"/>
  <c r="AH14" i="19"/>
  <c r="AH45" i="19"/>
  <c r="V56" i="19"/>
  <c r="AB45" i="19"/>
  <c r="V14" i="19"/>
  <c r="V45" i="19"/>
  <c r="AB24" i="19"/>
  <c r="AB47" i="19"/>
  <c r="AC72" i="1"/>
  <c r="V47" i="19"/>
  <c r="J58" i="19"/>
  <c r="J47" i="19"/>
  <c r="P47" i="19"/>
  <c r="AH25" i="19"/>
  <c r="V36" i="19"/>
  <c r="P36" i="19"/>
  <c r="AB58" i="19"/>
  <c r="AB15" i="19"/>
  <c r="AH58" i="19"/>
  <c r="AH47" i="19"/>
  <c r="P25" i="19"/>
  <c r="P58" i="19"/>
  <c r="AH15" i="19"/>
  <c r="V58" i="19"/>
  <c r="P15" i="19"/>
  <c r="J15" i="19"/>
  <c r="AH36" i="19"/>
  <c r="J36" i="19"/>
  <c r="V15" i="19"/>
  <c r="AB36" i="19"/>
  <c r="AB25" i="19"/>
  <c r="V25" i="19"/>
  <c r="J25" i="19"/>
  <c r="J17" i="19"/>
  <c r="P27" i="19"/>
  <c r="V38" i="19"/>
  <c r="J38" i="19"/>
  <c r="AC18" i="1"/>
  <c r="AH27" i="19"/>
  <c r="AH7" i="19"/>
  <c r="V49" i="19"/>
  <c r="AB7" i="19"/>
  <c r="AH17" i="19"/>
  <c r="P17" i="19"/>
  <c r="P7" i="19"/>
  <c r="J49" i="19"/>
  <c r="V17" i="19"/>
  <c r="V27" i="19"/>
  <c r="AB38" i="19"/>
  <c r="AH49" i="19"/>
  <c r="AB49" i="19"/>
  <c r="J27" i="19"/>
  <c r="P38" i="19"/>
  <c r="AB17" i="19"/>
  <c r="P49" i="19"/>
  <c r="AB27" i="19"/>
  <c r="J7" i="19"/>
  <c r="V7" i="19"/>
  <c r="AH38" i="19"/>
  <c r="V48" i="19"/>
  <c r="AH48" i="19"/>
  <c r="AB48" i="19"/>
  <c r="V26" i="19"/>
  <c r="P26" i="19"/>
  <c r="AB37" i="19"/>
  <c r="J6" i="19"/>
  <c r="P48" i="19"/>
  <c r="AB26" i="19"/>
  <c r="AB16" i="19"/>
  <c r="AH26" i="19"/>
  <c r="J16" i="19"/>
  <c r="AH37" i="19"/>
  <c r="V16" i="19"/>
  <c r="V37" i="19"/>
  <c r="AC12" i="1"/>
  <c r="AB6" i="19"/>
  <c r="P37" i="19"/>
  <c r="J37" i="19"/>
  <c r="AH16" i="19"/>
  <c r="J26" i="19"/>
  <c r="J48" i="19"/>
  <c r="P16" i="19"/>
  <c r="P6" i="19"/>
  <c r="V6" i="19"/>
  <c r="AH6" i="19"/>
  <c r="J40" i="19"/>
  <c r="AH9" i="19"/>
  <c r="J51" i="19"/>
  <c r="J9" i="19"/>
  <c r="J19" i="19"/>
  <c r="V29" i="19"/>
  <c r="P9" i="19"/>
  <c r="V19" i="19"/>
  <c r="AB51" i="19"/>
  <c r="AB40" i="19"/>
  <c r="J29" i="19"/>
  <c r="P19" i="19"/>
  <c r="AH51" i="19"/>
  <c r="V51" i="19"/>
  <c r="P40" i="19"/>
  <c r="AH40" i="19"/>
  <c r="P29" i="19"/>
  <c r="AB9" i="19"/>
  <c r="AH19" i="19"/>
  <c r="V40" i="19"/>
  <c r="V9" i="19"/>
  <c r="AB29" i="19"/>
  <c r="AH29" i="19"/>
  <c r="AB19" i="19"/>
  <c r="AC30" i="1"/>
  <c r="P51" i="19"/>
  <c r="V39" i="19"/>
  <c r="AB39" i="19"/>
  <c r="P8" i="19"/>
  <c r="AH8" i="19"/>
  <c r="J39" i="19"/>
  <c r="J50" i="19"/>
  <c r="P50" i="19"/>
  <c r="AC24" i="1"/>
  <c r="AH39" i="19"/>
  <c r="AB18" i="19"/>
  <c r="J18" i="19"/>
  <c r="V8" i="19"/>
  <c r="AH18" i="19"/>
  <c r="P18" i="19"/>
  <c r="AB8" i="19"/>
  <c r="AB28" i="19"/>
  <c r="AH28" i="19"/>
  <c r="V50" i="19"/>
  <c r="P39" i="19"/>
  <c r="J8" i="19"/>
  <c r="AB50" i="19"/>
  <c r="AH50" i="19"/>
  <c r="V28" i="19"/>
  <c r="P28" i="19"/>
  <c r="J28" i="19"/>
  <c r="V18" i="19"/>
  <c r="AH42" i="19"/>
  <c r="AH21" i="19"/>
  <c r="AH11" i="19"/>
  <c r="P11" i="19"/>
  <c r="J11" i="19"/>
  <c r="P42" i="19"/>
  <c r="AB11" i="19"/>
  <c r="J42" i="19"/>
  <c r="V11" i="19"/>
  <c r="J21" i="19"/>
  <c r="P53" i="19"/>
  <c r="AB21" i="19"/>
  <c r="AB31" i="19"/>
  <c r="V21" i="19"/>
  <c r="P31" i="19"/>
  <c r="AB53" i="19"/>
  <c r="AH31" i="19"/>
  <c r="J31" i="19"/>
  <c r="P21" i="19"/>
  <c r="V53" i="19"/>
  <c r="AB42" i="19"/>
  <c r="V42" i="19"/>
  <c r="V31" i="19"/>
  <c r="J53" i="19"/>
  <c r="AH53" i="19"/>
  <c r="AC42" i="1"/>
  <c r="AH23" i="19"/>
  <c r="V23" i="19"/>
  <c r="J33" i="19"/>
  <c r="AB44" i="19"/>
  <c r="AH33" i="19"/>
  <c r="AB23" i="19"/>
  <c r="P55" i="19"/>
  <c r="AC54" i="1"/>
  <c r="V44" i="19"/>
  <c r="J23" i="19"/>
  <c r="J55" i="19"/>
  <c r="V55" i="19"/>
  <c r="AH44" i="19"/>
  <c r="P44" i="19"/>
  <c r="AH13" i="19"/>
  <c r="AB55" i="19"/>
  <c r="AH55" i="19"/>
  <c r="V33" i="19"/>
  <c r="P23" i="19"/>
  <c r="AB13" i="19"/>
  <c r="AB33" i="19"/>
  <c r="J44" i="19"/>
  <c r="J13" i="19"/>
  <c r="P33" i="19"/>
  <c r="V13" i="19"/>
  <c r="P13" i="19"/>
  <c r="AB35" i="19"/>
  <c r="J57" i="19"/>
  <c r="AB46" i="19"/>
  <c r="P46" i="19"/>
  <c r="J46" i="19"/>
  <c r="AB57" i="19"/>
  <c r="AC66" i="1"/>
  <c r="V46" i="19"/>
  <c r="V57" i="19"/>
  <c r="P5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<sst xmlns="http://schemas.openxmlformats.org/spreadsheetml/2006/main" count="574" uniqueCount="312">
  <si>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</si>
  <si>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</si>
  <si>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</si>
  <si>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</si>
  <si>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</si>
  <si>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</si>
  <si>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</si>
  <si>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</si>
  <si>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</si>
  <si>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</si>
  <si>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</si>
  <si>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</si>
  <si>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</si>
  <si>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</si>
  <si>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</si>
  <si>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</si>
  <si>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</si>
  <si>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</si>
  <si>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</si>
  <si>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</si>
  <si>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</si>
  <si>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</si>
  <si>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</si>
  <si>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</si>
  <si>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</si>
  <si>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</si>
  <si>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</si>
  <si>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</si>
  <si>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</si>
  <si>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</si>
  <si>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</si>
  <si>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</si>
  <si>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</si>
  <si>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</si>
  <si>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</si>
  <si>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</si>
  <si>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</si>
  <si>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</si>
  <si>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</si>
  <si>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</si>
  <si>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</si>
  <si>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</si>
  <si>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</si>
  <si>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</si>
  <si>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</si>
  <si>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</si>
  <si>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</si>
  <si>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</si>
  <si>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</si>
  <si>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</si>
  <si>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</si>
  <si>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</si>
  <si>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</si>
  <si>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</si>
  <si>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</si>
  <si>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</si>
  <si>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</si>
  <si>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</si>
  <si>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</si>
  <si>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</si>
  <si>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</si>
  <si>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</si>
  <si>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</si>
  <si>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</si>
  <si>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</si>
  <si>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</si>
  <si>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</si>
  <si>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</si>
  <si>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</si>
  <si>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</si>
  <si>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</si>
  <si>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</si>
  <si>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</si>
  <si>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</si>
  <si>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</si>
  <si>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</si>
  <si>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</si>
  <si>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</si>
  <si>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</si>
  <si>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</si>
  <si>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</si>
  <si>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</si>
  <si>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</si>
  <si>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</si>
  <si>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</si>
  <si>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</si>
  <si>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</si>
  <si>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</si>
  <si>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</si>
  <si>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</si>
  <si>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</si>
  <si>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</si>
  <si>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</si>
  <si>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</si>
  <si>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</si>
  <si>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</si>
  <si>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</si>
  <si>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</si>
  <si>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</si>
  <si>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</si>
  <si>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</si>
  <si>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</si>
  <si>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</si>
  <si>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</si>
  <si>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</si>
  <si>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</si>
  <si>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</si>
  <si>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</si>
  <si>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</si>
  <si>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</si>
  <si>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</si>
  <si>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</si>
  <si>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</si>
  <si>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</si>
  <si>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</si>
  <si>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</si>
  <si>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</si>
  <si>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</si>
  <si>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</si>
  <si>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</si>
  <si>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</si>
  <si>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</si>
  <si>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</si>
  <si>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</si>
  <si>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</si>
  <si>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</si>
  <si>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</si>
  <si>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</si>
  <si>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</si>
  <si>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</si>
  <si>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</si>
  <si>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</si>
  <si>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</si>
  <si>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</si>
  <si>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</si>
  <si>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</si>
  <si>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</si>
  <si>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</si>
  <si>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</si>
  <si>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</si>
  <si>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</si>
  <si>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</si>
  <si>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</si>
  <si>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</si>
  <si>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</si>
  <si>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</si>
  <si>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</si>
  <si>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</si>
  <si>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</si>
  <si>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</si>
  <si>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</si>
  <si>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</si>
  <si>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</si>
  <si>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</si>
  <si>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</si>
  <si>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</si>
  <si>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</si>
  <si>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</si>
  <si>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</si>
  <si>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</si>
  <si>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</si>
  <si>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</si>
  <si>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</si>
  <si>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</si>
  <si>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</si>
  <si>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</si>
  <si>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</si>
  <si>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</si>
  <si>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</si>
  <si>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</si>
  <si>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</si>
  <si>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</si>
  <si>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</si>
  <si>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</si>
  <si>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</si>
  <si>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</si>
  <si>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</si>
  <si>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</si>
  <si>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</si>
  <si>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</si>
  <si>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</si>
  <si>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</si>
  <si>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</si>
  <si>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</si>
  <si>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</si>
  <si>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</si>
  <si>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</si>
  <si>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</si>
  <si>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</si>
  <si>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</si>
  <si>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</si>
  <si>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</si>
  <si>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</si>
  <si>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</si>
  <si>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</si>
  <si>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</si>
  <si>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</si>
  <si>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</si>
  <si>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</si>
  <si>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</si>
  <si>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</si>
  <si>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</si>
  <si>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</si>
  <si>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</si>
  <si>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</si>
  <si>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</si>
  <si>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</si>
  <si>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</si>
  <si>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</si>
  <si>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</si>
  <si>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</si>
  <si>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</si>
  <si>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GESTIÓN ADMINISTRATIVA</t>
  </si>
  <si>
    <t>Gestionar el talento humano, Fondo Territorial de pensiones, administrar el personal y los recursos físicos, materiales y tecnológicos de la Administración Central del Departamento del Quindío</t>
  </si>
  <si>
    <t>PETICIONES, QUEJAS Y RECLAMOS ATENDIDAS FUERA DE LOS TERMINOS LEGALES.</t>
  </si>
  <si>
    <t>NORMATIVIDAD ARCHIVISTICA APLICADA DE FORMA INADECUADA.</t>
  </si>
  <si>
    <t>Falta de actualización e implementación de tablas de valoración y  retención documental.</t>
  </si>
  <si>
    <t>SISTEMA INTEGRADO DE CONSERVACIÓN DOCUMENTAL SIN APLICACIÓN EFICAZ.</t>
  </si>
  <si>
    <t>ADELANTAR PROCESOS DE CONTRATACIÓN DIRECTA, SIN EL SOPORTE DOCUMENTAL NECESARIO</t>
  </si>
  <si>
    <t>CAPITAL INTELECTUAL CON BAJA RETENCION EN LA ADMINISTRACIÓN CENTRAL DEPARTAMENTAL.</t>
  </si>
  <si>
    <t>Incumplimiento de terminos para dar respuesta a  las PQR en los tiempos establecidos de la normatividad vigente.</t>
  </si>
  <si>
    <t>PROYECTOS DE INVERSIÓN SIN EJECUCIÓN OPTIMA</t>
  </si>
  <si>
    <t>APLICACIÓN Y DESCONOCIMIENTO DEL PROCESO DE EVALUACIÓN DE DESEMPEÑO  LABORAL POR PARTE DEL EVALUADOR Y EVALUADO.</t>
  </si>
  <si>
    <t>Bajo indice de la gestión en la administración departamental</t>
  </si>
  <si>
    <t xml:space="preserve">Desconocimiento de la operatividad del MIPG por parte de los directivos, servidores publicos y contratistas, con el consiguiente desarrollo de procesos desordenados  e ineficientes al interior de las dependencias
</t>
  </si>
  <si>
    <t xml:space="preserve">Posibilidad de afectación reputacional producto  del  bajo indice de la gestión en la administración departamental debido al desconocimiento de la operatividad del MIPG por parte de los directivos, servidores publicos y contratistas con el consiguiente   desarrollo de procesos desordenados  e ineficientes al interior de las dependencias
</t>
  </si>
  <si>
    <t>El acervo documental del Archivo Central   y de otros fondos documentales que custodia la Gobernación se encuentra disperso en diferentes  depositos y no hay un control de seguimiento.</t>
  </si>
  <si>
    <t>Cambios constantes en los formatos para llevar a cabo el procedimiento de evaluación de desempeño a los funcionarios de la Administración Central del Departamento.</t>
  </si>
  <si>
    <t>Fuga de capital intelectual por retiro de los servidores publicos.</t>
  </si>
  <si>
    <t xml:space="preserve">Incumplimiento de las metas del Plan de Desarrollo </t>
  </si>
  <si>
    <t>Posibilidad de afectación económica y reputacional por incumplimiento de las metas del Plan de Desarrollo debido   a la baja continuidad en los  procesos de  seguimiento y evaluación al  Plan de Desarrollo (físico y financiero) a nivel de la alta dirección y  al interior de las diferentes Secretarias y Entes Descentralizados que aportan al cumplimiento del Plan de Desarrrollo</t>
  </si>
  <si>
    <t>Secretarios de Despacho, Directores y Jefes  de las diferentes Secretarias de Despacho.</t>
  </si>
  <si>
    <t xml:space="preserve">Secretarios de Despacho </t>
  </si>
  <si>
    <t xml:space="preserve">
</t>
  </si>
  <si>
    <t>Falta procesos de seguimiento y evaluación a los proyectos de inversión de la Secretaría Adminsitrativa</t>
  </si>
  <si>
    <t>Posible afectación reputacional por factores  como normatividad archivistica aplicada en forma inadecuda y la Falta de  implementación de tablas y  retención documental, ocasionando incumplimiento de disposiciones legales sobre Gestión Documental.</t>
  </si>
  <si>
    <t>Posibilidad de afectación economica y reputacional por un sistema integrado de conservación documental sin aplicación eficaz al acervo documental  del Archivo Central   y de otros fondos documentales que custodia la Gobernacióny que  se encuentran dispersos en diferentes  depositos y no hay un control de seguimiento.</t>
  </si>
  <si>
    <t>Posibilidad afectación reputacional por APLICACIÓN Y DESCONOCIMIENTO DEL PROCESO DE EVALUACIÓN DE DESEMPEÑO  LABORAL POR PARTE DEL EVALUADOR Y EVALUADO debido a Cambios constantes en los formatos para llevar a cabo el procedimiento de evaluación de desempeño a los funcionarios de la Administración Central del Departamento.</t>
  </si>
  <si>
    <t xml:space="preserve">Realizar jornadas de inducción a los empleados que son vinculados por primera vez a la Administración Central Departamental, a través de mecanismos y herramientas de comunicación.
Realizar jornadas de re-inducción y acompañamientos a los empleados que ya se encuentren vinculados a  la Administración Central Departamental y que presenten inquietudes al respecto al proceso  de  evaluación del desempeño a través de mecanismos y herramientas  de comunicación.
Implementar un formato de  acompañamiento de las Asistencias técnicas personalizadas, que se brinden en temas  relacionados con la evaluación de desempeño
</t>
  </si>
  <si>
    <t xml:space="preserve">
Realizar seguimiento al Plan de Acción de los Proyectos de Inversión de la Secretaría Administrativa de conformidad con los lineamientos establecidos por la Secretaría de Planeación.
Socializar los resultados de las actividades ejecutadas trimestralmente en el Plan de Acción con los responsables de cada proyecto.
</t>
  </si>
  <si>
    <t>Posible  afectación Económico y Reputacional  en el  CAPITAL INTELECTUAL CON BAJA RETENCION EN LA ADMINISTRACIÓN CENTRAL DEPARTAMENTAL por  Fuga de capital intelectual por retiro de los servidores publicos.</t>
  </si>
  <si>
    <t>Realizar informe sobre las plantillas de retención del conocimiento diligenciadas por los servidores de la Administración Central  a partir de la aprobación del Equipo Técnico de Gestión del conocimiento.</t>
  </si>
  <si>
    <t>Posibilidad de afectación económica y reputacional por peticiones, quejas y reclamos atendidas fuera de los términos legales, debido al incumplimiento de términos para dar respuesta a  las  PQR en los tiempos establecidos de la normatividad vigente.</t>
  </si>
  <si>
    <t xml:space="preserve">Posible afectación   económica y reputacional  en los Proyectos de Inversión sin ejecución optima debido a falta procesos de seguimiento y evaluación a los proyectos de inversión de la secretaría administrativa. </t>
  </si>
  <si>
    <t>Director Talento Humano</t>
  </si>
  <si>
    <t>Director TH</t>
  </si>
  <si>
    <t>Secretario Administrativo</t>
  </si>
  <si>
    <t>Director de Talento Humano</t>
  </si>
  <si>
    <t xml:space="preserve">Validar la información a través de la lista de chequeo de los procesos pre-contractuales.
Número de contratos   registrados  y aprobados en la plataforma  SECOP II
</t>
  </si>
  <si>
    <t>Director de Recursos Físicos</t>
  </si>
  <si>
    <t>Elaboró:</t>
  </si>
  <si>
    <t>Revisó:</t>
  </si>
  <si>
    <t>Aprobó:</t>
  </si>
  <si>
    <t>Mapa de Riesgos de Gestión</t>
  </si>
  <si>
    <t>MATRIZ</t>
  </si>
  <si>
    <t>Código</t>
  </si>
  <si>
    <t>Versión</t>
  </si>
  <si>
    <t>Fecha</t>
  </si>
  <si>
    <t>Página</t>
  </si>
  <si>
    <t>MR-SAD-01</t>
  </si>
  <si>
    <t>1 de 1</t>
  </si>
  <si>
    <t>Realizar seguimientos cuatrimestrales  al Plan de Acción del MIPG</t>
  </si>
  <si>
    <t>Apoyo a todos los procesos de la Administración Central del Departamento del Quindío.</t>
  </si>
  <si>
    <t>a) 18 Unidades productoras con inventarios documentales actualizados /18 total de unidades  productoras) * 100
b) 6 Seguimientos realizados  a los inventarios documentales/6. de seguimientos Programados a los inventarios documentales</t>
  </si>
  <si>
    <t>a) No. de devoluciones de unidades documentales registradas / No. de préstamos de unidades documentales registradas</t>
  </si>
  <si>
    <t>a) No. de seguimientos al Plan de Acción     de la  Secretaría Administrativa realizado / No. de seguimientos al Plan de Acción de la Secretaría Administrativa proyectados*100     
b)  No. de socializaciones (Autoevaluación internas)  realizadas / No. de socializaciones (Autoevaluación internas)  programadas* 100</t>
  </si>
  <si>
    <t>a) (No. de procesos de inducción realizados a empleados vinculados en temas de evaluación del desempeño laboral / No. de empleados vinculados) *100
b) (No. de Procesos de reinducción realizados en temas de evaluación del desempeño laboral / No de procesos de reinducción programados) *100 
c) (No. Asistencias técnicas personalizadas realizadas / No. de asistencias técnicas personalizadas solicitadas) *100</t>
  </si>
  <si>
    <t>a) No. de Listas de chequeo diligenciados / No. de procesos precontractuales adelantados*100 
b) No. de procesos precontractuales y contractuales con la revisión del director de recursos físicos / No. de procesos precontractuales y contractuales adelantados</t>
  </si>
  <si>
    <t>No de plantillas de retención de la información diligenciadas por funcionarios de planta y/o colaboradores / No total de plantillas a diligenciar en el periodo</t>
  </si>
  <si>
    <t>N° de seguimientos realizados al Plan de accion de MIPG / 4 seguimientos programados</t>
  </si>
  <si>
    <t>N° de seguimientos realizados a los instrumentos de planificación  / 4 seguimientos programados</t>
  </si>
  <si>
    <t>Monitoreo del Riesgo e Indicadores</t>
  </si>
  <si>
    <t>Semeste I</t>
  </si>
  <si>
    <t>Semestre II</t>
  </si>
  <si>
    <t>Numerador</t>
  </si>
  <si>
    <t>Denominador</t>
  </si>
  <si>
    <t>Resultado</t>
  </si>
  <si>
    <t>Descripción del Logro</t>
  </si>
  <si>
    <t>Evidencias</t>
  </si>
  <si>
    <t>Johan Sebastián Cañón</t>
  </si>
  <si>
    <t>Semestral</t>
  </si>
  <si>
    <t>Realiza el seguimiento bimestralmente por medio de un documento normalizado (Formato) de las actuaciones realizadas durante el proceso de elaboración de nómina, generando informe de dicho control.</t>
  </si>
  <si>
    <t>No. de seguimientos realizados bimestalmente/ No. de seguimientos programados</t>
  </si>
  <si>
    <t>Falta de seguimiento y control en el procedimiento de elaboración de nómina.</t>
  </si>
  <si>
    <t xml:space="preserve">Posibilidad de afectación economica y reputacional,  debido a la falta de seguimiento y  control del proceso de elaboracion de nómina de la  Administración Departamental.  </t>
  </si>
  <si>
    <t>Margarita Turriago Garcia</t>
  </si>
  <si>
    <t>Erika Garcia Cubillos</t>
  </si>
  <si>
    <t>Propfesional Universitario de Gestión Documental</t>
  </si>
  <si>
    <t xml:space="preserve">Realizar informes de  seguimiento y evaluacion trimestral  al Plan de Desarrollo "POR Y PARA LA GENTE" 2024-2027 </t>
  </si>
  <si>
    <t>Profesional Universitario de Gestión Documental</t>
  </si>
  <si>
    <t>Fuente:  Adaptado de Curso Riesgo Operativo Universidad del Rosario por Dirección de Gestión y Desempeño Institucional de Función Pública.</t>
  </si>
  <si>
    <t xml:space="preserve">
-Verificar a través de los aplicativos ControlDoc y la VENTANILLA VIRTUAL  el estado actual de las PQRSD                                                                            -Generar Informe mensual sobre el estado de las PQRSD a las diferentes secretarías y oficinas del Gobierno del Quindío. 
- Generar informes de PQRSD trimestralmente
-Publicar en la página institucional el informe trimestral
</t>
  </si>
  <si>
    <t>PU Secretria Administrativa</t>
  </si>
  <si>
    <t>Contratista Profesional</t>
  </si>
  <si>
    <t>a) Nº de informes mensuales de PQRS elaborados  / Nº de informes mensuales de PQRS programados *100
                                                                                                                                                                                                b)  No de informes trimestrales de pqrs publicados / No de informes de pqrs cargados de la página web *100 
                                                                                          c)  No Informes trimestrales  PQRS elaborados/ No. total informes  trimestrales PQRS Programados *100</t>
  </si>
  <si>
    <t>Falta de verificación por parte del funcionario encargado de la recepción de los documentos, soporte de los contratos (sigep), de la Administración Central.</t>
  </si>
  <si>
    <t>Posibilidad de afectación economica y reputacional por ADELANTAR PROCESOS DE CONTRATACIÓN DIRECTA, SIN EL SOPORTE DOCUMENTAL NECESARIO debido a la Falta de verificación por parte del funcionario encargado de la recepción de los documentos, soporte de los contratos (sigep y secop 2), de la Administración Central.</t>
  </si>
  <si>
    <r>
      <t xml:space="preserve">El profesional de Gestión Documental reporta mensualmente a las diferentes secretarías y oficinas de la Gobernación del Departamento del Quindío los PQRS vencidos </t>
    </r>
    <r>
      <rPr>
        <sz val="11"/>
        <color rgb="FFFF0000"/>
        <rFont val="Arial Narrow"/>
        <family val="2"/>
      </rPr>
      <t xml:space="preserve"> </t>
    </r>
    <r>
      <rPr>
        <sz val="11"/>
        <rFont val="Arial Narrow"/>
        <family val="2"/>
      </rPr>
      <t>por medio de informe del estado actual, el cual se envia por medio del aplicativo ControlDoc,</t>
    </r>
    <r>
      <rPr>
        <sz val="11"/>
        <color rgb="FFFF0000"/>
        <rFont val="Arial Narrow"/>
        <family val="2"/>
      </rPr>
      <t xml:space="preserve"> </t>
    </r>
    <r>
      <rPr>
        <sz val="11"/>
        <color theme="1"/>
        <rFont val="Arial Narrow"/>
        <family val="2"/>
      </rPr>
      <t>con el propósito de generar alertar y que la respectiva área de cumplimiento a la normatividad dentro de términos establecidos.</t>
    </r>
  </si>
  <si>
    <t>El profesional competente del área de gestión documental realizá seguimientos bimensualmente a la organización de los archivos de gestión por cada oficina productora, a través de una lista de chequeo  se verifica su organización de los archivos de gestión como se establece en los procedimientos archivísticos, y semestralmente, se realiza  el registro de los inventarios documentales a través del formato FUID, en  caso de que la información solicitada  no se vea reflejada se  informará  por medio de un oficio al área encargada  para el análisis funcional de la información y  ser incluida en el instrumento archivístico, como evidencia se deja la lista de chequeo , actas de reunión de los seguimientos.</t>
  </si>
  <si>
    <t>El  profesional  de área de Gestión Documental realiza el inventario Documental mensual  por medio de los formatos establecidos por mencionada área, para conocer y ubicar la información que se custodia del archivo de Gestión cuando cumple su tiempo de retención y de otros fondos documentales, en caso de un factor de Riesgo de pérdida de la información, se solicita mediante un oficio al ente corresponsable de enviar la información requerida; como evidencia deja el registro de transferencias documentales en físico y digital y registro de préstamo y devolución de unidades documentales.</t>
  </si>
  <si>
    <t>El profesional competente realiza trimestralmente el seguimiento y evaluación del Plan De Desarrollo a través  de formatos establecidos que deben contener de manera concisa, la descripción y ejecución de los gastos de inversión, en caso de encontrar información errónea o faltante se verificará personalmente con el responsable y / o director de cada proyecto y se organizará nuevamente; como evidencia se deja la matriz de seguimiento al Plan de Acción, la matriz de seguimiento al Plan Operativo Anual de inversiones (POAI) y correos enviados a los directores de la Secretaría Administrativa.</t>
  </si>
  <si>
    <t>El profesional universitario líder del proceso, verifica constantemente que los formatos utilizados para el proceso de evaluación de desempeño laboral correspondan a lo solicitado por el ente encargado de la expedición de dicho documento, en caso de que la información haya cambiado se informa personalmente a los funcionarios cuál es el formato a utilizar para la entrega de su próxima calificación, como evidencia deja registros de realización de procesos de inducción, de asistencia a procesos de reinducción y presentaciones de la información de la evaluación de desempeño laboral.</t>
  </si>
  <si>
    <t>El funcionario encargado de la revisión del proceso de nómina, realiza el seguimiento bimestralmente por medio de un documento normalizado (Formato) de las actuaciones realizadas durante el proceso de elaboración de nómina, generando informe de dicho control, garantizando el buen manejo y funcionamiento de del proceso de nómina.</t>
  </si>
  <si>
    <t>El Director de Recursos Físicos cada vez que se va a realizar un contrato verifica que los documentos aportados por las personas a contratar correspondan con los requisitos contenidos en las listas de chequeo, en el evento de faltar algún documento, será requerida la persona a contratar para que lo aporte y así dar inicio al proceso contractual, como evidencia deja listas de chequeo totalmente diligenciadas y soporte documental en los expedientes contractuales.</t>
  </si>
  <si>
    <t>El profesional competente de cada dirección, verifica constantemente que la información suministrada  en la herramienta establecida "Retención del conocimiento" corresponda a los procesos inherentes desarrollados por cada servidor publico, en caso de que la información no sea suministrada correctamente, se solicita  a través de oficios ,actualizar la información en los formatos establecidos y como evidencia quedan los documentos soporte.</t>
  </si>
  <si>
    <t>Los secretarios de Despacho, Directores y Jefes  de las diferentes Secretarias de Despacho realizan procesos de Seguimiento y evaluación trimestrales al Plan  de Acción Modelo Integrado de Planeación y Gestión MIPG de la Administración Departamental del Quindío Vigencia 2024, donde se reite el estado de cumplimiento de  mencionado plan.</t>
  </si>
  <si>
    <r>
      <t xml:space="preserve">Los Secretarios de Despacho, Directores y Jefes  de las diferentes Secretarias de Despacho realizan seguimiento  y evaluacion trimestral </t>
    </r>
    <r>
      <rPr>
        <sz val="11"/>
        <rFont val="Arial Narrow"/>
        <family val="2"/>
      </rPr>
      <t>al Plan de Desarrollo Departamental "POR Y PARA LA GENTE"  2024-2027" mediantes los formatoS F-PLA-47 METAS Y PROYECTOS,                                                                                                F-PLA-06 PROGRAMACIÓN PLAN DE ACCIÓN,                                            F-PLA-07  SEGUIMIENTO PLAN DE ACCIÓN, c</t>
    </r>
    <r>
      <rPr>
        <sz val="11"/>
        <color theme="1"/>
        <rFont val="Arial Narrow"/>
        <family val="2"/>
      </rPr>
      <t xml:space="preserve">on el propósito de reportarlo a la secretaria de Planeación Departamental </t>
    </r>
  </si>
  <si>
    <t>Realizar Inventarios de los archivos de Gestión actualizados de las oficinas y secretarias de la Gobernación del Quindío cada seis meses</t>
  </si>
  <si>
    <t xml:space="preserve">Realizar control mediante la aplicación de formatos de los préstamos y / o consultas documentales.
Realizar visitas y seguimientos mediante lista de chequeo aplicada a los diferentes depósitos del archivo central.
</t>
  </si>
  <si>
    <t>DEFICIENCIAS EN EL CONTROL DE LA EJECUCIÓN DE ACTIVIDADES DEL PROCEDIMIENTO DE ELABORACIÓN DE NÓMINA</t>
  </si>
  <si>
    <t>Baja continuidad en los  procesos    seguimiento y evaluación al  Plan de Desarrollo   (física y financiera), a nivel de la alta dirección y  al interior de las diferentes Secretarias y Entes Descentralizados que aportan al cumplimiento del Plan de Desarrrollo</t>
  </si>
  <si>
    <t>N° de seguimientos realizados al Plan de accion de MIPG /3 seguimientos programados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</si>
</sst>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4"/>
      <color theme="1"/>
      <name val="Arial"/>
      <family val="2"/>
    </font>
    <font>
      <b/>
      <sz val="12"/>
      <color theme="1"/>
      <name val="Arial"/>
      <family val="2"/>
    </font>
    <font>
      <sz val="10"/>
      <color theme="1"/>
      <name val="Arial"/>
      <family val="2"/>
    </font>
    <font>
      <b/>
      <sz val="10"/>
      <color theme="1"/>
      <name val="Arial"/>
      <family val="2"/>
    </font>
    <font>
      <sz val="11"/>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4659260841701"/>
      </left>
      <right style="thin">
        <color indexed="64"/>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3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164" fontId="1" fillId="0" borderId="2" xfId="1" applyNumberFormat="1" applyFont="1" applyBorder="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164" fontId="1" fillId="9" borderId="2" xfId="1" applyNumberFormat="1" applyFont="1" applyFill="1" applyBorder="1" applyAlignment="1">
      <alignment horizontal="center"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46" xfId="2" applyFont="1" applyFill="1" applyBorder="1"/>
    <xf numFmtId="0" fontId="50" fillId="3" borderId="47" xfId="2" applyFont="1" applyFill="1" applyBorder="1"/>
    <xf numFmtId="0" fontId="50" fillId="3" borderId="48"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29" xfId="0" applyFont="1" applyFill="1" applyBorder="1" applyAlignment="1">
      <alignment horizontal="center" vertical="center" wrapText="1" readingOrder="1"/>
    </xf>
    <xf numFmtId="0" fontId="39" fillId="3" borderId="29"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9" fillId="3" borderId="28" xfId="0" applyFont="1" applyFill="1" applyBorder="1" applyAlignment="1">
      <alignment horizontal="justify" vertical="center" wrapText="1" readingOrder="1"/>
    </xf>
    <xf numFmtId="9" fontId="38" fillId="3" borderId="33" xfId="0" applyNumberFormat="1" applyFont="1" applyFill="1" applyBorder="1" applyAlignment="1">
      <alignment horizontal="center" vertical="center" wrapText="1" readingOrder="1"/>
    </xf>
    <xf numFmtId="0" fontId="39" fillId="3" borderId="33"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9" fillId="3" borderId="35" xfId="0" applyFont="1" applyFill="1" applyBorder="1" applyAlignment="1">
      <alignment horizontal="justify" vertical="center" wrapText="1" readingOrder="1"/>
    </xf>
    <xf numFmtId="0" fontId="39" fillId="3" borderId="36" xfId="0" applyFont="1" applyFill="1" applyBorder="1" applyAlignment="1">
      <alignment horizontal="center" vertical="center" wrapText="1" readingOrder="1"/>
    </xf>
    <xf numFmtId="0" fontId="47" fillId="3" borderId="0" xfId="0" applyFont="1" applyFill="1"/>
    <xf numFmtId="0" fontId="38" fillId="15" borderId="40" xfId="0" applyFont="1" applyFill="1" applyBorder="1" applyAlignment="1">
      <alignment horizontal="center" vertical="center" wrapText="1" readingOrder="1"/>
    </xf>
    <xf numFmtId="0" fontId="38" fillId="15" borderId="41"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70" xfId="0" applyFont="1" applyBorder="1" applyAlignment="1" applyProtection="1">
      <alignment horizontal="center" vertical="center"/>
      <protection locked="0"/>
    </xf>
    <xf numFmtId="164" fontId="1" fillId="0" borderId="2" xfId="1" applyNumberFormat="1" applyFont="1" applyFill="1" applyBorder="1" applyAlignment="1">
      <alignment horizontal="center" vertical="center"/>
    </xf>
    <xf numFmtId="0" fontId="61" fillId="0" borderId="28" xfId="0" applyFont="1" applyBorder="1" applyAlignment="1">
      <alignment vertical="center"/>
    </xf>
    <xf numFmtId="0" fontId="62" fillId="0" borderId="28" xfId="0" applyFont="1" applyBorder="1" applyAlignment="1">
      <alignment horizontal="center" vertical="center"/>
    </xf>
    <xf numFmtId="0" fontId="61" fillId="0" borderId="28" xfId="0" applyFont="1" applyBorder="1" applyAlignment="1">
      <alignment horizontal="center" vertical="center"/>
    </xf>
    <xf numFmtId="0" fontId="1" fillId="0" borderId="0" xfId="0" applyFont="1" applyAlignment="1">
      <alignment horizontal="left" vertical="center"/>
    </xf>
    <xf numFmtId="15" fontId="61" fillId="0" borderId="28" xfId="0" applyNumberFormat="1" applyFont="1" applyBorder="1" applyAlignment="1">
      <alignment horizontal="center" vertical="center"/>
    </xf>
    <xf numFmtId="0" fontId="4" fillId="14" borderId="2" xfId="0" applyFont="1" applyFill="1" applyBorder="1" applyAlignment="1">
      <alignment horizontal="center" vertical="center" wrapText="1"/>
    </xf>
    <xf numFmtId="10" fontId="4" fillId="14" borderId="2" xfId="1" applyNumberFormat="1" applyFont="1" applyFill="1" applyBorder="1" applyAlignment="1">
      <alignment horizontal="center"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vertical="center" wrapText="1"/>
    </xf>
    <xf numFmtId="10" fontId="1" fillId="0" borderId="0" xfId="1" applyNumberFormat="1" applyFont="1"/>
    <xf numFmtId="10" fontId="1" fillId="3" borderId="0" xfId="1" applyNumberFormat="1" applyFont="1" applyFill="1"/>
    <xf numFmtId="10" fontId="1" fillId="0" borderId="2" xfId="1" applyNumberFormat="1" applyFont="1" applyBorder="1" applyAlignment="1" applyProtection="1">
      <alignment horizontal="center" vertical="center"/>
      <protection locked="0"/>
    </xf>
    <xf numFmtId="0" fontId="1" fillId="3" borderId="2" xfId="0" applyFont="1" applyFill="1" applyBorder="1" applyAlignment="1">
      <alignment horizontal="center" vertical="center"/>
    </xf>
    <xf numFmtId="0" fontId="1" fillId="3" borderId="2"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textRotation="90"/>
      <protection locked="0"/>
    </xf>
    <xf numFmtId="9" fontId="1" fillId="3" borderId="2" xfId="0" applyNumberFormat="1" applyFont="1" applyFill="1" applyBorder="1" applyAlignment="1" applyProtection="1">
      <alignment horizontal="center" vertical="center"/>
      <protection hidden="1"/>
    </xf>
    <xf numFmtId="164" fontId="1" fillId="3" borderId="2" xfId="1" applyNumberFormat="1" applyFont="1" applyFill="1" applyBorder="1" applyAlignment="1">
      <alignment horizontal="center" vertical="center"/>
    </xf>
    <xf numFmtId="0" fontId="4" fillId="3" borderId="2" xfId="0" applyFont="1" applyFill="1" applyBorder="1" applyAlignment="1" applyProtection="1">
      <alignment horizontal="center" vertical="center" textRotation="90" wrapText="1"/>
      <protection hidden="1"/>
    </xf>
    <xf numFmtId="9" fontId="1" fillId="3" borderId="4"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1" fillId="3" borderId="4" xfId="0" applyFont="1" applyFill="1" applyBorder="1" applyAlignment="1" applyProtection="1">
      <alignment horizontal="center" vertical="center" textRotation="90"/>
      <protection locked="0"/>
    </xf>
    <xf numFmtId="0" fontId="1"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justify" vertical="center"/>
      <protection locked="0"/>
    </xf>
    <xf numFmtId="0" fontId="1" fillId="0" borderId="2" xfId="0" applyFont="1" applyFill="1" applyBorder="1" applyAlignment="1" applyProtection="1">
      <alignment horizontal="justify" vertical="center"/>
      <protection locked="0"/>
    </xf>
    <xf numFmtId="0" fontId="6" fillId="0" borderId="2"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wrapText="1"/>
      <protection locked="0"/>
    </xf>
    <xf numFmtId="14" fontId="1" fillId="0" borderId="2"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10" fontId="1" fillId="0" borderId="2" xfId="1" applyNumberFormat="1" applyFont="1" applyFill="1" applyBorder="1" applyAlignment="1" applyProtection="1">
      <alignment horizontal="center" vertical="center"/>
      <protection locked="0"/>
    </xf>
    <xf numFmtId="0" fontId="1" fillId="0" borderId="70"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textRotation="90"/>
      <protection locked="0"/>
    </xf>
    <xf numFmtId="9" fontId="1" fillId="0" borderId="2" xfId="0" applyNumberFormat="1" applyFont="1" applyFill="1" applyBorder="1" applyAlignment="1" applyProtection="1">
      <alignment horizontal="center" vertical="center"/>
      <protection hidden="1"/>
    </xf>
    <xf numFmtId="0" fontId="1" fillId="0" borderId="2" xfId="0" quotePrefix="1" applyFont="1" applyFill="1" applyBorder="1" applyAlignment="1" applyProtection="1">
      <alignment horizontal="justify" vertical="center" wrapText="1"/>
      <protection locked="0"/>
    </xf>
    <xf numFmtId="0" fontId="56" fillId="3" borderId="59" xfId="2" applyFont="1" applyFill="1" applyBorder="1" applyAlignment="1">
      <alignment horizontal="justify" vertical="center" wrapText="1"/>
    </xf>
    <xf numFmtId="0" fontId="56" fillId="3" borderId="60" xfId="2" applyFont="1" applyFill="1" applyBorder="1" applyAlignment="1">
      <alignment horizontal="justify" vertical="center" wrapText="1"/>
    </xf>
    <xf numFmtId="0" fontId="55" fillId="3" borderId="66" xfId="0" applyFont="1" applyFill="1" applyBorder="1" applyAlignment="1">
      <alignment horizontal="left" vertical="center" wrapText="1"/>
    </xf>
    <xf numFmtId="0" fontId="55" fillId="3" borderId="67" xfId="0" applyFont="1" applyFill="1" applyBorder="1" applyAlignment="1">
      <alignment horizontal="left" vertical="center" wrapText="1"/>
    </xf>
    <xf numFmtId="0" fontId="55" fillId="3" borderId="53" xfId="3" applyFont="1" applyFill="1" applyBorder="1" applyAlignment="1">
      <alignment horizontal="left" vertical="top" wrapText="1" readingOrder="1"/>
    </xf>
    <xf numFmtId="0" fontId="55" fillId="3" borderId="54" xfId="3" applyFont="1" applyFill="1" applyBorder="1" applyAlignment="1">
      <alignment horizontal="left" vertical="top" wrapText="1" readingOrder="1"/>
    </xf>
    <xf numFmtId="0" fontId="56" fillId="3" borderId="55" xfId="2" applyFont="1" applyFill="1" applyBorder="1" applyAlignment="1">
      <alignment horizontal="justify" vertical="center" wrapText="1"/>
    </xf>
    <xf numFmtId="0" fontId="56" fillId="3" borderId="56" xfId="2" applyFont="1" applyFill="1" applyBorder="1" applyAlignment="1">
      <alignment horizontal="justify" vertical="center" wrapText="1"/>
    </xf>
    <xf numFmtId="0" fontId="55" fillId="3" borderId="57" xfId="0" applyFont="1" applyFill="1" applyBorder="1" applyAlignment="1">
      <alignment horizontal="left" vertical="center" wrapText="1"/>
    </xf>
    <xf numFmtId="0" fontId="55" fillId="3" borderId="58"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68"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6" fillId="3" borderId="61" xfId="0" applyFont="1" applyFill="1" applyBorder="1" applyAlignment="1">
      <alignment horizontal="justify" vertical="center" wrapText="1"/>
    </xf>
    <xf numFmtId="0" fontId="56" fillId="3" borderId="62" xfId="0" applyFont="1" applyFill="1" applyBorder="1" applyAlignment="1">
      <alignment horizontal="justify" vertical="center" wrapText="1"/>
    </xf>
    <xf numFmtId="0" fontId="51" fillId="14" borderId="43" xfId="2" applyFont="1" applyFill="1" applyBorder="1" applyAlignment="1">
      <alignment horizontal="center" vertical="center" wrapText="1"/>
    </xf>
    <xf numFmtId="0" fontId="51" fillId="14" borderId="44" xfId="2" applyFont="1" applyFill="1" applyBorder="1" applyAlignment="1">
      <alignment horizontal="center" vertical="center" wrapText="1"/>
    </xf>
    <xf numFmtId="0" fontId="51" fillId="14" borderId="45"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3" xfId="2" quotePrefix="1" applyFont="1" applyBorder="1" applyAlignment="1">
      <alignment horizontal="left" vertical="center" wrapText="1"/>
    </xf>
    <xf numFmtId="0" fontId="50" fillId="0" borderId="64" xfId="2" quotePrefix="1" applyFont="1" applyBorder="1" applyAlignment="1">
      <alignment horizontal="left" vertical="center" wrapText="1"/>
    </xf>
    <xf numFmtId="0" fontId="50" fillId="0" borderId="65" xfId="2" quotePrefix="1" applyFont="1" applyBorder="1" applyAlignment="1">
      <alignment horizontal="left" vertical="center" wrapText="1"/>
    </xf>
    <xf numFmtId="0" fontId="52" fillId="3" borderId="46" xfId="2" quotePrefix="1" applyFont="1" applyFill="1" applyBorder="1" applyAlignment="1">
      <alignment horizontal="left" vertical="top" wrapText="1"/>
    </xf>
    <xf numFmtId="0" fontId="53" fillId="3" borderId="47" xfId="2" quotePrefix="1" applyFont="1" applyFill="1" applyBorder="1" applyAlignment="1">
      <alignment horizontal="left" vertical="top" wrapText="1"/>
    </xf>
    <xf numFmtId="0" fontId="53" fillId="3" borderId="48"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49" xfId="3" applyFont="1" applyFill="1" applyBorder="1" applyAlignment="1">
      <alignment horizontal="center" vertical="center" wrapText="1"/>
    </xf>
    <xf numFmtId="0" fontId="55" fillId="14" borderId="50" xfId="3" applyFont="1" applyFill="1" applyBorder="1" applyAlignment="1">
      <alignment horizontal="center" vertical="center" wrapText="1"/>
    </xf>
    <xf numFmtId="0" fontId="55" fillId="14" borderId="51" xfId="2" applyFont="1" applyFill="1" applyBorder="1" applyAlignment="1">
      <alignment horizontal="center" vertical="center"/>
    </xf>
    <xf numFmtId="0" fontId="55" fillId="14" borderId="52" xfId="2" applyFont="1" applyFill="1" applyBorder="1" applyAlignment="1">
      <alignment horizontal="center" vertical="center"/>
    </xf>
    <xf numFmtId="0" fontId="2" fillId="3" borderId="63" xfId="2" quotePrefix="1" applyFont="1" applyFill="1" applyBorder="1" applyAlignment="1">
      <alignment horizontal="justify" vertical="center" wrapText="1"/>
    </xf>
    <xf numFmtId="0" fontId="2" fillId="3" borderId="64" xfId="2" quotePrefix="1" applyFont="1" applyFill="1" applyBorder="1" applyAlignment="1">
      <alignment horizontal="justify" vertical="center" wrapText="1"/>
    </xf>
    <xf numFmtId="0" fontId="2" fillId="3" borderId="65" xfId="2" quotePrefix="1" applyFont="1" applyFill="1" applyBorder="1" applyAlignment="1">
      <alignment horizontal="justify" vertical="center" wrapText="1"/>
    </xf>
    <xf numFmtId="0" fontId="1" fillId="0" borderId="4"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justify" vertical="center" wrapText="1"/>
      <protection locked="0"/>
    </xf>
    <xf numFmtId="0" fontId="1" fillId="0" borderId="5"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2" borderId="2" xfId="0" applyFont="1" applyFill="1" applyBorder="1" applyAlignment="1">
      <alignment horizontal="center" vertical="center"/>
    </xf>
    <xf numFmtId="0" fontId="4" fillId="14" borderId="2" xfId="0" applyFont="1" applyFill="1" applyBorder="1" applyAlignment="1">
      <alignment horizontal="center" vertical="center" wrapText="1"/>
    </xf>
    <xf numFmtId="9" fontId="1" fillId="0" borderId="4" xfId="0" applyNumberFormat="1" applyFont="1" applyFill="1" applyBorder="1" applyAlignment="1" applyProtection="1">
      <alignment horizontal="center" vertical="center" wrapText="1"/>
      <protection locked="0"/>
    </xf>
    <xf numFmtId="9" fontId="1" fillId="0" borderId="8"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hidden="1"/>
    </xf>
    <xf numFmtId="0" fontId="53" fillId="0" borderId="8" xfId="0" applyFont="1" applyBorder="1" applyAlignment="1" applyProtection="1">
      <alignment horizontal="center" vertical="center" wrapText="1"/>
      <protection hidden="1"/>
    </xf>
    <xf numFmtId="0" fontId="53"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wrapText="1"/>
      <protection hidden="1"/>
    </xf>
    <xf numFmtId="9" fontId="1" fillId="0" borderId="8" xfId="0" applyNumberFormat="1" applyFont="1" applyFill="1" applyBorder="1" applyAlignment="1" applyProtection="1">
      <alignment horizontal="center" vertical="center" wrapText="1"/>
      <protection hidden="1"/>
    </xf>
    <xf numFmtId="9" fontId="1" fillId="0" borderId="5" xfId="0" applyNumberFormat="1" applyFont="1" applyFill="1" applyBorder="1" applyAlignment="1" applyProtection="1">
      <alignment horizontal="center" vertical="center" wrapText="1"/>
      <protection hidden="1"/>
    </xf>
    <xf numFmtId="0" fontId="1" fillId="0" borderId="4"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9" fontId="1" fillId="3" borderId="4" xfId="0" applyNumberFormat="1" applyFont="1" applyFill="1" applyBorder="1" applyAlignment="1" applyProtection="1">
      <alignment horizontal="center" vertical="center" wrapText="1"/>
      <protection hidden="1"/>
    </xf>
    <xf numFmtId="9" fontId="1" fillId="3" borderId="8" xfId="0" applyNumberFormat="1" applyFont="1" applyFill="1" applyBorder="1" applyAlignment="1" applyProtection="1">
      <alignment horizontal="center" vertical="center" wrapText="1"/>
      <protection hidden="1"/>
    </xf>
    <xf numFmtId="9" fontId="1" fillId="3" borderId="5" xfId="0" applyNumberFormat="1" applyFont="1" applyFill="1" applyBorder="1" applyAlignment="1" applyProtection="1">
      <alignment horizontal="center" vertical="center" wrapText="1"/>
      <protection hidden="1"/>
    </xf>
    <xf numFmtId="0" fontId="1" fillId="3" borderId="0" xfId="0" applyFont="1" applyFill="1" applyAlignment="1">
      <alignment horizontal="left" vertical="center"/>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59" fillId="0" borderId="28" xfId="0" applyFont="1" applyBorder="1" applyAlignment="1">
      <alignment horizontal="center" vertical="center"/>
    </xf>
    <xf numFmtId="0" fontId="60" fillId="0" borderId="28" xfId="0" applyFont="1" applyBorder="1" applyAlignment="1">
      <alignment horizontal="center" vertical="center"/>
    </xf>
    <xf numFmtId="0" fontId="1" fillId="0" borderId="28" xfId="0" applyFont="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0" xfId="0" applyFont="1" applyFill="1" applyBorder="1" applyAlignment="1">
      <alignment horizontal="center" vertical="center" wrapText="1" readingOrder="1"/>
    </xf>
    <xf numFmtId="0" fontId="41" fillId="15" borderId="31" xfId="0" applyFont="1" applyFill="1" applyBorder="1" applyAlignment="1">
      <alignment horizontal="center" vertical="center" wrapText="1" readingOrder="1"/>
    </xf>
    <xf numFmtId="0" fontId="41" fillId="15" borderId="42"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39" xfId="0" applyFont="1" applyFill="1" applyBorder="1" applyAlignment="1">
      <alignment horizontal="center" vertical="center" wrapText="1" readingOrder="1"/>
    </xf>
    <xf numFmtId="0" fontId="38" fillId="15" borderId="40"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2" xfId="0" applyFont="1" applyFill="1" applyBorder="1" applyAlignment="1">
      <alignment horizontal="center" vertical="center" wrapText="1" readingOrder="1"/>
    </xf>
    <xf numFmtId="0" fontId="38" fillId="3" borderId="29" xfId="0" applyFont="1" applyFill="1" applyBorder="1" applyAlignment="1">
      <alignment horizontal="center" vertical="center" wrapText="1" readingOrder="1"/>
    </xf>
    <xf numFmtId="0" fontId="38" fillId="3" borderId="28"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49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CC00"/>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31750</xdr:rowOff>
    </xdr:from>
    <xdr:to>
      <xdr:col>1</xdr:col>
      <xdr:colOff>987618</xdr:colOff>
      <xdr:row>3</xdr:row>
      <xdr:rowOff>190500</xdr:rowOff>
    </xdr:to>
    <xdr:pic>
      <xdr:nvPicPr>
        <xdr:cNvPr id="2" name="2 Imagen" descr="C:\Users\AUXPLANEACION03\Desktop\Gobernacion_del_quindio.jpg">
          <a:extLst>
            <a:ext uri="{FF2B5EF4-FFF2-40B4-BE49-F238E27FC236}">
              <a16:creationId xmlns:a16="http://schemas.microsoft.com/office/drawing/2014/main" id="{84F9EA71-0F40-45EC-BA7A-69B54F50181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7500" y="31750"/>
          <a:ext cx="939993" cy="1063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Secretaria%20Administrativa/SEG.%20INSTRUMENTOS%20PLANIF%20Y%20CONTROL/2024/AJUSTE%20DE%20MAPAS%20E%20INDICADORES%202024/OK/MR-SAD-01-V10_Mapa_riesgos_Administrativa_2024-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9" zoomScale="120" zoomScaleNormal="120" workbookViewId="0">
      <selection activeCell="E21" sqref="E21:F21"/>
    </sheetView>
  </sheetViews>
  <sheetFormatPr baseColWidth="10" defaultRowHeight="15" x14ac:dyDescent="0.25"/>
  <cols>
    <col min="1" max="1" width="2.85546875" style="96" customWidth="1"/>
    <col min="2" max="3" width="24.7109375" style="96" customWidth="1"/>
    <col min="4" max="4" width="16" style="96" customWidth="1"/>
    <col min="5" max="5" width="24.7109375" style="96" customWidth="1"/>
    <col min="6" max="6" width="27.7109375" style="96" customWidth="1"/>
    <col min="7" max="8" width="24.7109375" style="96" customWidth="1"/>
    <col min="9" max="16384" width="11.42578125" style="96"/>
  </cols>
  <sheetData>
    <row r="1" spans="2:8" ht="15.75" thickBot="1" x14ac:dyDescent="0.3"/>
    <row r="2" spans="2:8" ht="18" x14ac:dyDescent="0.25">
      <c r="B2" s="191" t="s">
        <v>164</v>
      </c>
      <c r="C2" s="192"/>
      <c r="D2" s="192"/>
      <c r="E2" s="192"/>
      <c r="F2" s="192"/>
      <c r="G2" s="192"/>
      <c r="H2" s="193"/>
    </row>
    <row r="3" spans="2:8" x14ac:dyDescent="0.25">
      <c r="B3" s="97"/>
      <c r="C3" s="98"/>
      <c r="D3" s="98"/>
      <c r="E3" s="98"/>
      <c r="F3" s="98"/>
      <c r="G3" s="98"/>
      <c r="H3" s="99"/>
    </row>
    <row r="4" spans="2:8" ht="63" customHeight="1" x14ac:dyDescent="0.25">
      <c r="B4" s="194" t="s">
        <v>207</v>
      </c>
      <c r="C4" s="195"/>
      <c r="D4" s="195"/>
      <c r="E4" s="195"/>
      <c r="F4" s="195"/>
      <c r="G4" s="195"/>
      <c r="H4" s="196"/>
    </row>
    <row r="5" spans="2:8" ht="63" customHeight="1" x14ac:dyDescent="0.25">
      <c r="B5" s="197"/>
      <c r="C5" s="198"/>
      <c r="D5" s="198"/>
      <c r="E5" s="198"/>
      <c r="F5" s="198"/>
      <c r="G5" s="198"/>
      <c r="H5" s="199"/>
    </row>
    <row r="6" spans="2:8" ht="16.5" x14ac:dyDescent="0.25">
      <c r="B6" s="200" t="s">
        <v>162</v>
      </c>
      <c r="C6" s="201"/>
      <c r="D6" s="201"/>
      <c r="E6" s="201"/>
      <c r="F6" s="201"/>
      <c r="G6" s="201"/>
      <c r="H6" s="202"/>
    </row>
    <row r="7" spans="2:8" ht="95.25" customHeight="1" x14ac:dyDescent="0.25">
      <c r="B7" s="210" t="s">
        <v>167</v>
      </c>
      <c r="C7" s="211"/>
      <c r="D7" s="211"/>
      <c r="E7" s="211"/>
      <c r="F7" s="211"/>
      <c r="G7" s="211"/>
      <c r="H7" s="212"/>
    </row>
    <row r="8" spans="2:8" ht="16.5" x14ac:dyDescent="0.25">
      <c r="B8" s="133"/>
      <c r="C8" s="134"/>
      <c r="D8" s="134"/>
      <c r="E8" s="134"/>
      <c r="F8" s="134"/>
      <c r="G8" s="134"/>
      <c r="H8" s="135"/>
    </row>
    <row r="9" spans="2:8" ht="16.5" customHeight="1" x14ac:dyDescent="0.25">
      <c r="B9" s="203" t="s">
        <v>200</v>
      </c>
      <c r="C9" s="204"/>
      <c r="D9" s="204"/>
      <c r="E9" s="204"/>
      <c r="F9" s="204"/>
      <c r="G9" s="204"/>
      <c r="H9" s="205"/>
    </row>
    <row r="10" spans="2:8" ht="44.25" customHeight="1" x14ac:dyDescent="0.25">
      <c r="B10" s="203"/>
      <c r="C10" s="204"/>
      <c r="D10" s="204"/>
      <c r="E10" s="204"/>
      <c r="F10" s="204"/>
      <c r="G10" s="204"/>
      <c r="H10" s="205"/>
    </row>
    <row r="11" spans="2:8" ht="15.75" thickBot="1" x14ac:dyDescent="0.3">
      <c r="B11" s="122"/>
      <c r="C11" s="125"/>
      <c r="D11" s="130"/>
      <c r="E11" s="131"/>
      <c r="F11" s="131"/>
      <c r="G11" s="132"/>
      <c r="H11" s="126"/>
    </row>
    <row r="12" spans="2:8" ht="15.75" thickTop="1" x14ac:dyDescent="0.25">
      <c r="B12" s="122"/>
      <c r="C12" s="206" t="s">
        <v>163</v>
      </c>
      <c r="D12" s="207"/>
      <c r="E12" s="208" t="s">
        <v>201</v>
      </c>
      <c r="F12" s="209"/>
      <c r="G12" s="125"/>
      <c r="H12" s="126"/>
    </row>
    <row r="13" spans="2:8" ht="35.25" customHeight="1" x14ac:dyDescent="0.25">
      <c r="B13" s="122"/>
      <c r="C13" s="178" t="s">
        <v>194</v>
      </c>
      <c r="D13" s="179"/>
      <c r="E13" s="180" t="s">
        <v>199</v>
      </c>
      <c r="F13" s="181"/>
      <c r="G13" s="125"/>
      <c r="H13" s="126"/>
    </row>
    <row r="14" spans="2:8" ht="17.25" customHeight="1" x14ac:dyDescent="0.25">
      <c r="B14" s="122"/>
      <c r="C14" s="178" t="s">
        <v>195</v>
      </c>
      <c r="D14" s="179"/>
      <c r="E14" s="180" t="s">
        <v>197</v>
      </c>
      <c r="F14" s="181"/>
      <c r="G14" s="125"/>
      <c r="H14" s="126"/>
    </row>
    <row r="15" spans="2:8" ht="19.5" customHeight="1" x14ac:dyDescent="0.25">
      <c r="B15" s="122"/>
      <c r="C15" s="178" t="s">
        <v>196</v>
      </c>
      <c r="D15" s="179"/>
      <c r="E15" s="180" t="s">
        <v>198</v>
      </c>
      <c r="F15" s="181"/>
      <c r="G15" s="125"/>
      <c r="H15" s="126"/>
    </row>
    <row r="16" spans="2:8" ht="69.75" customHeight="1" x14ac:dyDescent="0.25">
      <c r="B16" s="122"/>
      <c r="C16" s="178" t="s">
        <v>165</v>
      </c>
      <c r="D16" s="179"/>
      <c r="E16" s="180" t="s">
        <v>166</v>
      </c>
      <c r="F16" s="181"/>
      <c r="G16" s="125"/>
      <c r="H16" s="126"/>
    </row>
    <row r="17" spans="2:8" ht="34.5" customHeight="1" x14ac:dyDescent="0.25">
      <c r="B17" s="122"/>
      <c r="C17" s="182" t="s">
        <v>2</v>
      </c>
      <c r="D17" s="183"/>
      <c r="E17" s="174" t="s">
        <v>208</v>
      </c>
      <c r="F17" s="175"/>
      <c r="G17" s="125"/>
      <c r="H17" s="126"/>
    </row>
    <row r="18" spans="2:8" ht="27.75" customHeight="1" x14ac:dyDescent="0.25">
      <c r="B18" s="122"/>
      <c r="C18" s="182" t="s">
        <v>3</v>
      </c>
      <c r="D18" s="183"/>
      <c r="E18" s="174" t="s">
        <v>209</v>
      </c>
      <c r="F18" s="175"/>
      <c r="G18" s="125"/>
      <c r="H18" s="126"/>
    </row>
    <row r="19" spans="2:8" ht="28.5" customHeight="1" x14ac:dyDescent="0.25">
      <c r="B19" s="122"/>
      <c r="C19" s="182" t="s">
        <v>42</v>
      </c>
      <c r="D19" s="183"/>
      <c r="E19" s="174" t="s">
        <v>210</v>
      </c>
      <c r="F19" s="175"/>
      <c r="G19" s="125"/>
      <c r="H19" s="126"/>
    </row>
    <row r="20" spans="2:8" ht="72.75" customHeight="1" x14ac:dyDescent="0.25">
      <c r="B20" s="122"/>
      <c r="C20" s="182" t="s">
        <v>1</v>
      </c>
      <c r="D20" s="183"/>
      <c r="E20" s="174" t="s">
        <v>211</v>
      </c>
      <c r="F20" s="175"/>
      <c r="G20" s="125"/>
      <c r="H20" s="126"/>
    </row>
    <row r="21" spans="2:8" ht="64.5" customHeight="1" x14ac:dyDescent="0.25">
      <c r="B21" s="122"/>
      <c r="C21" s="182" t="s">
        <v>50</v>
      </c>
      <c r="D21" s="183"/>
      <c r="E21" s="174" t="s">
        <v>169</v>
      </c>
      <c r="F21" s="175"/>
      <c r="G21" s="125"/>
      <c r="H21" s="126"/>
    </row>
    <row r="22" spans="2:8" ht="71.25" customHeight="1" x14ac:dyDescent="0.25">
      <c r="B22" s="122"/>
      <c r="C22" s="182" t="s">
        <v>168</v>
      </c>
      <c r="D22" s="183"/>
      <c r="E22" s="174" t="s">
        <v>170</v>
      </c>
      <c r="F22" s="175"/>
      <c r="G22" s="125"/>
      <c r="H22" s="126"/>
    </row>
    <row r="23" spans="2:8" ht="55.5" customHeight="1" x14ac:dyDescent="0.25">
      <c r="B23" s="122"/>
      <c r="C23" s="176" t="s">
        <v>171</v>
      </c>
      <c r="D23" s="177"/>
      <c r="E23" s="174" t="s">
        <v>172</v>
      </c>
      <c r="F23" s="175"/>
      <c r="G23" s="125"/>
      <c r="H23" s="126"/>
    </row>
    <row r="24" spans="2:8" ht="42" customHeight="1" x14ac:dyDescent="0.25">
      <c r="B24" s="122"/>
      <c r="C24" s="176" t="s">
        <v>48</v>
      </c>
      <c r="D24" s="177"/>
      <c r="E24" s="174" t="s">
        <v>173</v>
      </c>
      <c r="F24" s="175"/>
      <c r="G24" s="125"/>
      <c r="H24" s="126"/>
    </row>
    <row r="25" spans="2:8" ht="59.25" customHeight="1" x14ac:dyDescent="0.25">
      <c r="B25" s="122"/>
      <c r="C25" s="176" t="s">
        <v>161</v>
      </c>
      <c r="D25" s="177"/>
      <c r="E25" s="174" t="s">
        <v>174</v>
      </c>
      <c r="F25" s="175"/>
      <c r="G25" s="125"/>
      <c r="H25" s="126"/>
    </row>
    <row r="26" spans="2:8" ht="23.25" customHeight="1" x14ac:dyDescent="0.25">
      <c r="B26" s="122"/>
      <c r="C26" s="176" t="s">
        <v>12</v>
      </c>
      <c r="D26" s="177"/>
      <c r="E26" s="174" t="s">
        <v>175</v>
      </c>
      <c r="F26" s="175"/>
      <c r="G26" s="125"/>
      <c r="H26" s="126"/>
    </row>
    <row r="27" spans="2:8" ht="30.75" customHeight="1" x14ac:dyDescent="0.25">
      <c r="B27" s="122"/>
      <c r="C27" s="176" t="s">
        <v>179</v>
      </c>
      <c r="D27" s="177"/>
      <c r="E27" s="174" t="s">
        <v>176</v>
      </c>
      <c r="F27" s="175"/>
      <c r="G27" s="125"/>
      <c r="H27" s="126"/>
    </row>
    <row r="28" spans="2:8" ht="35.25" customHeight="1" x14ac:dyDescent="0.25">
      <c r="B28" s="122"/>
      <c r="C28" s="176" t="s">
        <v>180</v>
      </c>
      <c r="D28" s="177"/>
      <c r="E28" s="174" t="s">
        <v>177</v>
      </c>
      <c r="F28" s="175"/>
      <c r="G28" s="125"/>
      <c r="H28" s="126"/>
    </row>
    <row r="29" spans="2:8" ht="33" customHeight="1" x14ac:dyDescent="0.25">
      <c r="B29" s="122"/>
      <c r="C29" s="176" t="s">
        <v>180</v>
      </c>
      <c r="D29" s="177"/>
      <c r="E29" s="174" t="s">
        <v>177</v>
      </c>
      <c r="F29" s="175"/>
      <c r="G29" s="125"/>
      <c r="H29" s="126"/>
    </row>
    <row r="30" spans="2:8" ht="30" customHeight="1" x14ac:dyDescent="0.25">
      <c r="B30" s="122"/>
      <c r="C30" s="176" t="s">
        <v>181</v>
      </c>
      <c r="D30" s="177"/>
      <c r="E30" s="174" t="s">
        <v>178</v>
      </c>
      <c r="F30" s="175"/>
      <c r="G30" s="125"/>
      <c r="H30" s="126"/>
    </row>
    <row r="31" spans="2:8" ht="35.25" customHeight="1" x14ac:dyDescent="0.25">
      <c r="B31" s="122"/>
      <c r="C31" s="176" t="s">
        <v>182</v>
      </c>
      <c r="D31" s="177"/>
      <c r="E31" s="174" t="s">
        <v>183</v>
      </c>
      <c r="F31" s="175"/>
      <c r="G31" s="125"/>
      <c r="H31" s="126"/>
    </row>
    <row r="32" spans="2:8" ht="31.5" customHeight="1" x14ac:dyDescent="0.25">
      <c r="B32" s="122"/>
      <c r="C32" s="176" t="s">
        <v>184</v>
      </c>
      <c r="D32" s="177"/>
      <c r="E32" s="174" t="s">
        <v>185</v>
      </c>
      <c r="F32" s="175"/>
      <c r="G32" s="125"/>
      <c r="H32" s="126"/>
    </row>
    <row r="33" spans="2:8" ht="35.25" customHeight="1" x14ac:dyDescent="0.25">
      <c r="B33" s="122"/>
      <c r="C33" s="176" t="s">
        <v>186</v>
      </c>
      <c r="D33" s="177"/>
      <c r="E33" s="174" t="s">
        <v>187</v>
      </c>
      <c r="F33" s="175"/>
      <c r="G33" s="125"/>
      <c r="H33" s="126"/>
    </row>
    <row r="34" spans="2:8" ht="59.25" customHeight="1" x14ac:dyDescent="0.25">
      <c r="B34" s="122"/>
      <c r="C34" s="176" t="s">
        <v>188</v>
      </c>
      <c r="D34" s="177"/>
      <c r="E34" s="174" t="s">
        <v>189</v>
      </c>
      <c r="F34" s="175"/>
      <c r="G34" s="125"/>
      <c r="H34" s="126"/>
    </row>
    <row r="35" spans="2:8" ht="29.25" customHeight="1" x14ac:dyDescent="0.25">
      <c r="B35" s="122"/>
      <c r="C35" s="176" t="s">
        <v>29</v>
      </c>
      <c r="D35" s="177"/>
      <c r="E35" s="174" t="s">
        <v>190</v>
      </c>
      <c r="F35" s="175"/>
      <c r="G35" s="125"/>
      <c r="H35" s="126"/>
    </row>
    <row r="36" spans="2:8" ht="82.5" customHeight="1" x14ac:dyDescent="0.25">
      <c r="B36" s="122"/>
      <c r="C36" s="176" t="s">
        <v>192</v>
      </c>
      <c r="D36" s="177"/>
      <c r="E36" s="174" t="s">
        <v>191</v>
      </c>
      <c r="F36" s="175"/>
      <c r="G36" s="125"/>
      <c r="H36" s="126"/>
    </row>
    <row r="37" spans="2:8" ht="46.5" customHeight="1" x14ac:dyDescent="0.25">
      <c r="B37" s="122"/>
      <c r="C37" s="176" t="s">
        <v>39</v>
      </c>
      <c r="D37" s="177"/>
      <c r="E37" s="174" t="s">
        <v>193</v>
      </c>
      <c r="F37" s="175"/>
      <c r="G37" s="125"/>
      <c r="H37" s="126"/>
    </row>
    <row r="38" spans="2:8" ht="6.75" customHeight="1" thickBot="1" x14ac:dyDescent="0.3">
      <c r="B38" s="122"/>
      <c r="C38" s="187"/>
      <c r="D38" s="188"/>
      <c r="E38" s="189"/>
      <c r="F38" s="190"/>
      <c r="G38" s="125"/>
      <c r="H38" s="126"/>
    </row>
    <row r="39" spans="2:8" ht="15.75" thickTop="1" x14ac:dyDescent="0.25">
      <c r="B39" s="122"/>
      <c r="C39" s="123"/>
      <c r="D39" s="123"/>
      <c r="E39" s="124"/>
      <c r="F39" s="124"/>
      <c r="G39" s="125"/>
      <c r="H39" s="126"/>
    </row>
    <row r="40" spans="2:8" ht="21" customHeight="1" x14ac:dyDescent="0.25">
      <c r="B40" s="184" t="s">
        <v>202</v>
      </c>
      <c r="C40" s="185"/>
      <c r="D40" s="185"/>
      <c r="E40" s="185"/>
      <c r="F40" s="185"/>
      <c r="G40" s="185"/>
      <c r="H40" s="186"/>
    </row>
    <row r="41" spans="2:8" ht="20.25" customHeight="1" x14ac:dyDescent="0.25">
      <c r="B41" s="184" t="s">
        <v>203</v>
      </c>
      <c r="C41" s="185"/>
      <c r="D41" s="185"/>
      <c r="E41" s="185"/>
      <c r="F41" s="185"/>
      <c r="G41" s="185"/>
      <c r="H41" s="186"/>
    </row>
    <row r="42" spans="2:8" ht="20.25" customHeight="1" x14ac:dyDescent="0.25">
      <c r="B42" s="184" t="s">
        <v>204</v>
      </c>
      <c r="C42" s="185"/>
      <c r="D42" s="185"/>
      <c r="E42" s="185"/>
      <c r="F42" s="185"/>
      <c r="G42" s="185"/>
      <c r="H42" s="186"/>
    </row>
    <row r="43" spans="2:8" ht="20.25" customHeight="1" x14ac:dyDescent="0.25">
      <c r="B43" s="184" t="s">
        <v>205</v>
      </c>
      <c r="C43" s="185"/>
      <c r="D43" s="185"/>
      <c r="E43" s="185"/>
      <c r="F43" s="185"/>
      <c r="G43" s="185"/>
      <c r="H43" s="186"/>
    </row>
    <row r="44" spans="2:8" x14ac:dyDescent="0.25">
      <c r="B44" s="184" t="s">
        <v>206</v>
      </c>
      <c r="C44" s="185"/>
      <c r="D44" s="185"/>
      <c r="E44" s="185"/>
      <c r="F44" s="185"/>
      <c r="G44" s="185"/>
      <c r="H44" s="186"/>
    </row>
    <row r="45" spans="2:8" ht="15.75" thickBot="1" x14ac:dyDescent="0.3">
      <c r="B45" s="127"/>
      <c r="C45" s="128"/>
      <c r="D45" s="128"/>
      <c r="E45" s="128"/>
      <c r="F45" s="128"/>
      <c r="G45" s="128"/>
      <c r="H45" s="12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85"/>
  <sheetViews>
    <sheetView showGridLines="0" tabSelected="1" zoomScale="70" zoomScaleNormal="70" workbookViewId="0">
      <selection activeCell="A66" sqref="A66:A71"/>
    </sheetView>
  </sheetViews>
  <sheetFormatPr baseColWidth="10" defaultRowHeight="16.5" x14ac:dyDescent="0.3"/>
  <cols>
    <col min="1" max="1" width="4" style="2" bestFit="1" customWidth="1"/>
    <col min="2" max="2" width="19.42578125" style="2" customWidth="1"/>
    <col min="3" max="3" width="34.140625" style="2" customWidth="1"/>
    <col min="4" max="4" width="24.42578125" style="2" customWidth="1"/>
    <col min="5" max="5" width="32.42578125" style="1" customWidth="1"/>
    <col min="6" max="6" width="19" style="5" customWidth="1"/>
    <col min="7" max="7" width="17.85546875" style="1" hidden="1" customWidth="1"/>
    <col min="8" max="8" width="16.5703125" style="1" hidden="1" customWidth="1"/>
    <col min="9" max="9" width="6.28515625" style="1" hidden="1" customWidth="1"/>
    <col min="10" max="10" width="24.28515625" style="1" hidden="1" customWidth="1"/>
    <col min="11" max="11" width="21.5703125" style="1" hidden="1" customWidth="1"/>
    <col min="12" max="12" width="15.140625" style="1" hidden="1" customWidth="1"/>
    <col min="13" max="13" width="6.28515625" style="1" hidden="1" customWidth="1"/>
    <col min="14" max="14" width="16" style="1" hidden="1" customWidth="1"/>
    <col min="15" max="15" width="5.85546875" style="1" hidden="1" customWidth="1"/>
    <col min="16" max="16" width="49.140625"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8.425781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39" style="1" customWidth="1"/>
    <col min="32" max="32" width="18.85546875" style="1" customWidth="1"/>
    <col min="33" max="33" width="20.85546875" style="1" customWidth="1"/>
    <col min="34" max="34" width="17" style="1" customWidth="1"/>
    <col min="35" max="35" width="38.140625" style="1" customWidth="1"/>
    <col min="36" max="36" width="21" style="1" customWidth="1"/>
    <col min="37" max="37" width="15.42578125" style="1" bestFit="1" customWidth="1"/>
    <col min="38" max="38" width="18.28515625" style="1" bestFit="1" customWidth="1"/>
    <col min="39" max="39" width="14.42578125" style="148" bestFit="1" customWidth="1"/>
    <col min="40" max="40" width="29" style="1" bestFit="1" customWidth="1"/>
    <col min="41" max="41" width="15.140625" style="1" bestFit="1" customWidth="1"/>
    <col min="42" max="42" width="15.42578125" style="1" bestFit="1" customWidth="1"/>
    <col min="43" max="43" width="18.28515625" style="1" bestFit="1" customWidth="1"/>
    <col min="44" max="44" width="14.42578125" style="148" bestFit="1" customWidth="1"/>
    <col min="45" max="45" width="29" style="1" bestFit="1" customWidth="1"/>
    <col min="46" max="46" width="15" style="1" customWidth="1"/>
    <col min="47" max="16384" width="11.42578125" style="1"/>
  </cols>
  <sheetData>
    <row r="1" spans="1:68" ht="24" customHeight="1" x14ac:dyDescent="0.3">
      <c r="A1" s="281"/>
      <c r="B1" s="281"/>
      <c r="C1" s="280" t="s">
        <v>254</v>
      </c>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139" t="s">
        <v>255</v>
      </c>
      <c r="AJ1" s="139" t="s">
        <v>259</v>
      </c>
    </row>
    <row r="2" spans="1:68" ht="24" customHeight="1" x14ac:dyDescent="0.3">
      <c r="A2" s="281"/>
      <c r="B2" s="281"/>
      <c r="C2" s="279" t="s">
        <v>253</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138" t="s">
        <v>256</v>
      </c>
      <c r="AJ2" s="140">
        <v>12</v>
      </c>
    </row>
    <row r="3" spans="1:68" ht="24" customHeight="1" x14ac:dyDescent="0.3">
      <c r="A3" s="281"/>
      <c r="B3" s="281"/>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138" t="s">
        <v>257</v>
      </c>
      <c r="AJ3" s="142">
        <v>45828</v>
      </c>
      <c r="AK3" s="8"/>
      <c r="AL3" s="8"/>
      <c r="AM3" s="149"/>
      <c r="AN3" s="8"/>
      <c r="AO3" s="8"/>
      <c r="AP3" s="8"/>
      <c r="AQ3" s="8"/>
      <c r="AR3" s="149"/>
      <c r="AS3" s="8"/>
      <c r="AT3" s="8"/>
      <c r="AU3" s="8"/>
      <c r="AV3" s="8"/>
      <c r="AW3" s="8"/>
      <c r="AX3" s="8"/>
      <c r="AY3" s="8"/>
      <c r="AZ3" s="8"/>
      <c r="BA3" s="8"/>
      <c r="BB3" s="8"/>
      <c r="BC3" s="8"/>
      <c r="BD3" s="8"/>
      <c r="BE3" s="8"/>
      <c r="BF3" s="8"/>
      <c r="BG3" s="8"/>
      <c r="BH3" s="8"/>
      <c r="BI3" s="8"/>
      <c r="BJ3" s="8"/>
      <c r="BK3" s="8"/>
      <c r="BL3" s="8"/>
      <c r="BM3" s="8"/>
      <c r="BN3" s="8"/>
      <c r="BO3" s="8"/>
      <c r="BP3" s="8"/>
    </row>
    <row r="4" spans="1:68" ht="24" customHeight="1" x14ac:dyDescent="0.3">
      <c r="A4" s="281"/>
      <c r="B4" s="281"/>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138" t="s">
        <v>258</v>
      </c>
      <c r="AJ4" s="140" t="s">
        <v>260</v>
      </c>
      <c r="AK4" s="8"/>
      <c r="AL4" s="8"/>
      <c r="AM4" s="149"/>
      <c r="AN4" s="8"/>
      <c r="AO4" s="8"/>
      <c r="AP4" s="8"/>
      <c r="AQ4" s="8"/>
      <c r="AR4" s="149"/>
      <c r="AS4" s="8"/>
      <c r="AT4" s="8"/>
      <c r="AU4" s="8"/>
      <c r="AV4" s="8"/>
      <c r="AW4" s="8"/>
      <c r="AX4" s="8"/>
      <c r="AY4" s="8"/>
      <c r="AZ4" s="8"/>
      <c r="BA4" s="8"/>
      <c r="BB4" s="8"/>
      <c r="BC4" s="8"/>
      <c r="BD4" s="8"/>
      <c r="BE4" s="8"/>
      <c r="BF4" s="8"/>
      <c r="BG4" s="8"/>
      <c r="BH4" s="8"/>
      <c r="BI4" s="8"/>
      <c r="BJ4" s="8"/>
      <c r="BK4" s="8"/>
      <c r="BL4" s="8"/>
      <c r="BM4" s="8"/>
      <c r="BN4" s="8"/>
      <c r="BO4" s="8"/>
      <c r="BP4" s="8"/>
    </row>
    <row r="5" spans="1:68" x14ac:dyDescent="0.3">
      <c r="A5" s="29"/>
      <c r="B5" s="30"/>
      <c r="C5" s="29"/>
      <c r="D5" s="29"/>
      <c r="E5" s="8"/>
      <c r="F5" s="2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149"/>
      <c r="AN5" s="8"/>
      <c r="AO5" s="8"/>
      <c r="AP5" s="8"/>
      <c r="AQ5" s="8"/>
      <c r="AR5" s="149"/>
      <c r="AS5" s="8"/>
      <c r="AT5" s="8"/>
      <c r="AU5" s="8"/>
      <c r="AV5" s="8"/>
      <c r="AW5" s="8"/>
      <c r="AX5" s="8"/>
      <c r="AY5" s="8"/>
      <c r="AZ5" s="8"/>
      <c r="BA5" s="8"/>
      <c r="BB5" s="8"/>
      <c r="BC5" s="8"/>
      <c r="BD5" s="8"/>
      <c r="BE5" s="8"/>
      <c r="BF5" s="8"/>
      <c r="BG5" s="8"/>
      <c r="BH5" s="8"/>
      <c r="BI5" s="8"/>
      <c r="BJ5" s="8"/>
      <c r="BK5" s="8"/>
      <c r="BL5" s="8"/>
      <c r="BM5" s="8"/>
      <c r="BN5" s="8"/>
      <c r="BO5" s="8"/>
      <c r="BP5" s="8"/>
    </row>
    <row r="6" spans="1:68" ht="26.25" customHeight="1" x14ac:dyDescent="0.3">
      <c r="A6" s="263" t="s">
        <v>43</v>
      </c>
      <c r="B6" s="264"/>
      <c r="C6" s="273" t="s">
        <v>212</v>
      </c>
      <c r="D6" s="274"/>
      <c r="E6" s="274"/>
      <c r="F6" s="274"/>
      <c r="G6" s="274"/>
      <c r="H6" s="274"/>
      <c r="I6" s="274"/>
      <c r="J6" s="274"/>
      <c r="K6" s="274"/>
      <c r="L6" s="274"/>
      <c r="M6" s="274"/>
      <c r="N6" s="275"/>
      <c r="O6" s="258"/>
      <c r="P6" s="258"/>
      <c r="Q6" s="258"/>
      <c r="R6" s="8"/>
      <c r="S6" s="8"/>
      <c r="T6" s="8"/>
      <c r="U6" s="8"/>
      <c r="V6" s="8"/>
      <c r="W6" s="8"/>
      <c r="X6" s="8"/>
      <c r="Y6" s="8"/>
      <c r="Z6" s="8"/>
      <c r="AA6" s="8"/>
      <c r="AB6" s="8"/>
      <c r="AC6" s="8"/>
      <c r="AD6" s="8"/>
      <c r="AE6" s="8"/>
      <c r="AF6" s="8"/>
      <c r="AG6" s="8"/>
      <c r="AH6" s="8"/>
      <c r="AI6" s="8"/>
      <c r="AJ6" s="8"/>
      <c r="AK6" s="8"/>
      <c r="AL6" s="8"/>
      <c r="AM6" s="149"/>
      <c r="AN6" s="8"/>
      <c r="AO6" s="8"/>
      <c r="AP6" s="8"/>
      <c r="AQ6" s="8"/>
      <c r="AR6" s="149"/>
      <c r="AS6" s="8"/>
      <c r="AT6" s="8"/>
      <c r="AU6" s="8"/>
      <c r="AV6" s="8"/>
      <c r="AW6" s="8"/>
      <c r="AX6" s="8"/>
      <c r="AY6" s="8"/>
      <c r="AZ6" s="8"/>
      <c r="BA6" s="8"/>
      <c r="BB6" s="8"/>
      <c r="BC6" s="8"/>
      <c r="BD6" s="8"/>
      <c r="BE6" s="8"/>
      <c r="BF6" s="8"/>
      <c r="BG6" s="8"/>
      <c r="BH6" s="8"/>
      <c r="BI6" s="8"/>
      <c r="BJ6" s="8"/>
      <c r="BK6" s="8"/>
      <c r="BL6" s="8"/>
      <c r="BM6" s="8"/>
      <c r="BN6" s="8"/>
      <c r="BO6" s="8"/>
      <c r="BP6" s="8"/>
    </row>
    <row r="7" spans="1:68" ht="30" customHeight="1" x14ac:dyDescent="0.3">
      <c r="A7" s="263" t="s">
        <v>130</v>
      </c>
      <c r="B7" s="264"/>
      <c r="C7" s="268" t="s">
        <v>213</v>
      </c>
      <c r="D7" s="269"/>
      <c r="E7" s="269"/>
      <c r="F7" s="269"/>
      <c r="G7" s="269"/>
      <c r="H7" s="269"/>
      <c r="I7" s="269"/>
      <c r="J7" s="269"/>
      <c r="K7" s="269"/>
      <c r="L7" s="269"/>
      <c r="M7" s="269"/>
      <c r="N7" s="270"/>
      <c r="O7" s="8"/>
      <c r="P7" s="8"/>
      <c r="Q7" s="8"/>
      <c r="R7" s="8"/>
      <c r="S7" s="8"/>
      <c r="T7" s="8"/>
      <c r="U7" s="8"/>
      <c r="V7" s="8"/>
      <c r="W7" s="8"/>
      <c r="X7" s="8"/>
      <c r="Y7" s="8"/>
      <c r="Z7" s="8"/>
      <c r="AA7" s="8"/>
      <c r="AB7" s="8"/>
      <c r="AC7" s="8"/>
      <c r="AD7" s="8"/>
      <c r="AE7" s="8"/>
      <c r="AF7" s="8"/>
      <c r="AG7" s="8"/>
      <c r="AH7" s="8"/>
      <c r="AI7" s="8"/>
      <c r="AJ7" s="8"/>
      <c r="AK7" s="8"/>
      <c r="AL7" s="8"/>
      <c r="AM7" s="149"/>
      <c r="AN7" s="8"/>
      <c r="AO7" s="8"/>
      <c r="AP7" s="8"/>
      <c r="AQ7" s="8"/>
      <c r="AR7" s="149"/>
      <c r="AS7" s="8"/>
      <c r="AT7" s="8"/>
      <c r="AU7" s="8"/>
      <c r="AV7" s="8"/>
      <c r="AW7" s="8"/>
      <c r="AX7" s="8"/>
      <c r="AY7" s="8"/>
      <c r="AZ7" s="8"/>
      <c r="BA7" s="8"/>
      <c r="BB7" s="8"/>
      <c r="BC7" s="8"/>
      <c r="BD7" s="8"/>
      <c r="BE7" s="8"/>
      <c r="BF7" s="8"/>
      <c r="BG7" s="8"/>
      <c r="BH7" s="8"/>
      <c r="BI7" s="8"/>
      <c r="BJ7" s="8"/>
      <c r="BK7" s="8"/>
      <c r="BL7" s="8"/>
      <c r="BM7" s="8"/>
      <c r="BN7" s="8"/>
      <c r="BO7" s="8"/>
      <c r="BP7" s="8"/>
    </row>
    <row r="8" spans="1:68" ht="58.5" customHeight="1" x14ac:dyDescent="0.3">
      <c r="A8" s="263" t="s">
        <v>44</v>
      </c>
      <c r="B8" s="264"/>
      <c r="C8" s="268" t="s">
        <v>262</v>
      </c>
      <c r="D8" s="271"/>
      <c r="E8" s="271"/>
      <c r="F8" s="271"/>
      <c r="G8" s="271"/>
      <c r="H8" s="271"/>
      <c r="I8" s="271"/>
      <c r="J8" s="271"/>
      <c r="K8" s="271"/>
      <c r="L8" s="271"/>
      <c r="M8" s="271"/>
      <c r="N8" s="272"/>
      <c r="O8" s="8"/>
      <c r="P8" s="8"/>
      <c r="Q8" s="8"/>
      <c r="R8" s="8"/>
      <c r="S8" s="8"/>
      <c r="T8" s="8"/>
      <c r="U8" s="8"/>
      <c r="V8" s="8"/>
      <c r="W8" s="8"/>
      <c r="X8" s="8"/>
      <c r="Y8" s="8"/>
      <c r="Z8" s="8"/>
      <c r="AA8" s="8"/>
      <c r="AB8" s="8"/>
      <c r="AC8" s="8"/>
      <c r="AD8" s="8"/>
      <c r="AE8" s="8"/>
      <c r="AF8" s="8"/>
      <c r="AG8" s="8"/>
      <c r="AH8" s="8"/>
      <c r="AI8" s="8"/>
      <c r="AJ8" s="8"/>
      <c r="AK8" s="8"/>
      <c r="AL8" s="8"/>
      <c r="AM8" s="149"/>
      <c r="AN8" s="8"/>
      <c r="AO8" s="8"/>
      <c r="AP8" s="8"/>
      <c r="AQ8" s="8"/>
      <c r="AR8" s="149"/>
      <c r="AS8" s="8"/>
      <c r="AT8" s="8"/>
      <c r="AU8" s="8"/>
      <c r="AV8" s="8"/>
      <c r="AW8" s="8"/>
      <c r="AX8" s="8"/>
      <c r="AY8" s="8"/>
      <c r="AZ8" s="8"/>
      <c r="BA8" s="8"/>
      <c r="BB8" s="8"/>
      <c r="BC8" s="8"/>
      <c r="BD8" s="8"/>
      <c r="BE8" s="8"/>
      <c r="BF8" s="8"/>
      <c r="BG8" s="8"/>
      <c r="BH8" s="8"/>
      <c r="BI8" s="8"/>
      <c r="BJ8" s="8"/>
      <c r="BK8" s="8"/>
      <c r="BL8" s="8"/>
      <c r="BM8" s="8"/>
      <c r="BN8" s="8"/>
      <c r="BO8" s="8"/>
      <c r="BP8" s="8"/>
    </row>
    <row r="9" spans="1:68" ht="26.25" customHeight="1" x14ac:dyDescent="0.3">
      <c r="A9" s="247" t="s">
        <v>139</v>
      </c>
      <c r="B9" s="248"/>
      <c r="C9" s="248"/>
      <c r="D9" s="248"/>
      <c r="E9" s="248"/>
      <c r="F9" s="248"/>
      <c r="G9" s="249"/>
      <c r="H9" s="247" t="s">
        <v>140</v>
      </c>
      <c r="I9" s="248"/>
      <c r="J9" s="248"/>
      <c r="K9" s="248"/>
      <c r="L9" s="248"/>
      <c r="M9" s="248"/>
      <c r="N9" s="249"/>
      <c r="O9" s="247" t="s">
        <v>141</v>
      </c>
      <c r="P9" s="248"/>
      <c r="Q9" s="248"/>
      <c r="R9" s="248"/>
      <c r="S9" s="248"/>
      <c r="T9" s="248"/>
      <c r="U9" s="248"/>
      <c r="V9" s="248"/>
      <c r="W9" s="249"/>
      <c r="X9" s="247" t="s">
        <v>142</v>
      </c>
      <c r="Y9" s="248"/>
      <c r="Z9" s="248"/>
      <c r="AA9" s="248"/>
      <c r="AB9" s="248"/>
      <c r="AC9" s="248"/>
      <c r="AD9" s="249"/>
      <c r="AE9" s="247" t="s">
        <v>34</v>
      </c>
      <c r="AF9" s="248"/>
      <c r="AG9" s="248"/>
      <c r="AH9" s="248"/>
      <c r="AI9" s="248"/>
      <c r="AJ9" s="249"/>
      <c r="AK9" s="224" t="s">
        <v>271</v>
      </c>
      <c r="AL9" s="224"/>
      <c r="AM9" s="224"/>
      <c r="AN9" s="224"/>
      <c r="AO9" s="224"/>
      <c r="AP9" s="224"/>
      <c r="AQ9" s="224"/>
      <c r="AR9" s="224"/>
      <c r="AS9" s="224"/>
      <c r="AT9" s="224"/>
      <c r="AU9" s="8"/>
      <c r="AV9" s="8"/>
      <c r="AW9" s="8"/>
      <c r="AX9" s="8"/>
      <c r="AY9" s="8"/>
      <c r="AZ9" s="8"/>
      <c r="BA9" s="8"/>
      <c r="BB9" s="8"/>
      <c r="BC9" s="8"/>
      <c r="BD9" s="8"/>
      <c r="BE9" s="8"/>
      <c r="BF9" s="8"/>
      <c r="BG9" s="8"/>
      <c r="BH9" s="8"/>
      <c r="BI9" s="8"/>
      <c r="BJ9" s="8"/>
      <c r="BK9" s="8"/>
      <c r="BL9" s="8"/>
      <c r="BM9" s="8"/>
      <c r="BN9" s="8"/>
      <c r="BO9" s="8"/>
      <c r="BP9" s="8"/>
    </row>
    <row r="10" spans="1:68" ht="16.5" customHeight="1" x14ac:dyDescent="0.3">
      <c r="A10" s="265" t="s">
        <v>0</v>
      </c>
      <c r="B10" s="224" t="s">
        <v>2</v>
      </c>
      <c r="C10" s="261" t="s">
        <v>3</v>
      </c>
      <c r="D10" s="261" t="s">
        <v>42</v>
      </c>
      <c r="E10" s="267" t="s">
        <v>1</v>
      </c>
      <c r="F10" s="262" t="s">
        <v>50</v>
      </c>
      <c r="G10" s="261" t="s">
        <v>135</v>
      </c>
      <c r="H10" s="260" t="s">
        <v>33</v>
      </c>
      <c r="I10" s="282" t="s">
        <v>5</v>
      </c>
      <c r="J10" s="262" t="s">
        <v>87</v>
      </c>
      <c r="K10" s="262" t="s">
        <v>92</v>
      </c>
      <c r="L10" s="284" t="s">
        <v>45</v>
      </c>
      <c r="M10" s="282" t="s">
        <v>5</v>
      </c>
      <c r="N10" s="261" t="s">
        <v>48</v>
      </c>
      <c r="O10" s="276" t="s">
        <v>11</v>
      </c>
      <c r="P10" s="259" t="s">
        <v>161</v>
      </c>
      <c r="Q10" s="262" t="s">
        <v>12</v>
      </c>
      <c r="R10" s="259" t="s">
        <v>8</v>
      </c>
      <c r="S10" s="259"/>
      <c r="T10" s="259"/>
      <c r="U10" s="259"/>
      <c r="V10" s="259"/>
      <c r="W10" s="259"/>
      <c r="X10" s="278" t="s">
        <v>138</v>
      </c>
      <c r="Y10" s="278" t="s">
        <v>46</v>
      </c>
      <c r="Z10" s="278" t="s">
        <v>5</v>
      </c>
      <c r="AA10" s="278" t="s">
        <v>47</v>
      </c>
      <c r="AB10" s="278" t="s">
        <v>5</v>
      </c>
      <c r="AC10" s="278" t="s">
        <v>49</v>
      </c>
      <c r="AD10" s="276" t="s">
        <v>29</v>
      </c>
      <c r="AE10" s="259" t="s">
        <v>34</v>
      </c>
      <c r="AF10" s="259" t="s">
        <v>35</v>
      </c>
      <c r="AG10" s="259" t="s">
        <v>36</v>
      </c>
      <c r="AH10" s="259" t="s">
        <v>38</v>
      </c>
      <c r="AI10" s="259" t="s">
        <v>37</v>
      </c>
      <c r="AJ10" s="259" t="s">
        <v>39</v>
      </c>
      <c r="AK10" s="225" t="s">
        <v>272</v>
      </c>
      <c r="AL10" s="225"/>
      <c r="AM10" s="225"/>
      <c r="AN10" s="225"/>
      <c r="AO10" s="225"/>
      <c r="AP10" s="225" t="s">
        <v>273</v>
      </c>
      <c r="AQ10" s="225"/>
      <c r="AR10" s="225"/>
      <c r="AS10" s="225"/>
      <c r="AT10" s="225"/>
      <c r="AU10" s="8"/>
      <c r="AV10" s="8"/>
      <c r="AW10" s="8"/>
      <c r="AX10" s="8"/>
      <c r="AY10" s="8"/>
      <c r="AZ10" s="8"/>
      <c r="BA10" s="8"/>
      <c r="BB10" s="8"/>
      <c r="BC10" s="8"/>
      <c r="BD10" s="8"/>
      <c r="BE10" s="8"/>
      <c r="BF10" s="8"/>
      <c r="BG10" s="8"/>
      <c r="BH10" s="8"/>
      <c r="BI10" s="8"/>
      <c r="BJ10" s="8"/>
      <c r="BK10" s="8"/>
      <c r="BL10" s="8"/>
      <c r="BM10" s="8"/>
      <c r="BN10" s="8"/>
      <c r="BO10" s="8"/>
      <c r="BP10" s="8"/>
    </row>
    <row r="11" spans="1:68" s="4" customFormat="1" ht="94.5" customHeight="1" x14ac:dyDescent="0.25">
      <c r="A11" s="266"/>
      <c r="B11" s="224"/>
      <c r="C11" s="259"/>
      <c r="D11" s="259"/>
      <c r="E11" s="224"/>
      <c r="F11" s="261"/>
      <c r="G11" s="259"/>
      <c r="H11" s="261"/>
      <c r="I11" s="283"/>
      <c r="J11" s="261"/>
      <c r="K11" s="261"/>
      <c r="L11" s="283"/>
      <c r="M11" s="283"/>
      <c r="N11" s="259"/>
      <c r="O11" s="277"/>
      <c r="P11" s="259"/>
      <c r="Q11" s="261"/>
      <c r="R11" s="7" t="s">
        <v>13</v>
      </c>
      <c r="S11" s="7" t="s">
        <v>17</v>
      </c>
      <c r="T11" s="7" t="s">
        <v>28</v>
      </c>
      <c r="U11" s="7" t="s">
        <v>18</v>
      </c>
      <c r="V11" s="7" t="s">
        <v>21</v>
      </c>
      <c r="W11" s="7" t="s">
        <v>24</v>
      </c>
      <c r="X11" s="278"/>
      <c r="Y11" s="278"/>
      <c r="Z11" s="278"/>
      <c r="AA11" s="278"/>
      <c r="AB11" s="278"/>
      <c r="AC11" s="278"/>
      <c r="AD11" s="277"/>
      <c r="AE11" s="259"/>
      <c r="AF11" s="259"/>
      <c r="AG11" s="259"/>
      <c r="AH11" s="259"/>
      <c r="AI11" s="259"/>
      <c r="AJ11" s="259"/>
      <c r="AK11" s="143" t="s">
        <v>274</v>
      </c>
      <c r="AL11" s="143" t="s">
        <v>275</v>
      </c>
      <c r="AM11" s="144" t="s">
        <v>276</v>
      </c>
      <c r="AN11" s="143" t="s">
        <v>277</v>
      </c>
      <c r="AO11" s="143" t="s">
        <v>278</v>
      </c>
      <c r="AP11" s="143" t="s">
        <v>274</v>
      </c>
      <c r="AQ11" s="143" t="s">
        <v>275</v>
      </c>
      <c r="AR11" s="144" t="s">
        <v>276</v>
      </c>
      <c r="AS11" s="143" t="s">
        <v>277</v>
      </c>
      <c r="AT11" s="143" t="s">
        <v>278</v>
      </c>
      <c r="AU11" s="26"/>
      <c r="AV11" s="26"/>
      <c r="AW11" s="26"/>
      <c r="AX11" s="26"/>
      <c r="AY11" s="26"/>
      <c r="AZ11" s="26"/>
      <c r="BA11" s="26"/>
      <c r="BB11" s="26"/>
      <c r="BC11" s="26"/>
      <c r="BD11" s="26"/>
      <c r="BE11" s="26"/>
      <c r="BF11" s="26"/>
      <c r="BG11" s="26"/>
      <c r="BH11" s="26"/>
      <c r="BI11" s="26"/>
      <c r="BJ11" s="26"/>
      <c r="BK11" s="26"/>
      <c r="BL11" s="26"/>
      <c r="BM11" s="26"/>
      <c r="BN11" s="26"/>
      <c r="BO11" s="26"/>
      <c r="BP11" s="26"/>
    </row>
    <row r="12" spans="1:68" s="27" customFormat="1" ht="212.25" customHeight="1" x14ac:dyDescent="0.25">
      <c r="A12" s="238">
        <v>1</v>
      </c>
      <c r="B12" s="241" t="s">
        <v>134</v>
      </c>
      <c r="C12" s="213" t="s">
        <v>214</v>
      </c>
      <c r="D12" s="213" t="s">
        <v>220</v>
      </c>
      <c r="E12" s="244" t="s">
        <v>242</v>
      </c>
      <c r="F12" s="213" t="s">
        <v>123</v>
      </c>
      <c r="G12" s="250">
        <v>12</v>
      </c>
      <c r="H12" s="218" t="str">
        <f>IF(G12&lt;=0,"",IF(G12&lt;=2,"Muy Baja",IF(G12&lt;=24,"Baja",IF(G12&lt;=500,"Media",IF(G12&lt;=5000,"Alta","Muy Alta")))))</f>
        <v>Baja</v>
      </c>
      <c r="I12" s="221">
        <f>IF(H12="","",IF(H12="Muy Baja",0.2,IF(H12="Baja",0.4,IF(H12="Media",0.6,IF(H12="Alta",0.8,IF(H12="Muy Alta",1,))))))</f>
        <v>0.4</v>
      </c>
      <c r="J12" s="226" t="s">
        <v>154</v>
      </c>
      <c r="K12" s="235" t="str">
        <f ca="1">IF(NOT(ISERROR(MATCH(J12,'Tabla Impacto'!$B$221:$B$223,0))),'Tabla Impacto'!$F$223&amp;"Por favor no seleccionar los criterios de impacto(Afectación Económica o presupuestal y Pérdida Reputacional)",J12)</f>
        <v xml:space="preserve">     El riesgo afecta la imagen de de la entidad con efecto publicitario sostenido a nivel de sector administrativo, nivel departamental o municipal</v>
      </c>
      <c r="L12" s="218" t="s">
        <v>81</v>
      </c>
      <c r="M12" s="221">
        <v>0.4</v>
      </c>
      <c r="N12" s="232" t="s">
        <v>81</v>
      </c>
      <c r="O12" s="151">
        <v>1</v>
      </c>
      <c r="P12" s="160" t="s">
        <v>297</v>
      </c>
      <c r="Q12" s="152" t="s">
        <v>4</v>
      </c>
      <c r="R12" s="153" t="s">
        <v>14</v>
      </c>
      <c r="S12" s="153" t="s">
        <v>10</v>
      </c>
      <c r="T12" s="154" t="str">
        <f>IF(AND(R12="Preventivo",S12="Automático"),"50%",IF(AND(R12="Preventivo",S12="Manual"),"40%",IF(AND(R12="Detectivo",S12="Automático"),"40%",IF(AND(R12="Detectivo",S12="Manual"),"30%",IF(AND(R12="Correctivo",S12="Automático"),"35%",IF(AND(R12="Correctivo",S12="Manual"),"25%",""))))))</f>
        <v>50%</v>
      </c>
      <c r="U12" s="153" t="s">
        <v>19</v>
      </c>
      <c r="V12" s="153" t="s">
        <v>22</v>
      </c>
      <c r="W12" s="153" t="s">
        <v>119</v>
      </c>
      <c r="X12" s="155">
        <f>IFERROR(IF(Q12="Probabilidad",(I12-(+I12*T12)),IF(Q12="Impacto",I12,"")),"")</f>
        <v>0.2</v>
      </c>
      <c r="Y12" s="156" t="str">
        <f>IFERROR(IF(X12="","",IF(X12&lt;=0.2,"Muy Baja",IF(X12&lt;=0.4,"Baja",IF(X12&lt;=0.6,"Media",IF(X12&lt;=0.8,"Alta","Muy Alta"))))),"")</f>
        <v>Muy Baja</v>
      </c>
      <c r="Z12" s="157">
        <f>+X12</f>
        <v>0.2</v>
      </c>
      <c r="AA12" s="156" t="str">
        <f>IFERROR(IF(AB12="","",IF(AB12&lt;=0.2,"Leve",IF(AB12&lt;=0.4,"Menor",IF(AB12&lt;=0.6,"Moderado",IF(AB12&lt;=0.8,"Mayor","Catastrófico"))))),"")</f>
        <v>Menor</v>
      </c>
      <c r="AB12" s="157">
        <f>IFERROR(IF(Q12="Impacto",(M12-(+M12*T12)),IF(Q12="Probabilidad",M12,"")),"")</f>
        <v>0.4</v>
      </c>
      <c r="AC12" s="15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59" t="s">
        <v>136</v>
      </c>
      <c r="AE12" s="173" t="s">
        <v>291</v>
      </c>
      <c r="AF12" s="165" t="s">
        <v>287</v>
      </c>
      <c r="AG12" s="166">
        <v>46022</v>
      </c>
      <c r="AH12" s="166" t="s">
        <v>280</v>
      </c>
      <c r="AI12" s="160" t="s">
        <v>294</v>
      </c>
      <c r="AJ12" s="167" t="s">
        <v>41</v>
      </c>
      <c r="AK12" s="167"/>
      <c r="AL12" s="167"/>
      <c r="AM12" s="168" t="e">
        <f>AK12/AL12</f>
        <v>#DIV/0!</v>
      </c>
      <c r="AN12" s="167"/>
      <c r="AO12" s="167"/>
      <c r="AP12" s="167"/>
      <c r="AQ12" s="167"/>
      <c r="AR12" s="168" t="e">
        <f>AP12/AQ12</f>
        <v>#DIV/0!</v>
      </c>
      <c r="AS12" s="167"/>
      <c r="AT12" s="167"/>
    </row>
    <row r="13" spans="1:68" ht="204" hidden="1" customHeight="1" x14ac:dyDescent="0.3">
      <c r="A13" s="239"/>
      <c r="B13" s="242"/>
      <c r="C13" s="214"/>
      <c r="D13" s="214"/>
      <c r="E13" s="245"/>
      <c r="F13" s="214"/>
      <c r="G13" s="216"/>
      <c r="H13" s="219"/>
      <c r="I13" s="222"/>
      <c r="J13" s="227"/>
      <c r="K13" s="236">
        <f ca="1">IF(NOT(ISERROR(MATCH(J13,_xlfn.ANCHORARRAY(E24),0))),I26&amp;"Por favor no seleccionar los criterios de impacto",J13)</f>
        <v>0</v>
      </c>
      <c r="L13" s="219"/>
      <c r="M13" s="222"/>
      <c r="N13" s="233"/>
      <c r="O13" s="6">
        <v>2</v>
      </c>
      <c r="P13" s="161"/>
      <c r="Q13" s="50"/>
      <c r="R13" s="51"/>
      <c r="S13" s="51"/>
      <c r="T13" s="52" t="str">
        <f t="shared" ref="T13:T17" si="0">IF(AND(R13="Preventivo",S13="Automático"),"50%",IF(AND(R13="Preventivo",S13="Manual"),"40%",IF(AND(R13="Detectivo",S13="Automático"),"40%",IF(AND(R13="Detectivo",S13="Manual"),"30%",IF(AND(R13="Correctivo",S13="Automático"),"35%",IF(AND(R13="Correctivo",S13="Manual"),"25%",""))))))</f>
        <v/>
      </c>
      <c r="U13" s="51"/>
      <c r="V13" s="51"/>
      <c r="W13" s="51"/>
      <c r="X13" s="24" t="str">
        <f>IFERROR(IF(AND(Q12="Probabilidad",Q13="Probabilidad"),(Z12-(+Z12*T13)),IF(Q13="Probabilidad",(I12-(+I12*T13)),IF(Q13="Impacto",Z12,""))),"")</f>
        <v/>
      </c>
      <c r="Y13" s="53" t="str">
        <f t="shared" ref="Y13:Y59" si="1">IFERROR(IF(X13="","",IF(X13&lt;=0.2,"Muy Baja",IF(X13&lt;=0.4,"Baja",IF(X13&lt;=0.6,"Media",IF(X13&lt;=0.8,"Alta","Muy Alta"))))),"")</f>
        <v/>
      </c>
      <c r="Z13" s="54" t="str">
        <f t="shared" ref="Z13:Z17" si="2">+X13</f>
        <v/>
      </c>
      <c r="AA13" s="53" t="str">
        <f t="shared" ref="AA13:AA59" si="3">IFERROR(IF(AB13="","",IF(AB13&lt;=0.2,"Leve",IF(AB13&lt;=0.4,"Menor",IF(AB13&lt;=0.6,"Moderado",IF(AB13&lt;=0.8,"Mayor","Catastrófico"))))),"")</f>
        <v/>
      </c>
      <c r="AB13" s="54" t="str">
        <f>IFERROR(IF(AND(Q12="Impacto",Q13="Impacto"),(AB12-(+AB12*T13)),IF(Q13="Impacto",($M$12-(+$M$12*T13)),IF(Q13="Probabilidad",AB12,""))),"")</f>
        <v/>
      </c>
      <c r="AC13" s="55"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56"/>
      <c r="AE13" s="160"/>
      <c r="AF13" s="167"/>
      <c r="AG13" s="166"/>
      <c r="AH13" s="166"/>
      <c r="AI13" s="160"/>
      <c r="AJ13" s="167"/>
      <c r="AK13" s="167"/>
      <c r="AL13" s="167"/>
      <c r="AM13" s="168" t="e">
        <f t="shared" ref="AM13:AM72" si="5">AK13/AL13</f>
        <v>#DIV/0!</v>
      </c>
      <c r="AN13" s="167"/>
      <c r="AO13" s="167"/>
      <c r="AP13" s="167"/>
      <c r="AQ13" s="167"/>
      <c r="AR13" s="168" t="e">
        <f t="shared" ref="AR13:AR72" si="6">AP13/AQ13</f>
        <v>#DIV/0!</v>
      </c>
      <c r="AS13" s="167"/>
      <c r="AT13" s="167"/>
      <c r="AU13" s="8"/>
      <c r="AV13" s="8"/>
      <c r="AW13" s="8"/>
      <c r="AX13" s="8"/>
      <c r="AY13" s="8"/>
      <c r="AZ13" s="8"/>
      <c r="BA13" s="8"/>
      <c r="BB13" s="8"/>
      <c r="BC13" s="8"/>
      <c r="BD13" s="8"/>
      <c r="BE13" s="8"/>
      <c r="BF13" s="8"/>
      <c r="BG13" s="8"/>
      <c r="BH13" s="8"/>
      <c r="BI13" s="8"/>
      <c r="BJ13" s="8"/>
      <c r="BK13" s="8"/>
      <c r="BL13" s="8"/>
      <c r="BM13" s="8"/>
      <c r="BN13" s="8"/>
      <c r="BO13" s="8"/>
      <c r="BP13" s="8"/>
    </row>
    <row r="14" spans="1:68" ht="215.25" hidden="1" customHeight="1" x14ac:dyDescent="0.3">
      <c r="A14" s="239"/>
      <c r="B14" s="242"/>
      <c r="C14" s="214"/>
      <c r="D14" s="214"/>
      <c r="E14" s="245"/>
      <c r="F14" s="214"/>
      <c r="G14" s="216"/>
      <c r="H14" s="219"/>
      <c r="I14" s="222"/>
      <c r="J14" s="227"/>
      <c r="K14" s="236">
        <f ca="1">IF(NOT(ISERROR(MATCH(J14,_xlfn.ANCHORARRAY(E25),0))),I27&amp;"Por favor no seleccionar los criterios de impacto",J14)</f>
        <v>0</v>
      </c>
      <c r="L14" s="219"/>
      <c r="M14" s="222"/>
      <c r="N14" s="233"/>
      <c r="O14" s="6">
        <v>3</v>
      </c>
      <c r="P14" s="162"/>
      <c r="Q14" s="50" t="str">
        <f>IF(OR(R14="Preventivo",R14="Detectivo"),"Probabilidad",IF(R14="Correctivo","Impacto",""))</f>
        <v/>
      </c>
      <c r="R14" s="51"/>
      <c r="S14" s="51"/>
      <c r="T14" s="52" t="str">
        <f t="shared" si="0"/>
        <v/>
      </c>
      <c r="U14" s="51"/>
      <c r="V14" s="51"/>
      <c r="W14" s="51"/>
      <c r="X14" s="24" t="str">
        <f>IFERROR(IF(AND(Q13="Probabilidad",Q14="Probabilidad"),(Z13-(+Z13*T14)),IF(AND(Q13="Impacto",Q14="Probabilidad"),(Z12-(+Z12*T14)),IF(Q14="Impacto",Z13,""))),"")</f>
        <v/>
      </c>
      <c r="Y14" s="53" t="str">
        <f t="shared" si="1"/>
        <v/>
      </c>
      <c r="Z14" s="54" t="str">
        <f t="shared" si="2"/>
        <v/>
      </c>
      <c r="AA14" s="53" t="str">
        <f t="shared" si="3"/>
        <v/>
      </c>
      <c r="AB14" s="54" t="str">
        <f>IFERROR(IF(AND(Q13="Impacto",Q14="Impacto"),(AB13-(+AB13*T14)),IF(AND(Q13="Probabilidad",Q14="Impacto"),(AB12-(+AB12*T14)),IF(Q14="Probabilidad",AB13,""))),"")</f>
        <v/>
      </c>
      <c r="AC14" s="55" t="str">
        <f t="shared" si="4"/>
        <v/>
      </c>
      <c r="AD14" s="56"/>
      <c r="AE14" s="160"/>
      <c r="AF14" s="167"/>
      <c r="AG14" s="166">
        <v>44348</v>
      </c>
      <c r="AH14" s="166"/>
      <c r="AI14" s="160"/>
      <c r="AJ14" s="167"/>
      <c r="AK14" s="167"/>
      <c r="AL14" s="167"/>
      <c r="AM14" s="168" t="e">
        <f t="shared" si="5"/>
        <v>#DIV/0!</v>
      </c>
      <c r="AN14" s="167"/>
      <c r="AO14" s="167"/>
      <c r="AP14" s="167"/>
      <c r="AQ14" s="167"/>
      <c r="AR14" s="168" t="e">
        <f t="shared" si="6"/>
        <v>#DIV/0!</v>
      </c>
      <c r="AS14" s="167"/>
      <c r="AT14" s="167"/>
      <c r="AU14" s="8"/>
      <c r="AV14" s="8"/>
      <c r="AW14" s="8"/>
      <c r="AX14" s="8"/>
      <c r="AY14" s="8"/>
      <c r="AZ14" s="8"/>
      <c r="BA14" s="8"/>
      <c r="BB14" s="8"/>
      <c r="BC14" s="8"/>
      <c r="BD14" s="8"/>
      <c r="BE14" s="8"/>
      <c r="BF14" s="8"/>
      <c r="BG14" s="8"/>
      <c r="BH14" s="8"/>
      <c r="BI14" s="8"/>
      <c r="BJ14" s="8"/>
      <c r="BK14" s="8"/>
      <c r="BL14" s="8"/>
      <c r="BM14" s="8"/>
      <c r="BN14" s="8"/>
      <c r="BO14" s="8"/>
      <c r="BP14" s="8"/>
    </row>
    <row r="15" spans="1:68" ht="151.5" hidden="1" customHeight="1" x14ac:dyDescent="0.3">
      <c r="A15" s="239"/>
      <c r="B15" s="242"/>
      <c r="C15" s="214"/>
      <c r="D15" s="214"/>
      <c r="E15" s="245"/>
      <c r="F15" s="214"/>
      <c r="G15" s="216"/>
      <c r="H15" s="219"/>
      <c r="I15" s="222"/>
      <c r="J15" s="227"/>
      <c r="K15" s="236">
        <f ca="1">IF(NOT(ISERROR(MATCH(J15,_xlfn.ANCHORARRAY(E26),0))),I28&amp;"Por favor no seleccionar los criterios de impacto",J15)</f>
        <v>0</v>
      </c>
      <c r="L15" s="219"/>
      <c r="M15" s="222"/>
      <c r="N15" s="233"/>
      <c r="O15" s="6">
        <v>4</v>
      </c>
      <c r="P15" s="163"/>
      <c r="Q15" s="50" t="str">
        <f t="shared" ref="Q15:Q17" si="7">IF(OR(R15="Preventivo",R15="Detectivo"),"Probabilidad",IF(R15="Correctivo","Impacto",""))</f>
        <v/>
      </c>
      <c r="R15" s="51"/>
      <c r="S15" s="51"/>
      <c r="T15" s="52" t="str">
        <f t="shared" si="0"/>
        <v/>
      </c>
      <c r="U15" s="51"/>
      <c r="V15" s="51"/>
      <c r="W15" s="51"/>
      <c r="X15" s="24" t="str">
        <f t="shared" ref="X15:X17" si="8">IFERROR(IF(AND(Q14="Probabilidad",Q15="Probabilidad"),(Z14-(+Z14*T15)),IF(AND(Q14="Impacto",Q15="Probabilidad"),(Z13-(+Z13*T15)),IF(Q15="Impacto",Z14,""))),"")</f>
        <v/>
      </c>
      <c r="Y15" s="53" t="str">
        <f t="shared" si="1"/>
        <v/>
      </c>
      <c r="Z15" s="54" t="str">
        <f t="shared" si="2"/>
        <v/>
      </c>
      <c r="AA15" s="53" t="str">
        <f t="shared" si="3"/>
        <v/>
      </c>
      <c r="AB15" s="54" t="str">
        <f t="shared" ref="AB15:AB17" si="9">IFERROR(IF(AND(Q14="Impacto",Q15="Impacto"),(AB14-(+AB14*T15)),IF(AND(Q14="Probabilidad",Q15="Impacto"),(AB13-(+AB13*T15)),IF(Q15="Probabilidad",AB14,""))),"")</f>
        <v/>
      </c>
      <c r="AC15" s="55" t="str">
        <f>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56"/>
      <c r="AE15" s="160"/>
      <c r="AF15" s="167"/>
      <c r="AG15" s="166"/>
      <c r="AH15" s="166"/>
      <c r="AI15" s="160"/>
      <c r="AJ15" s="167" t="s">
        <v>41</v>
      </c>
      <c r="AK15" s="167"/>
      <c r="AL15" s="167"/>
      <c r="AM15" s="168" t="e">
        <f t="shared" si="5"/>
        <v>#DIV/0!</v>
      </c>
      <c r="AN15" s="167"/>
      <c r="AO15" s="167"/>
      <c r="AP15" s="167"/>
      <c r="AQ15" s="167"/>
      <c r="AR15" s="168" t="e">
        <f t="shared" si="6"/>
        <v>#DIV/0!</v>
      </c>
      <c r="AS15" s="167"/>
      <c r="AT15" s="167"/>
      <c r="AU15" s="8"/>
      <c r="AV15" s="8"/>
      <c r="AW15" s="8"/>
      <c r="AX15" s="8"/>
      <c r="AY15" s="8"/>
      <c r="AZ15" s="8"/>
      <c r="BA15" s="8"/>
      <c r="BB15" s="8"/>
      <c r="BC15" s="8"/>
      <c r="BD15" s="8"/>
      <c r="BE15" s="8"/>
      <c r="BF15" s="8"/>
      <c r="BG15" s="8"/>
      <c r="BH15" s="8"/>
      <c r="BI15" s="8"/>
      <c r="BJ15" s="8"/>
      <c r="BK15" s="8"/>
      <c r="BL15" s="8"/>
      <c r="BM15" s="8"/>
      <c r="BN15" s="8"/>
      <c r="BO15" s="8"/>
      <c r="BP15" s="8"/>
    </row>
    <row r="16" spans="1:68" ht="151.5" hidden="1" customHeight="1" x14ac:dyDescent="0.3">
      <c r="A16" s="239"/>
      <c r="B16" s="242"/>
      <c r="C16" s="214"/>
      <c r="D16" s="214"/>
      <c r="E16" s="245"/>
      <c r="F16" s="214"/>
      <c r="G16" s="216"/>
      <c r="H16" s="219"/>
      <c r="I16" s="222"/>
      <c r="J16" s="227"/>
      <c r="K16" s="236">
        <f ca="1">IF(NOT(ISERROR(MATCH(J16,_xlfn.ANCHORARRAY(E27),0))),I29&amp;"Por favor no seleccionar los criterios de impacto",J16)</f>
        <v>0</v>
      </c>
      <c r="L16" s="219"/>
      <c r="M16" s="222"/>
      <c r="N16" s="233"/>
      <c r="O16" s="6">
        <v>5</v>
      </c>
      <c r="P16" s="163"/>
      <c r="Q16" s="50" t="str">
        <f t="shared" si="7"/>
        <v/>
      </c>
      <c r="R16" s="51"/>
      <c r="S16" s="51"/>
      <c r="T16" s="52" t="str">
        <f t="shared" si="0"/>
        <v/>
      </c>
      <c r="U16" s="51"/>
      <c r="V16" s="51"/>
      <c r="W16" s="51"/>
      <c r="X16" s="24" t="str">
        <f t="shared" si="8"/>
        <v/>
      </c>
      <c r="Y16" s="53" t="str">
        <f t="shared" si="1"/>
        <v/>
      </c>
      <c r="Z16" s="54" t="str">
        <f t="shared" si="2"/>
        <v/>
      </c>
      <c r="AA16" s="53" t="str">
        <f t="shared" si="3"/>
        <v/>
      </c>
      <c r="AB16" s="54" t="str">
        <f t="shared" si="9"/>
        <v/>
      </c>
      <c r="AC16" s="55" t="str">
        <f t="shared" si="4"/>
        <v/>
      </c>
      <c r="AD16" s="56"/>
      <c r="AE16" s="160"/>
      <c r="AF16" s="167"/>
      <c r="AG16" s="166"/>
      <c r="AH16" s="166"/>
      <c r="AI16" s="160"/>
      <c r="AJ16" s="167"/>
      <c r="AK16" s="167"/>
      <c r="AL16" s="167"/>
      <c r="AM16" s="168" t="e">
        <f t="shared" si="5"/>
        <v>#DIV/0!</v>
      </c>
      <c r="AN16" s="167"/>
      <c r="AO16" s="167"/>
      <c r="AP16" s="167"/>
      <c r="AQ16" s="167"/>
      <c r="AR16" s="168" t="e">
        <f t="shared" si="6"/>
        <v>#DIV/0!</v>
      </c>
      <c r="AS16" s="167"/>
      <c r="AT16" s="167"/>
      <c r="AU16" s="8"/>
      <c r="AV16" s="8"/>
      <c r="AW16" s="8"/>
      <c r="AX16" s="8"/>
      <c r="AY16" s="8"/>
      <c r="AZ16" s="8"/>
      <c r="BA16" s="8"/>
      <c r="BB16" s="8"/>
      <c r="BC16" s="8"/>
      <c r="BD16" s="8"/>
      <c r="BE16" s="8"/>
      <c r="BF16" s="8"/>
      <c r="BG16" s="8"/>
      <c r="BH16" s="8"/>
      <c r="BI16" s="8"/>
      <c r="BJ16" s="8"/>
      <c r="BK16" s="8"/>
      <c r="BL16" s="8"/>
      <c r="BM16" s="8"/>
      <c r="BN16" s="8"/>
      <c r="BO16" s="8"/>
      <c r="BP16" s="8"/>
    </row>
    <row r="17" spans="1:68" ht="151.5" hidden="1" customHeight="1" x14ac:dyDescent="0.3">
      <c r="A17" s="240"/>
      <c r="B17" s="243"/>
      <c r="C17" s="215"/>
      <c r="D17" s="215"/>
      <c r="E17" s="246"/>
      <c r="F17" s="215"/>
      <c r="G17" s="217"/>
      <c r="H17" s="220"/>
      <c r="I17" s="223"/>
      <c r="J17" s="228"/>
      <c r="K17" s="237">
        <f ca="1">IF(NOT(ISERROR(MATCH(J17,_xlfn.ANCHORARRAY(E28),0))),I30&amp;"Por favor no seleccionar los criterios de impacto",J17)</f>
        <v>0</v>
      </c>
      <c r="L17" s="220"/>
      <c r="M17" s="223"/>
      <c r="N17" s="234"/>
      <c r="O17" s="6">
        <v>6</v>
      </c>
      <c r="P17" s="163"/>
      <c r="Q17" s="50" t="str">
        <f t="shared" si="7"/>
        <v/>
      </c>
      <c r="R17" s="51"/>
      <c r="S17" s="51"/>
      <c r="T17" s="52" t="str">
        <f t="shared" si="0"/>
        <v/>
      </c>
      <c r="U17" s="51"/>
      <c r="V17" s="51"/>
      <c r="W17" s="51"/>
      <c r="X17" s="24" t="str">
        <f t="shared" si="8"/>
        <v/>
      </c>
      <c r="Y17" s="53" t="str">
        <f t="shared" si="1"/>
        <v/>
      </c>
      <c r="Z17" s="54" t="str">
        <f t="shared" si="2"/>
        <v/>
      </c>
      <c r="AA17" s="53" t="str">
        <f t="shared" si="3"/>
        <v/>
      </c>
      <c r="AB17" s="54" t="str">
        <f t="shared" si="9"/>
        <v/>
      </c>
      <c r="AC17" s="55" t="str">
        <f t="shared" si="4"/>
        <v/>
      </c>
      <c r="AD17" s="56"/>
      <c r="AE17" s="160"/>
      <c r="AF17" s="167"/>
      <c r="AG17" s="166"/>
      <c r="AH17" s="166"/>
      <c r="AI17" s="160"/>
      <c r="AJ17" s="167"/>
      <c r="AK17" s="167"/>
      <c r="AL17" s="167"/>
      <c r="AM17" s="168" t="e">
        <f t="shared" si="5"/>
        <v>#DIV/0!</v>
      </c>
      <c r="AN17" s="167"/>
      <c r="AO17" s="167"/>
      <c r="AP17" s="167"/>
      <c r="AQ17" s="167"/>
      <c r="AR17" s="168" t="e">
        <f t="shared" si="6"/>
        <v>#DIV/0!</v>
      </c>
      <c r="AS17" s="167"/>
      <c r="AT17" s="167"/>
      <c r="AU17" s="8"/>
      <c r="AV17" s="8"/>
      <c r="AW17" s="8"/>
      <c r="AX17" s="8"/>
      <c r="AY17" s="8"/>
      <c r="AZ17" s="8"/>
      <c r="BA17" s="8"/>
      <c r="BB17" s="8"/>
      <c r="BC17" s="8"/>
      <c r="BD17" s="8"/>
      <c r="BE17" s="8"/>
      <c r="BF17" s="8"/>
      <c r="BG17" s="8"/>
      <c r="BH17" s="8"/>
      <c r="BI17" s="8"/>
      <c r="BJ17" s="8"/>
      <c r="BK17" s="8"/>
      <c r="BL17" s="8"/>
      <c r="BM17" s="8"/>
      <c r="BN17" s="8"/>
      <c r="BO17" s="8"/>
      <c r="BP17" s="8"/>
    </row>
    <row r="18" spans="1:68" ht="281.25" customHeight="1" x14ac:dyDescent="0.3">
      <c r="A18" s="238">
        <v>2</v>
      </c>
      <c r="B18" s="241" t="s">
        <v>132</v>
      </c>
      <c r="C18" s="213" t="s">
        <v>215</v>
      </c>
      <c r="D18" s="213" t="s">
        <v>216</v>
      </c>
      <c r="E18" s="244" t="s">
        <v>235</v>
      </c>
      <c r="F18" s="213" t="s">
        <v>123</v>
      </c>
      <c r="G18" s="250">
        <v>2</v>
      </c>
      <c r="H18" s="218" t="str">
        <f>IF(G18&lt;=0,"",IF(G18&lt;=2,"Muy Baja",IF(G18&lt;=24,"Baja",IF(G18&lt;=500,"Media",IF(G18&lt;=5000,"Alta","Muy Alta")))))</f>
        <v>Muy Baja</v>
      </c>
      <c r="I18" s="221">
        <f>IF(H18="","",IF(H18="Muy Baja",0.2,IF(H18="Baja",0.4,IF(H18="Media",0.6,IF(H18="Alta",0.8,IF(H18="Muy Alta",1,))))))</f>
        <v>0.2</v>
      </c>
      <c r="J18" s="226" t="s">
        <v>153</v>
      </c>
      <c r="K18" s="235" t="str">
        <f ca="1">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218" t="str">
        <f ca="1">IF(OR(K18='Tabla Impacto'!$C$11,K18='Tabla Impacto'!$D$11),"Leve",IF(OR(K18='Tabla Impacto'!$C$12,K18='Tabla Impacto'!$D$12),"Menor",IF(OR(K18='Tabla Impacto'!$C$13,K18='Tabla Impacto'!$D$13),"Moderado",IF(OR(K18='Tabla Impacto'!$C$14,K18='Tabla Impacto'!$D$14),"Mayor",IF(OR(K18='Tabla Impacto'!$C$15,K18='Tabla Impacto'!$D$15),"Catastrófico","")))))</f>
        <v>Moderado</v>
      </c>
      <c r="M18" s="221">
        <f ca="1">IF(L18="","",IF(L18="Leve",0.2,IF(L18="Menor",0.4,IF(L18="Moderado",0.6,IF(L18="Mayor",0.8,IF(L18="Catastrófico",1,))))))</f>
        <v>0.6</v>
      </c>
      <c r="N18" s="232" t="str">
        <f ca="1">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6">
        <v>1</v>
      </c>
      <c r="P18" s="160" t="s">
        <v>298</v>
      </c>
      <c r="Q18" s="50" t="str">
        <f>IF(OR(R18="Preventivo",R18="Detectivo"),"Probabilidad",IF(R18="Correctivo","Impacto",""))</f>
        <v>Probabilidad</v>
      </c>
      <c r="R18" s="51" t="s">
        <v>14</v>
      </c>
      <c r="S18" s="51" t="s">
        <v>9</v>
      </c>
      <c r="T18" s="52" t="str">
        <f>IF(AND(R18="Preventivo",S18="Automático"),"50%",IF(AND(R18="Preventivo",S18="Manual"),"40%",IF(AND(R18="Detectivo",S18="Automático"),"40%",IF(AND(R18="Detectivo",S18="Manual"),"30%",IF(AND(R18="Correctivo",S18="Automático"),"35%",IF(AND(R18="Correctivo",S18="Manual"),"25%",""))))))</f>
        <v>40%</v>
      </c>
      <c r="U18" s="51" t="s">
        <v>19</v>
      </c>
      <c r="V18" s="51" t="s">
        <v>22</v>
      </c>
      <c r="W18" s="51" t="s">
        <v>119</v>
      </c>
      <c r="X18" s="24">
        <f>IFERROR(IF(Q18="Probabilidad",(I18-(+I18*T18)),IF(Q18="Impacto",I18,"")),"")</f>
        <v>0.12</v>
      </c>
      <c r="Y18" s="53" t="str">
        <f>IFERROR(IF(X18="","",IF(X18&lt;=0.2,"Muy Baja",IF(X18&lt;=0.4,"Baja",IF(X18&lt;=0.6,"Media",IF(X18&lt;=0.8,"Alta","Muy Alta"))))),"")</f>
        <v>Muy Baja</v>
      </c>
      <c r="Z18" s="54">
        <f>+X18</f>
        <v>0.12</v>
      </c>
      <c r="AA18" s="53" t="str">
        <f ca="1">IFERROR(IF(AB18="","",IF(AB18&lt;=0.2,"Leve",IF(AB18&lt;=0.4,"Menor",IF(AB18&lt;=0.6,"Moderado",IF(AB18&lt;=0.8,"Mayor","Catastrófico"))))),"")</f>
        <v>Moderado</v>
      </c>
      <c r="AB18" s="54">
        <f ca="1">IFERROR(IF(Q18="Impacto",(M18-(+M18*T18)),IF(Q18="Probabilidad",M18,"")),"")</f>
        <v>0.6</v>
      </c>
      <c r="AC18" s="55" t="str">
        <f ca="1">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56" t="s">
        <v>136</v>
      </c>
      <c r="AE18" s="160" t="s">
        <v>307</v>
      </c>
      <c r="AF18" s="165" t="s">
        <v>289</v>
      </c>
      <c r="AG18" s="166">
        <v>46022</v>
      </c>
      <c r="AH18" s="166" t="s">
        <v>280</v>
      </c>
      <c r="AI18" s="160" t="s">
        <v>263</v>
      </c>
      <c r="AJ18" s="167" t="s">
        <v>41</v>
      </c>
      <c r="AK18" s="167"/>
      <c r="AL18" s="167"/>
      <c r="AM18" s="168" t="e">
        <f t="shared" si="5"/>
        <v>#DIV/0!</v>
      </c>
      <c r="AN18" s="167"/>
      <c r="AO18" s="167"/>
      <c r="AP18" s="167"/>
      <c r="AQ18" s="167"/>
      <c r="AR18" s="168" t="e">
        <f t="shared" si="6"/>
        <v>#DIV/0!</v>
      </c>
      <c r="AS18" s="167"/>
      <c r="AT18" s="167"/>
      <c r="AU18" s="8"/>
      <c r="AV18" s="8"/>
      <c r="AW18" s="8"/>
      <c r="AX18" s="8"/>
      <c r="AY18" s="8"/>
      <c r="AZ18" s="8"/>
      <c r="BA18" s="8"/>
      <c r="BB18" s="8"/>
      <c r="BC18" s="8"/>
      <c r="BD18" s="8"/>
      <c r="BE18" s="8"/>
      <c r="BF18" s="8"/>
      <c r="BG18" s="8"/>
      <c r="BH18" s="8"/>
      <c r="BI18" s="8"/>
      <c r="BJ18" s="8"/>
      <c r="BK18" s="8"/>
      <c r="BL18" s="8"/>
      <c r="BM18" s="8"/>
      <c r="BN18" s="8"/>
      <c r="BO18" s="8"/>
      <c r="BP18" s="8"/>
    </row>
    <row r="19" spans="1:68" ht="151.5" hidden="1" customHeight="1" x14ac:dyDescent="0.3">
      <c r="A19" s="239"/>
      <c r="B19" s="242"/>
      <c r="C19" s="214"/>
      <c r="D19" s="214"/>
      <c r="E19" s="245"/>
      <c r="F19" s="214"/>
      <c r="G19" s="216"/>
      <c r="H19" s="219"/>
      <c r="I19" s="222"/>
      <c r="J19" s="227"/>
      <c r="K19" s="236">
        <f ca="1">IF(NOT(ISERROR(MATCH(J19,_xlfn.ANCHORARRAY(E30),0))),I32&amp;"Por favor no seleccionar los criterios de impacto",J19)</f>
        <v>0</v>
      </c>
      <c r="L19" s="219"/>
      <c r="M19" s="222"/>
      <c r="N19" s="233"/>
      <c r="O19" s="6">
        <v>2</v>
      </c>
      <c r="P19" s="163"/>
      <c r="Q19" s="50" t="str">
        <f>IF(OR(R19="Preventivo",R19="Detectivo"),"Probabilidad",IF(R19="Correctivo","Impacto",""))</f>
        <v/>
      </c>
      <c r="R19" s="51"/>
      <c r="S19" s="51"/>
      <c r="T19" s="52" t="str">
        <f t="shared" ref="T19:T23" si="10">IF(AND(R19="Preventivo",S19="Automático"),"50%",IF(AND(R19="Preventivo",S19="Manual"),"40%",IF(AND(R19="Detectivo",S19="Automático"),"40%",IF(AND(R19="Detectivo",S19="Manual"),"30%",IF(AND(R19="Correctivo",S19="Automático"),"35%",IF(AND(R19="Correctivo",S19="Manual"),"25%",""))))))</f>
        <v/>
      </c>
      <c r="U19" s="51"/>
      <c r="V19" s="51"/>
      <c r="W19" s="51"/>
      <c r="X19" s="24" t="str">
        <f>IFERROR(IF(AND(Q18="Probabilidad",Q19="Probabilidad"),(Z18-(+Z18*T19)),IF(Q19="Probabilidad",(I18-(+I18*T19)),IF(Q19="Impacto",Z18,""))),"")</f>
        <v/>
      </c>
      <c r="Y19" s="53" t="str">
        <f t="shared" si="1"/>
        <v/>
      </c>
      <c r="Z19" s="54" t="str">
        <f t="shared" ref="Z19:Z23" si="11">+X19</f>
        <v/>
      </c>
      <c r="AA19" s="53" t="str">
        <f t="shared" si="3"/>
        <v/>
      </c>
      <c r="AB19" s="54" t="str">
        <f>IFERROR(IF(AND(Q18="Impacto",Q19="Impacto"),(AB12-(+AB12*T19)),IF(Q19="Impacto",($M$18-(+$M$18*T19)),IF(Q19="Probabilidad",AB12,""))),"")</f>
        <v/>
      </c>
      <c r="AC19" s="55" t="str">
        <f t="shared" ref="AC19:AC20" si="12">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56"/>
      <c r="AE19" s="160"/>
      <c r="AF19" s="167"/>
      <c r="AG19" s="166">
        <v>46022</v>
      </c>
      <c r="AH19" s="166" t="s">
        <v>280</v>
      </c>
      <c r="AI19" s="160"/>
      <c r="AJ19" s="167"/>
      <c r="AK19" s="167"/>
      <c r="AL19" s="167"/>
      <c r="AM19" s="168" t="e">
        <f t="shared" si="5"/>
        <v>#DIV/0!</v>
      </c>
      <c r="AN19" s="167"/>
      <c r="AO19" s="167"/>
      <c r="AP19" s="167"/>
      <c r="AQ19" s="167"/>
      <c r="AR19" s="168" t="e">
        <f t="shared" si="6"/>
        <v>#DIV/0!</v>
      </c>
      <c r="AS19" s="167"/>
      <c r="AT19" s="167"/>
      <c r="AU19" s="8"/>
      <c r="AV19" s="8"/>
      <c r="AW19" s="8"/>
      <c r="AX19" s="8"/>
      <c r="AY19" s="8"/>
      <c r="AZ19" s="8"/>
      <c r="BA19" s="8"/>
      <c r="BB19" s="8"/>
      <c r="BC19" s="8"/>
      <c r="BD19" s="8"/>
      <c r="BE19" s="8"/>
      <c r="BF19" s="8"/>
      <c r="BG19" s="8"/>
      <c r="BH19" s="8"/>
      <c r="BI19" s="8"/>
      <c r="BJ19" s="8"/>
      <c r="BK19" s="8"/>
      <c r="BL19" s="8"/>
      <c r="BM19" s="8"/>
      <c r="BN19" s="8"/>
      <c r="BO19" s="8"/>
      <c r="BP19" s="8"/>
    </row>
    <row r="20" spans="1:68" ht="151.5" hidden="1" customHeight="1" x14ac:dyDescent="0.3">
      <c r="A20" s="239"/>
      <c r="B20" s="242"/>
      <c r="C20" s="214"/>
      <c r="D20" s="214"/>
      <c r="E20" s="245"/>
      <c r="F20" s="214"/>
      <c r="G20" s="216"/>
      <c r="H20" s="219"/>
      <c r="I20" s="222"/>
      <c r="J20" s="227"/>
      <c r="K20" s="236">
        <f ca="1">IF(NOT(ISERROR(MATCH(J20,_xlfn.ANCHORARRAY(E31),0))),I33&amp;"Por favor no seleccionar los criterios de impacto",J20)</f>
        <v>0</v>
      </c>
      <c r="L20" s="219"/>
      <c r="M20" s="222"/>
      <c r="N20" s="233"/>
      <c r="O20" s="6">
        <v>3</v>
      </c>
      <c r="P20" s="162"/>
      <c r="Q20" s="50" t="str">
        <f>IF(OR(R20="Preventivo",R20="Detectivo"),"Probabilidad",IF(R20="Correctivo","Impacto",""))</f>
        <v/>
      </c>
      <c r="R20" s="51"/>
      <c r="S20" s="51"/>
      <c r="T20" s="52" t="str">
        <f t="shared" si="10"/>
        <v/>
      </c>
      <c r="U20" s="51"/>
      <c r="V20" s="51"/>
      <c r="W20" s="51"/>
      <c r="X20" s="24" t="str">
        <f>IFERROR(IF(AND(Q19="Probabilidad",Q20="Probabilidad"),(Z19-(+Z19*T20)),IF(AND(Q19="Impacto",Q20="Probabilidad"),(Z18-(+Z18*T20)),IF(Q20="Impacto",Z19,""))),"")</f>
        <v/>
      </c>
      <c r="Y20" s="53" t="str">
        <f t="shared" si="1"/>
        <v/>
      </c>
      <c r="Z20" s="54" t="str">
        <f t="shared" si="11"/>
        <v/>
      </c>
      <c r="AA20" s="53" t="str">
        <f t="shared" si="3"/>
        <v/>
      </c>
      <c r="AB20" s="54" t="str">
        <f>IFERROR(IF(AND(Q19="Impacto",Q20="Impacto"),(AB19-(+AB19*T20)),IF(AND(Q19="Probabilidad",Q20="Impacto"),(AB18-(+AB18*T20)),IF(Q20="Probabilidad",AB19,""))),"")</f>
        <v/>
      </c>
      <c r="AC20" s="55" t="str">
        <f t="shared" si="12"/>
        <v/>
      </c>
      <c r="AD20" s="56"/>
      <c r="AE20" s="160" t="s">
        <v>233</v>
      </c>
      <c r="AF20" s="167"/>
      <c r="AG20" s="166">
        <v>46022</v>
      </c>
      <c r="AH20" s="166" t="s">
        <v>280</v>
      </c>
      <c r="AI20" s="160"/>
      <c r="AJ20" s="167"/>
      <c r="AK20" s="167"/>
      <c r="AL20" s="167"/>
      <c r="AM20" s="168" t="e">
        <f t="shared" si="5"/>
        <v>#DIV/0!</v>
      </c>
      <c r="AN20" s="167"/>
      <c r="AO20" s="167"/>
      <c r="AP20" s="167"/>
      <c r="AQ20" s="167"/>
      <c r="AR20" s="168" t="e">
        <f t="shared" si="6"/>
        <v>#DIV/0!</v>
      </c>
      <c r="AS20" s="167"/>
      <c r="AT20" s="167"/>
      <c r="AU20" s="8"/>
      <c r="AV20" s="8"/>
      <c r="AW20" s="8"/>
      <c r="AX20" s="8"/>
      <c r="AY20" s="8"/>
      <c r="AZ20" s="8"/>
      <c r="BA20" s="8"/>
      <c r="BB20" s="8"/>
      <c r="BC20" s="8"/>
      <c r="BD20" s="8"/>
      <c r="BE20" s="8"/>
      <c r="BF20" s="8"/>
      <c r="BG20" s="8"/>
      <c r="BH20" s="8"/>
      <c r="BI20" s="8"/>
      <c r="BJ20" s="8"/>
      <c r="BK20" s="8"/>
      <c r="BL20" s="8"/>
      <c r="BM20" s="8"/>
      <c r="BN20" s="8"/>
      <c r="BO20" s="8"/>
      <c r="BP20" s="8"/>
    </row>
    <row r="21" spans="1:68" ht="151.5" hidden="1" customHeight="1" x14ac:dyDescent="0.3">
      <c r="A21" s="239"/>
      <c r="B21" s="242"/>
      <c r="C21" s="214"/>
      <c r="D21" s="214"/>
      <c r="E21" s="245"/>
      <c r="F21" s="214"/>
      <c r="G21" s="216"/>
      <c r="H21" s="219"/>
      <c r="I21" s="222"/>
      <c r="J21" s="227"/>
      <c r="K21" s="236">
        <f ca="1">IF(NOT(ISERROR(MATCH(J21,_xlfn.ANCHORARRAY(E32),0))),I34&amp;"Por favor no seleccionar los criterios de impacto",J21)</f>
        <v>0</v>
      </c>
      <c r="L21" s="219"/>
      <c r="M21" s="222"/>
      <c r="N21" s="233"/>
      <c r="O21" s="6">
        <v>4</v>
      </c>
      <c r="P21" s="163"/>
      <c r="Q21" s="50" t="str">
        <f t="shared" ref="Q21:Q23" si="13">IF(OR(R21="Preventivo",R21="Detectivo"),"Probabilidad",IF(R21="Correctivo","Impacto",""))</f>
        <v/>
      </c>
      <c r="R21" s="51"/>
      <c r="S21" s="51"/>
      <c r="T21" s="52" t="str">
        <f t="shared" si="10"/>
        <v/>
      </c>
      <c r="U21" s="51"/>
      <c r="V21" s="51"/>
      <c r="W21" s="51"/>
      <c r="X21" s="24" t="str">
        <f t="shared" ref="X21:X23" si="14">IFERROR(IF(AND(Q20="Probabilidad",Q21="Probabilidad"),(Z20-(+Z20*T21)),IF(AND(Q20="Impacto",Q21="Probabilidad"),(Z19-(+Z19*T21)),IF(Q21="Impacto",Z20,""))),"")</f>
        <v/>
      </c>
      <c r="Y21" s="53" t="str">
        <f t="shared" si="1"/>
        <v/>
      </c>
      <c r="Z21" s="54" t="str">
        <f t="shared" si="11"/>
        <v/>
      </c>
      <c r="AA21" s="53" t="str">
        <f t="shared" si="3"/>
        <v/>
      </c>
      <c r="AB21" s="54" t="str">
        <f t="shared" ref="AB21:AB23" si="15">IFERROR(IF(AND(Q20="Impacto",Q21="Impacto"),(AB20-(+AB20*T21)),IF(AND(Q20="Probabilidad",Q21="Impacto"),(AB19-(+AB19*T21)),IF(Q21="Probabilidad",AB20,""))),"")</f>
        <v/>
      </c>
      <c r="AC21" s="55"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56"/>
      <c r="AE21" s="160"/>
      <c r="AF21" s="167"/>
      <c r="AG21" s="166">
        <v>46022</v>
      </c>
      <c r="AH21" s="166" t="s">
        <v>280</v>
      </c>
      <c r="AI21" s="160"/>
      <c r="AJ21" s="167"/>
      <c r="AK21" s="167"/>
      <c r="AL21" s="167"/>
      <c r="AM21" s="168" t="e">
        <f t="shared" si="5"/>
        <v>#DIV/0!</v>
      </c>
      <c r="AN21" s="167"/>
      <c r="AO21" s="167"/>
      <c r="AP21" s="167"/>
      <c r="AQ21" s="167"/>
      <c r="AR21" s="168" t="e">
        <f t="shared" si="6"/>
        <v>#DIV/0!</v>
      </c>
      <c r="AS21" s="167"/>
      <c r="AT21" s="167"/>
      <c r="AU21" s="8"/>
      <c r="AV21" s="8"/>
      <c r="AW21" s="8"/>
      <c r="AX21" s="8"/>
      <c r="AY21" s="8"/>
      <c r="AZ21" s="8"/>
      <c r="BA21" s="8"/>
      <c r="BB21" s="8"/>
      <c r="BC21" s="8"/>
      <c r="BD21" s="8"/>
      <c r="BE21" s="8"/>
      <c r="BF21" s="8"/>
      <c r="BG21" s="8"/>
      <c r="BH21" s="8"/>
      <c r="BI21" s="8"/>
      <c r="BJ21" s="8"/>
      <c r="BK21" s="8"/>
      <c r="BL21" s="8"/>
      <c r="BM21" s="8"/>
      <c r="BN21" s="8"/>
      <c r="BO21" s="8"/>
      <c r="BP21" s="8"/>
    </row>
    <row r="22" spans="1:68" ht="151.5" hidden="1" customHeight="1" x14ac:dyDescent="0.3">
      <c r="A22" s="239"/>
      <c r="B22" s="242"/>
      <c r="C22" s="214"/>
      <c r="D22" s="214"/>
      <c r="E22" s="245"/>
      <c r="F22" s="214"/>
      <c r="G22" s="216"/>
      <c r="H22" s="219"/>
      <c r="I22" s="222"/>
      <c r="J22" s="227"/>
      <c r="K22" s="236">
        <f ca="1">IF(NOT(ISERROR(MATCH(J22,_xlfn.ANCHORARRAY(E33),0))),I35&amp;"Por favor no seleccionar los criterios de impacto",J22)</f>
        <v>0</v>
      </c>
      <c r="L22" s="219"/>
      <c r="M22" s="222"/>
      <c r="N22" s="233"/>
      <c r="O22" s="6">
        <v>5</v>
      </c>
      <c r="P22" s="163"/>
      <c r="Q22" s="50" t="str">
        <f t="shared" si="13"/>
        <v/>
      </c>
      <c r="R22" s="51"/>
      <c r="S22" s="51"/>
      <c r="T22" s="52" t="str">
        <f t="shared" si="10"/>
        <v/>
      </c>
      <c r="U22" s="51"/>
      <c r="V22" s="51"/>
      <c r="W22" s="51"/>
      <c r="X22" s="24" t="str">
        <f t="shared" si="14"/>
        <v/>
      </c>
      <c r="Y22" s="53" t="str">
        <f t="shared" si="1"/>
        <v/>
      </c>
      <c r="Z22" s="54" t="str">
        <f t="shared" si="11"/>
        <v/>
      </c>
      <c r="AA22" s="53" t="str">
        <f t="shared" si="3"/>
        <v/>
      </c>
      <c r="AB22" s="54" t="str">
        <f t="shared" si="15"/>
        <v/>
      </c>
      <c r="AC22" s="55" t="str">
        <f t="shared" ref="AC22:AC23" si="16">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56"/>
      <c r="AE22" s="160"/>
      <c r="AF22" s="167"/>
      <c r="AG22" s="166">
        <v>46022</v>
      </c>
      <c r="AH22" s="166" t="s">
        <v>280</v>
      </c>
      <c r="AI22" s="160"/>
      <c r="AJ22" s="167"/>
      <c r="AK22" s="167"/>
      <c r="AL22" s="167"/>
      <c r="AM22" s="168" t="e">
        <f t="shared" si="5"/>
        <v>#DIV/0!</v>
      </c>
      <c r="AN22" s="167"/>
      <c r="AO22" s="167"/>
      <c r="AP22" s="167"/>
      <c r="AQ22" s="167"/>
      <c r="AR22" s="168" t="e">
        <f t="shared" si="6"/>
        <v>#DIV/0!</v>
      </c>
      <c r="AS22" s="167"/>
      <c r="AT22" s="167"/>
      <c r="AU22" s="8"/>
      <c r="AV22" s="8"/>
      <c r="AW22" s="8"/>
      <c r="AX22" s="8"/>
      <c r="AY22" s="8"/>
      <c r="AZ22" s="8"/>
      <c r="BA22" s="8"/>
      <c r="BB22" s="8"/>
      <c r="BC22" s="8"/>
      <c r="BD22" s="8"/>
      <c r="BE22" s="8"/>
      <c r="BF22" s="8"/>
      <c r="BG22" s="8"/>
      <c r="BH22" s="8"/>
      <c r="BI22" s="8"/>
      <c r="BJ22" s="8"/>
      <c r="BK22" s="8"/>
      <c r="BL22" s="8"/>
      <c r="BM22" s="8"/>
      <c r="BN22" s="8"/>
      <c r="BO22" s="8"/>
      <c r="BP22" s="8"/>
    </row>
    <row r="23" spans="1:68" ht="151.5" hidden="1" customHeight="1" x14ac:dyDescent="0.3">
      <c r="A23" s="240"/>
      <c r="B23" s="243"/>
      <c r="C23" s="215"/>
      <c r="D23" s="215"/>
      <c r="E23" s="246"/>
      <c r="F23" s="215"/>
      <c r="G23" s="217"/>
      <c r="H23" s="220"/>
      <c r="I23" s="223"/>
      <c r="J23" s="228"/>
      <c r="K23" s="237">
        <f ca="1">IF(NOT(ISERROR(MATCH(J23,_xlfn.ANCHORARRAY(E34),0))),I36&amp;"Por favor no seleccionar los criterios de impacto",J23)</f>
        <v>0</v>
      </c>
      <c r="L23" s="220"/>
      <c r="M23" s="223"/>
      <c r="N23" s="234"/>
      <c r="O23" s="6">
        <v>6</v>
      </c>
      <c r="P23" s="163"/>
      <c r="Q23" s="50" t="str">
        <f t="shared" si="13"/>
        <v/>
      </c>
      <c r="R23" s="51"/>
      <c r="S23" s="51"/>
      <c r="T23" s="52" t="str">
        <f t="shared" si="10"/>
        <v/>
      </c>
      <c r="U23" s="51"/>
      <c r="V23" s="51"/>
      <c r="W23" s="51"/>
      <c r="X23" s="24" t="str">
        <f t="shared" si="14"/>
        <v/>
      </c>
      <c r="Y23" s="53" t="str">
        <f t="shared" si="1"/>
        <v/>
      </c>
      <c r="Z23" s="54" t="str">
        <f t="shared" si="11"/>
        <v/>
      </c>
      <c r="AA23" s="53" t="str">
        <f t="shared" si="3"/>
        <v/>
      </c>
      <c r="AB23" s="54" t="str">
        <f t="shared" si="15"/>
        <v/>
      </c>
      <c r="AC23" s="55" t="str">
        <f t="shared" si="16"/>
        <v/>
      </c>
      <c r="AD23" s="56"/>
      <c r="AE23" s="160"/>
      <c r="AF23" s="167"/>
      <c r="AG23" s="166">
        <v>46022</v>
      </c>
      <c r="AH23" s="166" t="s">
        <v>280</v>
      </c>
      <c r="AI23" s="160"/>
      <c r="AJ23" s="167"/>
      <c r="AK23" s="167"/>
      <c r="AL23" s="167"/>
      <c r="AM23" s="168" t="e">
        <f t="shared" si="5"/>
        <v>#DIV/0!</v>
      </c>
      <c r="AN23" s="167"/>
      <c r="AO23" s="167"/>
      <c r="AP23" s="167"/>
      <c r="AQ23" s="167"/>
      <c r="AR23" s="168" t="e">
        <f t="shared" si="6"/>
        <v>#DIV/0!</v>
      </c>
      <c r="AS23" s="167"/>
      <c r="AT23" s="167"/>
      <c r="AU23" s="8"/>
      <c r="AV23" s="8"/>
      <c r="AW23" s="8"/>
      <c r="AX23" s="8"/>
      <c r="AY23" s="8"/>
      <c r="AZ23" s="8"/>
      <c r="BA23" s="8"/>
      <c r="BB23" s="8"/>
      <c r="BC23" s="8"/>
      <c r="BD23" s="8"/>
      <c r="BE23" s="8"/>
      <c r="BF23" s="8"/>
      <c r="BG23" s="8"/>
      <c r="BH23" s="8"/>
      <c r="BI23" s="8"/>
      <c r="BJ23" s="8"/>
      <c r="BK23" s="8"/>
      <c r="BL23" s="8"/>
      <c r="BM23" s="8"/>
      <c r="BN23" s="8"/>
      <c r="BO23" s="8"/>
      <c r="BP23" s="8"/>
    </row>
    <row r="24" spans="1:68" ht="207.75" customHeight="1" x14ac:dyDescent="0.3">
      <c r="A24" s="238">
        <v>3</v>
      </c>
      <c r="B24" s="241" t="s">
        <v>134</v>
      </c>
      <c r="C24" s="213" t="s">
        <v>217</v>
      </c>
      <c r="D24" s="213" t="s">
        <v>226</v>
      </c>
      <c r="E24" s="244" t="s">
        <v>236</v>
      </c>
      <c r="F24" s="213" t="s">
        <v>128</v>
      </c>
      <c r="G24" s="250">
        <v>6</v>
      </c>
      <c r="H24" s="218" t="str">
        <f>IF(G24&lt;=0,"",IF(G24&lt;=2,"Muy Baja",IF(G24&lt;=24,"Baja",IF(G24&lt;=500,"Media",IF(G24&lt;=5000,"Alta","Muy Alta")))))</f>
        <v>Baja</v>
      </c>
      <c r="I24" s="221">
        <f>IF(H24="","",IF(H24="Muy Baja",0.2,IF(H24="Baja",0.4,IF(H24="Media",0.6,IF(H24="Alta",0.8,IF(H24="Muy Alta",1,))))))</f>
        <v>0.4</v>
      </c>
      <c r="J24" s="226" t="s">
        <v>153</v>
      </c>
      <c r="K24" s="235" t="str">
        <f ca="1">IF(NOT(ISERROR(MATCH(J24,'Tabla Impacto'!$B$221:$B$223,0))),'Tabla Impacto'!$F$223&amp;"Por favor no seleccionar los criterios de impacto(Afectación Económica o presupuestal y Pérdida Reputacional)",J24)</f>
        <v xml:space="preserve">     El riesgo afecta la imagen de la entidad con algunos usuarios de relevancia frente al logro de los objetivos</v>
      </c>
      <c r="L24" s="218" t="str">
        <f ca="1">IF(OR(K24='Tabla Impacto'!$C$11,K24='Tabla Impacto'!$D$11),"Leve",IF(OR(K24='Tabla Impacto'!$C$12,K24='Tabla Impacto'!$D$12),"Menor",IF(OR(K24='Tabla Impacto'!$C$13,K24='Tabla Impacto'!$D$13),"Moderado",IF(OR(K24='Tabla Impacto'!$C$14,K24='Tabla Impacto'!$D$14),"Mayor",IF(OR(K24='Tabla Impacto'!$C$15,K24='Tabla Impacto'!$D$15),"Catastrófico","")))))</f>
        <v>Moderado</v>
      </c>
      <c r="M24" s="221">
        <f ca="1">IF(L24="","",IF(L24="Leve",0.2,IF(L24="Menor",0.4,IF(L24="Moderado",0.6,IF(L24="Mayor",0.8,IF(L24="Catastrófico",1,))))))</f>
        <v>0.6</v>
      </c>
      <c r="N24" s="232" t="str">
        <f ca="1">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Moderado</v>
      </c>
      <c r="O24" s="6">
        <v>1</v>
      </c>
      <c r="P24" s="160" t="s">
        <v>299</v>
      </c>
      <c r="Q24" s="50" t="str">
        <f>IF(OR(R24="Preventivo",R24="Detectivo"),"Probabilidad",IF(R24="Correctivo","Impacto",""))</f>
        <v>Probabilidad</v>
      </c>
      <c r="R24" s="51" t="s">
        <v>14</v>
      </c>
      <c r="S24" s="51" t="s">
        <v>9</v>
      </c>
      <c r="T24" s="52" t="str">
        <f>IF(AND(R24="Preventivo",S24="Automático"),"50%",IF(AND(R24="Preventivo",S24="Manual"),"40%",IF(AND(R24="Detectivo",S24="Automático"),"40%",IF(AND(R24="Detectivo",S24="Manual"),"30%",IF(AND(R24="Correctivo",S24="Automático"),"35%",IF(AND(R24="Correctivo",S24="Manual"),"25%",""))))))</f>
        <v>40%</v>
      </c>
      <c r="U24" s="51" t="s">
        <v>19</v>
      </c>
      <c r="V24" s="51" t="s">
        <v>22</v>
      </c>
      <c r="W24" s="51" t="s">
        <v>119</v>
      </c>
      <c r="X24" s="24">
        <f>IFERROR(IF(Q24="Probabilidad",(I24-(+I24*T24)),IF(Q24="Impacto",I24,"")),"")</f>
        <v>0.24</v>
      </c>
      <c r="Y24" s="53" t="str">
        <f>IFERROR(IF(X24="","",IF(X24&lt;=0.2,"Muy Baja",IF(X24&lt;=0.4,"Baja",IF(X24&lt;=0.6,"Media",IF(X24&lt;=0.8,"Alta","Muy Alta"))))),"")</f>
        <v>Baja</v>
      </c>
      <c r="Z24" s="54">
        <f>+X24</f>
        <v>0.24</v>
      </c>
      <c r="AA24" s="53" t="str">
        <f ca="1">IFERROR(IF(AB24="","",IF(AB24&lt;=0.2,"Leve",IF(AB24&lt;=0.4,"Menor",IF(AB24&lt;=0.6,"Moderado",IF(AB24&lt;=0.8,"Mayor","Catastrófico"))))),"")</f>
        <v>Moderado</v>
      </c>
      <c r="AB24" s="54">
        <f ca="1">IFERROR(IF(Q24="Impacto",(M24-(+M24*T24)),IF(Q24="Probabilidad",M24,"")),"")</f>
        <v>0.6</v>
      </c>
      <c r="AC24" s="55" t="str">
        <f ca="1">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56" t="s">
        <v>136</v>
      </c>
      <c r="AE24" s="160" t="s">
        <v>308</v>
      </c>
      <c r="AF24" s="165" t="s">
        <v>289</v>
      </c>
      <c r="AG24" s="166">
        <v>46022</v>
      </c>
      <c r="AH24" s="166" t="s">
        <v>280</v>
      </c>
      <c r="AI24" s="160" t="s">
        <v>264</v>
      </c>
      <c r="AJ24" s="167" t="s">
        <v>41</v>
      </c>
      <c r="AK24" s="167"/>
      <c r="AL24" s="167"/>
      <c r="AM24" s="168" t="e">
        <f t="shared" si="5"/>
        <v>#DIV/0!</v>
      </c>
      <c r="AN24" s="167"/>
      <c r="AO24" s="167"/>
      <c r="AP24" s="167"/>
      <c r="AQ24" s="167"/>
      <c r="AR24" s="168" t="e">
        <f t="shared" si="6"/>
        <v>#DIV/0!</v>
      </c>
      <c r="AS24" s="167"/>
      <c r="AT24" s="167"/>
      <c r="AU24" s="8"/>
      <c r="AV24" s="8"/>
      <c r="AW24" s="8"/>
      <c r="AX24" s="8"/>
      <c r="AY24" s="8"/>
      <c r="AZ24" s="8"/>
      <c r="BA24" s="8"/>
      <c r="BB24" s="8"/>
      <c r="BC24" s="8"/>
      <c r="BD24" s="8"/>
      <c r="BE24" s="8"/>
      <c r="BF24" s="8"/>
      <c r="BG24" s="8"/>
      <c r="BH24" s="8"/>
      <c r="BI24" s="8"/>
      <c r="BJ24" s="8"/>
      <c r="BK24" s="8"/>
      <c r="BL24" s="8"/>
      <c r="BM24" s="8"/>
      <c r="BN24" s="8"/>
      <c r="BO24" s="8"/>
      <c r="BP24" s="8"/>
    </row>
    <row r="25" spans="1:68" ht="151.5" hidden="1" customHeight="1" x14ac:dyDescent="0.3">
      <c r="A25" s="239"/>
      <c r="B25" s="242"/>
      <c r="C25" s="214"/>
      <c r="D25" s="214"/>
      <c r="E25" s="245"/>
      <c r="F25" s="214"/>
      <c r="G25" s="216"/>
      <c r="H25" s="219"/>
      <c r="I25" s="222"/>
      <c r="J25" s="227"/>
      <c r="K25" s="236">
        <f t="shared" ref="K25:K29" ca="1" si="17">IF(NOT(ISERROR(MATCH(J25,_xlfn.ANCHORARRAY(E36),0))),I38&amp;"Por favor no seleccionar los criterios de impacto",J25)</f>
        <v>0</v>
      </c>
      <c r="L25" s="219"/>
      <c r="M25" s="222"/>
      <c r="N25" s="233"/>
      <c r="O25" s="6">
        <v>2</v>
      </c>
      <c r="P25" s="163"/>
      <c r="Q25" s="50" t="str">
        <f>IF(OR(R25="Preventivo",R25="Detectivo"),"Probabilidad",IF(R25="Correctivo","Impacto",""))</f>
        <v/>
      </c>
      <c r="R25" s="51"/>
      <c r="S25" s="51"/>
      <c r="T25" s="52" t="str">
        <f t="shared" ref="T25:T29" si="18">IF(AND(R25="Preventivo",S25="Automático"),"50%",IF(AND(R25="Preventivo",S25="Manual"),"40%",IF(AND(R25="Detectivo",S25="Automático"),"40%",IF(AND(R25="Detectivo",S25="Manual"),"30%",IF(AND(R25="Correctivo",S25="Automático"),"35%",IF(AND(R25="Correctivo",S25="Manual"),"25%",""))))))</f>
        <v/>
      </c>
      <c r="U25" s="51"/>
      <c r="V25" s="51"/>
      <c r="W25" s="51"/>
      <c r="X25" s="137" t="str">
        <f>IFERROR(IF(AND(Q24="Probabilidad",Q25="Probabilidad"),(Z24-(+Z24*T25)),IF(Q25="Probabilidad",(I24-(+I24*T25)),IF(Q25="Impacto",Z24,""))),"")</f>
        <v/>
      </c>
      <c r="Y25" s="53" t="str">
        <f t="shared" si="1"/>
        <v/>
      </c>
      <c r="Z25" s="54" t="str">
        <f t="shared" ref="Z25:Z29" si="19">+X25</f>
        <v/>
      </c>
      <c r="AA25" s="53" t="str">
        <f t="shared" si="3"/>
        <v/>
      </c>
      <c r="AB25" s="54" t="str">
        <f>IFERROR(IF(AND(Q24="Impacto",Q25="Impacto"),(AB18-(+AB18*T25)),IF(Q25="Impacto",($M$24-(+$M$24*T25)),IF(Q25="Probabilidad",AB18,""))),"")</f>
        <v/>
      </c>
      <c r="AC25" s="55" t="str">
        <f t="shared" ref="AC25:AC26" si="20">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56"/>
      <c r="AE25" s="160"/>
      <c r="AF25" s="167"/>
      <c r="AG25" s="166">
        <v>46022</v>
      </c>
      <c r="AH25" s="166" t="s">
        <v>280</v>
      </c>
      <c r="AI25" s="160"/>
      <c r="AJ25" s="167"/>
      <c r="AK25" s="167"/>
      <c r="AL25" s="167"/>
      <c r="AM25" s="168" t="e">
        <f t="shared" si="5"/>
        <v>#DIV/0!</v>
      </c>
      <c r="AN25" s="167"/>
      <c r="AO25" s="167"/>
      <c r="AP25" s="167"/>
      <c r="AQ25" s="167"/>
      <c r="AR25" s="168" t="e">
        <f t="shared" si="6"/>
        <v>#DIV/0!</v>
      </c>
      <c r="AS25" s="167"/>
      <c r="AT25" s="167"/>
      <c r="AU25" s="8"/>
      <c r="AV25" s="8"/>
      <c r="AW25" s="8"/>
      <c r="AX25" s="8"/>
      <c r="AY25" s="8"/>
      <c r="AZ25" s="8"/>
      <c r="BA25" s="8"/>
      <c r="BB25" s="8"/>
      <c r="BC25" s="8"/>
      <c r="BD25" s="8"/>
      <c r="BE25" s="8"/>
      <c r="BF25" s="8"/>
      <c r="BG25" s="8"/>
      <c r="BH25" s="8"/>
      <c r="BI25" s="8"/>
      <c r="BJ25" s="8"/>
      <c r="BK25" s="8"/>
      <c r="BL25" s="8"/>
      <c r="BM25" s="8"/>
      <c r="BN25" s="8"/>
      <c r="BO25" s="8"/>
      <c r="BP25" s="8"/>
    </row>
    <row r="26" spans="1:68" ht="151.5" hidden="1" customHeight="1" x14ac:dyDescent="0.3">
      <c r="A26" s="239"/>
      <c r="B26" s="242"/>
      <c r="C26" s="214"/>
      <c r="D26" s="214"/>
      <c r="E26" s="245"/>
      <c r="F26" s="214"/>
      <c r="G26" s="216"/>
      <c r="H26" s="219"/>
      <c r="I26" s="222"/>
      <c r="J26" s="227"/>
      <c r="K26" s="236">
        <f t="shared" ca="1" si="17"/>
        <v>0</v>
      </c>
      <c r="L26" s="219"/>
      <c r="M26" s="222"/>
      <c r="N26" s="233"/>
      <c r="O26" s="6">
        <v>3</v>
      </c>
      <c r="P26" s="162"/>
      <c r="Q26" s="50" t="str">
        <f>IF(OR(R26="Preventivo",R26="Detectivo"),"Probabilidad",IF(R26="Correctivo","Impacto",""))</f>
        <v/>
      </c>
      <c r="R26" s="51"/>
      <c r="S26" s="51"/>
      <c r="T26" s="52" t="str">
        <f t="shared" si="18"/>
        <v/>
      </c>
      <c r="U26" s="51"/>
      <c r="V26" s="51"/>
      <c r="W26" s="51"/>
      <c r="X26" s="24" t="str">
        <f>IFERROR(IF(AND(Q25="Probabilidad",Q26="Probabilidad"),(Z25-(+Z25*T26)),IF(AND(Q25="Impacto",Q26="Probabilidad"),(Z24-(+Z24*T26)),IF(Q26="Impacto",Z25,""))),"")</f>
        <v/>
      </c>
      <c r="Y26" s="53" t="str">
        <f t="shared" si="1"/>
        <v/>
      </c>
      <c r="Z26" s="54" t="str">
        <f t="shared" si="19"/>
        <v/>
      </c>
      <c r="AA26" s="53" t="str">
        <f t="shared" si="3"/>
        <v/>
      </c>
      <c r="AB26" s="54" t="str">
        <f>IFERROR(IF(AND(Q25="Impacto",Q26="Impacto"),(AB25-(+AB25*T26)),IF(AND(Q25="Probabilidad",Q26="Impacto"),(AB24-(+AB24*T26)),IF(Q26="Probabilidad",AB25,""))),"")</f>
        <v/>
      </c>
      <c r="AC26" s="55" t="str">
        <f t="shared" si="20"/>
        <v/>
      </c>
      <c r="AD26" s="56"/>
      <c r="AE26" s="160"/>
      <c r="AF26" s="167"/>
      <c r="AG26" s="166">
        <v>46022</v>
      </c>
      <c r="AH26" s="166" t="s">
        <v>280</v>
      </c>
      <c r="AI26" s="160"/>
      <c r="AJ26" s="167"/>
      <c r="AK26" s="167"/>
      <c r="AL26" s="167"/>
      <c r="AM26" s="168" t="e">
        <f t="shared" si="5"/>
        <v>#DIV/0!</v>
      </c>
      <c r="AN26" s="167"/>
      <c r="AO26" s="167"/>
      <c r="AP26" s="167"/>
      <c r="AQ26" s="167"/>
      <c r="AR26" s="168" t="e">
        <f t="shared" si="6"/>
        <v>#DIV/0!</v>
      </c>
      <c r="AS26" s="167"/>
      <c r="AT26" s="167"/>
      <c r="AU26" s="8"/>
      <c r="AV26" s="8"/>
      <c r="AW26" s="8"/>
      <c r="AX26" s="8"/>
      <c r="AY26" s="8"/>
      <c r="AZ26" s="8"/>
      <c r="BA26" s="8"/>
      <c r="BB26" s="8"/>
      <c r="BC26" s="8"/>
      <c r="BD26" s="8"/>
      <c r="BE26" s="8"/>
      <c r="BF26" s="8"/>
      <c r="BG26" s="8"/>
      <c r="BH26" s="8"/>
      <c r="BI26" s="8"/>
      <c r="BJ26" s="8"/>
      <c r="BK26" s="8"/>
      <c r="BL26" s="8"/>
      <c r="BM26" s="8"/>
      <c r="BN26" s="8"/>
      <c r="BO26" s="8"/>
      <c r="BP26" s="8"/>
    </row>
    <row r="27" spans="1:68" ht="151.5" hidden="1" customHeight="1" x14ac:dyDescent="0.3">
      <c r="A27" s="239"/>
      <c r="B27" s="242"/>
      <c r="C27" s="214"/>
      <c r="D27" s="214"/>
      <c r="E27" s="245"/>
      <c r="F27" s="214"/>
      <c r="G27" s="216"/>
      <c r="H27" s="219"/>
      <c r="I27" s="222"/>
      <c r="J27" s="227"/>
      <c r="K27" s="236">
        <f t="shared" ca="1" si="17"/>
        <v>0</v>
      </c>
      <c r="L27" s="219"/>
      <c r="M27" s="222"/>
      <c r="N27" s="233"/>
      <c r="O27" s="6">
        <v>4</v>
      </c>
      <c r="P27" s="163"/>
      <c r="Q27" s="50" t="str">
        <f t="shared" ref="Q27:Q29" si="21">IF(OR(R27="Preventivo",R27="Detectivo"),"Probabilidad",IF(R27="Correctivo","Impacto",""))</f>
        <v/>
      </c>
      <c r="R27" s="51"/>
      <c r="S27" s="51"/>
      <c r="T27" s="52" t="str">
        <f t="shared" si="18"/>
        <v/>
      </c>
      <c r="U27" s="51"/>
      <c r="V27" s="51"/>
      <c r="W27" s="51"/>
      <c r="X27" s="24" t="str">
        <f t="shared" ref="X27:X29" si="22">IFERROR(IF(AND(Q26="Probabilidad",Q27="Probabilidad"),(Z26-(+Z26*T27)),IF(AND(Q26="Impacto",Q27="Probabilidad"),(Z25-(+Z25*T27)),IF(Q27="Impacto",Z26,""))),"")</f>
        <v/>
      </c>
      <c r="Y27" s="53" t="str">
        <f t="shared" si="1"/>
        <v/>
      </c>
      <c r="Z27" s="54" t="str">
        <f t="shared" si="19"/>
        <v/>
      </c>
      <c r="AA27" s="53" t="str">
        <f t="shared" si="3"/>
        <v/>
      </c>
      <c r="AB27" s="54" t="str">
        <f t="shared" ref="AB27:AB29" si="23">IFERROR(IF(AND(Q26="Impacto",Q27="Impacto"),(AB26-(+AB26*T27)),IF(AND(Q26="Probabilidad",Q27="Impacto"),(AB25-(+AB25*T27)),IF(Q27="Probabilidad",AB26,""))),"")</f>
        <v/>
      </c>
      <c r="AC27" s="55"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56"/>
      <c r="AE27" s="160"/>
      <c r="AF27" s="167"/>
      <c r="AG27" s="166">
        <v>46022</v>
      </c>
      <c r="AH27" s="166" t="s">
        <v>280</v>
      </c>
      <c r="AI27" s="160"/>
      <c r="AJ27" s="167"/>
      <c r="AK27" s="167"/>
      <c r="AL27" s="167"/>
      <c r="AM27" s="168" t="e">
        <f t="shared" si="5"/>
        <v>#DIV/0!</v>
      </c>
      <c r="AN27" s="167"/>
      <c r="AO27" s="167"/>
      <c r="AP27" s="167"/>
      <c r="AQ27" s="167"/>
      <c r="AR27" s="168" t="e">
        <f t="shared" si="6"/>
        <v>#DIV/0!</v>
      </c>
      <c r="AS27" s="167"/>
      <c r="AT27" s="167"/>
      <c r="AU27" s="8"/>
      <c r="AV27" s="8"/>
      <c r="AW27" s="8"/>
      <c r="AX27" s="8"/>
      <c r="AY27" s="8"/>
      <c r="AZ27" s="8"/>
      <c r="BA27" s="8"/>
      <c r="BB27" s="8"/>
      <c r="BC27" s="8"/>
      <c r="BD27" s="8"/>
      <c r="BE27" s="8"/>
      <c r="BF27" s="8"/>
      <c r="BG27" s="8"/>
      <c r="BH27" s="8"/>
      <c r="BI27" s="8"/>
      <c r="BJ27" s="8"/>
      <c r="BK27" s="8"/>
      <c r="BL27" s="8"/>
      <c r="BM27" s="8"/>
      <c r="BN27" s="8"/>
      <c r="BO27" s="8"/>
      <c r="BP27" s="8"/>
    </row>
    <row r="28" spans="1:68" ht="151.5" hidden="1" customHeight="1" x14ac:dyDescent="0.3">
      <c r="A28" s="239"/>
      <c r="B28" s="242"/>
      <c r="C28" s="214"/>
      <c r="D28" s="214"/>
      <c r="E28" s="245"/>
      <c r="F28" s="214"/>
      <c r="G28" s="216"/>
      <c r="H28" s="219"/>
      <c r="I28" s="222"/>
      <c r="J28" s="227"/>
      <c r="K28" s="236">
        <f t="shared" ca="1" si="17"/>
        <v>0</v>
      </c>
      <c r="L28" s="219"/>
      <c r="M28" s="222"/>
      <c r="N28" s="233"/>
      <c r="O28" s="6">
        <v>5</v>
      </c>
      <c r="P28" s="163"/>
      <c r="Q28" s="50" t="str">
        <f t="shared" si="21"/>
        <v/>
      </c>
      <c r="R28" s="51"/>
      <c r="S28" s="51"/>
      <c r="T28" s="52" t="str">
        <f t="shared" si="18"/>
        <v/>
      </c>
      <c r="U28" s="51"/>
      <c r="V28" s="51"/>
      <c r="W28" s="51"/>
      <c r="X28" s="24" t="str">
        <f t="shared" si="22"/>
        <v/>
      </c>
      <c r="Y28" s="53" t="str">
        <f t="shared" si="1"/>
        <v/>
      </c>
      <c r="Z28" s="54" t="str">
        <f t="shared" si="19"/>
        <v/>
      </c>
      <c r="AA28" s="53" t="str">
        <f t="shared" si="3"/>
        <v/>
      </c>
      <c r="AB28" s="54" t="str">
        <f t="shared" si="23"/>
        <v/>
      </c>
      <c r="AC28" s="55" t="str">
        <f t="shared" ref="AC28:AC29" si="2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56"/>
      <c r="AE28" s="160"/>
      <c r="AF28" s="167"/>
      <c r="AG28" s="166">
        <v>46022</v>
      </c>
      <c r="AH28" s="166" t="s">
        <v>280</v>
      </c>
      <c r="AI28" s="160"/>
      <c r="AJ28" s="167"/>
      <c r="AK28" s="167"/>
      <c r="AL28" s="167"/>
      <c r="AM28" s="168" t="e">
        <f t="shared" si="5"/>
        <v>#DIV/0!</v>
      </c>
      <c r="AN28" s="167"/>
      <c r="AO28" s="167"/>
      <c r="AP28" s="167"/>
      <c r="AQ28" s="167"/>
      <c r="AR28" s="168" t="e">
        <f t="shared" si="6"/>
        <v>#DIV/0!</v>
      </c>
      <c r="AS28" s="167"/>
      <c r="AT28" s="167"/>
      <c r="AU28" s="8"/>
      <c r="AV28" s="8"/>
      <c r="AW28" s="8"/>
      <c r="AX28" s="8"/>
      <c r="AY28" s="8"/>
      <c r="AZ28" s="8"/>
      <c r="BA28" s="8"/>
      <c r="BB28" s="8"/>
      <c r="BC28" s="8"/>
      <c r="BD28" s="8"/>
      <c r="BE28" s="8"/>
      <c r="BF28" s="8"/>
      <c r="BG28" s="8"/>
      <c r="BH28" s="8"/>
      <c r="BI28" s="8"/>
      <c r="BJ28" s="8"/>
      <c r="BK28" s="8"/>
      <c r="BL28" s="8"/>
      <c r="BM28" s="8"/>
      <c r="BN28" s="8"/>
      <c r="BO28" s="8"/>
      <c r="BP28" s="8"/>
    </row>
    <row r="29" spans="1:68" ht="151.5" hidden="1" customHeight="1" x14ac:dyDescent="0.3">
      <c r="A29" s="240"/>
      <c r="B29" s="243"/>
      <c r="C29" s="215"/>
      <c r="D29" s="215"/>
      <c r="E29" s="246"/>
      <c r="F29" s="215"/>
      <c r="G29" s="217"/>
      <c r="H29" s="220"/>
      <c r="I29" s="223"/>
      <c r="J29" s="228"/>
      <c r="K29" s="237">
        <f t="shared" ca="1" si="17"/>
        <v>0</v>
      </c>
      <c r="L29" s="220"/>
      <c r="M29" s="223"/>
      <c r="N29" s="234"/>
      <c r="O29" s="6">
        <v>6</v>
      </c>
      <c r="P29" s="163"/>
      <c r="Q29" s="50" t="str">
        <f t="shared" si="21"/>
        <v/>
      </c>
      <c r="R29" s="51"/>
      <c r="S29" s="51"/>
      <c r="T29" s="52" t="str">
        <f t="shared" si="18"/>
        <v/>
      </c>
      <c r="U29" s="51"/>
      <c r="V29" s="51"/>
      <c r="W29" s="51"/>
      <c r="X29" s="24" t="str">
        <f t="shared" si="22"/>
        <v/>
      </c>
      <c r="Y29" s="53" t="str">
        <f t="shared" si="1"/>
        <v/>
      </c>
      <c r="Z29" s="54" t="str">
        <f t="shared" si="19"/>
        <v/>
      </c>
      <c r="AA29" s="53" t="str">
        <f t="shared" si="3"/>
        <v/>
      </c>
      <c r="AB29" s="54" t="str">
        <f t="shared" si="23"/>
        <v/>
      </c>
      <c r="AC29" s="55" t="str">
        <f t="shared" si="24"/>
        <v/>
      </c>
      <c r="AD29" s="56"/>
      <c r="AE29" s="160"/>
      <c r="AF29" s="167"/>
      <c r="AG29" s="166">
        <v>46022</v>
      </c>
      <c r="AH29" s="166" t="s">
        <v>280</v>
      </c>
      <c r="AI29" s="160"/>
      <c r="AJ29" s="167"/>
      <c r="AK29" s="167"/>
      <c r="AL29" s="167"/>
      <c r="AM29" s="168" t="e">
        <f t="shared" si="5"/>
        <v>#DIV/0!</v>
      </c>
      <c r="AN29" s="167"/>
      <c r="AO29" s="167"/>
      <c r="AP29" s="167"/>
      <c r="AQ29" s="167"/>
      <c r="AR29" s="168" t="e">
        <f t="shared" si="6"/>
        <v>#DIV/0!</v>
      </c>
      <c r="AS29" s="167"/>
      <c r="AT29" s="167"/>
      <c r="AU29" s="8"/>
      <c r="AV29" s="8"/>
      <c r="AW29" s="8"/>
      <c r="AX29" s="8"/>
      <c r="AY29" s="8"/>
      <c r="AZ29" s="8"/>
      <c r="BA29" s="8"/>
      <c r="BB29" s="8"/>
      <c r="BC29" s="8"/>
      <c r="BD29" s="8"/>
      <c r="BE29" s="8"/>
      <c r="BF29" s="8"/>
      <c r="BG29" s="8"/>
      <c r="BH29" s="8"/>
      <c r="BI29" s="8"/>
      <c r="BJ29" s="8"/>
      <c r="BK29" s="8"/>
      <c r="BL29" s="8"/>
      <c r="BM29" s="8"/>
      <c r="BN29" s="8"/>
      <c r="BO29" s="8"/>
      <c r="BP29" s="8"/>
    </row>
    <row r="30" spans="1:68" ht="265.5" customHeight="1" x14ac:dyDescent="0.3">
      <c r="A30" s="238">
        <v>4</v>
      </c>
      <c r="B30" s="241" t="s">
        <v>134</v>
      </c>
      <c r="C30" s="213" t="s">
        <v>221</v>
      </c>
      <c r="D30" s="213" t="s">
        <v>234</v>
      </c>
      <c r="E30" s="244" t="s">
        <v>243</v>
      </c>
      <c r="F30" s="213" t="s">
        <v>123</v>
      </c>
      <c r="G30" s="250">
        <v>4</v>
      </c>
      <c r="H30" s="218" t="str">
        <f>IF(G30&lt;=0,"",IF(G30&lt;=2,"Muy Baja",IF(G30&lt;=24,"Baja",IF(G30&lt;=500,"Media",IF(G30&lt;=5000,"Alta","Muy Alta")))))</f>
        <v>Baja</v>
      </c>
      <c r="I30" s="221">
        <f>IF(H30="","",IF(H30="Muy Baja",0.2,IF(H30="Baja",0.4,IF(H30="Media",0.6,IF(H30="Alta",0.8,IF(H30="Muy Alta",1,))))))</f>
        <v>0.4</v>
      </c>
      <c r="J30" s="226" t="s">
        <v>147</v>
      </c>
      <c r="K30" s="235" t="str">
        <f ca="1">IF(NOT(ISERROR(MATCH(J30,'Tabla Impacto'!$B$221:$B$223,0))),'Tabla Impacto'!$F$223&amp;"Por favor no seleccionar los criterios de impacto(Afectación Económica o presupuestal y Pérdida Reputacional)",J30)</f>
        <v xml:space="preserve">     Entre 50 y 100 SMLMV </v>
      </c>
      <c r="L30" s="218" t="str">
        <f ca="1">IF(OR(K30='Tabla Impacto'!$C$11,K30='Tabla Impacto'!$D$11),"Leve",IF(OR(K30='Tabla Impacto'!$C$12,K30='Tabla Impacto'!$D$12),"Menor",IF(OR(K30='Tabla Impacto'!$C$13,K30='Tabla Impacto'!$D$13),"Moderado",IF(OR(K30='Tabla Impacto'!$C$14,K30='Tabla Impacto'!$D$14),"Mayor",IF(OR(K30='Tabla Impacto'!$C$15,K30='Tabla Impacto'!$D$15),"Catastrófico","")))))</f>
        <v>Moderado</v>
      </c>
      <c r="M30" s="221">
        <f ca="1">IF(L30="","",IF(L30="Leve",0.2,IF(L30="Menor",0.4,IF(L30="Moderado",0.6,IF(L30="Mayor",0.8,IF(L30="Catastrófico",1,))))))</f>
        <v>0.6</v>
      </c>
      <c r="N30" s="232" t="str">
        <f ca="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Moderado</v>
      </c>
      <c r="O30" s="6">
        <v>1</v>
      </c>
      <c r="P30" s="160" t="s">
        <v>300</v>
      </c>
      <c r="Q30" s="50" t="str">
        <f>IF(OR(R30="Preventivo",R30="Detectivo"),"Probabilidad",IF(R30="Correctivo","Impacto",""))</f>
        <v>Probabilidad</v>
      </c>
      <c r="R30" s="51" t="s">
        <v>14</v>
      </c>
      <c r="S30" s="51" t="s">
        <v>9</v>
      </c>
      <c r="T30" s="52" t="str">
        <f>IF(AND(R30="Preventivo",S30="Automático"),"50%",IF(AND(R30="Preventivo",S30="Manual"),"40%",IF(AND(R30="Detectivo",S30="Automático"),"40%",IF(AND(R30="Detectivo",S30="Manual"),"30%",IF(AND(R30="Correctivo",S30="Automático"),"35%",IF(AND(R30="Correctivo",S30="Manual"),"25%",""))))))</f>
        <v>40%</v>
      </c>
      <c r="U30" s="51" t="s">
        <v>19</v>
      </c>
      <c r="V30" s="51" t="s">
        <v>22</v>
      </c>
      <c r="W30" s="51" t="s">
        <v>119</v>
      </c>
      <c r="X30" s="24">
        <f>IFERROR(IF(Q30="Probabilidad",(I30-(+I30*T30)),IF(Q30="Impacto",I30,"")),"")</f>
        <v>0.24</v>
      </c>
      <c r="Y30" s="53" t="str">
        <f>IFERROR(IF(X30="","",IF(X30&lt;=0.2,"Muy Baja",IF(X30&lt;=0.4,"Baja",IF(X30&lt;=0.6,"Media",IF(X30&lt;=0.8,"Alta","Muy Alta"))))),"")</f>
        <v>Baja</v>
      </c>
      <c r="Z30" s="54">
        <f>+X30</f>
        <v>0.24</v>
      </c>
      <c r="AA30" s="53" t="str">
        <f ca="1">IFERROR(IF(AB30="","",IF(AB30&lt;=0.2,"Leve",IF(AB30&lt;=0.4,"Menor",IF(AB30&lt;=0.6,"Moderado",IF(AB30&lt;=0.8,"Mayor","Catastrófico"))))),"")</f>
        <v>Moderado</v>
      </c>
      <c r="AB30" s="54">
        <f ca="1">IFERROR(IF(Q30="Impacto",(M30-(+M30*T30)),IF(Q30="Probabilidad",M30,"")),"")</f>
        <v>0.6</v>
      </c>
      <c r="AC30" s="55" t="str">
        <f ca="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Moderado</v>
      </c>
      <c r="AD30" s="56" t="s">
        <v>136</v>
      </c>
      <c r="AE30" s="160" t="s">
        <v>239</v>
      </c>
      <c r="AF30" s="165" t="s">
        <v>246</v>
      </c>
      <c r="AG30" s="166">
        <v>46022</v>
      </c>
      <c r="AH30" s="166" t="s">
        <v>280</v>
      </c>
      <c r="AI30" s="160" t="s">
        <v>265</v>
      </c>
      <c r="AJ30" s="167" t="s">
        <v>41</v>
      </c>
      <c r="AK30" s="167"/>
      <c r="AL30" s="167"/>
      <c r="AM30" s="168" t="e">
        <f t="shared" si="5"/>
        <v>#DIV/0!</v>
      </c>
      <c r="AN30" s="167"/>
      <c r="AO30" s="167"/>
      <c r="AP30" s="167"/>
      <c r="AQ30" s="167"/>
      <c r="AR30" s="168" t="e">
        <f t="shared" si="6"/>
        <v>#DIV/0!</v>
      </c>
      <c r="AS30" s="167"/>
      <c r="AT30" s="167"/>
      <c r="AU30" s="8"/>
      <c r="AV30" s="8"/>
      <c r="AW30" s="8"/>
      <c r="AX30" s="8"/>
      <c r="AY30" s="8"/>
      <c r="AZ30" s="8"/>
      <c r="BA30" s="8"/>
      <c r="BB30" s="8"/>
      <c r="BC30" s="8"/>
      <c r="BD30" s="8"/>
      <c r="BE30" s="8"/>
      <c r="BF30" s="8"/>
      <c r="BG30" s="8"/>
      <c r="BH30" s="8"/>
      <c r="BI30" s="8"/>
      <c r="BJ30" s="8"/>
      <c r="BK30" s="8"/>
      <c r="BL30" s="8"/>
      <c r="BM30" s="8"/>
      <c r="BN30" s="8"/>
      <c r="BO30" s="8"/>
      <c r="BP30" s="8"/>
    </row>
    <row r="31" spans="1:68" ht="151.5" hidden="1" customHeight="1" x14ac:dyDescent="0.3">
      <c r="A31" s="239"/>
      <c r="B31" s="242"/>
      <c r="C31" s="214"/>
      <c r="D31" s="214"/>
      <c r="E31" s="245"/>
      <c r="F31" s="214"/>
      <c r="G31" s="216"/>
      <c r="H31" s="219"/>
      <c r="I31" s="222"/>
      <c r="J31" s="227"/>
      <c r="K31" s="236">
        <f t="shared" ref="K31:K35" ca="1" si="25">IF(NOT(ISERROR(MATCH(J31,_xlfn.ANCHORARRAY(E42),0))),I44&amp;"Por favor no seleccionar los criterios de impacto",J31)</f>
        <v>0</v>
      </c>
      <c r="L31" s="219"/>
      <c r="M31" s="222"/>
      <c r="N31" s="233"/>
      <c r="O31" s="6">
        <v>2</v>
      </c>
      <c r="P31" s="163"/>
      <c r="Q31" s="50" t="str">
        <f>IF(OR(R31="Preventivo",R31="Detectivo"),"Probabilidad",IF(R31="Correctivo","Impacto",""))</f>
        <v/>
      </c>
      <c r="R31" s="51"/>
      <c r="S31" s="51"/>
      <c r="T31" s="52" t="str">
        <f t="shared" ref="T31:T35" si="26">IF(AND(R31="Preventivo",S31="Automático"),"50%",IF(AND(R31="Preventivo",S31="Manual"),"40%",IF(AND(R31="Detectivo",S31="Automático"),"40%",IF(AND(R31="Detectivo",S31="Manual"),"30%",IF(AND(R31="Correctivo",S31="Automático"),"35%",IF(AND(R31="Correctivo",S31="Manual"),"25%",""))))))</f>
        <v/>
      </c>
      <c r="U31" s="51"/>
      <c r="V31" s="51"/>
      <c r="W31" s="51"/>
      <c r="X31" s="24" t="str">
        <f>IFERROR(IF(AND(Q30="Probabilidad",Q31="Probabilidad"),(Z30-(+Z30*T31)),IF(Q31="Probabilidad",(I30-(+I30*T31)),IF(Q31="Impacto",Z30,""))),"")</f>
        <v/>
      </c>
      <c r="Y31" s="53" t="str">
        <f t="shared" si="1"/>
        <v/>
      </c>
      <c r="Z31" s="54" t="str">
        <f t="shared" ref="Z31:Z35" si="27">+X31</f>
        <v/>
      </c>
      <c r="AA31" s="53" t="str">
        <f t="shared" si="3"/>
        <v/>
      </c>
      <c r="AB31" s="54" t="str">
        <f>IFERROR(IF(AND(Q30="Impacto",Q31="Impacto"),(AB24-(+AB24*T31)),IF(Q31="Impacto",($M$30-(+$M$30*T31)),IF(Q31="Probabilidad",AB24,""))),"")</f>
        <v/>
      </c>
      <c r="AC31" s="55" t="str">
        <f t="shared" ref="AC31:AC32" si="28">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56"/>
      <c r="AE31" s="160"/>
      <c r="AF31" s="167"/>
      <c r="AG31" s="166">
        <v>46022</v>
      </c>
      <c r="AH31" s="166" t="s">
        <v>280</v>
      </c>
      <c r="AI31" s="160"/>
      <c r="AJ31" s="167"/>
      <c r="AK31" s="167"/>
      <c r="AL31" s="167"/>
      <c r="AM31" s="168" t="e">
        <f t="shared" si="5"/>
        <v>#DIV/0!</v>
      </c>
      <c r="AN31" s="167"/>
      <c r="AO31" s="167"/>
      <c r="AP31" s="167"/>
      <c r="AQ31" s="167"/>
      <c r="AR31" s="168" t="e">
        <f t="shared" si="6"/>
        <v>#DIV/0!</v>
      </c>
      <c r="AS31" s="167"/>
      <c r="AT31" s="167"/>
      <c r="AU31" s="8"/>
      <c r="AV31" s="8"/>
      <c r="AW31" s="8"/>
      <c r="AX31" s="8"/>
      <c r="AY31" s="8"/>
      <c r="AZ31" s="8"/>
      <c r="BA31" s="8"/>
      <c r="BB31" s="8"/>
      <c r="BC31" s="8"/>
      <c r="BD31" s="8"/>
      <c r="BE31" s="8"/>
      <c r="BF31" s="8"/>
      <c r="BG31" s="8"/>
      <c r="BH31" s="8"/>
      <c r="BI31" s="8"/>
      <c r="BJ31" s="8"/>
      <c r="BK31" s="8"/>
      <c r="BL31" s="8"/>
      <c r="BM31" s="8"/>
      <c r="BN31" s="8"/>
      <c r="BO31" s="8"/>
      <c r="BP31" s="8"/>
    </row>
    <row r="32" spans="1:68" ht="151.5" hidden="1" customHeight="1" x14ac:dyDescent="0.3">
      <c r="A32" s="239"/>
      <c r="B32" s="242"/>
      <c r="C32" s="214"/>
      <c r="D32" s="214"/>
      <c r="E32" s="245"/>
      <c r="F32" s="214"/>
      <c r="G32" s="216"/>
      <c r="H32" s="219"/>
      <c r="I32" s="222"/>
      <c r="J32" s="227"/>
      <c r="K32" s="236">
        <f t="shared" ca="1" si="25"/>
        <v>0</v>
      </c>
      <c r="L32" s="219"/>
      <c r="M32" s="222"/>
      <c r="N32" s="233"/>
      <c r="O32" s="6">
        <v>3</v>
      </c>
      <c r="P32" s="162"/>
      <c r="Q32" s="50" t="str">
        <f>IF(OR(R32="Preventivo",R32="Detectivo"),"Probabilidad",IF(R32="Correctivo","Impacto",""))</f>
        <v/>
      </c>
      <c r="R32" s="51"/>
      <c r="S32" s="51"/>
      <c r="T32" s="52" t="str">
        <f t="shared" si="26"/>
        <v/>
      </c>
      <c r="U32" s="51"/>
      <c r="V32" s="51"/>
      <c r="W32" s="51"/>
      <c r="X32" s="24" t="str">
        <f>IFERROR(IF(AND(Q31="Probabilidad",Q32="Probabilidad"),(Z31-(+Z31*T32)),IF(AND(Q31="Impacto",Q32="Probabilidad"),(Z30-(+Z30*T32)),IF(Q32="Impacto",Z31,""))),"")</f>
        <v/>
      </c>
      <c r="Y32" s="53" t="str">
        <f t="shared" si="1"/>
        <v/>
      </c>
      <c r="Z32" s="54" t="str">
        <f t="shared" si="27"/>
        <v/>
      </c>
      <c r="AA32" s="53" t="str">
        <f t="shared" si="3"/>
        <v/>
      </c>
      <c r="AB32" s="54" t="str">
        <f>IFERROR(IF(AND(Q31="Impacto",Q32="Impacto"),(AB31-(+AB31*T32)),IF(AND(Q31="Probabilidad",Q32="Impacto"),(AB30-(+AB30*T32)),IF(Q32="Probabilidad",AB31,""))),"")</f>
        <v/>
      </c>
      <c r="AC32" s="55" t="str">
        <f t="shared" si="28"/>
        <v/>
      </c>
      <c r="AD32" s="56"/>
      <c r="AE32" s="160"/>
      <c r="AF32" s="167"/>
      <c r="AG32" s="166">
        <v>46022</v>
      </c>
      <c r="AH32" s="166" t="s">
        <v>280</v>
      </c>
      <c r="AI32" s="160"/>
      <c r="AJ32" s="167"/>
      <c r="AK32" s="167"/>
      <c r="AL32" s="167"/>
      <c r="AM32" s="168" t="e">
        <f t="shared" si="5"/>
        <v>#DIV/0!</v>
      </c>
      <c r="AN32" s="167"/>
      <c r="AO32" s="167"/>
      <c r="AP32" s="167"/>
      <c r="AQ32" s="167"/>
      <c r="AR32" s="168" t="e">
        <f t="shared" si="6"/>
        <v>#DIV/0!</v>
      </c>
      <c r="AS32" s="167"/>
      <c r="AT32" s="167"/>
      <c r="AU32" s="8"/>
      <c r="AV32" s="8"/>
      <c r="AW32" s="8"/>
      <c r="AX32" s="8"/>
      <c r="AY32" s="8"/>
      <c r="AZ32" s="8"/>
      <c r="BA32" s="8"/>
      <c r="BB32" s="8"/>
      <c r="BC32" s="8"/>
      <c r="BD32" s="8"/>
      <c r="BE32" s="8"/>
      <c r="BF32" s="8"/>
      <c r="BG32" s="8"/>
      <c r="BH32" s="8"/>
      <c r="BI32" s="8"/>
      <c r="BJ32" s="8"/>
      <c r="BK32" s="8"/>
      <c r="BL32" s="8"/>
      <c r="BM32" s="8"/>
      <c r="BN32" s="8"/>
      <c r="BO32" s="8"/>
      <c r="BP32" s="8"/>
    </row>
    <row r="33" spans="1:68" ht="151.5" hidden="1" customHeight="1" x14ac:dyDescent="0.3">
      <c r="A33" s="239"/>
      <c r="B33" s="242"/>
      <c r="C33" s="214"/>
      <c r="D33" s="214"/>
      <c r="E33" s="245"/>
      <c r="F33" s="214"/>
      <c r="G33" s="216"/>
      <c r="H33" s="219"/>
      <c r="I33" s="222"/>
      <c r="J33" s="227"/>
      <c r="K33" s="236">
        <f t="shared" ca="1" si="25"/>
        <v>0</v>
      </c>
      <c r="L33" s="219"/>
      <c r="M33" s="222"/>
      <c r="N33" s="233"/>
      <c r="O33" s="6">
        <v>4</v>
      </c>
      <c r="P33" s="163"/>
      <c r="Q33" s="50" t="str">
        <f t="shared" ref="Q33:Q35" si="29">IF(OR(R33="Preventivo",R33="Detectivo"),"Probabilidad",IF(R33="Correctivo","Impacto",""))</f>
        <v/>
      </c>
      <c r="R33" s="51"/>
      <c r="S33" s="51"/>
      <c r="T33" s="52" t="str">
        <f t="shared" si="26"/>
        <v/>
      </c>
      <c r="U33" s="51"/>
      <c r="V33" s="51"/>
      <c r="W33" s="51"/>
      <c r="X33" s="24" t="str">
        <f t="shared" ref="X33:X35" si="30">IFERROR(IF(AND(Q32="Probabilidad",Q33="Probabilidad"),(Z32-(+Z32*T33)),IF(AND(Q32="Impacto",Q33="Probabilidad"),(Z31-(+Z31*T33)),IF(Q33="Impacto",Z32,""))),"")</f>
        <v/>
      </c>
      <c r="Y33" s="53" t="str">
        <f t="shared" si="1"/>
        <v/>
      </c>
      <c r="Z33" s="54" t="str">
        <f t="shared" si="27"/>
        <v/>
      </c>
      <c r="AA33" s="53" t="str">
        <f t="shared" si="3"/>
        <v/>
      </c>
      <c r="AB33" s="54" t="str">
        <f t="shared" ref="AB33:AB35" si="31">IFERROR(IF(AND(Q32="Impacto",Q33="Impacto"),(AB32-(+AB32*T33)),IF(AND(Q32="Probabilidad",Q33="Impacto"),(AB31-(+AB31*T33)),IF(Q33="Probabilidad",AB32,""))),"")</f>
        <v/>
      </c>
      <c r="AC33" s="55"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56"/>
      <c r="AE33" s="160"/>
      <c r="AF33" s="167"/>
      <c r="AG33" s="166">
        <v>46022</v>
      </c>
      <c r="AH33" s="166" t="s">
        <v>280</v>
      </c>
      <c r="AI33" s="160"/>
      <c r="AJ33" s="167"/>
      <c r="AK33" s="167"/>
      <c r="AL33" s="167"/>
      <c r="AM33" s="168" t="e">
        <f t="shared" si="5"/>
        <v>#DIV/0!</v>
      </c>
      <c r="AN33" s="167"/>
      <c r="AO33" s="167"/>
      <c r="AP33" s="167"/>
      <c r="AQ33" s="167"/>
      <c r="AR33" s="168" t="e">
        <f t="shared" si="6"/>
        <v>#DIV/0!</v>
      </c>
      <c r="AS33" s="167"/>
      <c r="AT33" s="167"/>
      <c r="AU33" s="8"/>
      <c r="AV33" s="8"/>
      <c r="AW33" s="8"/>
      <c r="AX33" s="8"/>
      <c r="AY33" s="8"/>
      <c r="AZ33" s="8"/>
      <c r="BA33" s="8"/>
      <c r="BB33" s="8"/>
      <c r="BC33" s="8"/>
      <c r="BD33" s="8"/>
      <c r="BE33" s="8"/>
      <c r="BF33" s="8"/>
      <c r="BG33" s="8"/>
      <c r="BH33" s="8"/>
      <c r="BI33" s="8"/>
      <c r="BJ33" s="8"/>
      <c r="BK33" s="8"/>
      <c r="BL33" s="8"/>
      <c r="BM33" s="8"/>
      <c r="BN33" s="8"/>
      <c r="BO33" s="8"/>
      <c r="BP33" s="8"/>
    </row>
    <row r="34" spans="1:68" ht="151.5" hidden="1" customHeight="1" x14ac:dyDescent="0.3">
      <c r="A34" s="239"/>
      <c r="B34" s="242"/>
      <c r="C34" s="214"/>
      <c r="D34" s="214"/>
      <c r="E34" s="245"/>
      <c r="F34" s="214"/>
      <c r="G34" s="216"/>
      <c r="H34" s="219"/>
      <c r="I34" s="222"/>
      <c r="J34" s="227"/>
      <c r="K34" s="236">
        <f t="shared" ca="1" si="25"/>
        <v>0</v>
      </c>
      <c r="L34" s="219"/>
      <c r="M34" s="222"/>
      <c r="N34" s="233"/>
      <c r="O34" s="6">
        <v>5</v>
      </c>
      <c r="P34" s="163"/>
      <c r="Q34" s="50" t="str">
        <f t="shared" si="29"/>
        <v/>
      </c>
      <c r="R34" s="51"/>
      <c r="S34" s="51"/>
      <c r="T34" s="52" t="str">
        <f t="shared" si="26"/>
        <v/>
      </c>
      <c r="U34" s="51"/>
      <c r="V34" s="51"/>
      <c r="W34" s="51"/>
      <c r="X34" s="31" t="str">
        <f t="shared" si="30"/>
        <v/>
      </c>
      <c r="Y34" s="53" t="str">
        <f>IFERROR(IF(X34="","",IF(X34&lt;=0.2,"Muy Baja",IF(X34&lt;=0.4,"Baja",IF(X34&lt;=0.6,"Media",IF(X34&lt;=0.8,"Alta","Muy Alta"))))),"")</f>
        <v/>
      </c>
      <c r="Z34" s="54" t="str">
        <f t="shared" si="27"/>
        <v/>
      </c>
      <c r="AA34" s="53" t="str">
        <f t="shared" si="3"/>
        <v/>
      </c>
      <c r="AB34" s="54" t="str">
        <f t="shared" si="31"/>
        <v/>
      </c>
      <c r="AC34" s="55" t="str">
        <f t="shared" ref="AC34:AC35" si="32">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56"/>
      <c r="AE34" s="160"/>
      <c r="AF34" s="167"/>
      <c r="AG34" s="166">
        <v>46022</v>
      </c>
      <c r="AH34" s="166" t="s">
        <v>280</v>
      </c>
      <c r="AI34" s="160"/>
      <c r="AJ34" s="167"/>
      <c r="AK34" s="167"/>
      <c r="AL34" s="167"/>
      <c r="AM34" s="168" t="e">
        <f t="shared" si="5"/>
        <v>#DIV/0!</v>
      </c>
      <c r="AN34" s="167"/>
      <c r="AO34" s="167"/>
      <c r="AP34" s="167"/>
      <c r="AQ34" s="167"/>
      <c r="AR34" s="168" t="e">
        <f t="shared" si="6"/>
        <v>#DIV/0!</v>
      </c>
      <c r="AS34" s="167"/>
      <c r="AT34" s="167"/>
      <c r="AU34" s="8"/>
      <c r="AV34" s="8"/>
      <c r="AW34" s="8"/>
      <c r="AX34" s="8"/>
      <c r="AY34" s="8"/>
      <c r="AZ34" s="8"/>
      <c r="BA34" s="8"/>
      <c r="BB34" s="8"/>
      <c r="BC34" s="8"/>
      <c r="BD34" s="8"/>
      <c r="BE34" s="8"/>
      <c r="BF34" s="8"/>
      <c r="BG34" s="8"/>
      <c r="BH34" s="8"/>
      <c r="BI34" s="8"/>
      <c r="BJ34" s="8"/>
      <c r="BK34" s="8"/>
      <c r="BL34" s="8"/>
      <c r="BM34" s="8"/>
      <c r="BN34" s="8"/>
      <c r="BO34" s="8"/>
      <c r="BP34" s="8"/>
    </row>
    <row r="35" spans="1:68" ht="151.5" hidden="1" customHeight="1" x14ac:dyDescent="0.3">
      <c r="A35" s="240"/>
      <c r="B35" s="243"/>
      <c r="C35" s="215"/>
      <c r="D35" s="215"/>
      <c r="E35" s="246"/>
      <c r="F35" s="215"/>
      <c r="G35" s="217"/>
      <c r="H35" s="220"/>
      <c r="I35" s="223"/>
      <c r="J35" s="228"/>
      <c r="K35" s="237">
        <f t="shared" ca="1" si="25"/>
        <v>0</v>
      </c>
      <c r="L35" s="220"/>
      <c r="M35" s="223"/>
      <c r="N35" s="234"/>
      <c r="O35" s="6">
        <v>6</v>
      </c>
      <c r="P35" s="163"/>
      <c r="Q35" s="50" t="str">
        <f t="shared" si="29"/>
        <v/>
      </c>
      <c r="R35" s="51"/>
      <c r="S35" s="51"/>
      <c r="T35" s="52" t="str">
        <f t="shared" si="26"/>
        <v/>
      </c>
      <c r="U35" s="51"/>
      <c r="V35" s="51"/>
      <c r="W35" s="51"/>
      <c r="X35" s="24" t="str">
        <f t="shared" si="30"/>
        <v/>
      </c>
      <c r="Y35" s="53" t="str">
        <f t="shared" si="1"/>
        <v/>
      </c>
      <c r="Z35" s="54" t="str">
        <f t="shared" si="27"/>
        <v/>
      </c>
      <c r="AA35" s="53" t="str">
        <f t="shared" si="3"/>
        <v/>
      </c>
      <c r="AB35" s="54" t="str">
        <f t="shared" si="31"/>
        <v/>
      </c>
      <c r="AC35" s="55" t="str">
        <f t="shared" si="32"/>
        <v/>
      </c>
      <c r="AD35" s="56"/>
      <c r="AE35" s="160"/>
      <c r="AF35" s="167"/>
      <c r="AG35" s="166">
        <v>46022</v>
      </c>
      <c r="AH35" s="166" t="s">
        <v>280</v>
      </c>
      <c r="AI35" s="160"/>
      <c r="AJ35" s="167"/>
      <c r="AK35" s="167"/>
      <c r="AL35" s="167"/>
      <c r="AM35" s="168" t="e">
        <f t="shared" si="5"/>
        <v>#DIV/0!</v>
      </c>
      <c r="AN35" s="167"/>
      <c r="AO35" s="167"/>
      <c r="AP35" s="167"/>
      <c r="AQ35" s="167"/>
      <c r="AR35" s="168" t="e">
        <f t="shared" si="6"/>
        <v>#DIV/0!</v>
      </c>
      <c r="AS35" s="167"/>
      <c r="AT35" s="167"/>
      <c r="AU35" s="8"/>
      <c r="AV35" s="8"/>
      <c r="AW35" s="8"/>
      <c r="AX35" s="8"/>
      <c r="AY35" s="8"/>
      <c r="AZ35" s="8"/>
      <c r="BA35" s="8"/>
      <c r="BB35" s="8"/>
      <c r="BC35" s="8"/>
      <c r="BD35" s="8"/>
      <c r="BE35" s="8"/>
      <c r="BF35" s="8"/>
      <c r="BG35" s="8"/>
      <c r="BH35" s="8"/>
      <c r="BI35" s="8"/>
      <c r="BJ35" s="8"/>
      <c r="BK35" s="8"/>
      <c r="BL35" s="8"/>
      <c r="BM35" s="8"/>
      <c r="BN35" s="8"/>
      <c r="BO35" s="8"/>
      <c r="BP35" s="8"/>
    </row>
    <row r="36" spans="1:68" ht="227.25" hidden="1" customHeight="1" x14ac:dyDescent="0.3">
      <c r="A36" s="238"/>
      <c r="B36" s="241"/>
      <c r="C36" s="213"/>
      <c r="D36" s="213"/>
      <c r="E36" s="244"/>
      <c r="F36" s="213"/>
      <c r="G36" s="250"/>
      <c r="H36" s="218" t="str">
        <f>IF(G36&lt;=0,"",IF(G36&lt;=2,"Muy Baja",IF(G36&lt;=24,"Baja",IF(G36&lt;=500,"Media",IF(G36&lt;=5000,"Alta","Muy Alta")))))</f>
        <v/>
      </c>
      <c r="I36" s="221" t="str">
        <f>IF(H36="","",IF(H36="Muy Baja",0.2,IF(H36="Baja",0.4,IF(H36="Media",0.6,IF(H36="Alta",0.8,IF(H36="Muy Alta",1,))))))</f>
        <v/>
      </c>
      <c r="J36" s="226"/>
      <c r="K36" s="235">
        <f ca="1">IF(NOT(ISERROR(MATCH(J36,'Tabla Impacto'!$B$221:$B$223,0))),'Tabla Impacto'!$F$223&amp;"Por favor no seleccionar los criterios de impacto(Afectación Económica o presupuestal y Pérdida Reputacional)",J36)</f>
        <v>0</v>
      </c>
      <c r="L36" s="218" t="str">
        <f ca="1">IF(OR(K36='Tabla Impacto'!$C$11,K36='Tabla Impacto'!$D$11),"Leve",IF(OR(K36='Tabla Impacto'!$C$12,K36='Tabla Impacto'!$D$12),"Menor",IF(OR(K36='Tabla Impacto'!$C$13,K36='Tabla Impacto'!$D$13),"Moderado",IF(OR(K36='Tabla Impacto'!$C$14,K36='Tabla Impacto'!$D$14),"Mayor",IF(OR(K36='Tabla Impacto'!$C$15,K36='Tabla Impacto'!$D$15),"Catastrófico","")))))</f>
        <v/>
      </c>
      <c r="M36" s="221" t="str">
        <f ca="1">IF(L36="","",IF(L36="Leve",0.2,IF(L36="Menor",0.4,IF(L36="Moderado",0.6,IF(L36="Mayor",0.8,IF(L36="Catastrófico",1,))))))</f>
        <v/>
      </c>
      <c r="N36" s="232" t="str">
        <f ca="1">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6"/>
      <c r="P36" s="160"/>
      <c r="Q36" s="50"/>
      <c r="R36" s="51"/>
      <c r="S36" s="51"/>
      <c r="T36" s="52"/>
      <c r="U36" s="51"/>
      <c r="V36" s="51"/>
      <c r="W36" s="51"/>
      <c r="X36" s="24"/>
      <c r="Y36" s="53"/>
      <c r="Z36" s="54"/>
      <c r="AA36" s="53"/>
      <c r="AB36" s="54"/>
      <c r="AC36" s="55"/>
      <c r="AD36" s="56"/>
      <c r="AE36" s="160"/>
      <c r="AF36" s="167"/>
      <c r="AG36" s="166">
        <v>46022</v>
      </c>
      <c r="AH36" s="166" t="s">
        <v>280</v>
      </c>
      <c r="AI36" s="160"/>
      <c r="AJ36" s="167"/>
      <c r="AK36" s="167"/>
      <c r="AL36" s="167"/>
      <c r="AM36" s="168" t="e">
        <f t="shared" si="5"/>
        <v>#DIV/0!</v>
      </c>
      <c r="AN36" s="167"/>
      <c r="AO36" s="167"/>
      <c r="AP36" s="167"/>
      <c r="AQ36" s="167"/>
      <c r="AR36" s="168" t="e">
        <f t="shared" si="6"/>
        <v>#DIV/0!</v>
      </c>
      <c r="AS36" s="167"/>
      <c r="AT36" s="167"/>
      <c r="AU36" s="8"/>
      <c r="AV36" s="8"/>
      <c r="AW36" s="8"/>
      <c r="AX36" s="8"/>
      <c r="AY36" s="8"/>
      <c r="AZ36" s="8"/>
      <c r="BA36" s="8"/>
      <c r="BB36" s="8"/>
      <c r="BC36" s="8"/>
      <c r="BD36" s="8"/>
      <c r="BE36" s="8"/>
      <c r="BF36" s="8"/>
      <c r="BG36" s="8"/>
      <c r="BH36" s="8"/>
      <c r="BI36" s="8"/>
      <c r="BJ36" s="8"/>
      <c r="BK36" s="8"/>
      <c r="BL36" s="8"/>
      <c r="BM36" s="8"/>
      <c r="BN36" s="8"/>
      <c r="BO36" s="8"/>
      <c r="BP36" s="8"/>
    </row>
    <row r="37" spans="1:68" ht="151.5" hidden="1" customHeight="1" x14ac:dyDescent="0.3">
      <c r="A37" s="239"/>
      <c r="B37" s="242"/>
      <c r="C37" s="214"/>
      <c r="D37" s="214"/>
      <c r="E37" s="245"/>
      <c r="F37" s="214"/>
      <c r="G37" s="216"/>
      <c r="H37" s="219"/>
      <c r="I37" s="222"/>
      <c r="J37" s="227"/>
      <c r="K37" s="236">
        <f t="shared" ref="K37:K41" ca="1" si="33">IF(NOT(ISERROR(MATCH(J37,_xlfn.ANCHORARRAY(E48),0))),I50&amp;"Por favor no seleccionar los criterios de impacto",J37)</f>
        <v>0</v>
      </c>
      <c r="L37" s="219"/>
      <c r="M37" s="222"/>
      <c r="N37" s="233"/>
      <c r="O37" s="6">
        <v>2</v>
      </c>
      <c r="P37" s="163"/>
      <c r="Q37" s="50" t="str">
        <f>IF(OR(R37="Preventivo",R37="Detectivo"),"Probabilidad",IF(R37="Correctivo","Impacto",""))</f>
        <v/>
      </c>
      <c r="R37" s="51"/>
      <c r="S37" s="51"/>
      <c r="T37" s="52" t="str">
        <f t="shared" ref="T37:T41" si="34">IF(AND(R37="Preventivo",S37="Automático"),"50%",IF(AND(R37="Preventivo",S37="Manual"),"40%",IF(AND(R37="Detectivo",S37="Automático"),"40%",IF(AND(R37="Detectivo",S37="Manual"),"30%",IF(AND(R37="Correctivo",S37="Automático"),"35%",IF(AND(R37="Correctivo",S37="Manual"),"25%",""))))))</f>
        <v/>
      </c>
      <c r="U37" s="51"/>
      <c r="V37" s="51"/>
      <c r="W37" s="51"/>
      <c r="X37" s="24" t="str">
        <f>IFERROR(IF(AND(Q36="Probabilidad",Q37="Probabilidad"),(Z36-(+Z36*T37)),IF(Q37="Probabilidad",(I36-(+I36*T37)),IF(Q37="Impacto",Z36,""))),"")</f>
        <v/>
      </c>
      <c r="Y37" s="53" t="str">
        <f t="shared" si="1"/>
        <v/>
      </c>
      <c r="Z37" s="54" t="str">
        <f t="shared" ref="Z37:Z41" si="35">+X37</f>
        <v/>
      </c>
      <c r="AA37" s="53" t="str">
        <f t="shared" si="3"/>
        <v/>
      </c>
      <c r="AB37" s="54" t="str">
        <f>IFERROR(IF(AND(Q36="Impacto",Q37="Impacto"),(AB30-(+AB30*T37)),IF(Q37="Impacto",($M$36-(+$M$36*T37)),IF(Q37="Probabilidad",AB30,""))),"")</f>
        <v/>
      </c>
      <c r="AC37" s="55" t="str">
        <f t="shared" ref="AC37:AC38" si="36">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56"/>
      <c r="AE37" s="160"/>
      <c r="AF37" s="167"/>
      <c r="AG37" s="166">
        <v>46022</v>
      </c>
      <c r="AH37" s="166" t="s">
        <v>280</v>
      </c>
      <c r="AI37" s="160"/>
      <c r="AJ37" s="167"/>
      <c r="AK37" s="167"/>
      <c r="AL37" s="167"/>
      <c r="AM37" s="168" t="e">
        <f t="shared" si="5"/>
        <v>#DIV/0!</v>
      </c>
      <c r="AN37" s="167"/>
      <c r="AO37" s="167"/>
      <c r="AP37" s="167"/>
      <c r="AQ37" s="167"/>
      <c r="AR37" s="168" t="e">
        <f t="shared" si="6"/>
        <v>#DIV/0!</v>
      </c>
      <c r="AS37" s="167"/>
      <c r="AT37" s="167"/>
      <c r="AU37" s="8"/>
      <c r="AV37" s="8"/>
      <c r="AW37" s="8"/>
      <c r="AX37" s="8"/>
      <c r="AY37" s="8"/>
      <c r="AZ37" s="8"/>
      <c r="BA37" s="8"/>
      <c r="BB37" s="8"/>
      <c r="BC37" s="8"/>
      <c r="BD37" s="8"/>
      <c r="BE37" s="8"/>
      <c r="BF37" s="8"/>
      <c r="BG37" s="8"/>
      <c r="BH37" s="8"/>
      <c r="BI37" s="8"/>
      <c r="BJ37" s="8"/>
      <c r="BK37" s="8"/>
      <c r="BL37" s="8"/>
      <c r="BM37" s="8"/>
      <c r="BN37" s="8"/>
      <c r="BO37" s="8"/>
      <c r="BP37" s="8"/>
    </row>
    <row r="38" spans="1:68" ht="151.5" hidden="1" customHeight="1" x14ac:dyDescent="0.3">
      <c r="A38" s="239"/>
      <c r="B38" s="242"/>
      <c r="C38" s="214"/>
      <c r="D38" s="214"/>
      <c r="E38" s="245"/>
      <c r="F38" s="214"/>
      <c r="G38" s="216"/>
      <c r="H38" s="219"/>
      <c r="I38" s="222"/>
      <c r="J38" s="227"/>
      <c r="K38" s="236">
        <f t="shared" ca="1" si="33"/>
        <v>0</v>
      </c>
      <c r="L38" s="219"/>
      <c r="M38" s="222"/>
      <c r="N38" s="233"/>
      <c r="O38" s="6">
        <v>3</v>
      </c>
      <c r="P38" s="162"/>
      <c r="Q38" s="50" t="str">
        <f>IF(OR(R38="Preventivo",R38="Detectivo"),"Probabilidad",IF(R38="Correctivo","Impacto",""))</f>
        <v/>
      </c>
      <c r="R38" s="51"/>
      <c r="S38" s="51"/>
      <c r="T38" s="52" t="str">
        <f t="shared" si="34"/>
        <v/>
      </c>
      <c r="U38" s="51"/>
      <c r="V38" s="51"/>
      <c r="W38" s="51"/>
      <c r="X38" s="24" t="str">
        <f>IFERROR(IF(AND(Q37="Probabilidad",Q38="Probabilidad"),(Z37-(+Z37*T38)),IF(AND(Q37="Impacto",Q38="Probabilidad"),(Z36-(+Z36*T38)),IF(Q38="Impacto",Z37,""))),"")</f>
        <v/>
      </c>
      <c r="Y38" s="53" t="str">
        <f t="shared" si="1"/>
        <v/>
      </c>
      <c r="Z38" s="54" t="str">
        <f t="shared" si="35"/>
        <v/>
      </c>
      <c r="AA38" s="53" t="str">
        <f t="shared" si="3"/>
        <v/>
      </c>
      <c r="AB38" s="54" t="str">
        <f>IFERROR(IF(AND(Q37="Impacto",Q38="Impacto"),(AB37-(+AB37*T38)),IF(AND(Q37="Probabilidad",Q38="Impacto"),(AB36-(+AB36*T38)),IF(Q38="Probabilidad",AB37,""))),"")</f>
        <v/>
      </c>
      <c r="AC38" s="55" t="str">
        <f t="shared" si="36"/>
        <v/>
      </c>
      <c r="AD38" s="56"/>
      <c r="AE38" s="160"/>
      <c r="AF38" s="167"/>
      <c r="AG38" s="166">
        <v>46022</v>
      </c>
      <c r="AH38" s="166" t="s">
        <v>280</v>
      </c>
      <c r="AI38" s="160"/>
      <c r="AJ38" s="167"/>
      <c r="AK38" s="167"/>
      <c r="AL38" s="167"/>
      <c r="AM38" s="168" t="e">
        <f t="shared" si="5"/>
        <v>#DIV/0!</v>
      </c>
      <c r="AN38" s="167"/>
      <c r="AO38" s="167"/>
      <c r="AP38" s="167"/>
      <c r="AQ38" s="167"/>
      <c r="AR38" s="168" t="e">
        <f t="shared" si="6"/>
        <v>#DIV/0!</v>
      </c>
      <c r="AS38" s="167"/>
      <c r="AT38" s="167"/>
      <c r="AU38" s="8"/>
      <c r="AV38" s="8"/>
      <c r="AW38" s="8"/>
      <c r="AX38" s="8"/>
      <c r="AY38" s="8"/>
      <c r="AZ38" s="8"/>
      <c r="BA38" s="8"/>
      <c r="BB38" s="8"/>
      <c r="BC38" s="8"/>
      <c r="BD38" s="8"/>
      <c r="BE38" s="8"/>
      <c r="BF38" s="8"/>
      <c r="BG38" s="8"/>
      <c r="BH38" s="8"/>
      <c r="BI38" s="8"/>
      <c r="BJ38" s="8"/>
      <c r="BK38" s="8"/>
      <c r="BL38" s="8"/>
      <c r="BM38" s="8"/>
      <c r="BN38" s="8"/>
      <c r="BO38" s="8"/>
      <c r="BP38" s="8"/>
    </row>
    <row r="39" spans="1:68" ht="151.5" hidden="1" customHeight="1" x14ac:dyDescent="0.3">
      <c r="A39" s="239"/>
      <c r="B39" s="242"/>
      <c r="C39" s="214"/>
      <c r="D39" s="214"/>
      <c r="E39" s="245"/>
      <c r="F39" s="214"/>
      <c r="G39" s="216"/>
      <c r="H39" s="219"/>
      <c r="I39" s="222"/>
      <c r="J39" s="227"/>
      <c r="K39" s="236">
        <f t="shared" ca="1" si="33"/>
        <v>0</v>
      </c>
      <c r="L39" s="219"/>
      <c r="M39" s="222"/>
      <c r="N39" s="233"/>
      <c r="O39" s="6">
        <v>4</v>
      </c>
      <c r="P39" s="163"/>
      <c r="Q39" s="50" t="str">
        <f t="shared" ref="Q39:Q41" si="37">IF(OR(R39="Preventivo",R39="Detectivo"),"Probabilidad",IF(R39="Correctivo","Impacto",""))</f>
        <v/>
      </c>
      <c r="R39" s="51"/>
      <c r="S39" s="51"/>
      <c r="T39" s="52" t="str">
        <f t="shared" si="34"/>
        <v/>
      </c>
      <c r="U39" s="51"/>
      <c r="V39" s="51"/>
      <c r="W39" s="51"/>
      <c r="X39" s="24" t="str">
        <f t="shared" ref="X39:X41" si="38">IFERROR(IF(AND(Q38="Probabilidad",Q39="Probabilidad"),(Z38-(+Z38*T39)),IF(AND(Q38="Impacto",Q39="Probabilidad"),(Z37-(+Z37*T39)),IF(Q39="Impacto",Z38,""))),"")</f>
        <v/>
      </c>
      <c r="Y39" s="53" t="str">
        <f t="shared" si="1"/>
        <v/>
      </c>
      <c r="Z39" s="54" t="str">
        <f t="shared" si="35"/>
        <v/>
      </c>
      <c r="AA39" s="53" t="str">
        <f t="shared" si="3"/>
        <v/>
      </c>
      <c r="AB39" s="54" t="str">
        <f t="shared" ref="AB39:AB41" si="39">IFERROR(IF(AND(Q38="Impacto",Q39="Impacto"),(AB38-(+AB38*T39)),IF(AND(Q38="Probabilidad",Q39="Impacto"),(AB37-(+AB37*T39)),IF(Q39="Probabilidad",AB38,""))),"")</f>
        <v/>
      </c>
      <c r="AC39" s="55"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56"/>
      <c r="AE39" s="160"/>
      <c r="AF39" s="167"/>
      <c r="AG39" s="166">
        <v>46022</v>
      </c>
      <c r="AH39" s="166" t="s">
        <v>280</v>
      </c>
      <c r="AI39" s="160"/>
      <c r="AJ39" s="167"/>
      <c r="AK39" s="167"/>
      <c r="AL39" s="167"/>
      <c r="AM39" s="168" t="e">
        <f t="shared" si="5"/>
        <v>#DIV/0!</v>
      </c>
      <c r="AN39" s="167"/>
      <c r="AO39" s="167"/>
      <c r="AP39" s="167"/>
      <c r="AQ39" s="167"/>
      <c r="AR39" s="168" t="e">
        <f t="shared" si="6"/>
        <v>#DIV/0!</v>
      </c>
      <c r="AS39" s="167"/>
      <c r="AT39" s="167"/>
      <c r="AU39" s="8"/>
      <c r="AV39" s="8"/>
      <c r="AW39" s="8"/>
      <c r="AX39" s="8"/>
      <c r="AY39" s="8"/>
      <c r="AZ39" s="8"/>
      <c r="BA39" s="8"/>
      <c r="BB39" s="8"/>
      <c r="BC39" s="8"/>
      <c r="BD39" s="8"/>
      <c r="BE39" s="8"/>
      <c r="BF39" s="8"/>
      <c r="BG39" s="8"/>
      <c r="BH39" s="8"/>
      <c r="BI39" s="8"/>
      <c r="BJ39" s="8"/>
      <c r="BK39" s="8"/>
      <c r="BL39" s="8"/>
      <c r="BM39" s="8"/>
      <c r="BN39" s="8"/>
      <c r="BO39" s="8"/>
      <c r="BP39" s="8"/>
    </row>
    <row r="40" spans="1:68" ht="151.5" hidden="1" customHeight="1" x14ac:dyDescent="0.3">
      <c r="A40" s="239"/>
      <c r="B40" s="242"/>
      <c r="C40" s="214"/>
      <c r="D40" s="214"/>
      <c r="E40" s="245"/>
      <c r="F40" s="214"/>
      <c r="G40" s="216"/>
      <c r="H40" s="219"/>
      <c r="I40" s="222"/>
      <c r="J40" s="227"/>
      <c r="K40" s="236">
        <f t="shared" ca="1" si="33"/>
        <v>0</v>
      </c>
      <c r="L40" s="219"/>
      <c r="M40" s="222"/>
      <c r="N40" s="233"/>
      <c r="O40" s="6">
        <v>5</v>
      </c>
      <c r="P40" s="163"/>
      <c r="Q40" s="50" t="str">
        <f t="shared" si="37"/>
        <v/>
      </c>
      <c r="R40" s="51"/>
      <c r="S40" s="51"/>
      <c r="T40" s="52" t="str">
        <f t="shared" si="34"/>
        <v/>
      </c>
      <c r="U40" s="51"/>
      <c r="V40" s="51"/>
      <c r="W40" s="51"/>
      <c r="X40" s="24" t="str">
        <f t="shared" si="38"/>
        <v/>
      </c>
      <c r="Y40" s="53" t="str">
        <f t="shared" si="1"/>
        <v/>
      </c>
      <c r="Z40" s="54" t="str">
        <f t="shared" si="35"/>
        <v/>
      </c>
      <c r="AA40" s="53" t="str">
        <f t="shared" si="3"/>
        <v/>
      </c>
      <c r="AB40" s="54" t="str">
        <f t="shared" si="39"/>
        <v/>
      </c>
      <c r="AC40" s="55" t="str">
        <f t="shared" ref="AC40:AC41" si="40">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56"/>
      <c r="AE40" s="160"/>
      <c r="AF40" s="167"/>
      <c r="AG40" s="166">
        <v>46022</v>
      </c>
      <c r="AH40" s="166" t="s">
        <v>280</v>
      </c>
      <c r="AI40" s="160"/>
      <c r="AJ40" s="167"/>
      <c r="AK40" s="167"/>
      <c r="AL40" s="167"/>
      <c r="AM40" s="168" t="e">
        <f t="shared" si="5"/>
        <v>#DIV/0!</v>
      </c>
      <c r="AN40" s="167"/>
      <c r="AO40" s="167"/>
      <c r="AP40" s="167"/>
      <c r="AQ40" s="167"/>
      <c r="AR40" s="168" t="e">
        <f t="shared" si="6"/>
        <v>#DIV/0!</v>
      </c>
      <c r="AS40" s="167"/>
      <c r="AT40" s="167"/>
      <c r="AU40" s="8"/>
      <c r="AV40" s="8"/>
      <c r="AW40" s="8"/>
      <c r="AX40" s="8"/>
      <c r="AY40" s="8"/>
      <c r="AZ40" s="8"/>
      <c r="BA40" s="8"/>
      <c r="BB40" s="8"/>
      <c r="BC40" s="8"/>
      <c r="BD40" s="8"/>
      <c r="BE40" s="8"/>
      <c r="BF40" s="8"/>
      <c r="BG40" s="8"/>
      <c r="BH40" s="8"/>
      <c r="BI40" s="8"/>
      <c r="BJ40" s="8"/>
      <c r="BK40" s="8"/>
      <c r="BL40" s="8"/>
      <c r="BM40" s="8"/>
      <c r="BN40" s="8"/>
      <c r="BO40" s="8"/>
      <c r="BP40" s="8"/>
    </row>
    <row r="41" spans="1:68" ht="151.5" hidden="1" customHeight="1" x14ac:dyDescent="0.3">
      <c r="A41" s="240"/>
      <c r="B41" s="243"/>
      <c r="C41" s="215"/>
      <c r="D41" s="215"/>
      <c r="E41" s="246"/>
      <c r="F41" s="215"/>
      <c r="G41" s="217"/>
      <c r="H41" s="220"/>
      <c r="I41" s="223"/>
      <c r="J41" s="228"/>
      <c r="K41" s="237">
        <f t="shared" ca="1" si="33"/>
        <v>0</v>
      </c>
      <c r="L41" s="220"/>
      <c r="M41" s="223"/>
      <c r="N41" s="234"/>
      <c r="O41" s="6">
        <v>6</v>
      </c>
      <c r="P41" s="163"/>
      <c r="Q41" s="50" t="str">
        <f t="shared" si="37"/>
        <v/>
      </c>
      <c r="R41" s="51"/>
      <c r="S41" s="51"/>
      <c r="T41" s="52" t="str">
        <f t="shared" si="34"/>
        <v/>
      </c>
      <c r="U41" s="51"/>
      <c r="V41" s="51"/>
      <c r="W41" s="51"/>
      <c r="X41" s="24" t="str">
        <f t="shared" si="38"/>
        <v/>
      </c>
      <c r="Y41" s="53" t="str">
        <f t="shared" si="1"/>
        <v/>
      </c>
      <c r="Z41" s="54" t="str">
        <f t="shared" si="35"/>
        <v/>
      </c>
      <c r="AA41" s="53" t="str">
        <f t="shared" si="3"/>
        <v/>
      </c>
      <c r="AB41" s="54" t="str">
        <f t="shared" si="39"/>
        <v/>
      </c>
      <c r="AC41" s="55" t="str">
        <f t="shared" si="40"/>
        <v/>
      </c>
      <c r="AD41" s="56"/>
      <c r="AE41" s="160"/>
      <c r="AF41" s="167"/>
      <c r="AG41" s="166">
        <v>46022</v>
      </c>
      <c r="AH41" s="166" t="s">
        <v>280</v>
      </c>
      <c r="AI41" s="160"/>
      <c r="AJ41" s="167"/>
      <c r="AK41" s="167"/>
      <c r="AL41" s="167"/>
      <c r="AM41" s="168" t="e">
        <f t="shared" si="5"/>
        <v>#DIV/0!</v>
      </c>
      <c r="AN41" s="167"/>
      <c r="AO41" s="167"/>
      <c r="AP41" s="167"/>
      <c r="AQ41" s="167"/>
      <c r="AR41" s="168" t="e">
        <f t="shared" si="6"/>
        <v>#DIV/0!</v>
      </c>
      <c r="AS41" s="167"/>
      <c r="AT41" s="167"/>
      <c r="AU41" s="8"/>
      <c r="AV41" s="8"/>
      <c r="AW41" s="8"/>
      <c r="AX41" s="8"/>
      <c r="AY41" s="8"/>
      <c r="AZ41" s="8"/>
      <c r="BA41" s="8"/>
      <c r="BB41" s="8"/>
      <c r="BC41" s="8"/>
      <c r="BD41" s="8"/>
      <c r="BE41" s="8"/>
      <c r="BF41" s="8"/>
      <c r="BG41" s="8"/>
      <c r="BH41" s="8"/>
      <c r="BI41" s="8"/>
      <c r="BJ41" s="8"/>
      <c r="BK41" s="8"/>
      <c r="BL41" s="8"/>
      <c r="BM41" s="8"/>
      <c r="BN41" s="8"/>
      <c r="BO41" s="8"/>
      <c r="BP41" s="8"/>
    </row>
    <row r="42" spans="1:68" ht="353.25" customHeight="1" x14ac:dyDescent="0.3">
      <c r="A42" s="238">
        <v>5</v>
      </c>
      <c r="B42" s="241" t="s">
        <v>132</v>
      </c>
      <c r="C42" s="213" t="s">
        <v>222</v>
      </c>
      <c r="D42" s="213" t="s">
        <v>227</v>
      </c>
      <c r="E42" s="244" t="s">
        <v>237</v>
      </c>
      <c r="F42" s="213" t="s">
        <v>128</v>
      </c>
      <c r="G42" s="250">
        <v>2</v>
      </c>
      <c r="H42" s="218" t="str">
        <f>IF(G42&lt;=0,"",IF(G42&lt;=2,"Muy Baja",IF(G42&lt;=24,"Baja",IF(G42&lt;=500,"Media",IF(G42&lt;=5000,"Alta","Muy Alta")))))</f>
        <v>Muy Baja</v>
      </c>
      <c r="I42" s="221">
        <f>IF(H42="","",IF(H42="Muy Baja",0.2,IF(H42="Baja",0.4,IF(H42="Media",0.6,IF(H42="Alta",0.8,IF(H42="Muy Alta",1,))))))</f>
        <v>0.2</v>
      </c>
      <c r="J42" s="226" t="s">
        <v>153</v>
      </c>
      <c r="K42" s="235" t="str">
        <f ca="1">IF(NOT(ISERROR(MATCH(J42,'Tabla Impacto'!$B$221:$B$223,0))),'Tabla Impacto'!$F$223&amp;"Por favor no seleccionar los criterios de impacto(Afectación Económica o presupuestal y Pérdida Reputacional)",J42)</f>
        <v xml:space="preserve">     El riesgo afecta la imagen de la entidad con algunos usuarios de relevancia frente al logro de los objetivos</v>
      </c>
      <c r="L42" s="218" t="str">
        <f ca="1">IF(OR(K42='Tabla Impacto'!$C$11,K42='Tabla Impacto'!$D$11),"Leve",IF(OR(K42='Tabla Impacto'!$C$12,K42='Tabla Impacto'!$D$12),"Menor",IF(OR(K42='Tabla Impacto'!$C$13,K42='Tabla Impacto'!$D$13),"Moderado",IF(OR(K42='Tabla Impacto'!$C$14,K42='Tabla Impacto'!$D$14),"Mayor",IF(OR(K42='Tabla Impacto'!$C$15,K42='Tabla Impacto'!$D$15),"Catastrófico","")))))</f>
        <v>Moderado</v>
      </c>
      <c r="M42" s="221">
        <f ca="1">IF(L42="","",IF(L42="Leve",0.2,IF(L42="Menor",0.4,IF(L42="Moderado",0.6,IF(L42="Mayor",0.8,IF(L42="Catastrófico",1,))))))</f>
        <v>0.6</v>
      </c>
      <c r="N42" s="232" t="str">
        <f ca="1">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Moderado</v>
      </c>
      <c r="O42" s="6">
        <v>1</v>
      </c>
      <c r="P42" s="160" t="s">
        <v>301</v>
      </c>
      <c r="Q42" s="50" t="str">
        <f>IF(OR(R42="Preventivo",R42="Detectivo"),"Probabilidad",IF(R42="Correctivo","Impacto",""))</f>
        <v>Probabilidad</v>
      </c>
      <c r="R42" s="51" t="s">
        <v>14</v>
      </c>
      <c r="S42" s="51" t="s">
        <v>9</v>
      </c>
      <c r="T42" s="52" t="str">
        <f>IF(AND(R42="Preventivo",S42="Automático"),"50%",IF(AND(R42="Preventivo",S42="Manual"),"40%",IF(AND(R42="Detectivo",S42="Automático"),"40%",IF(AND(R42="Detectivo",S42="Manual"),"30%",IF(AND(R42="Correctivo",S42="Automático"),"35%",IF(AND(R42="Correctivo",S42="Manual"),"25%",""))))))</f>
        <v>40%</v>
      </c>
      <c r="U42" s="51" t="s">
        <v>19</v>
      </c>
      <c r="V42" s="51" t="s">
        <v>22</v>
      </c>
      <c r="W42" s="51" t="s">
        <v>119</v>
      </c>
      <c r="X42" s="24">
        <f>IFERROR(IF(Q42="Probabilidad",(I42-(+I42*T42)),IF(Q42="Impacto",I42,"")),"")</f>
        <v>0.12</v>
      </c>
      <c r="Y42" s="53" t="str">
        <f>IFERROR(IF(X42="","",IF(X42&lt;=0.2,"Muy Baja",IF(X42&lt;=0.4,"Baja",IF(X42&lt;=0.6,"Media",IF(X42&lt;=0.8,"Alta","Muy Alta"))))),"")</f>
        <v>Muy Baja</v>
      </c>
      <c r="Z42" s="54">
        <f>+X42</f>
        <v>0.12</v>
      </c>
      <c r="AA42" s="53" t="str">
        <f ca="1">IFERROR(IF(AB42="","",IF(AB42&lt;=0.2,"Leve",IF(AB42&lt;=0.4,"Menor",IF(AB42&lt;=0.6,"Moderado",IF(AB42&lt;=0.8,"Mayor","Catastrófico"))))),"")</f>
        <v>Moderado</v>
      </c>
      <c r="AB42" s="54">
        <f ca="1">IFERROR(IF(Q42="Impacto",(M42-(+M42*T42)),IF(Q42="Probabilidad",M42,"")),"")</f>
        <v>0.6</v>
      </c>
      <c r="AC42" s="55" t="str">
        <f ca="1">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Moderado</v>
      </c>
      <c r="AD42" s="56" t="s">
        <v>136</v>
      </c>
      <c r="AE42" s="160" t="s">
        <v>238</v>
      </c>
      <c r="AF42" s="165" t="s">
        <v>247</v>
      </c>
      <c r="AG42" s="166">
        <v>46022</v>
      </c>
      <c r="AH42" s="166" t="s">
        <v>280</v>
      </c>
      <c r="AI42" s="160" t="s">
        <v>266</v>
      </c>
      <c r="AJ42" s="167" t="s">
        <v>41</v>
      </c>
      <c r="AK42" s="167"/>
      <c r="AL42" s="167"/>
      <c r="AM42" s="168" t="e">
        <f t="shared" si="5"/>
        <v>#DIV/0!</v>
      </c>
      <c r="AN42" s="167"/>
      <c r="AO42" s="167"/>
      <c r="AP42" s="167"/>
      <c r="AQ42" s="167"/>
      <c r="AR42" s="168" t="e">
        <f t="shared" si="6"/>
        <v>#DIV/0!</v>
      </c>
      <c r="AS42" s="167"/>
      <c r="AT42" s="167"/>
      <c r="AU42" s="8"/>
      <c r="AV42" s="8"/>
      <c r="AW42" s="8"/>
      <c r="AX42" s="8"/>
      <c r="AY42" s="8"/>
      <c r="AZ42" s="8"/>
      <c r="BA42" s="8"/>
      <c r="BB42" s="8"/>
      <c r="BC42" s="8"/>
      <c r="BD42" s="8"/>
      <c r="BE42" s="8"/>
      <c r="BF42" s="8"/>
      <c r="BG42" s="8"/>
      <c r="BH42" s="8"/>
      <c r="BI42" s="8"/>
      <c r="BJ42" s="8"/>
      <c r="BK42" s="8"/>
      <c r="BL42" s="8"/>
      <c r="BM42" s="8"/>
      <c r="BN42" s="8"/>
      <c r="BO42" s="8"/>
      <c r="BP42" s="8"/>
    </row>
    <row r="43" spans="1:68" ht="151.5" hidden="1" customHeight="1" x14ac:dyDescent="0.3">
      <c r="A43" s="239"/>
      <c r="B43" s="242"/>
      <c r="C43" s="214"/>
      <c r="D43" s="214"/>
      <c r="E43" s="245"/>
      <c r="F43" s="214"/>
      <c r="G43" s="216"/>
      <c r="H43" s="219"/>
      <c r="I43" s="222"/>
      <c r="J43" s="227"/>
      <c r="K43" s="236">
        <f t="shared" ref="K43:K46" ca="1" si="41">IF(NOT(ISERROR(MATCH(J43,_xlfn.ANCHORARRAY(E54),0))),I56&amp;"Por favor no seleccionar los criterios de impacto",J43)</f>
        <v>0</v>
      </c>
      <c r="L43" s="219"/>
      <c r="M43" s="222"/>
      <c r="N43" s="233"/>
      <c r="O43" s="6">
        <v>2</v>
      </c>
      <c r="P43" s="163"/>
      <c r="Q43" s="50" t="str">
        <f>IF(OR(R43="Preventivo",R43="Detectivo"),"Probabilidad",IF(R43="Correctivo","Impacto",""))</f>
        <v/>
      </c>
      <c r="R43" s="51"/>
      <c r="S43" s="51"/>
      <c r="T43" s="52" t="str">
        <f t="shared" ref="T43:T53" si="42">IF(AND(R43="Preventivo",S43="Automático"),"50%",IF(AND(R43="Preventivo",S43="Manual"),"40%",IF(AND(R43="Detectivo",S43="Automático"),"40%",IF(AND(R43="Detectivo",S43="Manual"),"30%",IF(AND(R43="Correctivo",S43="Automático"),"35%",IF(AND(R43="Correctivo",S43="Manual"),"25%",""))))))</f>
        <v/>
      </c>
      <c r="U43" s="51"/>
      <c r="V43" s="51"/>
      <c r="W43" s="51"/>
      <c r="X43" s="24" t="str">
        <f>IFERROR(IF(AND(Q42="Probabilidad",Q43="Probabilidad"),(Z42-(+Z42*T43)),IF(Q43="Probabilidad",(I42-(+I42*T43)),IF(Q43="Impacto",Z42,""))),"")</f>
        <v/>
      </c>
      <c r="Y43" s="53" t="str">
        <f t="shared" si="1"/>
        <v/>
      </c>
      <c r="Z43" s="54" t="str">
        <f t="shared" ref="Z43:Z53" si="43">+X43</f>
        <v/>
      </c>
      <c r="AA43" s="53" t="str">
        <f t="shared" si="3"/>
        <v/>
      </c>
      <c r="AB43" s="54" t="str">
        <f>IFERROR(IF(AND(Q42="Impacto",Q43="Impacto"),(AB36-(+AB36*T43)),IF(Q43="Impacto",($M$42-(+$M$42*T43)),IF(Q43="Probabilidad",AB36,""))),"")</f>
        <v/>
      </c>
      <c r="AC43" s="55" t="str">
        <f t="shared" ref="AC43:AC44" si="44">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56"/>
      <c r="AE43" s="160"/>
      <c r="AF43" s="167"/>
      <c r="AG43" s="166">
        <v>46022</v>
      </c>
      <c r="AH43" s="166" t="s">
        <v>280</v>
      </c>
      <c r="AI43" s="160"/>
      <c r="AJ43" s="167"/>
      <c r="AK43" s="167"/>
      <c r="AL43" s="167"/>
      <c r="AM43" s="168" t="e">
        <f t="shared" si="5"/>
        <v>#DIV/0!</v>
      </c>
      <c r="AN43" s="167"/>
      <c r="AO43" s="167"/>
      <c r="AP43" s="167"/>
      <c r="AQ43" s="167"/>
      <c r="AR43" s="168" t="e">
        <f t="shared" si="6"/>
        <v>#DIV/0!</v>
      </c>
      <c r="AS43" s="167"/>
      <c r="AT43" s="167"/>
      <c r="AU43" s="8"/>
      <c r="AV43" s="8"/>
      <c r="AW43" s="8"/>
      <c r="AX43" s="8"/>
      <c r="AY43" s="8"/>
      <c r="AZ43" s="8"/>
      <c r="BA43" s="8"/>
      <c r="BB43" s="8"/>
      <c r="BC43" s="8"/>
      <c r="BD43" s="8"/>
      <c r="BE43" s="8"/>
      <c r="BF43" s="8"/>
      <c r="BG43" s="8"/>
      <c r="BH43" s="8"/>
      <c r="BI43" s="8"/>
      <c r="BJ43" s="8"/>
      <c r="BK43" s="8"/>
      <c r="BL43" s="8"/>
      <c r="BM43" s="8"/>
      <c r="BN43" s="8"/>
      <c r="BO43" s="8"/>
      <c r="BP43" s="8"/>
    </row>
    <row r="44" spans="1:68" ht="151.5" hidden="1" customHeight="1" x14ac:dyDescent="0.3">
      <c r="A44" s="239"/>
      <c r="B44" s="242"/>
      <c r="C44" s="214"/>
      <c r="D44" s="214"/>
      <c r="E44" s="245"/>
      <c r="F44" s="214"/>
      <c r="G44" s="216"/>
      <c r="H44" s="219"/>
      <c r="I44" s="222"/>
      <c r="J44" s="227"/>
      <c r="K44" s="236">
        <f t="shared" ca="1" si="41"/>
        <v>0</v>
      </c>
      <c r="L44" s="219"/>
      <c r="M44" s="222"/>
      <c r="N44" s="233"/>
      <c r="O44" s="6">
        <v>3</v>
      </c>
      <c r="P44" s="162"/>
      <c r="Q44" s="50" t="str">
        <f>IF(OR(R44="Preventivo",R44="Detectivo"),"Probabilidad",IF(R44="Correctivo","Impacto",""))</f>
        <v/>
      </c>
      <c r="R44" s="51"/>
      <c r="S44" s="51"/>
      <c r="T44" s="52" t="str">
        <f t="shared" si="42"/>
        <v/>
      </c>
      <c r="U44" s="51"/>
      <c r="V44" s="51"/>
      <c r="W44" s="51"/>
      <c r="X44" s="24" t="str">
        <f>IFERROR(IF(AND(Q43="Probabilidad",Q44="Probabilidad"),(Z43-(+Z43*T44)),IF(AND(Q43="Impacto",Q44="Probabilidad"),(Z42-(+Z42*T44)),IF(Q44="Impacto",Z43,""))),"")</f>
        <v/>
      </c>
      <c r="Y44" s="53" t="str">
        <f t="shared" si="1"/>
        <v/>
      </c>
      <c r="Z44" s="54" t="str">
        <f t="shared" si="43"/>
        <v/>
      </c>
      <c r="AA44" s="53" t="str">
        <f t="shared" si="3"/>
        <v/>
      </c>
      <c r="AB44" s="54" t="str">
        <f>IFERROR(IF(AND(Q43="Impacto",Q44="Impacto"),(AB43-(+AB43*T44)),IF(AND(Q43="Probabilidad",Q44="Impacto"),(AB42-(+AB42*T44)),IF(Q44="Probabilidad",AB43,""))),"")</f>
        <v/>
      </c>
      <c r="AC44" s="55" t="str">
        <f t="shared" si="44"/>
        <v/>
      </c>
      <c r="AD44" s="56"/>
      <c r="AE44" s="160"/>
      <c r="AF44" s="167"/>
      <c r="AG44" s="166">
        <v>46022</v>
      </c>
      <c r="AH44" s="166" t="s">
        <v>280</v>
      </c>
      <c r="AI44" s="160"/>
      <c r="AJ44" s="167"/>
      <c r="AK44" s="167"/>
      <c r="AL44" s="167"/>
      <c r="AM44" s="168" t="e">
        <f t="shared" si="5"/>
        <v>#DIV/0!</v>
      </c>
      <c r="AN44" s="167"/>
      <c r="AO44" s="167"/>
      <c r="AP44" s="167"/>
      <c r="AQ44" s="167"/>
      <c r="AR44" s="168" t="e">
        <f t="shared" si="6"/>
        <v>#DIV/0!</v>
      </c>
      <c r="AS44" s="167"/>
      <c r="AT44" s="167"/>
      <c r="AU44" s="8"/>
      <c r="AV44" s="8"/>
      <c r="AW44" s="8"/>
      <c r="AX44" s="8"/>
      <c r="AY44" s="8"/>
      <c r="AZ44" s="8"/>
      <c r="BA44" s="8"/>
      <c r="BB44" s="8"/>
      <c r="BC44" s="8"/>
      <c r="BD44" s="8"/>
      <c r="BE44" s="8"/>
      <c r="BF44" s="8"/>
      <c r="BG44" s="8"/>
      <c r="BH44" s="8"/>
      <c r="BI44" s="8"/>
      <c r="BJ44" s="8"/>
      <c r="BK44" s="8"/>
      <c r="BL44" s="8"/>
      <c r="BM44" s="8"/>
      <c r="BN44" s="8"/>
      <c r="BO44" s="8"/>
      <c r="BP44" s="8"/>
    </row>
    <row r="45" spans="1:68" ht="151.5" hidden="1" customHeight="1" x14ac:dyDescent="0.3">
      <c r="A45" s="239"/>
      <c r="B45" s="242"/>
      <c r="C45" s="214"/>
      <c r="D45" s="214"/>
      <c r="E45" s="245"/>
      <c r="F45" s="214"/>
      <c r="G45" s="216"/>
      <c r="H45" s="219"/>
      <c r="I45" s="222"/>
      <c r="J45" s="227"/>
      <c r="K45" s="236">
        <f t="shared" ca="1" si="41"/>
        <v>0</v>
      </c>
      <c r="L45" s="219"/>
      <c r="M45" s="222"/>
      <c r="N45" s="233"/>
      <c r="O45" s="6">
        <v>4</v>
      </c>
      <c r="P45" s="163"/>
      <c r="Q45" s="50" t="str">
        <f t="shared" ref="Q45:Q53" si="45">IF(OR(R45="Preventivo",R45="Detectivo"),"Probabilidad",IF(R45="Correctivo","Impacto",""))</f>
        <v/>
      </c>
      <c r="R45" s="51"/>
      <c r="S45" s="51"/>
      <c r="T45" s="52" t="str">
        <f t="shared" si="42"/>
        <v/>
      </c>
      <c r="U45" s="51"/>
      <c r="V45" s="51"/>
      <c r="W45" s="51"/>
      <c r="X45" s="24" t="str">
        <f t="shared" ref="X45:X47" si="46">IFERROR(IF(AND(Q44="Probabilidad",Q45="Probabilidad"),(Z44-(+Z44*T45)),IF(AND(Q44="Impacto",Q45="Probabilidad"),(Z43-(+Z43*T45)),IF(Q45="Impacto",Z44,""))),"")</f>
        <v/>
      </c>
      <c r="Y45" s="53" t="str">
        <f t="shared" si="1"/>
        <v/>
      </c>
      <c r="Z45" s="54" t="str">
        <f t="shared" si="43"/>
        <v/>
      </c>
      <c r="AA45" s="53" t="str">
        <f t="shared" si="3"/>
        <v/>
      </c>
      <c r="AB45" s="54" t="str">
        <f t="shared" ref="AB45:AB47" si="47">IFERROR(IF(AND(Q44="Impacto",Q45="Impacto"),(AB44-(+AB44*T45)),IF(AND(Q44="Probabilidad",Q45="Impacto"),(AB43-(+AB43*T45)),IF(Q45="Probabilidad",AB44,""))),"")</f>
        <v/>
      </c>
      <c r="AC45" s="55"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56"/>
      <c r="AE45" s="160"/>
      <c r="AF45" s="167"/>
      <c r="AG45" s="166">
        <v>46022</v>
      </c>
      <c r="AH45" s="166" t="s">
        <v>280</v>
      </c>
      <c r="AI45" s="160"/>
      <c r="AJ45" s="167"/>
      <c r="AK45" s="167"/>
      <c r="AL45" s="167"/>
      <c r="AM45" s="168" t="e">
        <f t="shared" si="5"/>
        <v>#DIV/0!</v>
      </c>
      <c r="AN45" s="167"/>
      <c r="AO45" s="167"/>
      <c r="AP45" s="167"/>
      <c r="AQ45" s="167"/>
      <c r="AR45" s="168" t="e">
        <f t="shared" si="6"/>
        <v>#DIV/0!</v>
      </c>
      <c r="AS45" s="167"/>
      <c r="AT45" s="167"/>
      <c r="AU45" s="8"/>
      <c r="AV45" s="8"/>
      <c r="AW45" s="8"/>
      <c r="AX45" s="8"/>
      <c r="AY45" s="8"/>
      <c r="AZ45" s="8"/>
      <c r="BA45" s="8"/>
      <c r="BB45" s="8"/>
      <c r="BC45" s="8"/>
      <c r="BD45" s="8"/>
      <c r="BE45" s="8"/>
      <c r="BF45" s="8"/>
      <c r="BG45" s="8"/>
      <c r="BH45" s="8"/>
      <c r="BI45" s="8"/>
      <c r="BJ45" s="8"/>
      <c r="BK45" s="8"/>
      <c r="BL45" s="8"/>
      <c r="BM45" s="8"/>
      <c r="BN45" s="8"/>
      <c r="BO45" s="8"/>
      <c r="BP45" s="8"/>
    </row>
    <row r="46" spans="1:68" ht="151.5" hidden="1" customHeight="1" x14ac:dyDescent="0.3">
      <c r="A46" s="239"/>
      <c r="B46" s="242"/>
      <c r="C46" s="214"/>
      <c r="D46" s="214"/>
      <c r="E46" s="245"/>
      <c r="F46" s="214"/>
      <c r="G46" s="216"/>
      <c r="H46" s="219"/>
      <c r="I46" s="222"/>
      <c r="J46" s="227"/>
      <c r="K46" s="236">
        <f t="shared" ca="1" si="41"/>
        <v>0</v>
      </c>
      <c r="L46" s="219"/>
      <c r="M46" s="222"/>
      <c r="N46" s="233"/>
      <c r="O46" s="6">
        <v>5</v>
      </c>
      <c r="P46" s="163"/>
      <c r="Q46" s="50" t="str">
        <f t="shared" si="45"/>
        <v/>
      </c>
      <c r="R46" s="51"/>
      <c r="S46" s="51"/>
      <c r="T46" s="52" t="str">
        <f t="shared" si="42"/>
        <v/>
      </c>
      <c r="U46" s="51"/>
      <c r="V46" s="51"/>
      <c r="W46" s="51"/>
      <c r="X46" s="24" t="str">
        <f t="shared" si="46"/>
        <v/>
      </c>
      <c r="Y46" s="53" t="str">
        <f t="shared" si="1"/>
        <v/>
      </c>
      <c r="Z46" s="54" t="str">
        <f t="shared" si="43"/>
        <v/>
      </c>
      <c r="AA46" s="53" t="str">
        <f t="shared" si="3"/>
        <v/>
      </c>
      <c r="AB46" s="54" t="str">
        <f t="shared" si="47"/>
        <v/>
      </c>
      <c r="AC46" s="55" t="str">
        <f t="shared" ref="AC46" si="48">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56"/>
      <c r="AE46" s="160"/>
      <c r="AF46" s="167"/>
      <c r="AG46" s="166">
        <v>46022</v>
      </c>
      <c r="AH46" s="166" t="s">
        <v>280</v>
      </c>
      <c r="AI46" s="160"/>
      <c r="AJ46" s="167"/>
      <c r="AK46" s="167"/>
      <c r="AL46" s="167"/>
      <c r="AM46" s="168" t="e">
        <f t="shared" si="5"/>
        <v>#DIV/0!</v>
      </c>
      <c r="AN46" s="167"/>
      <c r="AO46" s="167"/>
      <c r="AP46" s="167"/>
      <c r="AQ46" s="167"/>
      <c r="AR46" s="168" t="e">
        <f t="shared" si="6"/>
        <v>#DIV/0!</v>
      </c>
      <c r="AS46" s="167"/>
      <c r="AT46" s="167"/>
      <c r="AU46" s="8"/>
      <c r="AV46" s="8"/>
      <c r="AW46" s="8"/>
      <c r="AX46" s="8"/>
      <c r="AY46" s="8"/>
      <c r="AZ46" s="8"/>
      <c r="BA46" s="8"/>
      <c r="BB46" s="8"/>
      <c r="BC46" s="8"/>
      <c r="BD46" s="8"/>
      <c r="BE46" s="8"/>
      <c r="BF46" s="8"/>
      <c r="BG46" s="8"/>
      <c r="BH46" s="8"/>
      <c r="BI46" s="8"/>
      <c r="BJ46" s="8"/>
      <c r="BK46" s="8"/>
      <c r="BL46" s="8"/>
      <c r="BM46" s="8"/>
      <c r="BN46" s="8"/>
      <c r="BO46" s="8"/>
      <c r="BP46" s="8"/>
    </row>
    <row r="47" spans="1:68" ht="151.5" hidden="1" customHeight="1" x14ac:dyDescent="0.3">
      <c r="A47" s="240"/>
      <c r="B47" s="243"/>
      <c r="C47" s="215"/>
      <c r="D47" s="215"/>
      <c r="E47" s="246"/>
      <c r="F47" s="215"/>
      <c r="G47" s="217"/>
      <c r="H47" s="220"/>
      <c r="I47" s="223"/>
      <c r="J47" s="228"/>
      <c r="K47" s="237">
        <f ca="1">IF(NOT(ISERROR(MATCH(J47,_xlfn.ANCHORARRAY(E58),0))),#REF!&amp;"Por favor no seleccionar los criterios de impacto",J47)</f>
        <v>0</v>
      </c>
      <c r="L47" s="220"/>
      <c r="M47" s="223"/>
      <c r="N47" s="234"/>
      <c r="O47" s="6">
        <v>6</v>
      </c>
      <c r="P47" s="163"/>
      <c r="Q47" s="50" t="str">
        <f t="shared" si="45"/>
        <v/>
      </c>
      <c r="R47" s="51"/>
      <c r="S47" s="51"/>
      <c r="T47" s="52" t="str">
        <f t="shared" si="42"/>
        <v/>
      </c>
      <c r="U47" s="51"/>
      <c r="V47" s="51"/>
      <c r="W47" s="51"/>
      <c r="X47" s="24" t="str">
        <f t="shared" si="46"/>
        <v/>
      </c>
      <c r="Y47" s="53" t="str">
        <f t="shared" si="1"/>
        <v/>
      </c>
      <c r="Z47" s="54" t="str">
        <f t="shared" si="43"/>
        <v/>
      </c>
      <c r="AA47" s="53" t="str">
        <f>IFERROR(IF(AB47="","",IF(AB47&lt;=0.2,"Leve",IF(AB47&lt;=0.4,"Menor",IF(AB47&lt;=0.6,"Moderado",IF(AB47&lt;=0.8,"Mayor","Catastrófico"))))),"")</f>
        <v/>
      </c>
      <c r="AB47" s="54" t="str">
        <f t="shared" si="47"/>
        <v/>
      </c>
      <c r="AC47" s="55"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56"/>
      <c r="AE47" s="160"/>
      <c r="AF47" s="167"/>
      <c r="AG47" s="166">
        <v>46022</v>
      </c>
      <c r="AH47" s="166" t="s">
        <v>280</v>
      </c>
      <c r="AI47" s="160"/>
      <c r="AJ47" s="167"/>
      <c r="AK47" s="167"/>
      <c r="AL47" s="167"/>
      <c r="AM47" s="168" t="e">
        <f t="shared" si="5"/>
        <v>#DIV/0!</v>
      </c>
      <c r="AN47" s="167"/>
      <c r="AO47" s="167"/>
      <c r="AP47" s="167"/>
      <c r="AQ47" s="167"/>
      <c r="AR47" s="168" t="e">
        <f t="shared" si="6"/>
        <v>#DIV/0!</v>
      </c>
      <c r="AS47" s="167"/>
      <c r="AT47" s="167"/>
      <c r="AU47" s="8"/>
      <c r="AV47" s="8"/>
      <c r="AW47" s="8"/>
      <c r="AX47" s="8"/>
      <c r="AY47" s="8"/>
      <c r="AZ47" s="8"/>
      <c r="BA47" s="8"/>
      <c r="BB47" s="8"/>
      <c r="BC47" s="8"/>
      <c r="BD47" s="8"/>
      <c r="BE47" s="8"/>
      <c r="BF47" s="8"/>
      <c r="BG47" s="8"/>
      <c r="BH47" s="8"/>
      <c r="BI47" s="8"/>
      <c r="BJ47" s="8"/>
      <c r="BK47" s="8"/>
      <c r="BL47" s="8"/>
      <c r="BM47" s="8"/>
      <c r="BN47" s="8"/>
      <c r="BO47" s="8"/>
      <c r="BP47" s="8"/>
    </row>
    <row r="48" spans="1:68" ht="255.75" customHeight="1" x14ac:dyDescent="0.3">
      <c r="A48" s="238">
        <v>6</v>
      </c>
      <c r="B48" s="241" t="s">
        <v>134</v>
      </c>
      <c r="C48" s="213" t="s">
        <v>309</v>
      </c>
      <c r="D48" s="213" t="s">
        <v>283</v>
      </c>
      <c r="E48" s="244" t="s">
        <v>284</v>
      </c>
      <c r="F48" s="213" t="s">
        <v>123</v>
      </c>
      <c r="G48" s="250">
        <v>6</v>
      </c>
      <c r="H48" s="252" t="s">
        <v>6</v>
      </c>
      <c r="I48" s="255">
        <v>0.8</v>
      </c>
      <c r="J48" s="226" t="s">
        <v>154</v>
      </c>
      <c r="K48" s="235" t="str">
        <f>IF(NOT(ISERROR(MATCH(J48,'[1]Tabla Impacto'!$B$221:$B$223,0))),'[1]Tabla Impacto'!$F$223&amp;"Por favor no seleccionar los criterios de impacto(Afectación Económica o presupuestal y Pérdida Reputacional)",J48)</f>
        <v xml:space="preserve">     El riesgo afecta la imagen de de la entidad con efecto publicitario sostenido a nivel de sector administrativo, nivel departamental o municipal</v>
      </c>
      <c r="L48" s="218" t="str">
        <f>IF(OR(K48='[1]Tabla Impacto'!$C$11,K48='[1]Tabla Impacto'!$D$11),"Leve",IF(OR(K48='[1]Tabla Impacto'!$C$12,K48='[1]Tabla Impacto'!$D$12),"Menor",IF(OR(K48='[1]Tabla Impacto'!$C$13,K48='[1]Tabla Impacto'!$D$13),"Moderado",IF(OR(K48='[1]Tabla Impacto'!$C$14,K48='[1]Tabla Impacto'!$D$14),"Mayor",IF(OR(K48='[1]Tabla Impacto'!$C$15,K48='[1]Tabla Impacto'!$D$15),"Catastrófico","")))))</f>
        <v>Mayor</v>
      </c>
      <c r="M48" s="221">
        <f>IF(L48="","",IF(L48="Leve",0.2,IF(L48="Menor",0.4,IF(L48="Moderado",0.6,IF(L48="Mayor",0.8,IF(L48="Catastrófico",1,))))))</f>
        <v>0.8</v>
      </c>
      <c r="N48" s="232"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Alto</v>
      </c>
      <c r="O48" s="151">
        <v>1</v>
      </c>
      <c r="P48" s="160" t="s">
        <v>302</v>
      </c>
      <c r="Q48" s="170" t="str">
        <f t="shared" si="45"/>
        <v>Probabilidad</v>
      </c>
      <c r="R48" s="171" t="s">
        <v>14</v>
      </c>
      <c r="S48" s="171" t="s">
        <v>9</v>
      </c>
      <c r="T48" s="172" t="str">
        <f t="shared" si="42"/>
        <v>40%</v>
      </c>
      <c r="U48" s="171" t="s">
        <v>19</v>
      </c>
      <c r="V48" s="171" t="s">
        <v>22</v>
      </c>
      <c r="W48" s="171" t="s">
        <v>119</v>
      </c>
      <c r="X48" s="137">
        <v>0.8</v>
      </c>
      <c r="Y48" s="156" t="str">
        <f t="shared" si="1"/>
        <v>Alta</v>
      </c>
      <c r="Z48" s="157">
        <f t="shared" si="43"/>
        <v>0.8</v>
      </c>
      <c r="AA48" s="156" t="str">
        <f t="shared" ref="AA48:AA53" si="49">IFERROR(IF(AB48="","",IF(AB48&lt;=0.2,"Leve",IF(AB48&lt;=0.4,"Menor",IF(AB48&lt;=0.6,"Moderado",IF(AB48&lt;=0.8,"Mayor","Catastrófico"))))),"")</f>
        <v>Mayor</v>
      </c>
      <c r="AB48" s="157">
        <f>IFERROR(IF(Q48="Impacto",(M48-(+M48*T48)),IF(Q48="Probabilidad",M48,"")),"")</f>
        <v>0.8</v>
      </c>
      <c r="AC48" s="158" t="str">
        <f t="shared" ref="AC48:AC53" si="50">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Alto</v>
      </c>
      <c r="AD48" s="159" t="s">
        <v>136</v>
      </c>
      <c r="AE48" s="160" t="s">
        <v>281</v>
      </c>
      <c r="AF48" s="165" t="s">
        <v>244</v>
      </c>
      <c r="AG48" s="166">
        <v>46022</v>
      </c>
      <c r="AH48" s="166" t="s">
        <v>280</v>
      </c>
      <c r="AI48" s="160" t="s">
        <v>282</v>
      </c>
      <c r="AJ48" s="167" t="s">
        <v>41</v>
      </c>
      <c r="AK48" s="167"/>
      <c r="AL48" s="167"/>
      <c r="AM48" s="168" t="e">
        <f t="shared" si="5"/>
        <v>#DIV/0!</v>
      </c>
      <c r="AN48" s="167"/>
      <c r="AO48" s="167"/>
      <c r="AP48" s="167"/>
      <c r="AQ48" s="167"/>
      <c r="AR48" s="168" t="e">
        <f t="shared" si="6"/>
        <v>#DIV/0!</v>
      </c>
      <c r="AS48" s="167"/>
      <c r="AT48" s="167"/>
      <c r="AU48" s="8"/>
      <c r="AV48" s="8"/>
      <c r="AW48" s="8"/>
      <c r="AX48" s="8"/>
      <c r="AY48" s="8"/>
      <c r="AZ48" s="8"/>
      <c r="BA48" s="8"/>
      <c r="BB48" s="8"/>
      <c r="BC48" s="8"/>
      <c r="BD48" s="8"/>
      <c r="BE48" s="8"/>
      <c r="BF48" s="8"/>
      <c r="BG48" s="8"/>
      <c r="BH48" s="8"/>
      <c r="BI48" s="8"/>
      <c r="BJ48" s="8"/>
      <c r="BK48" s="8"/>
      <c r="BL48" s="8"/>
      <c r="BM48" s="8"/>
      <c r="BN48" s="8"/>
      <c r="BO48" s="8"/>
      <c r="BP48" s="8"/>
    </row>
    <row r="49" spans="1:68" ht="255.75" hidden="1" customHeight="1" x14ac:dyDescent="0.3">
      <c r="A49" s="239"/>
      <c r="B49" s="242"/>
      <c r="C49" s="214"/>
      <c r="D49" s="214"/>
      <c r="E49" s="245"/>
      <c r="F49" s="214"/>
      <c r="G49" s="216"/>
      <c r="H49" s="253"/>
      <c r="I49" s="256"/>
      <c r="J49" s="227"/>
      <c r="K49" s="236">
        <f ca="1">IF(NOT(ISERROR(MATCH(J49,_xlfn.ANCHORARRAY(#REF!),0))),#REF!&amp;"Por favor no seleccionar los criterios de impacto",J49)</f>
        <v>0</v>
      </c>
      <c r="L49" s="219"/>
      <c r="M49" s="222"/>
      <c r="N49" s="233"/>
      <c r="O49" s="6">
        <v>2</v>
      </c>
      <c r="P49" s="163"/>
      <c r="Q49" s="50" t="str">
        <f t="shared" si="45"/>
        <v/>
      </c>
      <c r="R49" s="51"/>
      <c r="S49" s="51"/>
      <c r="T49" s="52" t="str">
        <f t="shared" si="42"/>
        <v/>
      </c>
      <c r="U49" s="51"/>
      <c r="V49" s="51"/>
      <c r="W49" s="51"/>
      <c r="X49" s="24" t="str">
        <f>IFERROR(IF(AND(Q48="Probabilidad",Q49="Probabilidad"),(Z48-(+Z48*T49)),IF(Q49="Probabilidad",(I48-(+I48*T49)),IF(Q49="Impacto",Z48,""))),"")</f>
        <v/>
      </c>
      <c r="Y49" s="53" t="str">
        <f t="shared" si="1"/>
        <v/>
      </c>
      <c r="Z49" s="54" t="str">
        <f t="shared" si="43"/>
        <v/>
      </c>
      <c r="AA49" s="53" t="str">
        <f t="shared" si="49"/>
        <v/>
      </c>
      <c r="AB49" s="54" t="str">
        <f>IFERROR(IF(AND(Q48="Impacto",Q49="Impacto"),(AB42-(+AB42*T49)),IF(Q49="Impacto",($M$48-(+$M$48*T49)),IF(Q49="Probabilidad",AB42,""))),"")</f>
        <v/>
      </c>
      <c r="AC49" s="55" t="str">
        <f t="shared" si="50"/>
        <v/>
      </c>
      <c r="AD49" s="56"/>
      <c r="AE49" s="160"/>
      <c r="AF49" s="167"/>
      <c r="AG49" s="166">
        <v>46022</v>
      </c>
      <c r="AH49" s="166" t="s">
        <v>280</v>
      </c>
      <c r="AI49" s="160"/>
      <c r="AJ49" s="167"/>
      <c r="AK49" s="167"/>
      <c r="AL49" s="167"/>
      <c r="AM49" s="168" t="e">
        <f t="shared" si="5"/>
        <v>#DIV/0!</v>
      </c>
      <c r="AN49" s="167"/>
      <c r="AO49" s="167"/>
      <c r="AP49" s="167"/>
      <c r="AQ49" s="167"/>
      <c r="AR49" s="168" t="e">
        <f t="shared" si="6"/>
        <v>#DIV/0!</v>
      </c>
      <c r="AS49" s="167"/>
      <c r="AT49" s="167"/>
      <c r="AU49" s="8"/>
      <c r="AV49" s="8"/>
      <c r="AW49" s="8"/>
      <c r="AX49" s="8"/>
      <c r="AY49" s="8"/>
      <c r="AZ49" s="8"/>
      <c r="BA49" s="8"/>
      <c r="BB49" s="8"/>
      <c r="BC49" s="8"/>
      <c r="BD49" s="8"/>
      <c r="BE49" s="8"/>
      <c r="BF49" s="8"/>
      <c r="BG49" s="8"/>
      <c r="BH49" s="8"/>
      <c r="BI49" s="8"/>
      <c r="BJ49" s="8"/>
      <c r="BK49" s="8"/>
      <c r="BL49" s="8"/>
      <c r="BM49" s="8"/>
      <c r="BN49" s="8"/>
      <c r="BO49" s="8"/>
      <c r="BP49" s="8"/>
    </row>
    <row r="50" spans="1:68" ht="255.75" hidden="1" customHeight="1" x14ac:dyDescent="0.3">
      <c r="A50" s="239"/>
      <c r="B50" s="242"/>
      <c r="C50" s="214"/>
      <c r="D50" s="214"/>
      <c r="E50" s="245"/>
      <c r="F50" s="214"/>
      <c r="G50" s="216"/>
      <c r="H50" s="253"/>
      <c r="I50" s="256"/>
      <c r="J50" s="227"/>
      <c r="K50" s="236">
        <f ca="1">IF(NOT(ISERROR(MATCH(J50,_xlfn.ANCHORARRAY(#REF!),0))),#REF!&amp;"Por favor no seleccionar los criterios de impacto",J50)</f>
        <v>0</v>
      </c>
      <c r="L50" s="219"/>
      <c r="M50" s="222"/>
      <c r="N50" s="233"/>
      <c r="O50" s="6">
        <v>3</v>
      </c>
      <c r="P50" s="162"/>
      <c r="Q50" s="50" t="str">
        <f t="shared" si="45"/>
        <v/>
      </c>
      <c r="R50" s="51"/>
      <c r="S50" s="51"/>
      <c r="T50" s="52" t="str">
        <f t="shared" si="42"/>
        <v/>
      </c>
      <c r="U50" s="51"/>
      <c r="V50" s="51"/>
      <c r="W50" s="51"/>
      <c r="X50" s="24" t="str">
        <f>IFERROR(IF(AND(Q49="Probabilidad",Q50="Probabilidad"),(Z49-(+Z49*T50)),IF(AND(Q49="Impacto",Q50="Probabilidad"),(Z48-(+Z48*T50)),IF(Q50="Impacto",Z49,""))),"")</f>
        <v/>
      </c>
      <c r="Y50" s="53" t="str">
        <f t="shared" si="1"/>
        <v/>
      </c>
      <c r="Z50" s="54" t="str">
        <f t="shared" si="43"/>
        <v/>
      </c>
      <c r="AA50" s="53" t="str">
        <f t="shared" si="49"/>
        <v/>
      </c>
      <c r="AB50" s="54" t="str">
        <f>IFERROR(IF(AND(Q49="Impacto",Q50="Impacto"),(AB49-(+AB49*T50)),IF(AND(Q49="Probabilidad",Q50="Impacto"),(AB48-(+AB48*T50)),IF(Q50="Probabilidad",AB49,""))),"")</f>
        <v/>
      </c>
      <c r="AC50" s="55" t="str">
        <f t="shared" si="50"/>
        <v/>
      </c>
      <c r="AD50" s="56"/>
      <c r="AE50" s="160"/>
      <c r="AF50" s="167"/>
      <c r="AG50" s="166">
        <v>46022</v>
      </c>
      <c r="AH50" s="166" t="s">
        <v>280</v>
      </c>
      <c r="AI50" s="160"/>
      <c r="AJ50" s="167"/>
      <c r="AK50" s="167"/>
      <c r="AL50" s="167"/>
      <c r="AM50" s="168" t="e">
        <f t="shared" si="5"/>
        <v>#DIV/0!</v>
      </c>
      <c r="AN50" s="167"/>
      <c r="AO50" s="167"/>
      <c r="AP50" s="167"/>
      <c r="AQ50" s="167"/>
      <c r="AR50" s="168" t="e">
        <f t="shared" si="6"/>
        <v>#DIV/0!</v>
      </c>
      <c r="AS50" s="167"/>
      <c r="AT50" s="167"/>
      <c r="AU50" s="8"/>
      <c r="AV50" s="8"/>
      <c r="AW50" s="8"/>
      <c r="AX50" s="8"/>
      <c r="AY50" s="8"/>
      <c r="AZ50" s="8"/>
      <c r="BA50" s="8"/>
      <c r="BB50" s="8"/>
      <c r="BC50" s="8"/>
      <c r="BD50" s="8"/>
      <c r="BE50" s="8"/>
      <c r="BF50" s="8"/>
      <c r="BG50" s="8"/>
      <c r="BH50" s="8"/>
      <c r="BI50" s="8"/>
      <c r="BJ50" s="8"/>
      <c r="BK50" s="8"/>
      <c r="BL50" s="8"/>
      <c r="BM50" s="8"/>
      <c r="BN50" s="8"/>
      <c r="BO50" s="8"/>
      <c r="BP50" s="8"/>
    </row>
    <row r="51" spans="1:68" ht="255.75" hidden="1" customHeight="1" x14ac:dyDescent="0.3">
      <c r="A51" s="239"/>
      <c r="B51" s="242"/>
      <c r="C51" s="214"/>
      <c r="D51" s="214"/>
      <c r="E51" s="245"/>
      <c r="F51" s="214"/>
      <c r="G51" s="216"/>
      <c r="H51" s="253"/>
      <c r="I51" s="256"/>
      <c r="J51" s="227"/>
      <c r="K51" s="236">
        <f ca="1">IF(NOT(ISERROR(MATCH(J51,_xlfn.ANCHORARRAY(#REF!),0))),#REF!&amp;"Por favor no seleccionar los criterios de impacto",J51)</f>
        <v>0</v>
      </c>
      <c r="L51" s="219"/>
      <c r="M51" s="222"/>
      <c r="N51" s="233"/>
      <c r="O51" s="6">
        <v>4</v>
      </c>
      <c r="P51" s="163"/>
      <c r="Q51" s="50" t="str">
        <f t="shared" si="45"/>
        <v/>
      </c>
      <c r="R51" s="51"/>
      <c r="S51" s="51"/>
      <c r="T51" s="52" t="str">
        <f t="shared" si="42"/>
        <v/>
      </c>
      <c r="U51" s="51"/>
      <c r="V51" s="51"/>
      <c r="W51" s="51"/>
      <c r="X51" s="24" t="str">
        <f>IFERROR(IF(AND(Q50="Probabilidad",Q51="Probabilidad"),(Z50-(+Z50*T51)),IF(AND(Q50="Impacto",Q51="Probabilidad"),(Z49-(+Z49*T51)),IF(Q51="Impacto",Z50,""))),"")</f>
        <v/>
      </c>
      <c r="Y51" s="53" t="str">
        <f t="shared" si="1"/>
        <v/>
      </c>
      <c r="Z51" s="54" t="str">
        <f t="shared" si="43"/>
        <v/>
      </c>
      <c r="AA51" s="53" t="str">
        <f t="shared" si="49"/>
        <v/>
      </c>
      <c r="AB51" s="54" t="str">
        <f>IFERROR(IF(AND(Q50="Impacto",Q51="Impacto"),(AB50-(+AB50*T51)),IF(AND(Q50="Probabilidad",Q51="Impacto"),(AB49-(+AB49*T51)),IF(Q51="Probabilidad",AB50,""))),"")</f>
        <v/>
      </c>
      <c r="AC51" s="55" t="str">
        <f t="shared" si="50"/>
        <v/>
      </c>
      <c r="AD51" s="56"/>
      <c r="AE51" s="160"/>
      <c r="AF51" s="167"/>
      <c r="AG51" s="166">
        <v>46022</v>
      </c>
      <c r="AH51" s="166" t="s">
        <v>280</v>
      </c>
      <c r="AI51" s="160"/>
      <c r="AJ51" s="167"/>
      <c r="AK51" s="167"/>
      <c r="AL51" s="167"/>
      <c r="AM51" s="168" t="e">
        <f t="shared" si="5"/>
        <v>#DIV/0!</v>
      </c>
      <c r="AN51" s="167"/>
      <c r="AO51" s="167"/>
      <c r="AP51" s="167"/>
      <c r="AQ51" s="167"/>
      <c r="AR51" s="168" t="e">
        <f t="shared" si="6"/>
        <v>#DIV/0!</v>
      </c>
      <c r="AS51" s="167"/>
      <c r="AT51" s="167"/>
      <c r="AU51" s="8"/>
      <c r="AV51" s="8"/>
      <c r="AW51" s="8"/>
      <c r="AX51" s="8"/>
      <c r="AY51" s="8"/>
      <c r="AZ51" s="8"/>
      <c r="BA51" s="8"/>
      <c r="BB51" s="8"/>
      <c r="BC51" s="8"/>
      <c r="BD51" s="8"/>
      <c r="BE51" s="8"/>
      <c r="BF51" s="8"/>
      <c r="BG51" s="8"/>
      <c r="BH51" s="8"/>
      <c r="BI51" s="8"/>
      <c r="BJ51" s="8"/>
      <c r="BK51" s="8"/>
      <c r="BL51" s="8"/>
      <c r="BM51" s="8"/>
      <c r="BN51" s="8"/>
      <c r="BO51" s="8"/>
      <c r="BP51" s="8"/>
    </row>
    <row r="52" spans="1:68" ht="255.75" hidden="1" customHeight="1" x14ac:dyDescent="0.3">
      <c r="A52" s="239"/>
      <c r="B52" s="242"/>
      <c r="C52" s="214"/>
      <c r="D52" s="214"/>
      <c r="E52" s="245"/>
      <c r="F52" s="214"/>
      <c r="G52" s="216"/>
      <c r="H52" s="253"/>
      <c r="I52" s="256"/>
      <c r="J52" s="227"/>
      <c r="K52" s="236">
        <f ca="1">IF(NOT(ISERROR(MATCH(J52,_xlfn.ANCHORARRAY(#REF!),0))),#REF!&amp;"Por favor no seleccionar los criterios de impacto",J52)</f>
        <v>0</v>
      </c>
      <c r="L52" s="219"/>
      <c r="M52" s="222"/>
      <c r="N52" s="233"/>
      <c r="O52" s="6">
        <v>5</v>
      </c>
      <c r="P52" s="163"/>
      <c r="Q52" s="50" t="str">
        <f t="shared" si="45"/>
        <v/>
      </c>
      <c r="R52" s="51"/>
      <c r="S52" s="51"/>
      <c r="T52" s="52" t="str">
        <f t="shared" si="42"/>
        <v/>
      </c>
      <c r="U52" s="51"/>
      <c r="V52" s="51"/>
      <c r="W52" s="51"/>
      <c r="X52" s="24" t="str">
        <f>IFERROR(IF(AND(Q51="Probabilidad",Q52="Probabilidad"),(Z51-(+Z51*T52)),IF(AND(Q51="Impacto",Q52="Probabilidad"),(Z50-(+Z50*T52)),IF(Q52="Impacto",Z51,""))),"")</f>
        <v/>
      </c>
      <c r="Y52" s="53" t="str">
        <f t="shared" si="1"/>
        <v/>
      </c>
      <c r="Z52" s="54" t="str">
        <f t="shared" si="43"/>
        <v/>
      </c>
      <c r="AA52" s="53" t="str">
        <f t="shared" si="49"/>
        <v/>
      </c>
      <c r="AB52" s="54" t="str">
        <f>IFERROR(IF(AND(Q51="Impacto",Q52="Impacto"),(AB51-(+AB51*T52)),IF(AND(Q51="Probabilidad",Q52="Impacto"),(AB50-(+AB50*T52)),IF(Q52="Probabilidad",AB51,""))),"")</f>
        <v/>
      </c>
      <c r="AC52" s="55" t="str">
        <f t="shared" si="50"/>
        <v/>
      </c>
      <c r="AD52" s="56"/>
      <c r="AE52" s="160"/>
      <c r="AF52" s="167"/>
      <c r="AG52" s="166">
        <v>46022</v>
      </c>
      <c r="AH52" s="166" t="s">
        <v>280</v>
      </c>
      <c r="AI52" s="160"/>
      <c r="AJ52" s="167"/>
      <c r="AK52" s="167"/>
      <c r="AL52" s="167"/>
      <c r="AM52" s="168" t="e">
        <f t="shared" si="5"/>
        <v>#DIV/0!</v>
      </c>
      <c r="AN52" s="167"/>
      <c r="AO52" s="167"/>
      <c r="AP52" s="167"/>
      <c r="AQ52" s="167"/>
      <c r="AR52" s="168" t="e">
        <f t="shared" si="6"/>
        <v>#DIV/0!</v>
      </c>
      <c r="AS52" s="167"/>
      <c r="AT52" s="167"/>
      <c r="AU52" s="8"/>
      <c r="AV52" s="8"/>
      <c r="AW52" s="8"/>
      <c r="AX52" s="8"/>
      <c r="AY52" s="8"/>
      <c r="AZ52" s="8"/>
      <c r="BA52" s="8"/>
      <c r="BB52" s="8"/>
      <c r="BC52" s="8"/>
      <c r="BD52" s="8"/>
      <c r="BE52" s="8"/>
      <c r="BF52" s="8"/>
      <c r="BG52" s="8"/>
      <c r="BH52" s="8"/>
      <c r="BI52" s="8"/>
      <c r="BJ52" s="8"/>
      <c r="BK52" s="8"/>
      <c r="BL52" s="8"/>
      <c r="BM52" s="8"/>
      <c r="BN52" s="8"/>
      <c r="BO52" s="8"/>
      <c r="BP52" s="8"/>
    </row>
    <row r="53" spans="1:68" ht="255.75" hidden="1" customHeight="1" x14ac:dyDescent="0.3">
      <c r="A53" s="240"/>
      <c r="B53" s="243"/>
      <c r="C53" s="215"/>
      <c r="D53" s="215"/>
      <c r="E53" s="246"/>
      <c r="F53" s="215"/>
      <c r="G53" s="217"/>
      <c r="H53" s="254"/>
      <c r="I53" s="257"/>
      <c r="J53" s="228"/>
      <c r="K53" s="237">
        <f ca="1">IF(NOT(ISERROR(MATCH(J53,_xlfn.ANCHORARRAY(#REF!),0))),I72&amp;"Por favor no seleccionar los criterios de impacto",J53)</f>
        <v>0</v>
      </c>
      <c r="L53" s="220"/>
      <c r="M53" s="223"/>
      <c r="N53" s="234"/>
      <c r="O53" s="6">
        <v>6</v>
      </c>
      <c r="P53" s="163"/>
      <c r="Q53" s="50" t="str">
        <f t="shared" si="45"/>
        <v/>
      </c>
      <c r="R53" s="51"/>
      <c r="S53" s="51"/>
      <c r="T53" s="52" t="str">
        <f t="shared" si="42"/>
        <v/>
      </c>
      <c r="U53" s="51"/>
      <c r="V53" s="51"/>
      <c r="W53" s="51"/>
      <c r="X53" s="24" t="str">
        <f>IFERROR(IF(AND(Q52="Probabilidad",Q53="Probabilidad"),(Z52-(+Z52*T53)),IF(AND(Q52="Impacto",Q53="Probabilidad"),(Z51-(+Z51*T53)),IF(Q53="Impacto",Z52,""))),"")</f>
        <v/>
      </c>
      <c r="Y53" s="53" t="str">
        <f t="shared" si="1"/>
        <v/>
      </c>
      <c r="Z53" s="54" t="str">
        <f t="shared" si="43"/>
        <v/>
      </c>
      <c r="AA53" s="53" t="str">
        <f t="shared" si="49"/>
        <v/>
      </c>
      <c r="AB53" s="54" t="str">
        <f>IFERROR(IF(AND(Q52="Impacto",Q53="Impacto"),(AB52-(+AB52*T53)),IF(AND(Q52="Probabilidad",Q53="Impacto"),(AB51-(+AB51*T53)),IF(Q53="Probabilidad",AB52,""))),"")</f>
        <v/>
      </c>
      <c r="AC53" s="55" t="str">
        <f t="shared" si="50"/>
        <v/>
      </c>
      <c r="AD53" s="56"/>
      <c r="AE53" s="160"/>
      <c r="AF53" s="167"/>
      <c r="AG53" s="166">
        <v>46022</v>
      </c>
      <c r="AH53" s="166" t="s">
        <v>280</v>
      </c>
      <c r="AI53" s="160"/>
      <c r="AJ53" s="167"/>
      <c r="AK53" s="167"/>
      <c r="AL53" s="167"/>
      <c r="AM53" s="168" t="e">
        <f t="shared" si="5"/>
        <v>#DIV/0!</v>
      </c>
      <c r="AN53" s="167"/>
      <c r="AO53" s="167"/>
      <c r="AP53" s="167"/>
      <c r="AQ53" s="167"/>
      <c r="AR53" s="168" t="e">
        <f t="shared" si="6"/>
        <v>#DIV/0!</v>
      </c>
      <c r="AS53" s="167"/>
      <c r="AT53" s="167"/>
      <c r="AU53" s="8"/>
      <c r="AV53" s="8"/>
      <c r="AW53" s="8"/>
      <c r="AX53" s="8"/>
      <c r="AY53" s="8"/>
      <c r="AZ53" s="8"/>
      <c r="BA53" s="8"/>
      <c r="BB53" s="8"/>
      <c r="BC53" s="8"/>
      <c r="BD53" s="8"/>
      <c r="BE53" s="8"/>
      <c r="BF53" s="8"/>
      <c r="BG53" s="8"/>
      <c r="BH53" s="8"/>
      <c r="BI53" s="8"/>
      <c r="BJ53" s="8"/>
      <c r="BK53" s="8"/>
      <c r="BL53" s="8"/>
      <c r="BM53" s="8"/>
      <c r="BN53" s="8"/>
      <c r="BO53" s="8"/>
      <c r="BP53" s="8"/>
    </row>
    <row r="54" spans="1:68" ht="237.75" customHeight="1" x14ac:dyDescent="0.3">
      <c r="A54" s="238">
        <v>7</v>
      </c>
      <c r="B54" s="241" t="s">
        <v>134</v>
      </c>
      <c r="C54" s="213" t="s">
        <v>218</v>
      </c>
      <c r="D54" s="213" t="s">
        <v>295</v>
      </c>
      <c r="E54" s="244" t="s">
        <v>296</v>
      </c>
      <c r="F54" s="213" t="s">
        <v>123</v>
      </c>
      <c r="G54" s="250">
        <v>350</v>
      </c>
      <c r="H54" s="218" t="str">
        <f>IF(G54&lt;=0,"",IF(G54&lt;=2,"Muy Baja",IF(G54&lt;=24,"Baja",IF(G54&lt;=500,"Media",IF(G54&lt;=5000,"Alta","Muy Alta")))))</f>
        <v>Media</v>
      </c>
      <c r="I54" s="221">
        <f>IF(H54="","",IF(H54="Muy Baja",0.2,IF(H54="Baja",0.4,IF(H54="Media",0.6,IF(H54="Alta",0.8,IF(H54="Muy Alta",1,))))))</f>
        <v>0.6</v>
      </c>
      <c r="J54" s="226" t="s">
        <v>147</v>
      </c>
      <c r="K54" s="235" t="str">
        <f ca="1">IF(NOT(ISERROR(MATCH(J54,'Tabla Impacto'!$B$221:$B$223,0))),'Tabla Impacto'!$F$223&amp;"Por favor no seleccionar los criterios de impacto(Afectación Económica o presupuestal y Pérdida Reputacional)",J54)</f>
        <v xml:space="preserve">     Entre 50 y 100 SMLMV </v>
      </c>
      <c r="L54" s="218" t="str">
        <f ca="1">IF(OR(K54='Tabla Impacto'!$C$11,K54='Tabla Impacto'!$D$11),"Leve",IF(OR(K54='Tabla Impacto'!$C$12,K54='Tabla Impacto'!$D$12),"Menor",IF(OR(K54='Tabla Impacto'!$C$13,K54='Tabla Impacto'!$D$13),"Moderado",IF(OR(K54='Tabla Impacto'!$C$14,K54='Tabla Impacto'!$D$14),"Mayor",IF(OR(K54='Tabla Impacto'!$C$15,K54='Tabla Impacto'!$D$15),"Catastrófico","")))))</f>
        <v>Moderado</v>
      </c>
      <c r="M54" s="221">
        <f ca="1">IF(L54="","",IF(L54="Leve",0.2,IF(L54="Menor",0.4,IF(L54="Moderado",0.6,IF(L54="Mayor",0.8,IF(L54="Catastrófico",1,))))))</f>
        <v>0.6</v>
      </c>
      <c r="N54" s="232" t="str">
        <f ca="1">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Moderado</v>
      </c>
      <c r="O54" s="6">
        <v>1</v>
      </c>
      <c r="P54" s="160" t="s">
        <v>303</v>
      </c>
      <c r="Q54" s="50" t="str">
        <f>IF(OR(R54="Preventivo",R54="Detectivo"),"Probabilidad",IF(R54="Correctivo","Impacto",""))</f>
        <v>Probabilidad</v>
      </c>
      <c r="R54" s="51" t="s">
        <v>14</v>
      </c>
      <c r="S54" s="51" t="s">
        <v>9</v>
      </c>
      <c r="T54" s="52" t="str">
        <f>IF(AND(R54="Preventivo",S54="Automático"),"50%",IF(AND(R54="Preventivo",S54="Manual"),"40%",IF(AND(R54="Detectivo",S54="Automático"),"40%",IF(AND(R54="Detectivo",S54="Manual"),"30%",IF(AND(R54="Correctivo",S54="Automático"),"35%",IF(AND(R54="Correctivo",S54="Manual"),"25%",""))))))</f>
        <v>40%</v>
      </c>
      <c r="U54" s="51" t="s">
        <v>19</v>
      </c>
      <c r="V54" s="51" t="s">
        <v>22</v>
      </c>
      <c r="W54" s="51" t="s">
        <v>119</v>
      </c>
      <c r="X54" s="24">
        <f>IFERROR(IF(Q54="Probabilidad",(I54-(+I54*T54)),IF(Q54="Impacto",I54,"")),"")</f>
        <v>0.36</v>
      </c>
      <c r="Y54" s="53" t="str">
        <f>IFERROR(IF(X54="","",IF(X54&lt;=0.2,"Muy Baja",IF(X54&lt;=0.4,"Baja",IF(X54&lt;=0.6,"Media",IF(X54&lt;=0.8,"Alta","Muy Alta"))))),"")</f>
        <v>Baja</v>
      </c>
      <c r="Z54" s="54">
        <f>+X54</f>
        <v>0.36</v>
      </c>
      <c r="AA54" s="53" t="str">
        <f ca="1">IFERROR(IF(AB54="","",IF(AB54&lt;=0.2,"Leve",IF(AB54&lt;=0.4,"Menor",IF(AB54&lt;=0.6,"Moderado",IF(AB54&lt;=0.8,"Mayor","Catastrófico"))))),"")</f>
        <v>Moderado</v>
      </c>
      <c r="AB54" s="54">
        <f ca="1">IFERROR(IF(Q54="Impacto",(M54-(+M54*T54)),IF(Q54="Probabilidad",M54,"")),"")</f>
        <v>0.6</v>
      </c>
      <c r="AC54" s="55" t="str">
        <f ca="1">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Moderado</v>
      </c>
      <c r="AD54" s="56" t="s">
        <v>136</v>
      </c>
      <c r="AE54" s="160" t="s">
        <v>248</v>
      </c>
      <c r="AF54" s="165" t="s">
        <v>249</v>
      </c>
      <c r="AG54" s="166">
        <v>46022</v>
      </c>
      <c r="AH54" s="166" t="s">
        <v>280</v>
      </c>
      <c r="AI54" s="160" t="s">
        <v>267</v>
      </c>
      <c r="AJ54" s="167" t="s">
        <v>41</v>
      </c>
      <c r="AK54" s="167"/>
      <c r="AL54" s="167"/>
      <c r="AM54" s="168" t="e">
        <f t="shared" si="5"/>
        <v>#DIV/0!</v>
      </c>
      <c r="AN54" s="167"/>
      <c r="AO54" s="167"/>
      <c r="AP54" s="167"/>
      <c r="AQ54" s="167"/>
      <c r="AR54" s="168" t="e">
        <f t="shared" si="6"/>
        <v>#DIV/0!</v>
      </c>
      <c r="AS54" s="167"/>
      <c r="AT54" s="167"/>
      <c r="AU54" s="8"/>
      <c r="AV54" s="8"/>
      <c r="AW54" s="8"/>
      <c r="AX54" s="8"/>
      <c r="AY54" s="8"/>
      <c r="AZ54" s="8"/>
      <c r="BA54" s="8"/>
      <c r="BB54" s="8"/>
      <c r="BC54" s="8"/>
      <c r="BD54" s="8"/>
      <c r="BE54" s="8"/>
      <c r="BF54" s="8"/>
      <c r="BG54" s="8"/>
      <c r="BH54" s="8"/>
      <c r="BI54" s="8"/>
      <c r="BJ54" s="8"/>
      <c r="BK54" s="8"/>
      <c r="BL54" s="8"/>
      <c r="BM54" s="8"/>
      <c r="BN54" s="8"/>
      <c r="BO54" s="8"/>
      <c r="BP54" s="8"/>
    </row>
    <row r="55" spans="1:68" ht="151.5" hidden="1" customHeight="1" x14ac:dyDescent="0.3">
      <c r="A55" s="239"/>
      <c r="B55" s="242"/>
      <c r="C55" s="214"/>
      <c r="D55" s="214"/>
      <c r="E55" s="245"/>
      <c r="F55" s="214"/>
      <c r="G55" s="216"/>
      <c r="H55" s="219"/>
      <c r="I55" s="222"/>
      <c r="J55" s="227"/>
      <c r="K55" s="236">
        <f ca="1">IF(NOT(ISERROR(MATCH(J55,_xlfn.ANCHORARRAY(E72),0))),I74&amp;"Por favor no seleccionar los criterios de impacto",J55)</f>
        <v>0</v>
      </c>
      <c r="L55" s="219"/>
      <c r="M55" s="222"/>
      <c r="N55" s="233"/>
      <c r="O55" s="6">
        <v>2</v>
      </c>
      <c r="P55" s="163"/>
      <c r="Q55" s="50" t="str">
        <f>IF(OR(R55="Preventivo",R55="Detectivo"),"Probabilidad",IF(R55="Correctivo","Impacto",""))</f>
        <v/>
      </c>
      <c r="R55" s="51"/>
      <c r="S55" s="51"/>
      <c r="T55" s="52" t="str">
        <f t="shared" ref="T55:T59" si="51">IF(AND(R55="Preventivo",S55="Automático"),"50%",IF(AND(R55="Preventivo",S55="Manual"),"40%",IF(AND(R55="Detectivo",S55="Automático"),"40%",IF(AND(R55="Detectivo",S55="Manual"),"30%",IF(AND(R55="Correctivo",S55="Automático"),"35%",IF(AND(R55="Correctivo",S55="Manual"),"25%",""))))))</f>
        <v/>
      </c>
      <c r="U55" s="51"/>
      <c r="V55" s="51"/>
      <c r="W55" s="51"/>
      <c r="X55" s="24" t="str">
        <f>IFERROR(IF(AND(Q54="Probabilidad",Q55="Probabilidad"),(Z54-(+Z54*T55)),IF(Q55="Probabilidad",(I54-(+I54*T55)),IF(Q55="Impacto",Z54,""))),"")</f>
        <v/>
      </c>
      <c r="Y55" s="53" t="str">
        <f t="shared" si="1"/>
        <v/>
      </c>
      <c r="Z55" s="54" t="str">
        <f t="shared" ref="Z55:Z59" si="52">+X55</f>
        <v/>
      </c>
      <c r="AA55" s="53" t="str">
        <f t="shared" si="3"/>
        <v/>
      </c>
      <c r="AB55" s="54" t="str">
        <f>IFERROR(IF(AND(Q54="Impacto",Q55="Impacto"),(AB48-(+AB48*T55)),IF(Q55="Impacto",($M$54-(+$M$54*T55)),IF(Q55="Probabilidad",AB48,""))),"")</f>
        <v/>
      </c>
      <c r="AC55" s="55" t="str">
        <f t="shared" ref="AC55:AC56" si="53">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56"/>
      <c r="AE55" s="160"/>
      <c r="AF55" s="167"/>
      <c r="AG55" s="166">
        <v>46022</v>
      </c>
      <c r="AH55" s="166" t="s">
        <v>280</v>
      </c>
      <c r="AI55" s="160"/>
      <c r="AJ55" s="167"/>
      <c r="AK55" s="167"/>
      <c r="AL55" s="167"/>
      <c r="AM55" s="168" t="e">
        <f t="shared" si="5"/>
        <v>#DIV/0!</v>
      </c>
      <c r="AN55" s="167"/>
      <c r="AO55" s="167"/>
      <c r="AP55" s="167"/>
      <c r="AQ55" s="167"/>
      <c r="AR55" s="168" t="e">
        <f t="shared" si="6"/>
        <v>#DIV/0!</v>
      </c>
      <c r="AS55" s="167"/>
      <c r="AT55" s="167"/>
      <c r="AU55" s="8"/>
      <c r="AV55" s="8"/>
      <c r="AW55" s="8"/>
      <c r="AX55" s="8"/>
      <c r="AY55" s="8"/>
      <c r="AZ55" s="8"/>
      <c r="BA55" s="8"/>
      <c r="BB55" s="8"/>
      <c r="BC55" s="8"/>
      <c r="BD55" s="8"/>
      <c r="BE55" s="8"/>
      <c r="BF55" s="8"/>
      <c r="BG55" s="8"/>
      <c r="BH55" s="8"/>
      <c r="BI55" s="8"/>
      <c r="BJ55" s="8"/>
      <c r="BK55" s="8"/>
      <c r="BL55" s="8"/>
      <c r="BM55" s="8"/>
      <c r="BN55" s="8"/>
      <c r="BO55" s="8"/>
      <c r="BP55" s="8"/>
    </row>
    <row r="56" spans="1:68" ht="151.5" hidden="1" customHeight="1" x14ac:dyDescent="0.3">
      <c r="A56" s="239"/>
      <c r="B56" s="242"/>
      <c r="C56" s="214"/>
      <c r="D56" s="214"/>
      <c r="E56" s="245"/>
      <c r="F56" s="214"/>
      <c r="G56" s="216"/>
      <c r="H56" s="219"/>
      <c r="I56" s="222"/>
      <c r="J56" s="227"/>
      <c r="K56" s="236">
        <f ca="1">IF(NOT(ISERROR(MATCH(J56,_xlfn.ANCHORARRAY(E73),0))),I75&amp;"Por favor no seleccionar los criterios de impacto",J56)</f>
        <v>0</v>
      </c>
      <c r="L56" s="219"/>
      <c r="M56" s="222"/>
      <c r="N56" s="233"/>
      <c r="O56" s="6">
        <v>3</v>
      </c>
      <c r="P56" s="162"/>
      <c r="Q56" s="50" t="str">
        <f>IF(OR(R56="Preventivo",R56="Detectivo"),"Probabilidad",IF(R56="Correctivo","Impacto",""))</f>
        <v/>
      </c>
      <c r="R56" s="51"/>
      <c r="S56" s="51"/>
      <c r="T56" s="52" t="str">
        <f t="shared" si="51"/>
        <v/>
      </c>
      <c r="U56" s="51"/>
      <c r="V56" s="51"/>
      <c r="W56" s="51"/>
      <c r="X56" s="24" t="str">
        <f>IFERROR(IF(AND(Q55="Probabilidad",Q56="Probabilidad"),(Z55-(+Z55*T56)),IF(AND(Q55="Impacto",Q56="Probabilidad"),(Z54-(+Z54*T56)),IF(Q56="Impacto",Z55,""))),"")</f>
        <v/>
      </c>
      <c r="Y56" s="53" t="str">
        <f t="shared" si="1"/>
        <v/>
      </c>
      <c r="Z56" s="54" t="str">
        <f t="shared" si="52"/>
        <v/>
      </c>
      <c r="AA56" s="53" t="str">
        <f t="shared" si="3"/>
        <v/>
      </c>
      <c r="AB56" s="54" t="str">
        <f>IFERROR(IF(AND(Q55="Impacto",Q56="Impacto"),(AB55-(+AB55*T56)),IF(AND(Q55="Probabilidad",Q56="Impacto"),(AB54-(+AB54*T56)),IF(Q56="Probabilidad",AB55,""))),"")</f>
        <v/>
      </c>
      <c r="AC56" s="55" t="str">
        <f t="shared" si="53"/>
        <v/>
      </c>
      <c r="AD56" s="56"/>
      <c r="AE56" s="160"/>
      <c r="AF56" s="167"/>
      <c r="AG56" s="166">
        <v>46022</v>
      </c>
      <c r="AH56" s="166" t="s">
        <v>280</v>
      </c>
      <c r="AI56" s="160"/>
      <c r="AJ56" s="167"/>
      <c r="AK56" s="167"/>
      <c r="AL56" s="167"/>
      <c r="AM56" s="168" t="e">
        <f t="shared" si="5"/>
        <v>#DIV/0!</v>
      </c>
      <c r="AN56" s="167"/>
      <c r="AO56" s="167"/>
      <c r="AP56" s="167"/>
      <c r="AQ56" s="167"/>
      <c r="AR56" s="168" t="e">
        <f t="shared" si="6"/>
        <v>#DIV/0!</v>
      </c>
      <c r="AS56" s="167"/>
      <c r="AT56" s="167"/>
      <c r="AU56" s="8"/>
      <c r="AV56" s="8"/>
      <c r="AW56" s="8"/>
      <c r="AX56" s="8"/>
      <c r="AY56" s="8"/>
      <c r="AZ56" s="8"/>
      <c r="BA56" s="8"/>
      <c r="BB56" s="8"/>
      <c r="BC56" s="8"/>
      <c r="BD56" s="8"/>
      <c r="BE56" s="8"/>
      <c r="BF56" s="8"/>
      <c r="BG56" s="8"/>
      <c r="BH56" s="8"/>
      <c r="BI56" s="8"/>
      <c r="BJ56" s="8"/>
      <c r="BK56" s="8"/>
      <c r="BL56" s="8"/>
      <c r="BM56" s="8"/>
      <c r="BN56" s="8"/>
      <c r="BO56" s="8"/>
      <c r="BP56" s="8"/>
    </row>
    <row r="57" spans="1:68" ht="151.5" hidden="1" customHeight="1" x14ac:dyDescent="0.3">
      <c r="A57" s="239"/>
      <c r="B57" s="242"/>
      <c r="C57" s="214"/>
      <c r="D57" s="214"/>
      <c r="E57" s="245"/>
      <c r="F57" s="214"/>
      <c r="G57" s="216"/>
      <c r="H57" s="219"/>
      <c r="I57" s="222"/>
      <c r="J57" s="227"/>
      <c r="K57" s="236">
        <f ca="1">IF(NOT(ISERROR(MATCH(J57,_xlfn.ANCHORARRAY(E74),0))),I76&amp;"Por favor no seleccionar los criterios de impacto",J57)</f>
        <v>0</v>
      </c>
      <c r="L57" s="219"/>
      <c r="M57" s="222"/>
      <c r="N57" s="233"/>
      <c r="O57" s="6">
        <v>4</v>
      </c>
      <c r="P57" s="163"/>
      <c r="Q57" s="50" t="str">
        <f t="shared" ref="Q57:Q59" si="54">IF(OR(R57="Preventivo",R57="Detectivo"),"Probabilidad",IF(R57="Correctivo","Impacto",""))</f>
        <v/>
      </c>
      <c r="R57" s="51"/>
      <c r="S57" s="51"/>
      <c r="T57" s="52" t="str">
        <f t="shared" si="51"/>
        <v/>
      </c>
      <c r="U57" s="51"/>
      <c r="V57" s="51"/>
      <c r="W57" s="51"/>
      <c r="X57" s="24" t="str">
        <f t="shared" ref="X57:X59" si="55">IFERROR(IF(AND(Q56="Probabilidad",Q57="Probabilidad"),(Z56-(+Z56*T57)),IF(AND(Q56="Impacto",Q57="Probabilidad"),(Z55-(+Z55*T57)),IF(Q57="Impacto",Z56,""))),"")</f>
        <v/>
      </c>
      <c r="Y57" s="53" t="str">
        <f t="shared" si="1"/>
        <v/>
      </c>
      <c r="Z57" s="54" t="str">
        <f t="shared" si="52"/>
        <v/>
      </c>
      <c r="AA57" s="53" t="str">
        <f t="shared" si="3"/>
        <v/>
      </c>
      <c r="AB57" s="54" t="str">
        <f t="shared" ref="AB57:AB59" si="56">IFERROR(IF(AND(Q56="Impacto",Q57="Impacto"),(AB56-(+AB56*T57)),IF(AND(Q56="Probabilidad",Q57="Impacto"),(AB55-(+AB55*T57)),IF(Q57="Probabilidad",AB56,""))),"")</f>
        <v/>
      </c>
      <c r="AC57" s="55"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56"/>
      <c r="AE57" s="160"/>
      <c r="AF57" s="167"/>
      <c r="AG57" s="166">
        <v>46022</v>
      </c>
      <c r="AH57" s="166" t="s">
        <v>280</v>
      </c>
      <c r="AI57" s="160"/>
      <c r="AJ57" s="167"/>
      <c r="AK57" s="167"/>
      <c r="AL57" s="167"/>
      <c r="AM57" s="168" t="e">
        <f t="shared" si="5"/>
        <v>#DIV/0!</v>
      </c>
      <c r="AN57" s="167"/>
      <c r="AO57" s="167"/>
      <c r="AP57" s="167"/>
      <c r="AQ57" s="167"/>
      <c r="AR57" s="168" t="e">
        <f t="shared" si="6"/>
        <v>#DIV/0!</v>
      </c>
      <c r="AS57" s="167"/>
      <c r="AT57" s="167"/>
      <c r="AU57" s="8"/>
      <c r="AV57" s="8"/>
      <c r="AW57" s="8"/>
      <c r="AX57" s="8"/>
      <c r="AY57" s="8"/>
      <c r="AZ57" s="8"/>
      <c r="BA57" s="8"/>
      <c r="BB57" s="8"/>
      <c r="BC57" s="8"/>
      <c r="BD57" s="8"/>
      <c r="BE57" s="8"/>
      <c r="BF57" s="8"/>
      <c r="BG57" s="8"/>
      <c r="BH57" s="8"/>
      <c r="BI57" s="8"/>
      <c r="BJ57" s="8"/>
      <c r="BK57" s="8"/>
      <c r="BL57" s="8"/>
      <c r="BM57" s="8"/>
      <c r="BN57" s="8"/>
      <c r="BO57" s="8"/>
      <c r="BP57" s="8"/>
    </row>
    <row r="58" spans="1:68" ht="151.5" hidden="1" customHeight="1" x14ac:dyDescent="0.3">
      <c r="A58" s="239"/>
      <c r="B58" s="242"/>
      <c r="C58" s="214"/>
      <c r="D58" s="214"/>
      <c r="E58" s="245"/>
      <c r="F58" s="214"/>
      <c r="G58" s="216"/>
      <c r="H58" s="219"/>
      <c r="I58" s="222"/>
      <c r="J58" s="227"/>
      <c r="K58" s="236">
        <f ca="1">IF(NOT(ISERROR(MATCH(J58,_xlfn.ANCHORARRAY(E75),0))),I77&amp;"Por favor no seleccionar los criterios de impacto",J58)</f>
        <v>0</v>
      </c>
      <c r="L58" s="219"/>
      <c r="M58" s="222"/>
      <c r="N58" s="233"/>
      <c r="O58" s="6">
        <v>5</v>
      </c>
      <c r="P58" s="163"/>
      <c r="Q58" s="50" t="str">
        <f t="shared" si="54"/>
        <v/>
      </c>
      <c r="R58" s="51"/>
      <c r="S58" s="51"/>
      <c r="T58" s="52" t="str">
        <f t="shared" si="51"/>
        <v/>
      </c>
      <c r="U58" s="51"/>
      <c r="V58" s="51"/>
      <c r="W58" s="51"/>
      <c r="X58" s="24" t="str">
        <f t="shared" si="55"/>
        <v/>
      </c>
      <c r="Y58" s="53" t="str">
        <f t="shared" si="1"/>
        <v/>
      </c>
      <c r="Z58" s="54" t="str">
        <f t="shared" si="52"/>
        <v/>
      </c>
      <c r="AA58" s="53" t="str">
        <f t="shared" si="3"/>
        <v/>
      </c>
      <c r="AB58" s="54" t="str">
        <f t="shared" si="56"/>
        <v/>
      </c>
      <c r="AC58" s="55" t="str">
        <f t="shared" ref="AC58:AC59" si="57">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56"/>
      <c r="AE58" s="160"/>
      <c r="AF58" s="167"/>
      <c r="AG58" s="166">
        <v>46022</v>
      </c>
      <c r="AH58" s="166" t="s">
        <v>280</v>
      </c>
      <c r="AI58" s="160"/>
      <c r="AJ58" s="167"/>
      <c r="AK58" s="167"/>
      <c r="AL58" s="167"/>
      <c r="AM58" s="168" t="e">
        <f t="shared" si="5"/>
        <v>#DIV/0!</v>
      </c>
      <c r="AN58" s="167"/>
      <c r="AO58" s="167"/>
      <c r="AP58" s="167"/>
      <c r="AQ58" s="167"/>
      <c r="AR58" s="168" t="e">
        <f t="shared" si="6"/>
        <v>#DIV/0!</v>
      </c>
      <c r="AS58" s="167"/>
      <c r="AT58" s="167"/>
      <c r="AU58" s="8"/>
      <c r="AV58" s="8"/>
      <c r="AW58" s="8"/>
      <c r="AX58" s="8"/>
      <c r="AY58" s="8"/>
      <c r="AZ58" s="8"/>
      <c r="BA58" s="8"/>
      <c r="BB58" s="8"/>
      <c r="BC58" s="8"/>
      <c r="BD58" s="8"/>
      <c r="BE58" s="8"/>
      <c r="BF58" s="8"/>
      <c r="BG58" s="8"/>
      <c r="BH58" s="8"/>
      <c r="BI58" s="8"/>
      <c r="BJ58" s="8"/>
      <c r="BK58" s="8"/>
      <c r="BL58" s="8"/>
      <c r="BM58" s="8"/>
      <c r="BN58" s="8"/>
      <c r="BO58" s="8"/>
      <c r="BP58" s="8"/>
    </row>
    <row r="59" spans="1:68" ht="151.5" hidden="1" customHeight="1" x14ac:dyDescent="0.3">
      <c r="A59" s="240"/>
      <c r="B59" s="243"/>
      <c r="C59" s="215"/>
      <c r="D59" s="215"/>
      <c r="E59" s="246"/>
      <c r="F59" s="215"/>
      <c r="G59" s="217"/>
      <c r="H59" s="220"/>
      <c r="I59" s="223"/>
      <c r="J59" s="228"/>
      <c r="K59" s="237">
        <f ca="1">IF(NOT(ISERROR(MATCH(J59,_xlfn.ANCHORARRAY(E76),0))),I78&amp;"Por favor no seleccionar los criterios de impacto",J59)</f>
        <v>0</v>
      </c>
      <c r="L59" s="220"/>
      <c r="M59" s="223"/>
      <c r="N59" s="234"/>
      <c r="O59" s="6">
        <v>6</v>
      </c>
      <c r="P59" s="163"/>
      <c r="Q59" s="50" t="str">
        <f t="shared" si="54"/>
        <v/>
      </c>
      <c r="R59" s="51"/>
      <c r="S59" s="51"/>
      <c r="T59" s="52" t="str">
        <f t="shared" si="51"/>
        <v/>
      </c>
      <c r="U59" s="51"/>
      <c r="V59" s="51"/>
      <c r="W59" s="51"/>
      <c r="X59" s="24" t="str">
        <f t="shared" si="55"/>
        <v/>
      </c>
      <c r="Y59" s="53" t="str">
        <f t="shared" si="1"/>
        <v/>
      </c>
      <c r="Z59" s="54" t="str">
        <f t="shared" si="52"/>
        <v/>
      </c>
      <c r="AA59" s="53" t="str">
        <f t="shared" si="3"/>
        <v/>
      </c>
      <c r="AB59" s="54" t="str">
        <f t="shared" si="56"/>
        <v/>
      </c>
      <c r="AC59" s="55" t="str">
        <f t="shared" si="57"/>
        <v/>
      </c>
      <c r="AD59" s="56"/>
      <c r="AE59" s="160"/>
      <c r="AF59" s="167"/>
      <c r="AG59" s="166">
        <v>46022</v>
      </c>
      <c r="AH59" s="166" t="s">
        <v>280</v>
      </c>
      <c r="AI59" s="160"/>
      <c r="AJ59" s="167"/>
      <c r="AK59" s="167"/>
      <c r="AL59" s="167"/>
      <c r="AM59" s="168" t="e">
        <f t="shared" si="5"/>
        <v>#DIV/0!</v>
      </c>
      <c r="AN59" s="167"/>
      <c r="AO59" s="167"/>
      <c r="AP59" s="167"/>
      <c r="AQ59" s="167"/>
      <c r="AR59" s="168" t="e">
        <f t="shared" si="6"/>
        <v>#DIV/0!</v>
      </c>
      <c r="AS59" s="167"/>
      <c r="AT59" s="167"/>
      <c r="AU59" s="8"/>
      <c r="AV59" s="8"/>
      <c r="AW59" s="8"/>
      <c r="AX59" s="8"/>
      <c r="AY59" s="8"/>
      <c r="AZ59" s="8"/>
      <c r="BA59" s="8"/>
      <c r="BB59" s="8"/>
      <c r="BC59" s="8"/>
      <c r="BD59" s="8"/>
      <c r="BE59" s="8"/>
      <c r="BF59" s="8"/>
      <c r="BG59" s="8"/>
      <c r="BH59" s="8"/>
      <c r="BI59" s="8"/>
      <c r="BJ59" s="8"/>
      <c r="BK59" s="8"/>
      <c r="BL59" s="8"/>
      <c r="BM59" s="8"/>
      <c r="BN59" s="8"/>
      <c r="BO59" s="8"/>
      <c r="BP59" s="8"/>
    </row>
    <row r="60" spans="1:68" ht="206.25" customHeight="1" x14ac:dyDescent="0.3">
      <c r="A60" s="238">
        <v>8</v>
      </c>
      <c r="B60" s="241" t="s">
        <v>134</v>
      </c>
      <c r="C60" s="213" t="s">
        <v>219</v>
      </c>
      <c r="D60" s="213" t="s">
        <v>228</v>
      </c>
      <c r="E60" s="244" t="s">
        <v>240</v>
      </c>
      <c r="F60" s="213" t="s">
        <v>123</v>
      </c>
      <c r="G60" s="250">
        <v>3</v>
      </c>
      <c r="H60" s="218" t="str">
        <f>IF(G60&lt;=0,"",IF(G60&lt;=2,"Muy Baja",IF(G60&lt;=24,"Baja",IF(G60&lt;=500,"Media",IF(G60&lt;=5000,"Alta","Muy Alta")))))</f>
        <v>Baja</v>
      </c>
      <c r="I60" s="221">
        <f>IF(H60="","",IF(H60="Muy Baja",0.2,IF(H60="Baja",0.4,IF(H60="Media",0.6,IF(H60="Alta",0.8,IF(H60="Muy Alta",1,))))))</f>
        <v>0.4</v>
      </c>
      <c r="J60" s="226" t="s">
        <v>147</v>
      </c>
      <c r="K60" s="235" t="str">
        <f ca="1">IF(NOT(ISERROR(MATCH(J60,'Tabla Impacto'!$B$221:$B$223,0))),'Tabla Impacto'!$F$223&amp;"Por favor no seleccionar los criterios de impacto(Afectación Económica o presupuestal y Pérdida Reputacional)",J60)</f>
        <v xml:space="preserve">     Entre 50 y 100 SMLMV </v>
      </c>
      <c r="L60" s="229" t="str">
        <f ca="1">IF(OR(K60='Tabla Impacto'!$C$11,K60='Tabla Impacto'!$D$11),"Leve",IF(OR(K60='Tabla Impacto'!$C$12,K60='Tabla Impacto'!$D$12),"Menor",IF(OR(K60='Tabla Impacto'!$C$13,K60='Tabla Impacto'!$D$13),"Moderado",IF(OR(K60='Tabla Impacto'!$C$14,K60='Tabla Impacto'!$D$14),"Mayor",IF(OR(K60='Tabla Impacto'!$C$15,K60='Tabla Impacto'!$D$15),"Catastrófico","")))))</f>
        <v>Moderado</v>
      </c>
      <c r="M60" s="221">
        <f ca="1">IF(L60="","",IF(L60="Leve",0.2,IF(L60="Menor",0.4,IF(L60="Moderado",0.6,IF(L60="Mayor",0.8,IF(L60="Catastrófico",1,))))))</f>
        <v>0.6</v>
      </c>
      <c r="N60" s="232" t="str">
        <f ca="1">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Moderado</v>
      </c>
      <c r="O60" s="6">
        <v>1</v>
      </c>
      <c r="P60" s="160" t="s">
        <v>304</v>
      </c>
      <c r="Q60" s="50" t="str">
        <f t="shared" ref="Q60" si="58">IF(OR(R60="Preventivo",R60="Detectivo"),"Probabilidad",IF(R60="Correctivo","Impacto",""))</f>
        <v>Probabilidad</v>
      </c>
      <c r="R60" s="51" t="s">
        <v>15</v>
      </c>
      <c r="S60" s="51" t="s">
        <v>9</v>
      </c>
      <c r="T60" s="52" t="str">
        <f>IF(AND(R60="Preventivo",S60="Automático"),"50%",IF(AND(R60="Preventivo",S60="Manual"),"40%",IF(AND(R60="Detectivo",S60="Automático"),"40%",IF(AND(R60="Detectivo",S60="Manual"),"30%",IF(AND(R60="Correctivo",S60="Automático"),"35%",IF(AND(R60="Correctivo",S60="Manual"),"25%",""))))))</f>
        <v>30%</v>
      </c>
      <c r="U60" s="51" t="s">
        <v>19</v>
      </c>
      <c r="V60" s="51" t="s">
        <v>22</v>
      </c>
      <c r="W60" s="51" t="s">
        <v>119</v>
      </c>
      <c r="X60" s="24">
        <f>IFERROR(IF(Q60="Probabilidad",(I60-(+I60*T60)),IF(Q60="Impacto",I60,"")),"")</f>
        <v>0.28000000000000003</v>
      </c>
      <c r="Y60" s="53" t="str">
        <f t="shared" ref="Y60" si="59">IFERROR(IF(X60="","",IF(X60&lt;=0.2,"Muy Baja",IF(X60&lt;=0.4,"Baja",IF(X60&lt;=0.6,"Media",IF(X60&lt;=0.8,"Alta","Muy Alta"))))),"")</f>
        <v>Baja</v>
      </c>
      <c r="Z60" s="54">
        <f t="shared" ref="Z60" si="60">+X60</f>
        <v>0.28000000000000003</v>
      </c>
      <c r="AA60" s="53" t="str">
        <f ca="1">IFERROR(IF(AB60="","",IF(AB60&lt;=0.2,"Leve",IF(AB60&lt;=0.4,"Menor",IF(AB60&lt;=0.6,"Moderado",IF(AB60&lt;=0.8,"Mayor","Catastrófico"))))),"")</f>
        <v>Moderado</v>
      </c>
      <c r="AB60" s="54">
        <f ca="1">IFERROR(IF(Q60="Impacto",(M60-(+M60*T60)),IF(Q60="Probabilidad",M60,"")),"")</f>
        <v>0.6</v>
      </c>
      <c r="AC60" s="55" t="str">
        <f t="shared" ref="AC60:AC62" ca="1" si="61">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Moderado</v>
      </c>
      <c r="AD60" s="56" t="s">
        <v>136</v>
      </c>
      <c r="AE60" s="160" t="s">
        <v>241</v>
      </c>
      <c r="AF60" s="167" t="s">
        <v>245</v>
      </c>
      <c r="AG60" s="166">
        <v>46022</v>
      </c>
      <c r="AH60" s="166" t="s">
        <v>280</v>
      </c>
      <c r="AI60" s="160" t="s">
        <v>268</v>
      </c>
      <c r="AJ60" s="167" t="s">
        <v>41</v>
      </c>
      <c r="AK60" s="167"/>
      <c r="AL60" s="167"/>
      <c r="AM60" s="168" t="e">
        <f t="shared" si="5"/>
        <v>#DIV/0!</v>
      </c>
      <c r="AN60" s="167"/>
      <c r="AO60" s="167"/>
      <c r="AP60" s="167"/>
      <c r="AQ60" s="167"/>
      <c r="AR60" s="168" t="e">
        <f t="shared" si="6"/>
        <v>#DIV/0!</v>
      </c>
      <c r="AS60" s="167"/>
      <c r="AT60" s="167"/>
      <c r="AU60" s="8"/>
      <c r="AV60" s="8"/>
      <c r="AW60" s="8"/>
      <c r="AX60" s="8"/>
      <c r="AY60" s="8"/>
      <c r="AZ60" s="8"/>
      <c r="BA60" s="8"/>
      <c r="BB60" s="8"/>
      <c r="BC60" s="8"/>
      <c r="BD60" s="8"/>
      <c r="BE60" s="8"/>
      <c r="BF60" s="8"/>
      <c r="BG60" s="8"/>
      <c r="BH60" s="8"/>
      <c r="BI60" s="8"/>
      <c r="BJ60" s="8"/>
      <c r="BK60" s="8"/>
      <c r="BL60" s="8"/>
      <c r="BM60" s="8"/>
      <c r="BN60" s="8"/>
      <c r="BO60" s="8"/>
      <c r="BP60" s="8"/>
    </row>
    <row r="61" spans="1:68" ht="151.5" hidden="1" customHeight="1" x14ac:dyDescent="0.3">
      <c r="A61" s="239"/>
      <c r="B61" s="242"/>
      <c r="C61" s="214"/>
      <c r="D61" s="214"/>
      <c r="E61" s="245"/>
      <c r="F61" s="214"/>
      <c r="G61" s="216"/>
      <c r="H61" s="219"/>
      <c r="I61" s="222"/>
      <c r="J61" s="227"/>
      <c r="K61" s="236">
        <f ca="1">IF(NOT(ISERROR(MATCH(J61,_xlfn.ANCHORARRAY(E91),0))),I93&amp;"Por favor no seleccionar los criterios de impacto",J61)</f>
        <v>0</v>
      </c>
      <c r="L61" s="230"/>
      <c r="M61" s="222"/>
      <c r="N61" s="233"/>
      <c r="O61" s="6">
        <v>2</v>
      </c>
      <c r="P61" s="163"/>
      <c r="Q61" s="50" t="str">
        <f>IF(OR(R61="Preventivo",R61="Detectivo"),"Probabilidad",IF(R61="Correctivo","Impacto",""))</f>
        <v/>
      </c>
      <c r="R61" s="51"/>
      <c r="S61" s="51"/>
      <c r="T61" s="52" t="str">
        <f t="shared" ref="T61:T65" si="62">IF(AND(R61="Preventivo",S61="Automático"),"50%",IF(AND(R61="Preventivo",S61="Manual"),"40%",IF(AND(R61="Detectivo",S61="Automático"),"40%",IF(AND(R61="Detectivo",S61="Manual"),"30%",IF(AND(R61="Correctivo",S61="Automático"),"35%",IF(AND(R61="Correctivo",S61="Manual"),"25%",""))))))</f>
        <v/>
      </c>
      <c r="U61" s="51"/>
      <c r="V61" s="51"/>
      <c r="W61" s="51"/>
      <c r="X61" s="24" t="str">
        <f>IFERROR(IF(AND(Q60="Probabilidad",Q61="Probabilidad"),(Z60-(+Z60*T61)),IF(Q61="Probabilidad",(I60-(+I60*T61)),IF(Q61="Impacto",Z60,""))),"")</f>
        <v/>
      </c>
      <c r="Y61" s="53" t="str">
        <f t="shared" ref="Y61:Y66" si="63">IFERROR(IF(X61="","",IF(X61&lt;=0.2,"Muy Baja",IF(X61&lt;=0.4,"Baja",IF(X61&lt;=0.6,"Media",IF(X61&lt;=0.8,"Alta","Muy Alta"))))),"")</f>
        <v/>
      </c>
      <c r="Z61" s="54" t="str">
        <f t="shared" ref="Z61:Z66" si="64">+X61</f>
        <v/>
      </c>
      <c r="AA61" s="53" t="str">
        <f t="shared" ref="AA61:AA65" si="65">IFERROR(IF(AB61="","",IF(AB61&lt;=0.2,"Leve",IF(AB61&lt;=0.4,"Menor",IF(AB61&lt;=0.6,"Moderado",IF(AB61&lt;=0.8,"Mayor","Catastrófico"))))),"")</f>
        <v/>
      </c>
      <c r="AB61" s="54" t="str">
        <f>IFERROR(IF(AND(Q60="Impacto",Q61="Impacto"),(#REF!-(+#REF!*T61)),IF(Q61="Impacto",(#REF!-(+#REF!*T61)),IF(Q61="Probabilidad",#REF!,""))),"")</f>
        <v/>
      </c>
      <c r="AC61" s="55" t="str">
        <f t="shared" si="61"/>
        <v/>
      </c>
      <c r="AD61" s="56"/>
      <c r="AE61" s="160"/>
      <c r="AF61" s="167"/>
      <c r="AG61" s="166">
        <v>46022</v>
      </c>
      <c r="AH61" s="166" t="s">
        <v>280</v>
      </c>
      <c r="AI61" s="160"/>
      <c r="AJ61" s="169"/>
      <c r="AK61" s="167"/>
      <c r="AL61" s="167"/>
      <c r="AM61" s="168" t="e">
        <f t="shared" si="5"/>
        <v>#DIV/0!</v>
      </c>
      <c r="AN61" s="167"/>
      <c r="AO61" s="167"/>
      <c r="AP61" s="167"/>
      <c r="AQ61" s="167"/>
      <c r="AR61" s="168" t="e">
        <f t="shared" si="6"/>
        <v>#DIV/0!</v>
      </c>
      <c r="AS61" s="167"/>
      <c r="AT61" s="167"/>
      <c r="AU61" s="8"/>
      <c r="AV61" s="8"/>
      <c r="AW61" s="8"/>
      <c r="AX61" s="8"/>
      <c r="AY61" s="8"/>
      <c r="AZ61" s="8"/>
      <c r="BA61" s="8"/>
      <c r="BB61" s="8"/>
      <c r="BC61" s="8"/>
      <c r="BD61" s="8"/>
      <c r="BE61" s="8"/>
      <c r="BF61" s="8"/>
      <c r="BG61" s="8"/>
      <c r="BH61" s="8"/>
      <c r="BI61" s="8"/>
      <c r="BJ61" s="8"/>
      <c r="BK61" s="8"/>
      <c r="BL61" s="8"/>
      <c r="BM61" s="8"/>
      <c r="BN61" s="8"/>
      <c r="BO61" s="8"/>
      <c r="BP61" s="8"/>
    </row>
    <row r="62" spans="1:68" ht="151.5" hidden="1" customHeight="1" x14ac:dyDescent="0.3">
      <c r="A62" s="239"/>
      <c r="B62" s="242"/>
      <c r="C62" s="214"/>
      <c r="D62" s="214"/>
      <c r="E62" s="245"/>
      <c r="F62" s="214"/>
      <c r="G62" s="216"/>
      <c r="H62" s="219"/>
      <c r="I62" s="222"/>
      <c r="J62" s="227"/>
      <c r="K62" s="236">
        <f ca="1">IF(NOT(ISERROR(MATCH(J62,_xlfn.ANCHORARRAY(E92),0))),I94&amp;"Por favor no seleccionar los criterios de impacto",J62)</f>
        <v>0</v>
      </c>
      <c r="L62" s="230"/>
      <c r="M62" s="222"/>
      <c r="N62" s="233"/>
      <c r="O62" s="6">
        <v>3</v>
      </c>
      <c r="P62" s="163"/>
      <c r="Q62" s="50" t="str">
        <f>IF(OR(R62="Preventivo",R62="Detectivo"),"Probabilidad",IF(R62="Correctivo","Impacto",""))</f>
        <v/>
      </c>
      <c r="R62" s="51"/>
      <c r="S62" s="51"/>
      <c r="T62" s="52" t="str">
        <f t="shared" si="62"/>
        <v/>
      </c>
      <c r="U62" s="51"/>
      <c r="V62" s="51"/>
      <c r="W62" s="51"/>
      <c r="X62" s="24" t="str">
        <f>IFERROR(IF(AND(Q61="Probabilidad",Q62="Probabilidad"),(Z61-(+Z61*T62)),IF(AND(Q61="Impacto",Q62="Probabilidad"),(Z60-(+Z60*T62)),IF(Q62="Impacto",Z61,""))),"")</f>
        <v/>
      </c>
      <c r="Y62" s="53" t="str">
        <f t="shared" si="63"/>
        <v/>
      </c>
      <c r="Z62" s="54" t="str">
        <f t="shared" si="64"/>
        <v/>
      </c>
      <c r="AA62" s="53" t="str">
        <f t="shared" si="65"/>
        <v/>
      </c>
      <c r="AB62" s="54" t="str">
        <f>IFERROR(IF(AND(Q61="Impacto",Q62="Impacto"),(AB61-(+AB61*T62)),IF(AND(Q61="Probabilidad",Q62="Impacto"),(AB60-(+AB60*T62)),IF(Q62="Probabilidad",AB61,""))),"")</f>
        <v/>
      </c>
      <c r="AC62" s="55" t="str">
        <f t="shared" si="61"/>
        <v/>
      </c>
      <c r="AD62" s="56"/>
      <c r="AE62" s="160"/>
      <c r="AF62" s="167"/>
      <c r="AG62" s="166">
        <v>46022</v>
      </c>
      <c r="AH62" s="166" t="s">
        <v>280</v>
      </c>
      <c r="AI62" s="160"/>
      <c r="AJ62" s="167"/>
      <c r="AK62" s="167"/>
      <c r="AL62" s="167"/>
      <c r="AM62" s="168" t="e">
        <f t="shared" si="5"/>
        <v>#DIV/0!</v>
      </c>
      <c r="AN62" s="167"/>
      <c r="AO62" s="167"/>
      <c r="AP62" s="167"/>
      <c r="AQ62" s="167"/>
      <c r="AR62" s="168" t="e">
        <f t="shared" si="6"/>
        <v>#DIV/0!</v>
      </c>
      <c r="AS62" s="167"/>
      <c r="AT62" s="167"/>
      <c r="AU62" s="8"/>
      <c r="AV62" s="8"/>
      <c r="AW62" s="8"/>
      <c r="AX62" s="8"/>
      <c r="AY62" s="8"/>
      <c r="AZ62" s="8"/>
      <c r="BA62" s="8"/>
      <c r="BB62" s="8"/>
      <c r="BC62" s="8"/>
      <c r="BD62" s="8"/>
      <c r="BE62" s="8"/>
      <c r="BF62" s="8"/>
      <c r="BG62" s="8"/>
      <c r="BH62" s="8"/>
      <c r="BI62" s="8"/>
      <c r="BJ62" s="8"/>
      <c r="BK62" s="8"/>
      <c r="BL62" s="8"/>
      <c r="BM62" s="8"/>
      <c r="BN62" s="8"/>
      <c r="BO62" s="8"/>
      <c r="BP62" s="8"/>
    </row>
    <row r="63" spans="1:68" ht="151.5" hidden="1" customHeight="1" x14ac:dyDescent="0.3">
      <c r="A63" s="239"/>
      <c r="B63" s="242"/>
      <c r="C63" s="214"/>
      <c r="D63" s="214"/>
      <c r="E63" s="245"/>
      <c r="F63" s="214"/>
      <c r="G63" s="216"/>
      <c r="H63" s="219"/>
      <c r="I63" s="222"/>
      <c r="J63" s="227"/>
      <c r="K63" s="236">
        <f ca="1">IF(NOT(ISERROR(MATCH(J63,_xlfn.ANCHORARRAY(E93),0))),I95&amp;"Por favor no seleccionar los criterios de impacto",J63)</f>
        <v>0</v>
      </c>
      <c r="L63" s="230"/>
      <c r="M63" s="222"/>
      <c r="N63" s="233"/>
      <c r="O63" s="6">
        <v>4</v>
      </c>
      <c r="P63" s="163"/>
      <c r="Q63" s="50" t="str">
        <f t="shared" ref="Q63:Q66" si="66">IF(OR(R63="Preventivo",R63="Detectivo"),"Probabilidad",IF(R63="Correctivo","Impacto",""))</f>
        <v/>
      </c>
      <c r="R63" s="51"/>
      <c r="S63" s="51"/>
      <c r="T63" s="52" t="str">
        <f t="shared" si="62"/>
        <v/>
      </c>
      <c r="U63" s="51"/>
      <c r="V63" s="51"/>
      <c r="W63" s="51"/>
      <c r="X63" s="24" t="str">
        <f t="shared" ref="X63:X65" si="67">IFERROR(IF(AND(Q62="Probabilidad",Q63="Probabilidad"),(Z62-(+Z62*T63)),IF(AND(Q62="Impacto",Q63="Probabilidad"),(Z61-(+Z61*T63)),IF(Q63="Impacto",Z62,""))),"")</f>
        <v/>
      </c>
      <c r="Y63" s="53" t="str">
        <f t="shared" si="63"/>
        <v/>
      </c>
      <c r="Z63" s="54" t="str">
        <f t="shared" si="64"/>
        <v/>
      </c>
      <c r="AA63" s="53" t="str">
        <f t="shared" si="65"/>
        <v/>
      </c>
      <c r="AB63" s="54" t="str">
        <f t="shared" ref="AB63:AB65" si="68">IFERROR(IF(AND(Q62="Impacto",Q63="Impacto"),(AB62-(+AB62*T63)),IF(AND(Q62="Probabilidad",Q63="Impacto"),(AB61-(+AB61*T63)),IF(Q63="Probabilidad",AB62,""))),"")</f>
        <v/>
      </c>
      <c r="AC63" s="55"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56"/>
      <c r="AE63" s="160"/>
      <c r="AF63" s="167"/>
      <c r="AG63" s="166">
        <v>46022</v>
      </c>
      <c r="AH63" s="166" t="s">
        <v>280</v>
      </c>
      <c r="AI63" s="160"/>
      <c r="AJ63" s="167"/>
      <c r="AK63" s="167"/>
      <c r="AL63" s="167"/>
      <c r="AM63" s="168" t="e">
        <f t="shared" si="5"/>
        <v>#DIV/0!</v>
      </c>
      <c r="AN63" s="167"/>
      <c r="AO63" s="167"/>
      <c r="AP63" s="167"/>
      <c r="AQ63" s="167"/>
      <c r="AR63" s="168" t="e">
        <f t="shared" si="6"/>
        <v>#DIV/0!</v>
      </c>
      <c r="AS63" s="167"/>
      <c r="AT63" s="167"/>
      <c r="AU63" s="8"/>
      <c r="AV63" s="8"/>
      <c r="AW63" s="8"/>
      <c r="AX63" s="8"/>
      <c r="AY63" s="8"/>
      <c r="AZ63" s="8"/>
      <c r="BA63" s="8"/>
      <c r="BB63" s="8"/>
      <c r="BC63" s="8"/>
      <c r="BD63" s="8"/>
      <c r="BE63" s="8"/>
      <c r="BF63" s="8"/>
      <c r="BG63" s="8"/>
      <c r="BH63" s="8"/>
      <c r="BI63" s="8"/>
      <c r="BJ63" s="8"/>
      <c r="BK63" s="8"/>
      <c r="BL63" s="8"/>
      <c r="BM63" s="8"/>
      <c r="BN63" s="8"/>
      <c r="BO63" s="8"/>
      <c r="BP63" s="8"/>
    </row>
    <row r="64" spans="1:68" ht="151.5" hidden="1" customHeight="1" x14ac:dyDescent="0.3">
      <c r="A64" s="239"/>
      <c r="B64" s="242"/>
      <c r="C64" s="214"/>
      <c r="D64" s="214"/>
      <c r="E64" s="245"/>
      <c r="F64" s="214"/>
      <c r="G64" s="216"/>
      <c r="H64" s="219"/>
      <c r="I64" s="222"/>
      <c r="J64" s="227"/>
      <c r="K64" s="236">
        <f ca="1">IF(NOT(ISERROR(MATCH(J64,_xlfn.ANCHORARRAY(E94),0))),I96&amp;"Por favor no seleccionar los criterios de impacto",J64)</f>
        <v>0</v>
      </c>
      <c r="L64" s="230"/>
      <c r="M64" s="222"/>
      <c r="N64" s="233"/>
      <c r="O64" s="6">
        <v>5</v>
      </c>
      <c r="P64" s="163"/>
      <c r="Q64" s="50" t="str">
        <f t="shared" si="66"/>
        <v/>
      </c>
      <c r="R64" s="51"/>
      <c r="S64" s="51"/>
      <c r="T64" s="52" t="str">
        <f t="shared" si="62"/>
        <v/>
      </c>
      <c r="U64" s="51"/>
      <c r="V64" s="51"/>
      <c r="W64" s="51"/>
      <c r="X64" s="24" t="str">
        <f t="shared" si="67"/>
        <v/>
      </c>
      <c r="Y64" s="53" t="str">
        <f t="shared" si="63"/>
        <v/>
      </c>
      <c r="Z64" s="54" t="str">
        <f t="shared" si="64"/>
        <v/>
      </c>
      <c r="AA64" s="53" t="str">
        <f t="shared" si="65"/>
        <v/>
      </c>
      <c r="AB64" s="54" t="str">
        <f t="shared" si="68"/>
        <v/>
      </c>
      <c r="AC64" s="55" t="str">
        <f t="shared" ref="AC64:AC68" si="69">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56"/>
      <c r="AE64" s="160"/>
      <c r="AF64" s="167"/>
      <c r="AG64" s="166">
        <v>46022</v>
      </c>
      <c r="AH64" s="166" t="s">
        <v>280</v>
      </c>
      <c r="AI64" s="160"/>
      <c r="AJ64" s="167"/>
      <c r="AK64" s="167"/>
      <c r="AL64" s="167"/>
      <c r="AM64" s="168" t="e">
        <f t="shared" si="5"/>
        <v>#DIV/0!</v>
      </c>
      <c r="AN64" s="167"/>
      <c r="AO64" s="167"/>
      <c r="AP64" s="167"/>
      <c r="AQ64" s="167"/>
      <c r="AR64" s="168" t="e">
        <f t="shared" si="6"/>
        <v>#DIV/0!</v>
      </c>
      <c r="AS64" s="167"/>
      <c r="AT64" s="167"/>
      <c r="AU64" s="8"/>
      <c r="AV64" s="8"/>
      <c r="AW64" s="8"/>
      <c r="AX64" s="8"/>
      <c r="AY64" s="8"/>
      <c r="AZ64" s="8"/>
      <c r="BA64" s="8"/>
      <c r="BB64" s="8"/>
      <c r="BC64" s="8"/>
      <c r="BD64" s="8"/>
      <c r="BE64" s="8"/>
      <c r="BF64" s="8"/>
      <c r="BG64" s="8"/>
      <c r="BH64" s="8"/>
      <c r="BI64" s="8"/>
      <c r="BJ64" s="8"/>
      <c r="BK64" s="8"/>
      <c r="BL64" s="8"/>
      <c r="BM64" s="8"/>
      <c r="BN64" s="8"/>
      <c r="BO64" s="8"/>
      <c r="BP64" s="8"/>
    </row>
    <row r="65" spans="1:68" ht="151.5" hidden="1" customHeight="1" x14ac:dyDescent="0.3">
      <c r="A65" s="239"/>
      <c r="B65" s="243"/>
      <c r="C65" s="214"/>
      <c r="D65" s="214"/>
      <c r="E65" s="245"/>
      <c r="F65" s="215"/>
      <c r="G65" s="251"/>
      <c r="H65" s="220"/>
      <c r="I65" s="223"/>
      <c r="J65" s="228"/>
      <c r="K65" s="237">
        <f ca="1">IF(NOT(ISERROR(MATCH(J65,_xlfn.ANCHORARRAY(E95),0))),I97&amp;"Por favor no seleccionar los criterios de impacto",J65)</f>
        <v>0</v>
      </c>
      <c r="L65" s="231"/>
      <c r="M65" s="223"/>
      <c r="N65" s="234"/>
      <c r="O65" s="6">
        <v>6</v>
      </c>
      <c r="P65" s="163"/>
      <c r="Q65" s="50" t="str">
        <f t="shared" si="66"/>
        <v/>
      </c>
      <c r="R65" s="51"/>
      <c r="S65" s="51"/>
      <c r="T65" s="52" t="str">
        <f t="shared" si="62"/>
        <v/>
      </c>
      <c r="U65" s="51"/>
      <c r="V65" s="51"/>
      <c r="W65" s="51"/>
      <c r="X65" s="24" t="str">
        <f t="shared" si="67"/>
        <v/>
      </c>
      <c r="Y65" s="53" t="str">
        <f t="shared" si="63"/>
        <v/>
      </c>
      <c r="Z65" s="54" t="str">
        <f t="shared" si="64"/>
        <v/>
      </c>
      <c r="AA65" s="53" t="str">
        <f t="shared" si="65"/>
        <v/>
      </c>
      <c r="AB65" s="54" t="str">
        <f t="shared" si="68"/>
        <v/>
      </c>
      <c r="AC65" s="55" t="str">
        <f t="shared" si="69"/>
        <v/>
      </c>
      <c r="AD65" s="56"/>
      <c r="AE65" s="160"/>
      <c r="AF65" s="167"/>
      <c r="AG65" s="166">
        <v>46022</v>
      </c>
      <c r="AH65" s="166" t="s">
        <v>280</v>
      </c>
      <c r="AI65" s="160"/>
      <c r="AJ65" s="167"/>
      <c r="AK65" s="167"/>
      <c r="AL65" s="167"/>
      <c r="AM65" s="168" t="e">
        <f t="shared" si="5"/>
        <v>#DIV/0!</v>
      </c>
      <c r="AN65" s="167"/>
      <c r="AO65" s="167"/>
      <c r="AP65" s="167"/>
      <c r="AQ65" s="167"/>
      <c r="AR65" s="168" t="e">
        <f t="shared" si="6"/>
        <v>#DIV/0!</v>
      </c>
      <c r="AS65" s="167"/>
      <c r="AT65" s="167"/>
      <c r="AU65" s="8"/>
      <c r="AV65" s="8"/>
      <c r="AW65" s="8"/>
      <c r="AX65" s="8"/>
      <c r="AY65" s="8"/>
      <c r="AZ65" s="8"/>
      <c r="BA65" s="8"/>
      <c r="BB65" s="8"/>
      <c r="BC65" s="8"/>
      <c r="BD65" s="8"/>
      <c r="BE65" s="8"/>
      <c r="BF65" s="8"/>
      <c r="BG65" s="8"/>
      <c r="BH65" s="8"/>
      <c r="BI65" s="8"/>
      <c r="BJ65" s="8"/>
      <c r="BK65" s="8"/>
      <c r="BL65" s="8"/>
      <c r="BM65" s="8"/>
      <c r="BN65" s="8"/>
      <c r="BO65" s="8"/>
      <c r="BP65" s="8"/>
    </row>
    <row r="66" spans="1:68" ht="233.25" customHeight="1" x14ac:dyDescent="0.3">
      <c r="A66" s="239">
        <v>9</v>
      </c>
      <c r="B66" s="241" t="s">
        <v>132</v>
      </c>
      <c r="C66" s="213" t="s">
        <v>223</v>
      </c>
      <c r="D66" s="213" t="s">
        <v>224</v>
      </c>
      <c r="E66" s="244" t="s">
        <v>225</v>
      </c>
      <c r="F66" s="213" t="s">
        <v>128</v>
      </c>
      <c r="G66" s="216">
        <v>4</v>
      </c>
      <c r="H66" s="218" t="str">
        <f>IF(G66&lt;=0,"",IF(G66&lt;=2,"Muy Baja",IF(G66&lt;=24,"Baja",IF(G66&lt;=500,"Media",IF(G66&lt;=5000,"Alta","Muy Alta")))))</f>
        <v>Baja</v>
      </c>
      <c r="I66" s="221">
        <f>IF(H66="","",IF(H66="Muy Baja",0.2,IF(H66="Baja",0.4,IF(H66="Media",0.6,IF(H66="Alta",0.8,IF(H66="Muy Alta",1,))))))</f>
        <v>0.4</v>
      </c>
      <c r="J66" s="226" t="s">
        <v>154</v>
      </c>
      <c r="K66" s="235" t="str">
        <f ca="1">IF(NOT(ISERROR(MATCH(J66,'Tabla Impacto'!$B$221:$B$223,0))),'Tabla Impacto'!$F$223&amp;"Por favor no seleccionar los criterios de impacto(Afectación Económica o presupuestal y Pérdida Reputacional)",J66)</f>
        <v xml:space="preserve">     El riesgo afecta la imagen de de la entidad con efecto publicitario sostenido a nivel de sector administrativo, nivel departamental o municipal</v>
      </c>
      <c r="L66" s="229" t="str">
        <f ca="1">IF(OR(K66='Tabla Impacto'!$C$11,K66='Tabla Impacto'!$D$11),"Leve",IF(OR(K66='Tabla Impacto'!$C$12,K66='Tabla Impacto'!$D$12),"Menor",IF(OR(K66='Tabla Impacto'!$C$13,K66='Tabla Impacto'!$D$13),"Moderado",IF(OR(K66='Tabla Impacto'!$C$14,K66='Tabla Impacto'!$D$14),"Mayor",IF(OR(K66='Tabla Impacto'!$C$15,K66='Tabla Impacto'!$D$15),"Catastrófico","")))))</f>
        <v>Mayor</v>
      </c>
      <c r="M66" s="221">
        <f ca="1">IF(L66="","",IF(L66="Leve",0.2,IF(L66="Menor",0.4,IF(L66="Moderado",0.6,IF(L66="Mayor",0.8,IF(L66="Catastrófico",1,))))))</f>
        <v>0.8</v>
      </c>
      <c r="N66" s="232" t="str">
        <f ca="1">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Alto</v>
      </c>
      <c r="O66" s="6">
        <v>1</v>
      </c>
      <c r="P66" s="164" t="s">
        <v>305</v>
      </c>
      <c r="Q66" s="50" t="str">
        <f t="shared" si="66"/>
        <v>Probabilidad</v>
      </c>
      <c r="R66" s="51" t="s">
        <v>14</v>
      </c>
      <c r="S66" s="51" t="s">
        <v>9</v>
      </c>
      <c r="T66" s="52" t="str">
        <f>IF(AND(R66="Preventivo",S66="Automático"),"50%",IF(AND(R66="Preventivo",S66="Manual"),"40%",IF(AND(R66="Detectivo",S66="Automático"),"40%",IF(AND(R66="Detectivo",S66="Manual"),"30%",IF(AND(R66="Correctivo",S66="Automático"),"35%",IF(AND(R66="Correctivo",S66="Manual"),"25%",""))))))</f>
        <v>40%</v>
      </c>
      <c r="U66" s="51" t="s">
        <v>19</v>
      </c>
      <c r="V66" s="51" t="s">
        <v>22</v>
      </c>
      <c r="W66" s="51" t="s">
        <v>119</v>
      </c>
      <c r="X66" s="24">
        <f>IFERROR(IF(Q66="Probabilidad",(I66-(+I66*T66)),IF(Q66="Impacto",I66,"")),"")</f>
        <v>0.24</v>
      </c>
      <c r="Y66" s="53" t="str">
        <f t="shared" si="63"/>
        <v>Baja</v>
      </c>
      <c r="Z66" s="54">
        <f t="shared" si="64"/>
        <v>0.24</v>
      </c>
      <c r="AA66" s="53" t="str">
        <f ca="1">IFERROR(IF(AB66="","",IF(AB66&lt;=0.2,"Leve",IF(AB66&lt;=0.4,"Menor",IF(AB66&lt;=0.6,"Moderado",IF(AB66&lt;=0.8,"Mayor","Catastrófico"))))),"")</f>
        <v>Mayor</v>
      </c>
      <c r="AB66" s="54">
        <f ca="1">IFERROR(IF(Q66="Impacto",(M66-(+M66*T66)),IF(Q66="Probabilidad",M66,"")),"")</f>
        <v>0.8</v>
      </c>
      <c r="AC66" s="55" t="str">
        <f t="shared" ca="1" si="69"/>
        <v>Alto</v>
      </c>
      <c r="AD66" s="56" t="s">
        <v>136</v>
      </c>
      <c r="AE66" s="160" t="s">
        <v>261</v>
      </c>
      <c r="AF66" s="165" t="s">
        <v>232</v>
      </c>
      <c r="AG66" s="166">
        <v>46022</v>
      </c>
      <c r="AH66" s="166" t="s">
        <v>280</v>
      </c>
      <c r="AI66" s="160" t="s">
        <v>311</v>
      </c>
      <c r="AJ66" s="167" t="s">
        <v>41</v>
      </c>
      <c r="AK66" s="167"/>
      <c r="AL66" s="167"/>
      <c r="AM66" s="168" t="e">
        <f t="shared" si="5"/>
        <v>#DIV/0!</v>
      </c>
      <c r="AN66" s="167"/>
      <c r="AO66" s="167"/>
      <c r="AP66" s="167"/>
      <c r="AQ66" s="167"/>
      <c r="AR66" s="168" t="e">
        <f t="shared" si="6"/>
        <v>#DIV/0!</v>
      </c>
      <c r="AS66" s="167"/>
      <c r="AT66" s="167"/>
      <c r="AU66" s="8"/>
      <c r="AV66" s="8"/>
      <c r="AW66" s="8"/>
      <c r="AX66" s="8"/>
      <c r="AY66" s="8"/>
      <c r="AZ66" s="8"/>
      <c r="BA66" s="8"/>
      <c r="BB66" s="8"/>
      <c r="BC66" s="8"/>
      <c r="BD66" s="8"/>
      <c r="BE66" s="8"/>
      <c r="BF66" s="8"/>
      <c r="BG66" s="8"/>
      <c r="BH66" s="8"/>
      <c r="BI66" s="8"/>
      <c r="BJ66" s="8"/>
      <c r="BK66" s="8"/>
      <c r="BL66" s="8"/>
      <c r="BM66" s="8"/>
      <c r="BN66" s="8"/>
      <c r="BO66" s="8"/>
      <c r="BP66" s="8"/>
    </row>
    <row r="67" spans="1:68" ht="151.5" hidden="1" customHeight="1" x14ac:dyDescent="0.3">
      <c r="A67" s="239"/>
      <c r="B67" s="242"/>
      <c r="C67" s="214"/>
      <c r="D67" s="214"/>
      <c r="E67" s="245"/>
      <c r="F67" s="214"/>
      <c r="G67" s="216"/>
      <c r="H67" s="219"/>
      <c r="I67" s="222"/>
      <c r="J67" s="227"/>
      <c r="K67" s="236">
        <f ca="1">IF(NOT(ISERROR(MATCH(J67,_xlfn.ANCHORARRAY(E97),0))),I99&amp;"Por favor no seleccionar los criterios de impacto",J67)</f>
        <v>0</v>
      </c>
      <c r="L67" s="230"/>
      <c r="M67" s="222"/>
      <c r="N67" s="233"/>
      <c r="O67" s="6">
        <v>2</v>
      </c>
      <c r="P67" s="163"/>
      <c r="Q67" s="50" t="str">
        <f>IF(OR(R67="Preventivo",R67="Detectivo"),"Probabilidad",IF(R67="Correctivo","Impacto",""))</f>
        <v/>
      </c>
      <c r="R67" s="51"/>
      <c r="S67" s="51"/>
      <c r="T67" s="52" t="str">
        <f t="shared" ref="T67:T71" si="70">IF(AND(R67="Preventivo",S67="Automático"),"50%",IF(AND(R67="Preventivo",S67="Manual"),"40%",IF(AND(R67="Detectivo",S67="Automático"),"40%",IF(AND(R67="Detectivo",S67="Manual"),"30%",IF(AND(R67="Correctivo",S67="Automático"),"35%",IF(AND(R67="Correctivo",S67="Manual"),"25%",""))))))</f>
        <v/>
      </c>
      <c r="U67" s="51"/>
      <c r="V67" s="51"/>
      <c r="W67" s="51"/>
      <c r="X67" s="24" t="str">
        <f>IFERROR(IF(AND(Q66="Probabilidad",Q67="Probabilidad"),(Z66-(+Z66*T67)),IF(Q67="Probabilidad",(I66-(+I66*T67)),IF(Q67="Impacto",Z66,""))),"")</f>
        <v/>
      </c>
      <c r="Y67" s="53" t="str">
        <f t="shared" ref="Y67:Y72" si="71">IFERROR(IF(X67="","",IF(X67&lt;=0.2,"Muy Baja",IF(X67&lt;=0.4,"Baja",IF(X67&lt;=0.6,"Media",IF(X67&lt;=0.8,"Alta","Muy Alta"))))),"")</f>
        <v/>
      </c>
      <c r="Z67" s="54" t="str">
        <f t="shared" ref="Z67:Z72" si="72">+X67</f>
        <v/>
      </c>
      <c r="AA67" s="53" t="str">
        <f t="shared" ref="AA67:AA71" si="73">IFERROR(IF(AB67="","",IF(AB67&lt;=0.2,"Leve",IF(AB67&lt;=0.4,"Menor",IF(AB67&lt;=0.6,"Moderado",IF(AB67&lt;=0.8,"Mayor","Catastrófico"))))),"")</f>
        <v/>
      </c>
      <c r="AB67" s="54" t="str">
        <f>IFERROR(IF(AND(Q66="Impacto",Q67="Impacto"),(AB60-(+AB60*T67)),IF(Q67="Impacto",(#REF!-(+#REF!*T67)),IF(Q67="Probabilidad",AB60,""))),"")</f>
        <v/>
      </c>
      <c r="AC67" s="55" t="str">
        <f t="shared" si="69"/>
        <v/>
      </c>
      <c r="AD67" s="56"/>
      <c r="AE67" s="160"/>
      <c r="AF67" s="167"/>
      <c r="AG67" s="166">
        <v>46022</v>
      </c>
      <c r="AH67" s="166" t="s">
        <v>280</v>
      </c>
      <c r="AI67" s="160" t="s">
        <v>269</v>
      </c>
      <c r="AJ67" s="169"/>
      <c r="AK67" s="167"/>
      <c r="AL67" s="167"/>
      <c r="AM67" s="168" t="e">
        <f t="shared" si="5"/>
        <v>#DIV/0!</v>
      </c>
      <c r="AN67" s="167"/>
      <c r="AO67" s="167"/>
      <c r="AP67" s="167"/>
      <c r="AQ67" s="167"/>
      <c r="AR67" s="168" t="e">
        <f t="shared" si="6"/>
        <v>#DIV/0!</v>
      </c>
      <c r="AS67" s="167"/>
      <c r="AT67" s="167"/>
      <c r="AU67" s="8"/>
      <c r="AV67" s="8"/>
      <c r="AW67" s="8"/>
      <c r="AX67" s="8"/>
      <c r="AY67" s="8"/>
      <c r="AZ67" s="8"/>
      <c r="BA67" s="8"/>
      <c r="BB67" s="8"/>
      <c r="BC67" s="8"/>
      <c r="BD67" s="8"/>
      <c r="BE67" s="8"/>
      <c r="BF67" s="8"/>
      <c r="BG67" s="8"/>
      <c r="BH67" s="8"/>
      <c r="BI67" s="8"/>
      <c r="BJ67" s="8"/>
      <c r="BK67" s="8"/>
      <c r="BL67" s="8"/>
      <c r="BM67" s="8"/>
      <c r="BN67" s="8"/>
      <c r="BO67" s="8"/>
      <c r="BP67" s="8"/>
    </row>
    <row r="68" spans="1:68" ht="151.5" hidden="1" customHeight="1" x14ac:dyDescent="0.3">
      <c r="A68" s="239"/>
      <c r="B68" s="242"/>
      <c r="C68" s="214"/>
      <c r="D68" s="214"/>
      <c r="E68" s="245"/>
      <c r="F68" s="214"/>
      <c r="G68" s="216"/>
      <c r="H68" s="219"/>
      <c r="I68" s="222"/>
      <c r="J68" s="227"/>
      <c r="K68" s="236">
        <f ca="1">IF(NOT(ISERROR(MATCH(J68,_xlfn.ANCHORARRAY(E98),0))),I100&amp;"Por favor no seleccionar los criterios de impacto",J68)</f>
        <v>0</v>
      </c>
      <c r="L68" s="230"/>
      <c r="M68" s="222"/>
      <c r="N68" s="233"/>
      <c r="O68" s="6">
        <v>3</v>
      </c>
      <c r="P68" s="163"/>
      <c r="Q68" s="50" t="str">
        <f>IF(OR(R68="Preventivo",R68="Detectivo"),"Probabilidad",IF(R68="Correctivo","Impacto",""))</f>
        <v/>
      </c>
      <c r="R68" s="51"/>
      <c r="S68" s="51"/>
      <c r="T68" s="52" t="str">
        <f t="shared" si="70"/>
        <v/>
      </c>
      <c r="U68" s="51"/>
      <c r="V68" s="51"/>
      <c r="W68" s="51"/>
      <c r="X68" s="24" t="str">
        <f>IFERROR(IF(AND(Q67="Probabilidad",Q68="Probabilidad"),(Z67-(+Z67*T68)),IF(AND(Q67="Impacto",Q68="Probabilidad"),(Z66-(+Z66*T68)),IF(Q68="Impacto",Z67,""))),"")</f>
        <v/>
      </c>
      <c r="Y68" s="53" t="str">
        <f t="shared" si="71"/>
        <v/>
      </c>
      <c r="Z68" s="54" t="str">
        <f t="shared" si="72"/>
        <v/>
      </c>
      <c r="AA68" s="53" t="str">
        <f t="shared" si="73"/>
        <v/>
      </c>
      <c r="AB68" s="54" t="str">
        <f>IFERROR(IF(AND(Q67="Impacto",Q68="Impacto"),(AB67-(+AB67*T68)),IF(AND(Q67="Probabilidad",Q68="Impacto"),(AB66-(+AB66*T68)),IF(Q68="Probabilidad",AB67,""))),"")</f>
        <v/>
      </c>
      <c r="AC68" s="55" t="str">
        <f t="shared" si="69"/>
        <v/>
      </c>
      <c r="AD68" s="56"/>
      <c r="AE68" s="160"/>
      <c r="AF68" s="167"/>
      <c r="AG68" s="166">
        <v>46022</v>
      </c>
      <c r="AH68" s="166" t="s">
        <v>280</v>
      </c>
      <c r="AI68" s="160" t="s">
        <v>269</v>
      </c>
      <c r="AJ68" s="167"/>
      <c r="AK68" s="167"/>
      <c r="AL68" s="167"/>
      <c r="AM68" s="168" t="e">
        <f t="shared" si="5"/>
        <v>#DIV/0!</v>
      </c>
      <c r="AN68" s="167"/>
      <c r="AO68" s="167"/>
      <c r="AP68" s="167"/>
      <c r="AQ68" s="167"/>
      <c r="AR68" s="168" t="e">
        <f t="shared" si="6"/>
        <v>#DIV/0!</v>
      </c>
      <c r="AS68" s="167"/>
      <c r="AT68" s="167"/>
      <c r="AU68" s="8"/>
      <c r="AV68" s="8"/>
      <c r="AW68" s="8"/>
      <c r="AX68" s="8"/>
      <c r="AY68" s="8"/>
      <c r="AZ68" s="8"/>
      <c r="BA68" s="8"/>
      <c r="BB68" s="8"/>
      <c r="BC68" s="8"/>
      <c r="BD68" s="8"/>
      <c r="BE68" s="8"/>
      <c r="BF68" s="8"/>
      <c r="BG68" s="8"/>
      <c r="BH68" s="8"/>
      <c r="BI68" s="8"/>
      <c r="BJ68" s="8"/>
      <c r="BK68" s="8"/>
      <c r="BL68" s="8"/>
      <c r="BM68" s="8"/>
      <c r="BN68" s="8"/>
      <c r="BO68" s="8"/>
      <c r="BP68" s="8"/>
    </row>
    <row r="69" spans="1:68" ht="151.5" hidden="1" customHeight="1" x14ac:dyDescent="0.3">
      <c r="A69" s="239"/>
      <c r="B69" s="242"/>
      <c r="C69" s="214"/>
      <c r="D69" s="214"/>
      <c r="E69" s="245"/>
      <c r="F69" s="214"/>
      <c r="G69" s="216"/>
      <c r="H69" s="219"/>
      <c r="I69" s="222"/>
      <c r="J69" s="227"/>
      <c r="K69" s="236">
        <f ca="1">IF(NOT(ISERROR(MATCH(J69,_xlfn.ANCHORARRAY(E99),0))),I101&amp;"Por favor no seleccionar los criterios de impacto",J69)</f>
        <v>0</v>
      </c>
      <c r="L69" s="230"/>
      <c r="M69" s="222"/>
      <c r="N69" s="233"/>
      <c r="O69" s="6">
        <v>4</v>
      </c>
      <c r="P69" s="163"/>
      <c r="Q69" s="50" t="str">
        <f t="shared" ref="Q69:Q72" si="74">IF(OR(R69="Preventivo",R69="Detectivo"),"Probabilidad",IF(R69="Correctivo","Impacto",""))</f>
        <v/>
      </c>
      <c r="R69" s="51"/>
      <c r="S69" s="51"/>
      <c r="T69" s="52" t="str">
        <f t="shared" si="70"/>
        <v/>
      </c>
      <c r="U69" s="51"/>
      <c r="V69" s="51"/>
      <c r="W69" s="51"/>
      <c r="X69" s="24" t="str">
        <f t="shared" ref="X69:X71" si="75">IFERROR(IF(AND(Q68="Probabilidad",Q69="Probabilidad"),(Z68-(+Z68*T69)),IF(AND(Q68="Impacto",Q69="Probabilidad"),(Z67-(+Z67*T69)),IF(Q69="Impacto",Z68,""))),"")</f>
        <v/>
      </c>
      <c r="Y69" s="53" t="str">
        <f t="shared" si="71"/>
        <v/>
      </c>
      <c r="Z69" s="54" t="str">
        <f t="shared" si="72"/>
        <v/>
      </c>
      <c r="AA69" s="53" t="str">
        <f t="shared" si="73"/>
        <v/>
      </c>
      <c r="AB69" s="54" t="str">
        <f t="shared" ref="AB69:AB71" si="76">IFERROR(IF(AND(Q68="Impacto",Q69="Impacto"),(AB68-(+AB68*T69)),IF(AND(Q68="Probabilidad",Q69="Impacto"),(AB67-(+AB67*T69)),IF(Q69="Probabilidad",AB68,""))),"")</f>
        <v/>
      </c>
      <c r="AC69" s="55"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56"/>
      <c r="AE69" s="160"/>
      <c r="AF69" s="167"/>
      <c r="AG69" s="166">
        <v>46022</v>
      </c>
      <c r="AH69" s="166" t="s">
        <v>280</v>
      </c>
      <c r="AI69" s="160" t="s">
        <v>269</v>
      </c>
      <c r="AJ69" s="167"/>
      <c r="AK69" s="167"/>
      <c r="AL69" s="167"/>
      <c r="AM69" s="168" t="e">
        <f t="shared" si="5"/>
        <v>#DIV/0!</v>
      </c>
      <c r="AN69" s="167"/>
      <c r="AO69" s="167"/>
      <c r="AP69" s="167"/>
      <c r="AQ69" s="167"/>
      <c r="AR69" s="168" t="e">
        <f t="shared" si="6"/>
        <v>#DIV/0!</v>
      </c>
      <c r="AS69" s="167"/>
      <c r="AT69" s="167"/>
      <c r="AU69" s="8"/>
      <c r="AV69" s="8"/>
      <c r="AW69" s="8"/>
      <c r="AX69" s="8"/>
      <c r="AY69" s="8"/>
      <c r="AZ69" s="8"/>
      <c r="BA69" s="8"/>
      <c r="BB69" s="8"/>
      <c r="BC69" s="8"/>
      <c r="BD69" s="8"/>
      <c r="BE69" s="8"/>
      <c r="BF69" s="8"/>
      <c r="BG69" s="8"/>
      <c r="BH69" s="8"/>
      <c r="BI69" s="8"/>
      <c r="BJ69" s="8"/>
      <c r="BK69" s="8"/>
      <c r="BL69" s="8"/>
      <c r="BM69" s="8"/>
      <c r="BN69" s="8"/>
      <c r="BO69" s="8"/>
      <c r="BP69" s="8"/>
    </row>
    <row r="70" spans="1:68" ht="151.5" hidden="1" customHeight="1" x14ac:dyDescent="0.3">
      <c r="A70" s="239"/>
      <c r="B70" s="242"/>
      <c r="C70" s="214"/>
      <c r="D70" s="214"/>
      <c r="E70" s="245"/>
      <c r="F70" s="214"/>
      <c r="G70" s="216"/>
      <c r="H70" s="219"/>
      <c r="I70" s="222"/>
      <c r="J70" s="227"/>
      <c r="K70" s="236">
        <f ca="1">IF(NOT(ISERROR(MATCH(J70,_xlfn.ANCHORARRAY(E100),0))),I102&amp;"Por favor no seleccionar los criterios de impacto",J70)</f>
        <v>0</v>
      </c>
      <c r="L70" s="230"/>
      <c r="M70" s="222"/>
      <c r="N70" s="233"/>
      <c r="O70" s="6">
        <v>5</v>
      </c>
      <c r="P70" s="163"/>
      <c r="Q70" s="50" t="str">
        <f t="shared" si="74"/>
        <v/>
      </c>
      <c r="R70" s="51"/>
      <c r="S70" s="51"/>
      <c r="T70" s="52" t="str">
        <f t="shared" si="70"/>
        <v/>
      </c>
      <c r="U70" s="51"/>
      <c r="V70" s="51"/>
      <c r="W70" s="51"/>
      <c r="X70" s="24" t="str">
        <f t="shared" si="75"/>
        <v/>
      </c>
      <c r="Y70" s="53" t="str">
        <f t="shared" si="71"/>
        <v/>
      </c>
      <c r="Z70" s="54" t="str">
        <f t="shared" si="72"/>
        <v/>
      </c>
      <c r="AA70" s="53" t="str">
        <f t="shared" si="73"/>
        <v/>
      </c>
      <c r="AB70" s="54" t="str">
        <f t="shared" si="76"/>
        <v/>
      </c>
      <c r="AC70" s="55" t="str">
        <f t="shared" ref="AC70:AC74" si="77">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56"/>
      <c r="AE70" s="160"/>
      <c r="AF70" s="167"/>
      <c r="AG70" s="166">
        <v>46022</v>
      </c>
      <c r="AH70" s="166" t="s">
        <v>280</v>
      </c>
      <c r="AI70" s="160" t="s">
        <v>269</v>
      </c>
      <c r="AJ70" s="167"/>
      <c r="AK70" s="167"/>
      <c r="AL70" s="167"/>
      <c r="AM70" s="168" t="e">
        <f t="shared" si="5"/>
        <v>#DIV/0!</v>
      </c>
      <c r="AN70" s="167"/>
      <c r="AO70" s="167"/>
      <c r="AP70" s="167"/>
      <c r="AQ70" s="167"/>
      <c r="AR70" s="168" t="e">
        <f t="shared" si="6"/>
        <v>#DIV/0!</v>
      </c>
      <c r="AS70" s="167"/>
      <c r="AT70" s="167"/>
      <c r="AU70" s="8"/>
      <c r="AV70" s="8"/>
      <c r="AW70" s="8"/>
      <c r="AX70" s="8"/>
      <c r="AY70" s="8"/>
      <c r="AZ70" s="8"/>
      <c r="BA70" s="8"/>
      <c r="BB70" s="8"/>
      <c r="BC70" s="8"/>
      <c r="BD70" s="8"/>
      <c r="BE70" s="8"/>
      <c r="BF70" s="8"/>
      <c r="BG70" s="8"/>
      <c r="BH70" s="8"/>
      <c r="BI70" s="8"/>
      <c r="BJ70" s="8"/>
      <c r="BK70" s="8"/>
      <c r="BL70" s="8"/>
      <c r="BM70" s="8"/>
      <c r="BN70" s="8"/>
      <c r="BO70" s="8"/>
      <c r="BP70" s="8"/>
    </row>
    <row r="71" spans="1:68" ht="151.5" hidden="1" customHeight="1" x14ac:dyDescent="0.3">
      <c r="A71" s="240"/>
      <c r="B71" s="243"/>
      <c r="C71" s="215"/>
      <c r="D71" s="215"/>
      <c r="E71" s="246"/>
      <c r="F71" s="215"/>
      <c r="G71" s="217"/>
      <c r="H71" s="220"/>
      <c r="I71" s="223"/>
      <c r="J71" s="228"/>
      <c r="K71" s="237">
        <f ca="1">IF(NOT(ISERROR(MATCH(J71,_xlfn.ANCHORARRAY(E101),0))),I103&amp;"Por favor no seleccionar los criterios de impacto",J71)</f>
        <v>0</v>
      </c>
      <c r="L71" s="231"/>
      <c r="M71" s="223"/>
      <c r="N71" s="234"/>
      <c r="O71" s="6">
        <v>6</v>
      </c>
      <c r="P71" s="163"/>
      <c r="Q71" s="50" t="str">
        <f t="shared" si="74"/>
        <v/>
      </c>
      <c r="R71" s="51"/>
      <c r="S71" s="51"/>
      <c r="T71" s="52" t="str">
        <f t="shared" si="70"/>
        <v/>
      </c>
      <c r="U71" s="51"/>
      <c r="V71" s="51"/>
      <c r="W71" s="51"/>
      <c r="X71" s="24" t="str">
        <f t="shared" si="75"/>
        <v/>
      </c>
      <c r="Y71" s="53" t="str">
        <f t="shared" si="71"/>
        <v/>
      </c>
      <c r="Z71" s="54" t="str">
        <f t="shared" si="72"/>
        <v/>
      </c>
      <c r="AA71" s="53" t="str">
        <f t="shared" si="73"/>
        <v/>
      </c>
      <c r="AB71" s="54" t="str">
        <f t="shared" si="76"/>
        <v/>
      </c>
      <c r="AC71" s="55" t="str">
        <f t="shared" si="77"/>
        <v/>
      </c>
      <c r="AD71" s="56"/>
      <c r="AE71" s="160"/>
      <c r="AF71" s="167"/>
      <c r="AG71" s="166">
        <v>46022</v>
      </c>
      <c r="AH71" s="166" t="s">
        <v>280</v>
      </c>
      <c r="AI71" s="160" t="s">
        <v>269</v>
      </c>
      <c r="AJ71" s="167"/>
      <c r="AK71" s="167"/>
      <c r="AL71" s="167"/>
      <c r="AM71" s="168" t="e">
        <f t="shared" si="5"/>
        <v>#DIV/0!</v>
      </c>
      <c r="AN71" s="167"/>
      <c r="AO71" s="167"/>
      <c r="AP71" s="167"/>
      <c r="AQ71" s="167"/>
      <c r="AR71" s="168" t="e">
        <f t="shared" si="6"/>
        <v>#DIV/0!</v>
      </c>
      <c r="AS71" s="167"/>
      <c r="AT71" s="167"/>
      <c r="AU71" s="8"/>
      <c r="AV71" s="8"/>
      <c r="AW71" s="8"/>
      <c r="AX71" s="8"/>
      <c r="AY71" s="8"/>
      <c r="AZ71" s="8"/>
      <c r="BA71" s="8"/>
      <c r="BB71" s="8"/>
      <c r="BC71" s="8"/>
      <c r="BD71" s="8"/>
      <c r="BE71" s="8"/>
      <c r="BF71" s="8"/>
      <c r="BG71" s="8"/>
      <c r="BH71" s="8"/>
      <c r="BI71" s="8"/>
      <c r="BJ71" s="8"/>
      <c r="BK71" s="8"/>
      <c r="BL71" s="8"/>
      <c r="BM71" s="8"/>
      <c r="BN71" s="8"/>
      <c r="BO71" s="8"/>
      <c r="BP71" s="8"/>
    </row>
    <row r="72" spans="1:68" ht="256.5" customHeight="1" x14ac:dyDescent="0.3">
      <c r="A72" s="238">
        <v>10</v>
      </c>
      <c r="B72" s="241" t="s">
        <v>134</v>
      </c>
      <c r="C72" s="213" t="s">
        <v>229</v>
      </c>
      <c r="D72" s="213" t="s">
        <v>310</v>
      </c>
      <c r="E72" s="244" t="s">
        <v>230</v>
      </c>
      <c r="F72" s="213" t="s">
        <v>123</v>
      </c>
      <c r="G72" s="216">
        <v>108</v>
      </c>
      <c r="H72" s="218" t="str">
        <f>IF(G72&lt;=0,"",IF(G72&lt;=2,"Muy Baja",IF(G72&lt;=24,"Baja",IF(G72&lt;=500,"Media",IF(G72&lt;=5000,"Alta","Muy Alta")))))</f>
        <v>Media</v>
      </c>
      <c r="I72" s="221">
        <f>IF(H72="","",IF(H72="Muy Baja",0.2,IF(H72="Baja",0.4,IF(H72="Media",0.6,IF(H72="Alta",0.8,IF(H72="Muy Alta",1,))))))</f>
        <v>0.6</v>
      </c>
      <c r="J72" s="226" t="s">
        <v>149</v>
      </c>
      <c r="K72" s="235" t="str">
        <f ca="1">IF(NOT(ISERROR(MATCH(J72,'Tabla Impacto'!$B$221:$B$223,0))),'Tabla Impacto'!$F$223&amp;"Por favor no seleccionar los criterios de impacto(Afectación Económica o presupuestal y Pérdida Reputacional)",J72)</f>
        <v xml:space="preserve">     Entre 100 y 500 SMLMV </v>
      </c>
      <c r="L72" s="229" t="str">
        <f ca="1">IF(OR(K72='Tabla Impacto'!$C$11,K72='Tabla Impacto'!$D$11),"Leve",IF(OR(K72='Tabla Impacto'!$C$12,K72='Tabla Impacto'!$D$12),"Menor",IF(OR(K72='Tabla Impacto'!$C$13,K72='Tabla Impacto'!$D$13),"Moderado",IF(OR(K72='Tabla Impacto'!$C$14,K72='Tabla Impacto'!$D$14),"Mayor",IF(OR(K72='Tabla Impacto'!$C$15,K72='Tabla Impacto'!$D$15),"Catastrófico","")))))</f>
        <v>Mayor</v>
      </c>
      <c r="M72" s="221">
        <f ca="1">IF(L72="","",IF(L72="Leve",0.2,IF(L72="Menor",0.4,IF(L72="Moderado",0.6,IF(L72="Mayor",0.8,IF(L72="Catastrófico",1,))))))</f>
        <v>0.8</v>
      </c>
      <c r="N72" s="232" t="str">
        <f ca="1">IF(OR(AND(H72="Muy Baja",L72="Leve"),AND(H72="Muy Baja",L72="Menor"),AND(H72="Baja",L72="Leve")),"Bajo",IF(OR(AND(H72="Muy baja",L72="Moderado"),AND(H72="Baja",L72="Menor"),AND(H72="Baja",L72="Moderado"),AND(H72="Media",L72="Leve"),AND(H72="Media",L72="Menor"),AND(H72="Media",L72="Moderado"),AND(H72="Alta",L72="Leve"),AND(H72="Alta",L72="Menor")),"Moderado",IF(OR(AND(H72="Muy Baja",L72="Mayor"),AND(H72="Baja",L72="Mayor"),AND(H72="Media",L72="Mayor"),AND(H72="Alta",L72="Moderado"),AND(H72="Alta",L72="Mayor"),AND(H72="Muy Alta",L72="Leve"),AND(H72="Muy Alta",L72="Menor"),AND(H72="Muy Alta",L72="Moderado"),AND(H72="Muy Alta",L72="Mayor")),"Alto",IF(OR(AND(H72="Muy Baja",L72="Catastrófico"),AND(H72="Baja",L72="Catastrófico"),AND(H72="Media",L72="Catastrófico"),AND(H72="Alta",L72="Catastrófico"),AND(H72="Muy Alta",L72="Catastrófico")),"Extremo",""))))</f>
        <v>Alto</v>
      </c>
      <c r="O72" s="6">
        <v>1</v>
      </c>
      <c r="P72" s="160" t="s">
        <v>306</v>
      </c>
      <c r="Q72" s="50" t="str">
        <f t="shared" si="74"/>
        <v>Probabilidad</v>
      </c>
      <c r="R72" s="51" t="s">
        <v>14</v>
      </c>
      <c r="S72" s="51" t="s">
        <v>10</v>
      </c>
      <c r="T72" s="52" t="str">
        <f>IF(AND(R72="Preventivo",S72="Automático"),"50%",IF(AND(R72="Preventivo",S72="Manual"),"40%",IF(AND(R72="Detectivo",S72="Automático"),"40%",IF(AND(R72="Detectivo",S72="Manual"),"30%",IF(AND(R72="Correctivo",S72="Automático"),"35%",IF(AND(R72="Correctivo",S72="Manual"),"25%",""))))))</f>
        <v>50%</v>
      </c>
      <c r="U72" s="51" t="s">
        <v>19</v>
      </c>
      <c r="V72" s="51" t="s">
        <v>22</v>
      </c>
      <c r="W72" s="51" t="s">
        <v>119</v>
      </c>
      <c r="X72" s="24">
        <f>IFERROR(IF(Q72="Probabilidad",(I72-(+I72*T72)),IF(Q72="Impacto",I72,"")),"")</f>
        <v>0.3</v>
      </c>
      <c r="Y72" s="53" t="str">
        <f t="shared" si="71"/>
        <v>Baja</v>
      </c>
      <c r="Z72" s="54">
        <f t="shared" si="72"/>
        <v>0.3</v>
      </c>
      <c r="AA72" s="53" t="str">
        <f ca="1">IFERROR(IF(AB72="","",IF(AB72&lt;=0.2,"Leve",IF(AB72&lt;=0.4,"Menor",IF(AB72&lt;=0.6,"Moderado",IF(AB72&lt;=0.8,"Mayor","Catastrófico"))))),"")</f>
        <v>Mayor</v>
      </c>
      <c r="AB72" s="54">
        <f ca="1">IFERROR(IF(Q72="Impacto",(M72-(+M72*T72)),IF(Q72="Probabilidad",M72,"")),"")</f>
        <v>0.8</v>
      </c>
      <c r="AC72" s="55" t="str">
        <f t="shared" ca="1" si="77"/>
        <v>Alto</v>
      </c>
      <c r="AD72" s="56" t="s">
        <v>136</v>
      </c>
      <c r="AE72" s="160" t="s">
        <v>288</v>
      </c>
      <c r="AF72" s="165" t="s">
        <v>231</v>
      </c>
      <c r="AG72" s="166">
        <v>46022</v>
      </c>
      <c r="AH72" s="166" t="s">
        <v>280</v>
      </c>
      <c r="AI72" s="160" t="s">
        <v>270</v>
      </c>
      <c r="AJ72" s="167" t="s">
        <v>41</v>
      </c>
      <c r="AK72" s="167"/>
      <c r="AL72" s="167"/>
      <c r="AM72" s="168" t="e">
        <f t="shared" si="5"/>
        <v>#DIV/0!</v>
      </c>
      <c r="AN72" s="167"/>
      <c r="AO72" s="167"/>
      <c r="AP72" s="167"/>
      <c r="AQ72" s="167"/>
      <c r="AR72" s="168" t="e">
        <f t="shared" si="6"/>
        <v>#DIV/0!</v>
      </c>
      <c r="AS72" s="167"/>
      <c r="AT72" s="167"/>
      <c r="AU72" s="8"/>
      <c r="AV72" s="8"/>
      <c r="AW72" s="8"/>
      <c r="AX72" s="8"/>
      <c r="AY72" s="8"/>
      <c r="AZ72" s="8"/>
      <c r="BA72" s="8"/>
      <c r="BB72" s="8"/>
      <c r="BC72" s="8"/>
      <c r="BD72" s="8"/>
      <c r="BE72" s="8"/>
      <c r="BF72" s="8"/>
      <c r="BG72" s="8"/>
      <c r="BH72" s="8"/>
      <c r="BI72" s="8"/>
      <c r="BJ72" s="8"/>
      <c r="BK72" s="8"/>
      <c r="BL72" s="8"/>
      <c r="BM72" s="8"/>
      <c r="BN72" s="8"/>
      <c r="BO72" s="8"/>
      <c r="BP72" s="8"/>
    </row>
    <row r="73" spans="1:68" ht="151.5" hidden="1" customHeight="1" x14ac:dyDescent="0.3">
      <c r="A73" s="239"/>
      <c r="B73" s="242"/>
      <c r="C73" s="214"/>
      <c r="D73" s="214"/>
      <c r="E73" s="245"/>
      <c r="F73" s="214"/>
      <c r="G73" s="216"/>
      <c r="H73" s="219"/>
      <c r="I73" s="222"/>
      <c r="J73" s="227"/>
      <c r="K73" s="236">
        <f ca="1">IF(NOT(ISERROR(MATCH(J73,_xlfn.ANCHORARRAY(E103),0))),I105&amp;"Por favor no seleccionar los criterios de impacto",J73)</f>
        <v>0</v>
      </c>
      <c r="L73" s="230"/>
      <c r="M73" s="222"/>
      <c r="N73" s="233"/>
      <c r="O73" s="6">
        <v>2</v>
      </c>
      <c r="P73" s="49"/>
      <c r="Q73" s="50" t="str">
        <f>IF(OR(R73="Preventivo",R73="Detectivo"),"Probabilidad",IF(R73="Correctivo","Impacto",""))</f>
        <v/>
      </c>
      <c r="R73" s="51"/>
      <c r="S73" s="51"/>
      <c r="T73" s="52" t="str">
        <f t="shared" ref="T73:T77" si="78">IF(AND(R73="Preventivo",S73="Automático"),"50%",IF(AND(R73="Preventivo",S73="Manual"),"40%",IF(AND(R73="Detectivo",S73="Automático"),"40%",IF(AND(R73="Detectivo",S73="Manual"),"30%",IF(AND(R73="Correctivo",S73="Automático"),"35%",IF(AND(R73="Correctivo",S73="Manual"),"25%",""))))))</f>
        <v/>
      </c>
      <c r="U73" s="51"/>
      <c r="V73" s="51"/>
      <c r="W73" s="51"/>
      <c r="X73" s="24" t="str">
        <f>IFERROR(IF(AND(Q72="Probabilidad",Q73="Probabilidad"),(Z72-(+Z72*T73)),IF(Q73="Probabilidad",(I72-(+I72*T73)),IF(Q73="Impacto",Z72,""))),"")</f>
        <v/>
      </c>
      <c r="Y73" s="53" t="str">
        <f t="shared" ref="Y73:Y77" si="79">IFERROR(IF(X73="","",IF(X73&lt;=0.2,"Muy Baja",IF(X73&lt;=0.4,"Baja",IF(X73&lt;=0.6,"Media",IF(X73&lt;=0.8,"Alta","Muy Alta"))))),"")</f>
        <v/>
      </c>
      <c r="Z73" s="54" t="str">
        <f t="shared" ref="Z73:Z77" si="80">+X73</f>
        <v/>
      </c>
      <c r="AA73" s="53" t="str">
        <f t="shared" ref="AA73:AA77" si="81">IFERROR(IF(AB73="","",IF(AB73&lt;=0.2,"Leve",IF(AB73&lt;=0.4,"Menor",IF(AB73&lt;=0.6,"Moderado",IF(AB73&lt;=0.8,"Mayor","Catastrófico"))))),"")</f>
        <v/>
      </c>
      <c r="AB73" s="54" t="str">
        <f>IFERROR(IF(AND(Q72="Impacto",Q73="Impacto"),(AB66-(+AB66*T73)),IF(Q73="Impacto",(#REF!-(+#REF!*T73)),IF(Q73="Probabilidad",AB66,""))),"")</f>
        <v/>
      </c>
      <c r="AC73" s="55" t="str">
        <f t="shared" si="77"/>
        <v/>
      </c>
      <c r="AD73" s="56"/>
      <c r="AE73" s="57"/>
      <c r="AF73" s="48"/>
      <c r="AG73" s="58"/>
      <c r="AH73" s="58"/>
      <c r="AI73" s="57"/>
      <c r="AJ73" s="136"/>
      <c r="AK73" s="48"/>
      <c r="AL73" s="48"/>
      <c r="AM73" s="150"/>
      <c r="AN73" s="48"/>
      <c r="AO73" s="48"/>
      <c r="AP73" s="48"/>
      <c r="AQ73" s="48"/>
      <c r="AR73" s="150"/>
      <c r="AS73" s="48"/>
      <c r="AT73" s="48"/>
    </row>
    <row r="74" spans="1:68" ht="151.5" hidden="1" customHeight="1" x14ac:dyDescent="0.3">
      <c r="A74" s="239"/>
      <c r="B74" s="242"/>
      <c r="C74" s="214"/>
      <c r="D74" s="214"/>
      <c r="E74" s="245"/>
      <c r="F74" s="214"/>
      <c r="G74" s="216"/>
      <c r="H74" s="219"/>
      <c r="I74" s="222"/>
      <c r="J74" s="227"/>
      <c r="K74" s="236">
        <f ca="1">IF(NOT(ISERROR(MATCH(J74,_xlfn.ANCHORARRAY(E104),0))),I106&amp;"Por favor no seleccionar los criterios de impacto",J74)</f>
        <v>0</v>
      </c>
      <c r="L74" s="230"/>
      <c r="M74" s="222"/>
      <c r="N74" s="233"/>
      <c r="O74" s="6">
        <v>3</v>
      </c>
      <c r="P74" s="49"/>
      <c r="Q74" s="50" t="str">
        <f>IF(OR(R74="Preventivo",R74="Detectivo"),"Probabilidad",IF(R74="Correctivo","Impacto",""))</f>
        <v/>
      </c>
      <c r="R74" s="51"/>
      <c r="S74" s="51"/>
      <c r="T74" s="52" t="str">
        <f t="shared" si="78"/>
        <v/>
      </c>
      <c r="U74" s="51"/>
      <c r="V74" s="51"/>
      <c r="W74" s="51"/>
      <c r="X74" s="24" t="str">
        <f>IFERROR(IF(AND(Q73="Probabilidad",Q74="Probabilidad"),(Z73-(+Z73*T74)),IF(AND(Q73="Impacto",Q74="Probabilidad"),(Z72-(+Z72*T74)),IF(Q74="Impacto",Z73,""))),"")</f>
        <v/>
      </c>
      <c r="Y74" s="53" t="str">
        <f t="shared" si="79"/>
        <v/>
      </c>
      <c r="Z74" s="54" t="str">
        <f t="shared" si="80"/>
        <v/>
      </c>
      <c r="AA74" s="53" t="str">
        <f t="shared" si="81"/>
        <v/>
      </c>
      <c r="AB74" s="54" t="str">
        <f>IFERROR(IF(AND(Q73="Impacto",Q74="Impacto"),(AB73-(+AB73*T74)),IF(AND(Q73="Probabilidad",Q74="Impacto"),(AB72-(+AB72*T74)),IF(Q74="Probabilidad",AB73,""))),"")</f>
        <v/>
      </c>
      <c r="AC74" s="55" t="str">
        <f t="shared" si="77"/>
        <v/>
      </c>
      <c r="AD74" s="56"/>
      <c r="AE74" s="57"/>
      <c r="AF74" s="48"/>
      <c r="AG74" s="58"/>
      <c r="AH74" s="58"/>
      <c r="AI74" s="57"/>
      <c r="AJ74" s="48"/>
      <c r="AK74" s="48"/>
      <c r="AL74" s="48"/>
      <c r="AM74" s="150"/>
      <c r="AN74" s="48"/>
      <c r="AO74" s="48"/>
      <c r="AP74" s="48"/>
      <c r="AQ74" s="48"/>
      <c r="AR74" s="150"/>
      <c r="AS74" s="48"/>
      <c r="AT74" s="48"/>
    </row>
    <row r="75" spans="1:68" ht="151.5" hidden="1" customHeight="1" x14ac:dyDescent="0.3">
      <c r="A75" s="239"/>
      <c r="B75" s="242"/>
      <c r="C75" s="214"/>
      <c r="D75" s="214"/>
      <c r="E75" s="245"/>
      <c r="F75" s="214"/>
      <c r="G75" s="216"/>
      <c r="H75" s="219"/>
      <c r="I75" s="222"/>
      <c r="J75" s="227"/>
      <c r="K75" s="236">
        <f ca="1">IF(NOT(ISERROR(MATCH(J75,_xlfn.ANCHORARRAY(E105),0))),I107&amp;"Por favor no seleccionar los criterios de impacto",J75)</f>
        <v>0</v>
      </c>
      <c r="L75" s="230"/>
      <c r="M75" s="222"/>
      <c r="N75" s="233"/>
      <c r="O75" s="6">
        <v>4</v>
      </c>
      <c r="P75" s="49"/>
      <c r="Q75" s="50" t="str">
        <f t="shared" ref="Q75:Q77" si="82">IF(OR(R75="Preventivo",R75="Detectivo"),"Probabilidad",IF(R75="Correctivo","Impacto",""))</f>
        <v/>
      </c>
      <c r="R75" s="51"/>
      <c r="S75" s="51"/>
      <c r="T75" s="52" t="str">
        <f t="shared" si="78"/>
        <v/>
      </c>
      <c r="U75" s="51"/>
      <c r="V75" s="51"/>
      <c r="W75" s="51"/>
      <c r="X75" s="24" t="str">
        <f t="shared" ref="X75:X77" si="83">IFERROR(IF(AND(Q74="Probabilidad",Q75="Probabilidad"),(Z74-(+Z74*T75)),IF(AND(Q74="Impacto",Q75="Probabilidad"),(Z73-(+Z73*T75)),IF(Q75="Impacto",Z74,""))),"")</f>
        <v/>
      </c>
      <c r="Y75" s="53" t="str">
        <f t="shared" si="79"/>
        <v/>
      </c>
      <c r="Z75" s="54" t="str">
        <f t="shared" si="80"/>
        <v/>
      </c>
      <c r="AA75" s="53" t="str">
        <f t="shared" si="81"/>
        <v/>
      </c>
      <c r="AB75" s="54" t="str">
        <f t="shared" ref="AB75:AB77" si="84">IFERROR(IF(AND(Q74="Impacto",Q75="Impacto"),(AB74-(+AB74*T75)),IF(AND(Q74="Probabilidad",Q75="Impacto"),(AB73-(+AB73*T75)),IF(Q75="Probabilidad",AB74,""))),"")</f>
        <v/>
      </c>
      <c r="AC75" s="55" t="str">
        <f>IFERROR(IF(OR(AND(Y75="Muy Baja",AA75="Leve"),AND(Y75="Muy Baja",AA75="Menor"),AND(Y75="Baja",AA75="Leve")),"Bajo",IF(OR(AND(Y75="Muy baja",AA75="Moderado"),AND(Y75="Baja",AA75="Menor"),AND(Y75="Baja",AA75="Moderado"),AND(Y75="Media",AA75="Leve"),AND(Y75="Media",AA75="Menor"),AND(Y75="Media",AA75="Moderado"),AND(Y75="Alta",AA75="Leve"),AND(Y75="Alta",AA75="Menor")),"Moderado",IF(OR(AND(Y75="Muy Baja",AA75="Mayor"),AND(Y75="Baja",AA75="Mayor"),AND(Y75="Media",AA75="Mayor"),AND(Y75="Alta",AA75="Moderado"),AND(Y75="Alta",AA75="Mayor"),AND(Y75="Muy Alta",AA75="Leve"),AND(Y75="Muy Alta",AA75="Menor"),AND(Y75="Muy Alta",AA75="Moderado"),AND(Y75="Muy Alta",AA75="Mayor")),"Alto",IF(OR(AND(Y75="Muy Baja",AA75="Catastrófico"),AND(Y75="Baja",AA75="Catastrófico"),AND(Y75="Media",AA75="Catastrófico"),AND(Y75="Alta",AA75="Catastrófico"),AND(Y75="Muy Alta",AA75="Catastrófico")),"Extremo","")))),"")</f>
        <v/>
      </c>
      <c r="AD75" s="56"/>
      <c r="AE75" s="57"/>
      <c r="AF75" s="48"/>
      <c r="AG75" s="58"/>
      <c r="AH75" s="58"/>
      <c r="AI75" s="57"/>
      <c r="AJ75" s="48"/>
      <c r="AK75" s="48"/>
      <c r="AL75" s="48"/>
      <c r="AM75" s="150"/>
      <c r="AN75" s="48"/>
      <c r="AO75" s="48"/>
      <c r="AP75" s="48"/>
      <c r="AQ75" s="48"/>
      <c r="AR75" s="150"/>
      <c r="AS75" s="48"/>
      <c r="AT75" s="48"/>
    </row>
    <row r="76" spans="1:68" ht="151.5" hidden="1" customHeight="1" x14ac:dyDescent="0.3">
      <c r="A76" s="239"/>
      <c r="B76" s="242"/>
      <c r="C76" s="214"/>
      <c r="D76" s="214"/>
      <c r="E76" s="245"/>
      <c r="F76" s="214"/>
      <c r="G76" s="216"/>
      <c r="H76" s="219"/>
      <c r="I76" s="222"/>
      <c r="J76" s="227"/>
      <c r="K76" s="236">
        <f ca="1">IF(NOT(ISERROR(MATCH(J76,_xlfn.ANCHORARRAY(E106),0))),I108&amp;"Por favor no seleccionar los criterios de impacto",J76)</f>
        <v>0</v>
      </c>
      <c r="L76" s="230"/>
      <c r="M76" s="222"/>
      <c r="N76" s="233"/>
      <c r="O76" s="6">
        <v>5</v>
      </c>
      <c r="P76" s="49"/>
      <c r="Q76" s="50" t="str">
        <f t="shared" si="82"/>
        <v/>
      </c>
      <c r="R76" s="51"/>
      <c r="S76" s="51"/>
      <c r="T76" s="52" t="str">
        <f t="shared" si="78"/>
        <v/>
      </c>
      <c r="U76" s="51"/>
      <c r="V76" s="51"/>
      <c r="W76" s="51"/>
      <c r="X76" s="24" t="str">
        <f t="shared" si="83"/>
        <v/>
      </c>
      <c r="Y76" s="53" t="str">
        <f t="shared" si="79"/>
        <v/>
      </c>
      <c r="Z76" s="54" t="str">
        <f t="shared" si="80"/>
        <v/>
      </c>
      <c r="AA76" s="53" t="str">
        <f t="shared" si="81"/>
        <v/>
      </c>
      <c r="AB76" s="54" t="str">
        <f t="shared" si="84"/>
        <v/>
      </c>
      <c r="AC76" s="55" t="str">
        <f t="shared" ref="AC76:AC77" si="85">IFERROR(IF(OR(AND(Y76="Muy Baja",AA76="Leve"),AND(Y76="Muy Baja",AA76="Menor"),AND(Y76="Baja",AA76="Leve")),"Bajo",IF(OR(AND(Y76="Muy baja",AA76="Moderado"),AND(Y76="Baja",AA76="Menor"),AND(Y76="Baja",AA76="Moderado"),AND(Y76="Media",AA76="Leve"),AND(Y76="Media",AA76="Menor"),AND(Y76="Media",AA76="Moderado"),AND(Y76="Alta",AA76="Leve"),AND(Y76="Alta",AA76="Menor")),"Moderado",IF(OR(AND(Y76="Muy Baja",AA76="Mayor"),AND(Y76="Baja",AA76="Mayor"),AND(Y76="Media",AA76="Mayor"),AND(Y76="Alta",AA76="Moderado"),AND(Y76="Alta",AA76="Mayor"),AND(Y76="Muy Alta",AA76="Leve"),AND(Y76="Muy Alta",AA76="Menor"),AND(Y76="Muy Alta",AA76="Moderado"),AND(Y76="Muy Alta",AA76="Mayor")),"Alto",IF(OR(AND(Y76="Muy Baja",AA76="Catastrófico"),AND(Y76="Baja",AA76="Catastrófico"),AND(Y76="Media",AA76="Catastrófico"),AND(Y76="Alta",AA76="Catastrófico"),AND(Y76="Muy Alta",AA76="Catastrófico")),"Extremo","")))),"")</f>
        <v/>
      </c>
      <c r="AD76" s="56"/>
      <c r="AE76" s="57"/>
      <c r="AF76" s="48"/>
      <c r="AG76" s="58"/>
      <c r="AH76" s="58"/>
      <c r="AI76" s="57"/>
      <c r="AJ76" s="48"/>
      <c r="AK76" s="48"/>
      <c r="AL76" s="48"/>
      <c r="AM76" s="150"/>
      <c r="AN76" s="48"/>
      <c r="AO76" s="48"/>
      <c r="AP76" s="48"/>
      <c r="AQ76" s="48"/>
      <c r="AR76" s="150"/>
      <c r="AS76" s="48"/>
      <c r="AT76" s="48"/>
    </row>
    <row r="77" spans="1:68" ht="151.5" hidden="1" customHeight="1" x14ac:dyDescent="0.3">
      <c r="A77" s="240"/>
      <c r="B77" s="243"/>
      <c r="C77" s="215"/>
      <c r="D77" s="215"/>
      <c r="E77" s="246"/>
      <c r="F77" s="215"/>
      <c r="G77" s="217"/>
      <c r="H77" s="220"/>
      <c r="I77" s="223"/>
      <c r="J77" s="228"/>
      <c r="K77" s="237">
        <f ca="1">IF(NOT(ISERROR(MATCH(J77,_xlfn.ANCHORARRAY(E107),0))),I109&amp;"Por favor no seleccionar los criterios de impacto",J77)</f>
        <v>0</v>
      </c>
      <c r="L77" s="231"/>
      <c r="M77" s="223"/>
      <c r="N77" s="234"/>
      <c r="O77" s="6">
        <v>6</v>
      </c>
      <c r="P77" s="49"/>
      <c r="Q77" s="50" t="str">
        <f t="shared" si="82"/>
        <v/>
      </c>
      <c r="R77" s="51"/>
      <c r="S77" s="51"/>
      <c r="T77" s="52" t="str">
        <f t="shared" si="78"/>
        <v/>
      </c>
      <c r="U77" s="51"/>
      <c r="V77" s="51"/>
      <c r="W77" s="51"/>
      <c r="X77" s="24" t="str">
        <f t="shared" si="83"/>
        <v/>
      </c>
      <c r="Y77" s="53" t="str">
        <f t="shared" si="79"/>
        <v/>
      </c>
      <c r="Z77" s="54" t="str">
        <f t="shared" si="80"/>
        <v/>
      </c>
      <c r="AA77" s="53" t="str">
        <f t="shared" si="81"/>
        <v/>
      </c>
      <c r="AB77" s="54" t="str">
        <f t="shared" si="84"/>
        <v/>
      </c>
      <c r="AC77" s="55" t="str">
        <f t="shared" si="85"/>
        <v/>
      </c>
      <c r="AD77" s="56"/>
      <c r="AE77" s="57"/>
      <c r="AF77" s="48"/>
      <c r="AG77" s="58"/>
      <c r="AH77" s="58"/>
      <c r="AI77" s="57"/>
      <c r="AJ77" s="48"/>
      <c r="AK77" s="48"/>
      <c r="AL77" s="48"/>
      <c r="AM77" s="150"/>
      <c r="AN77" s="48"/>
      <c r="AO77" s="48"/>
      <c r="AP77" s="48"/>
      <c r="AQ77" s="48"/>
      <c r="AR77" s="150"/>
      <c r="AS77" s="48"/>
      <c r="AT77" s="48"/>
    </row>
    <row r="78" spans="1:68" ht="49.5" customHeight="1" x14ac:dyDescent="0.3">
      <c r="A78" s="6"/>
      <c r="B78" s="145" t="s">
        <v>131</v>
      </c>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7"/>
      <c r="AK78" s="48"/>
      <c r="AL78" s="48"/>
      <c r="AM78" s="150"/>
      <c r="AN78" s="48"/>
      <c r="AO78" s="48"/>
      <c r="AP78" s="48"/>
      <c r="AQ78" s="48"/>
      <c r="AR78" s="150"/>
      <c r="AS78" s="48"/>
      <c r="AT78" s="48"/>
    </row>
    <row r="80" spans="1:68" x14ac:dyDescent="0.3">
      <c r="A80" s="1"/>
      <c r="B80" s="25" t="s">
        <v>290</v>
      </c>
      <c r="C80" s="1"/>
      <c r="D80" s="1"/>
      <c r="F80" s="1"/>
    </row>
    <row r="82" spans="2:4" x14ac:dyDescent="0.3">
      <c r="B82" s="2" t="s">
        <v>250</v>
      </c>
      <c r="C82" s="3" t="s">
        <v>285</v>
      </c>
      <c r="D82" s="3" t="s">
        <v>293</v>
      </c>
    </row>
    <row r="83" spans="2:4" x14ac:dyDescent="0.3">
      <c r="B83" s="2" t="s">
        <v>251</v>
      </c>
      <c r="C83" s="3" t="s">
        <v>286</v>
      </c>
      <c r="D83" s="141" t="s">
        <v>292</v>
      </c>
    </row>
    <row r="84" spans="2:4" x14ac:dyDescent="0.3">
      <c r="C84" s="141"/>
      <c r="D84" s="141"/>
    </row>
    <row r="85" spans="2:4" x14ac:dyDescent="0.3">
      <c r="B85" s="2" t="s">
        <v>252</v>
      </c>
      <c r="C85" s="141" t="s">
        <v>279</v>
      </c>
      <c r="D85" s="3" t="s">
        <v>246</v>
      </c>
    </row>
  </sheetData>
  <dataConsolidate/>
  <mergeCells count="203">
    <mergeCell ref="C2:AH4"/>
    <mergeCell ref="C1:AH1"/>
    <mergeCell ref="A1:B4"/>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AA10:AA11"/>
    <mergeCell ref="Y10:Y11"/>
    <mergeCell ref="Z10:Z11"/>
    <mergeCell ref="G10:G11"/>
    <mergeCell ref="I10:I11"/>
    <mergeCell ref="L10:L11"/>
    <mergeCell ref="M10:M11"/>
    <mergeCell ref="AE10:AE11"/>
    <mergeCell ref="AJ10:AJ11"/>
    <mergeCell ref="AI10:AI11"/>
    <mergeCell ref="AH10:AH11"/>
    <mergeCell ref="AG10:AG11"/>
    <mergeCell ref="AF10:AF11"/>
    <mergeCell ref="AD10:AD11"/>
    <mergeCell ref="O10:O11"/>
    <mergeCell ref="AC10:AC11"/>
    <mergeCell ref="AB10:AB11"/>
    <mergeCell ref="X10:X11"/>
    <mergeCell ref="P10:P11"/>
    <mergeCell ref="A6:B6"/>
    <mergeCell ref="A7:B7"/>
    <mergeCell ref="A8:B8"/>
    <mergeCell ref="A10:A11"/>
    <mergeCell ref="F10:F11"/>
    <mergeCell ref="E10:E11"/>
    <mergeCell ref="D10:D11"/>
    <mergeCell ref="C10:C11"/>
    <mergeCell ref="C7:N7"/>
    <mergeCell ref="C8:N8"/>
    <mergeCell ref="A9:G9"/>
    <mergeCell ref="H9:N9"/>
    <mergeCell ref="B10:B11"/>
    <mergeCell ref="N10:N11"/>
    <mergeCell ref="J10:J11"/>
    <mergeCell ref="K10:K11"/>
    <mergeCell ref="C6:N6"/>
    <mergeCell ref="O6:Q6"/>
    <mergeCell ref="R10:W10"/>
    <mergeCell ref="H10:H11"/>
    <mergeCell ref="F18:F23"/>
    <mergeCell ref="G18:G23"/>
    <mergeCell ref="H18:H23"/>
    <mergeCell ref="I18:I23"/>
    <mergeCell ref="J18:J23"/>
    <mergeCell ref="C18:C23"/>
    <mergeCell ref="D18:D23"/>
    <mergeCell ref="E18:E23"/>
    <mergeCell ref="K18:K23"/>
    <mergeCell ref="L18:L23"/>
    <mergeCell ref="M18:M23"/>
    <mergeCell ref="N18:N23"/>
    <mergeCell ref="Q10:Q11"/>
    <mergeCell ref="A30:A35"/>
    <mergeCell ref="B30:B35"/>
    <mergeCell ref="C30:C35"/>
    <mergeCell ref="D30:D35"/>
    <mergeCell ref="E30:E35"/>
    <mergeCell ref="F30:F35"/>
    <mergeCell ref="G30:G35"/>
    <mergeCell ref="O9:W9"/>
    <mergeCell ref="X9:AD9"/>
    <mergeCell ref="M24:M29"/>
    <mergeCell ref="N24:N29"/>
    <mergeCell ref="A18:A23"/>
    <mergeCell ref="B18:B23"/>
    <mergeCell ref="L24:L29"/>
    <mergeCell ref="A24:A29"/>
    <mergeCell ref="B24:B29"/>
    <mergeCell ref="C24:C29"/>
    <mergeCell ref="H30:H35"/>
    <mergeCell ref="I30:I35"/>
    <mergeCell ref="F24:F29"/>
    <mergeCell ref="G24:G29"/>
    <mergeCell ref="H24:H29"/>
    <mergeCell ref="I24:I29"/>
    <mergeCell ref="M30:M35"/>
    <mergeCell ref="D36:D41"/>
    <mergeCell ref="E36:E41"/>
    <mergeCell ref="F36:F41"/>
    <mergeCell ref="D24:D29"/>
    <mergeCell ref="E24:E29"/>
    <mergeCell ref="J30:J35"/>
    <mergeCell ref="K30:K35"/>
    <mergeCell ref="L30:L35"/>
    <mergeCell ref="J24:J29"/>
    <mergeCell ref="K24:K29"/>
    <mergeCell ref="N30:N35"/>
    <mergeCell ref="A48:A53"/>
    <mergeCell ref="B48:B53"/>
    <mergeCell ref="C48:C53"/>
    <mergeCell ref="D48:D53"/>
    <mergeCell ref="E48:E53"/>
    <mergeCell ref="A36:A41"/>
    <mergeCell ref="B36:B41"/>
    <mergeCell ref="C36:C41"/>
    <mergeCell ref="A42:A47"/>
    <mergeCell ref="B42:B47"/>
    <mergeCell ref="C42:C47"/>
    <mergeCell ref="D42:D47"/>
    <mergeCell ref="E42:E47"/>
    <mergeCell ref="I36:I41"/>
    <mergeCell ref="J36:J41"/>
    <mergeCell ref="G42:G47"/>
    <mergeCell ref="H42:H47"/>
    <mergeCell ref="I42:I47"/>
    <mergeCell ref="K36:K41"/>
    <mergeCell ref="L36:L41"/>
    <mergeCell ref="M36:M41"/>
    <mergeCell ref="N36:N41"/>
    <mergeCell ref="M42:M47"/>
    <mergeCell ref="N42:N47"/>
    <mergeCell ref="J42:J47"/>
    <mergeCell ref="K42:K47"/>
    <mergeCell ref="L42:L47"/>
    <mergeCell ref="G36:G41"/>
    <mergeCell ref="H36:H41"/>
    <mergeCell ref="I54:I59"/>
    <mergeCell ref="J54:J59"/>
    <mergeCell ref="F48:F53"/>
    <mergeCell ref="G48:G53"/>
    <mergeCell ref="H48:H53"/>
    <mergeCell ref="I48:I53"/>
    <mergeCell ref="F54:F59"/>
    <mergeCell ref="G54:G59"/>
    <mergeCell ref="H54:H59"/>
    <mergeCell ref="L48:L53"/>
    <mergeCell ref="N48:N53"/>
    <mergeCell ref="F42:F47"/>
    <mergeCell ref="AE9:AJ9"/>
    <mergeCell ref="A72:A77"/>
    <mergeCell ref="B72:B77"/>
    <mergeCell ref="C72:C77"/>
    <mergeCell ref="D72:D77"/>
    <mergeCell ref="E72:E77"/>
    <mergeCell ref="F72:F77"/>
    <mergeCell ref="G72:G77"/>
    <mergeCell ref="H72:H77"/>
    <mergeCell ref="I72:I77"/>
    <mergeCell ref="J72:J77"/>
    <mergeCell ref="K72:K77"/>
    <mergeCell ref="L72:L77"/>
    <mergeCell ref="M72:M77"/>
    <mergeCell ref="N72:N77"/>
    <mergeCell ref="G60:G65"/>
    <mergeCell ref="H60:H65"/>
    <mergeCell ref="I60:I65"/>
    <mergeCell ref="A60:A65"/>
    <mergeCell ref="B60:B65"/>
    <mergeCell ref="C60:C65"/>
    <mergeCell ref="D60:D65"/>
    <mergeCell ref="E60:E65"/>
    <mergeCell ref="F60:F65"/>
    <mergeCell ref="A54:A59"/>
    <mergeCell ref="B54:B59"/>
    <mergeCell ref="C54:C59"/>
    <mergeCell ref="D54:D59"/>
    <mergeCell ref="E54:E59"/>
    <mergeCell ref="A66:A71"/>
    <mergeCell ref="B66:B71"/>
    <mergeCell ref="C66:C71"/>
    <mergeCell ref="D66:D71"/>
    <mergeCell ref="E66:E71"/>
    <mergeCell ref="F66:F71"/>
    <mergeCell ref="G66:G71"/>
    <mergeCell ref="H66:H71"/>
    <mergeCell ref="I66:I71"/>
    <mergeCell ref="AK9:AT9"/>
    <mergeCell ref="AK10:AO10"/>
    <mergeCell ref="AP10:AT10"/>
    <mergeCell ref="J66:J71"/>
    <mergeCell ref="L66:L71"/>
    <mergeCell ref="M66:M71"/>
    <mergeCell ref="N66:N71"/>
    <mergeCell ref="K60:K65"/>
    <mergeCell ref="K66:K71"/>
    <mergeCell ref="J60:J65"/>
    <mergeCell ref="L60:L65"/>
    <mergeCell ref="M60:M65"/>
    <mergeCell ref="N60:N65"/>
    <mergeCell ref="M48:M53"/>
    <mergeCell ref="K54:K59"/>
    <mergeCell ref="L54:L59"/>
    <mergeCell ref="M54:M59"/>
    <mergeCell ref="N54:N59"/>
    <mergeCell ref="J48:J53"/>
    <mergeCell ref="K48:K53"/>
  </mergeCells>
  <conditionalFormatting sqref="H12 H18">
    <cfRule type="cellIs" dxfId="491" priority="744" operator="equal">
      <formula>"Muy Alta"</formula>
    </cfRule>
    <cfRule type="cellIs" dxfId="490" priority="745" operator="equal">
      <formula>"Alta"</formula>
    </cfRule>
    <cfRule type="cellIs" dxfId="489" priority="746" operator="equal">
      <formula>"Media"</formula>
    </cfRule>
    <cfRule type="cellIs" dxfId="488" priority="747" operator="equal">
      <formula>"Baja"</formula>
    </cfRule>
    <cfRule type="cellIs" dxfId="487" priority="748" operator="equal">
      <formula>"Muy Baja"</formula>
    </cfRule>
  </conditionalFormatting>
  <conditionalFormatting sqref="L12 L18 L24 L30 L36 L42 L54">
    <cfRule type="cellIs" dxfId="486" priority="739" operator="equal">
      <formula>"Catastrófico"</formula>
    </cfRule>
    <cfRule type="cellIs" dxfId="485" priority="740" operator="equal">
      <formula>"Mayor"</formula>
    </cfRule>
    <cfRule type="cellIs" dxfId="484" priority="741" operator="equal">
      <formula>"Moderado"</formula>
    </cfRule>
    <cfRule type="cellIs" dxfId="483" priority="742" operator="equal">
      <formula>"Menor"</formula>
    </cfRule>
    <cfRule type="cellIs" dxfId="482" priority="743" operator="equal">
      <formula>"Leve"</formula>
    </cfRule>
  </conditionalFormatting>
  <conditionalFormatting sqref="N12">
    <cfRule type="cellIs" dxfId="481" priority="735" operator="equal">
      <formula>"Extremo"</formula>
    </cfRule>
    <cfRule type="cellIs" dxfId="480" priority="736" operator="equal">
      <formula>"Alto"</formula>
    </cfRule>
    <cfRule type="cellIs" dxfId="479" priority="737" operator="equal">
      <formula>"Moderado"</formula>
    </cfRule>
    <cfRule type="cellIs" dxfId="478" priority="738" operator="equal">
      <formula>"Bajo"</formula>
    </cfRule>
  </conditionalFormatting>
  <conditionalFormatting sqref="Y12:Y17">
    <cfRule type="cellIs" dxfId="477" priority="730" operator="equal">
      <formula>"Muy Alta"</formula>
    </cfRule>
    <cfRule type="cellIs" dxfId="476" priority="731" operator="equal">
      <formula>"Alta"</formula>
    </cfRule>
    <cfRule type="cellIs" dxfId="475" priority="732" operator="equal">
      <formula>"Media"</formula>
    </cfRule>
    <cfRule type="cellIs" dxfId="474" priority="733" operator="equal">
      <formula>"Baja"</formula>
    </cfRule>
    <cfRule type="cellIs" dxfId="473" priority="734" operator="equal">
      <formula>"Muy Baja"</formula>
    </cfRule>
  </conditionalFormatting>
  <conditionalFormatting sqref="AA12:AA17">
    <cfRule type="cellIs" dxfId="472" priority="725" operator="equal">
      <formula>"Catastrófico"</formula>
    </cfRule>
    <cfRule type="cellIs" dxfId="471" priority="726" operator="equal">
      <formula>"Mayor"</formula>
    </cfRule>
    <cfRule type="cellIs" dxfId="470" priority="727" operator="equal">
      <formula>"Moderado"</formula>
    </cfRule>
    <cfRule type="cellIs" dxfId="469" priority="728" operator="equal">
      <formula>"Menor"</formula>
    </cfRule>
    <cfRule type="cellIs" dxfId="468" priority="729" operator="equal">
      <formula>"Leve"</formula>
    </cfRule>
  </conditionalFormatting>
  <conditionalFormatting sqref="AC12:AC17">
    <cfRule type="cellIs" dxfId="467" priority="721" operator="equal">
      <formula>"Extremo"</formula>
    </cfRule>
    <cfRule type="cellIs" dxfId="466" priority="722" operator="equal">
      <formula>"Alto"</formula>
    </cfRule>
    <cfRule type="cellIs" dxfId="465" priority="723" operator="equal">
      <formula>"Moderado"</formula>
    </cfRule>
    <cfRule type="cellIs" dxfId="464" priority="724" operator="equal">
      <formula>"Bajo"</formula>
    </cfRule>
  </conditionalFormatting>
  <conditionalFormatting sqref="N18">
    <cfRule type="cellIs" dxfId="463" priority="665" operator="equal">
      <formula>"Extremo"</formula>
    </cfRule>
    <cfRule type="cellIs" dxfId="462" priority="666" operator="equal">
      <formula>"Alto"</formula>
    </cfRule>
    <cfRule type="cellIs" dxfId="461" priority="667" operator="equal">
      <formula>"Moderado"</formula>
    </cfRule>
    <cfRule type="cellIs" dxfId="460" priority="668" operator="equal">
      <formula>"Bajo"</formula>
    </cfRule>
  </conditionalFormatting>
  <conditionalFormatting sqref="Y18:Y23">
    <cfRule type="cellIs" dxfId="459" priority="660" operator="equal">
      <formula>"Muy Alta"</formula>
    </cfRule>
    <cfRule type="cellIs" dxfId="458" priority="661" operator="equal">
      <formula>"Alta"</formula>
    </cfRule>
    <cfRule type="cellIs" dxfId="457" priority="662" operator="equal">
      <formula>"Media"</formula>
    </cfRule>
    <cfRule type="cellIs" dxfId="456" priority="663" operator="equal">
      <formula>"Baja"</formula>
    </cfRule>
    <cfRule type="cellIs" dxfId="455" priority="664" operator="equal">
      <formula>"Muy Baja"</formula>
    </cfRule>
  </conditionalFormatting>
  <conditionalFormatting sqref="AA18:AA23">
    <cfRule type="cellIs" dxfId="454" priority="655" operator="equal">
      <formula>"Catastrófico"</formula>
    </cfRule>
    <cfRule type="cellIs" dxfId="453" priority="656" operator="equal">
      <formula>"Mayor"</formula>
    </cfRule>
    <cfRule type="cellIs" dxfId="452" priority="657" operator="equal">
      <formula>"Moderado"</formula>
    </cfRule>
    <cfRule type="cellIs" dxfId="451" priority="658" operator="equal">
      <formula>"Menor"</formula>
    </cfRule>
    <cfRule type="cellIs" dxfId="450" priority="659" operator="equal">
      <formula>"Leve"</formula>
    </cfRule>
  </conditionalFormatting>
  <conditionalFormatting sqref="AC18:AC23">
    <cfRule type="cellIs" dxfId="449" priority="651" operator="equal">
      <formula>"Extremo"</formula>
    </cfRule>
    <cfRule type="cellIs" dxfId="448" priority="652" operator="equal">
      <formula>"Alto"</formula>
    </cfRule>
    <cfRule type="cellIs" dxfId="447" priority="653" operator="equal">
      <formula>"Moderado"</formula>
    </cfRule>
    <cfRule type="cellIs" dxfId="446" priority="654" operator="equal">
      <formula>"Bajo"</formula>
    </cfRule>
  </conditionalFormatting>
  <conditionalFormatting sqref="H24">
    <cfRule type="cellIs" dxfId="445" priority="646" operator="equal">
      <formula>"Muy Alta"</formula>
    </cfRule>
    <cfRule type="cellIs" dxfId="444" priority="647" operator="equal">
      <formula>"Alta"</formula>
    </cfRule>
    <cfRule type="cellIs" dxfId="443" priority="648" operator="equal">
      <formula>"Media"</formula>
    </cfRule>
    <cfRule type="cellIs" dxfId="442" priority="649" operator="equal">
      <formula>"Baja"</formula>
    </cfRule>
    <cfRule type="cellIs" dxfId="441" priority="650" operator="equal">
      <formula>"Muy Baja"</formula>
    </cfRule>
  </conditionalFormatting>
  <conditionalFormatting sqref="N24">
    <cfRule type="cellIs" dxfId="440" priority="637" operator="equal">
      <formula>"Extremo"</formula>
    </cfRule>
    <cfRule type="cellIs" dxfId="439" priority="638" operator="equal">
      <formula>"Alto"</formula>
    </cfRule>
    <cfRule type="cellIs" dxfId="438" priority="639" operator="equal">
      <formula>"Moderado"</formula>
    </cfRule>
    <cfRule type="cellIs" dxfId="437" priority="640" operator="equal">
      <formula>"Bajo"</formula>
    </cfRule>
  </conditionalFormatting>
  <conditionalFormatting sqref="Y24:Y29">
    <cfRule type="cellIs" dxfId="436" priority="632" operator="equal">
      <formula>"Muy Alta"</formula>
    </cfRule>
    <cfRule type="cellIs" dxfId="435" priority="633" operator="equal">
      <formula>"Alta"</formula>
    </cfRule>
    <cfRule type="cellIs" dxfId="434" priority="634" operator="equal">
      <formula>"Media"</formula>
    </cfRule>
    <cfRule type="cellIs" dxfId="433" priority="635" operator="equal">
      <formula>"Baja"</formula>
    </cfRule>
    <cfRule type="cellIs" dxfId="432" priority="636" operator="equal">
      <formula>"Muy Baja"</formula>
    </cfRule>
  </conditionalFormatting>
  <conditionalFormatting sqref="AA24:AA29">
    <cfRule type="cellIs" dxfId="431" priority="627" operator="equal">
      <formula>"Catastrófico"</formula>
    </cfRule>
    <cfRule type="cellIs" dxfId="430" priority="628" operator="equal">
      <formula>"Mayor"</formula>
    </cfRule>
    <cfRule type="cellIs" dxfId="429" priority="629" operator="equal">
      <formula>"Moderado"</formula>
    </cfRule>
    <cfRule type="cellIs" dxfId="428" priority="630" operator="equal">
      <formula>"Menor"</formula>
    </cfRule>
    <cfRule type="cellIs" dxfId="427" priority="631" operator="equal">
      <formula>"Leve"</formula>
    </cfRule>
  </conditionalFormatting>
  <conditionalFormatting sqref="AC24:AC29">
    <cfRule type="cellIs" dxfId="426" priority="623" operator="equal">
      <formula>"Extremo"</formula>
    </cfRule>
    <cfRule type="cellIs" dxfId="425" priority="624" operator="equal">
      <formula>"Alto"</formula>
    </cfRule>
    <cfRule type="cellIs" dxfId="424" priority="625" operator="equal">
      <formula>"Moderado"</formula>
    </cfRule>
    <cfRule type="cellIs" dxfId="423" priority="626" operator="equal">
      <formula>"Bajo"</formula>
    </cfRule>
  </conditionalFormatting>
  <conditionalFormatting sqref="H30">
    <cfRule type="cellIs" dxfId="422" priority="618" operator="equal">
      <formula>"Muy Alta"</formula>
    </cfRule>
    <cfRule type="cellIs" dxfId="421" priority="619" operator="equal">
      <formula>"Alta"</formula>
    </cfRule>
    <cfRule type="cellIs" dxfId="420" priority="620" operator="equal">
      <formula>"Media"</formula>
    </cfRule>
    <cfRule type="cellIs" dxfId="419" priority="621" operator="equal">
      <formula>"Baja"</formula>
    </cfRule>
    <cfRule type="cellIs" dxfId="418" priority="622" operator="equal">
      <formula>"Muy Baja"</formula>
    </cfRule>
  </conditionalFormatting>
  <conditionalFormatting sqref="N30">
    <cfRule type="cellIs" dxfId="417" priority="609" operator="equal">
      <formula>"Extremo"</formula>
    </cfRule>
    <cfRule type="cellIs" dxfId="416" priority="610" operator="equal">
      <formula>"Alto"</formula>
    </cfRule>
    <cfRule type="cellIs" dxfId="415" priority="611" operator="equal">
      <formula>"Moderado"</formula>
    </cfRule>
    <cfRule type="cellIs" dxfId="414" priority="612" operator="equal">
      <formula>"Bajo"</formula>
    </cfRule>
  </conditionalFormatting>
  <conditionalFormatting sqref="Y30:Y35">
    <cfRule type="cellIs" dxfId="413" priority="604" operator="equal">
      <formula>"Muy Alta"</formula>
    </cfRule>
    <cfRule type="cellIs" dxfId="412" priority="605" operator="equal">
      <formula>"Alta"</formula>
    </cfRule>
    <cfRule type="cellIs" dxfId="411" priority="606" operator="equal">
      <formula>"Media"</formula>
    </cfRule>
    <cfRule type="cellIs" dxfId="410" priority="607" operator="equal">
      <formula>"Baja"</formula>
    </cfRule>
    <cfRule type="cellIs" dxfId="409" priority="608" operator="equal">
      <formula>"Muy Baja"</formula>
    </cfRule>
  </conditionalFormatting>
  <conditionalFormatting sqref="AA30:AA35">
    <cfRule type="cellIs" dxfId="408" priority="599" operator="equal">
      <formula>"Catastrófico"</formula>
    </cfRule>
    <cfRule type="cellIs" dxfId="407" priority="600" operator="equal">
      <formula>"Mayor"</formula>
    </cfRule>
    <cfRule type="cellIs" dxfId="406" priority="601" operator="equal">
      <formula>"Moderado"</formula>
    </cfRule>
    <cfRule type="cellIs" dxfId="405" priority="602" operator="equal">
      <formula>"Menor"</formula>
    </cfRule>
    <cfRule type="cellIs" dxfId="404" priority="603" operator="equal">
      <formula>"Leve"</formula>
    </cfRule>
  </conditionalFormatting>
  <conditionalFormatting sqref="AC30:AC35">
    <cfRule type="cellIs" dxfId="403" priority="595" operator="equal">
      <formula>"Extremo"</formula>
    </cfRule>
    <cfRule type="cellIs" dxfId="402" priority="596" operator="equal">
      <formula>"Alto"</formula>
    </cfRule>
    <cfRule type="cellIs" dxfId="401" priority="597" operator="equal">
      <formula>"Moderado"</formula>
    </cfRule>
    <cfRule type="cellIs" dxfId="400" priority="598" operator="equal">
      <formula>"Bajo"</formula>
    </cfRule>
  </conditionalFormatting>
  <conditionalFormatting sqref="H36">
    <cfRule type="cellIs" dxfId="399" priority="590" operator="equal">
      <formula>"Muy Alta"</formula>
    </cfRule>
    <cfRule type="cellIs" dxfId="398" priority="591" operator="equal">
      <formula>"Alta"</formula>
    </cfRule>
    <cfRule type="cellIs" dxfId="397" priority="592" operator="equal">
      <formula>"Media"</formula>
    </cfRule>
    <cfRule type="cellIs" dxfId="396" priority="593" operator="equal">
      <formula>"Baja"</formula>
    </cfRule>
    <cfRule type="cellIs" dxfId="395" priority="594" operator="equal">
      <formula>"Muy Baja"</formula>
    </cfRule>
  </conditionalFormatting>
  <conditionalFormatting sqref="N36">
    <cfRule type="cellIs" dxfId="394" priority="581" operator="equal">
      <formula>"Extremo"</formula>
    </cfRule>
    <cfRule type="cellIs" dxfId="393" priority="582" operator="equal">
      <formula>"Alto"</formula>
    </cfRule>
    <cfRule type="cellIs" dxfId="392" priority="583" operator="equal">
      <formula>"Moderado"</formula>
    </cfRule>
    <cfRule type="cellIs" dxfId="391" priority="584" operator="equal">
      <formula>"Bajo"</formula>
    </cfRule>
  </conditionalFormatting>
  <conditionalFormatting sqref="Y36:Y41">
    <cfRule type="cellIs" dxfId="390" priority="576" operator="equal">
      <formula>"Muy Alta"</formula>
    </cfRule>
    <cfRule type="cellIs" dxfId="389" priority="577" operator="equal">
      <formula>"Alta"</formula>
    </cfRule>
    <cfRule type="cellIs" dxfId="388" priority="578" operator="equal">
      <formula>"Media"</formula>
    </cfRule>
    <cfRule type="cellIs" dxfId="387" priority="579" operator="equal">
      <formula>"Baja"</formula>
    </cfRule>
    <cfRule type="cellIs" dxfId="386" priority="580" operator="equal">
      <formula>"Muy Baja"</formula>
    </cfRule>
  </conditionalFormatting>
  <conditionalFormatting sqref="AA36:AA41">
    <cfRule type="cellIs" dxfId="385" priority="571" operator="equal">
      <formula>"Catastrófico"</formula>
    </cfRule>
    <cfRule type="cellIs" dxfId="384" priority="572" operator="equal">
      <formula>"Mayor"</formula>
    </cfRule>
    <cfRule type="cellIs" dxfId="383" priority="573" operator="equal">
      <formula>"Moderado"</formula>
    </cfRule>
    <cfRule type="cellIs" dxfId="382" priority="574" operator="equal">
      <formula>"Menor"</formula>
    </cfRule>
    <cfRule type="cellIs" dxfId="381" priority="575" operator="equal">
      <formula>"Leve"</formula>
    </cfRule>
  </conditionalFormatting>
  <conditionalFormatting sqref="AC36:AC41">
    <cfRule type="cellIs" dxfId="380" priority="567" operator="equal">
      <formula>"Extremo"</formula>
    </cfRule>
    <cfRule type="cellIs" dxfId="379" priority="568" operator="equal">
      <formula>"Alto"</formula>
    </cfRule>
    <cfRule type="cellIs" dxfId="378" priority="569" operator="equal">
      <formula>"Moderado"</formula>
    </cfRule>
    <cfRule type="cellIs" dxfId="377" priority="570" operator="equal">
      <formula>"Bajo"</formula>
    </cfRule>
  </conditionalFormatting>
  <conditionalFormatting sqref="H42">
    <cfRule type="cellIs" dxfId="376" priority="562" operator="equal">
      <formula>"Muy Alta"</formula>
    </cfRule>
    <cfRule type="cellIs" dxfId="375" priority="563" operator="equal">
      <formula>"Alta"</formula>
    </cfRule>
    <cfRule type="cellIs" dxfId="374" priority="564" operator="equal">
      <formula>"Media"</formula>
    </cfRule>
    <cfRule type="cellIs" dxfId="373" priority="565" operator="equal">
      <formula>"Baja"</formula>
    </cfRule>
    <cfRule type="cellIs" dxfId="372" priority="566" operator="equal">
      <formula>"Muy Baja"</formula>
    </cfRule>
  </conditionalFormatting>
  <conditionalFormatting sqref="N42">
    <cfRule type="cellIs" dxfId="371" priority="553" operator="equal">
      <formula>"Extremo"</formula>
    </cfRule>
    <cfRule type="cellIs" dxfId="370" priority="554" operator="equal">
      <formula>"Alto"</formula>
    </cfRule>
    <cfRule type="cellIs" dxfId="369" priority="555" operator="equal">
      <formula>"Moderado"</formula>
    </cfRule>
    <cfRule type="cellIs" dxfId="368" priority="556" operator="equal">
      <formula>"Bajo"</formula>
    </cfRule>
  </conditionalFormatting>
  <conditionalFormatting sqref="Y42:Y47">
    <cfRule type="cellIs" dxfId="367" priority="548" operator="equal">
      <formula>"Muy Alta"</formula>
    </cfRule>
    <cfRule type="cellIs" dxfId="366" priority="549" operator="equal">
      <formula>"Alta"</formula>
    </cfRule>
    <cfRule type="cellIs" dxfId="365" priority="550" operator="equal">
      <formula>"Media"</formula>
    </cfRule>
    <cfRule type="cellIs" dxfId="364" priority="551" operator="equal">
      <formula>"Baja"</formula>
    </cfRule>
    <cfRule type="cellIs" dxfId="363" priority="552" operator="equal">
      <formula>"Muy Baja"</formula>
    </cfRule>
  </conditionalFormatting>
  <conditionalFormatting sqref="AA42:AA47">
    <cfRule type="cellIs" dxfId="362" priority="543" operator="equal">
      <formula>"Catastrófico"</formula>
    </cfRule>
    <cfRule type="cellIs" dxfId="361" priority="544" operator="equal">
      <formula>"Mayor"</formula>
    </cfRule>
    <cfRule type="cellIs" dxfId="360" priority="545" operator="equal">
      <formula>"Moderado"</formula>
    </cfRule>
    <cfRule type="cellIs" dxfId="359" priority="546" operator="equal">
      <formula>"Menor"</formula>
    </cfRule>
    <cfRule type="cellIs" dxfId="358" priority="547" operator="equal">
      <formula>"Leve"</formula>
    </cfRule>
  </conditionalFormatting>
  <conditionalFormatting sqref="AC42:AC47">
    <cfRule type="cellIs" dxfId="357" priority="539" operator="equal">
      <formula>"Extremo"</formula>
    </cfRule>
    <cfRule type="cellIs" dxfId="356" priority="540" operator="equal">
      <formula>"Alto"</formula>
    </cfRule>
    <cfRule type="cellIs" dxfId="355" priority="541" operator="equal">
      <formula>"Moderado"</formula>
    </cfRule>
    <cfRule type="cellIs" dxfId="354" priority="542" operator="equal">
      <formula>"Bajo"</formula>
    </cfRule>
  </conditionalFormatting>
  <conditionalFormatting sqref="H54">
    <cfRule type="cellIs" dxfId="353" priority="506" operator="equal">
      <formula>"Muy Alta"</formula>
    </cfRule>
    <cfRule type="cellIs" dxfId="352" priority="507" operator="equal">
      <formula>"Alta"</formula>
    </cfRule>
    <cfRule type="cellIs" dxfId="351" priority="508" operator="equal">
      <formula>"Media"</formula>
    </cfRule>
    <cfRule type="cellIs" dxfId="350" priority="509" operator="equal">
      <formula>"Baja"</formula>
    </cfRule>
    <cfRule type="cellIs" dxfId="349" priority="510" operator="equal">
      <formula>"Muy Baja"</formula>
    </cfRule>
  </conditionalFormatting>
  <conditionalFormatting sqref="N54">
    <cfRule type="cellIs" dxfId="348" priority="497" operator="equal">
      <formula>"Extremo"</formula>
    </cfRule>
    <cfRule type="cellIs" dxfId="347" priority="498" operator="equal">
      <formula>"Alto"</formula>
    </cfRule>
    <cfRule type="cellIs" dxfId="346" priority="499" operator="equal">
      <formula>"Moderado"</formula>
    </cfRule>
    <cfRule type="cellIs" dxfId="345" priority="500" operator="equal">
      <formula>"Bajo"</formula>
    </cfRule>
  </conditionalFormatting>
  <conditionalFormatting sqref="Y54:Y59">
    <cfRule type="cellIs" dxfId="344" priority="492" operator="equal">
      <formula>"Muy Alta"</formula>
    </cfRule>
    <cfRule type="cellIs" dxfId="343" priority="493" operator="equal">
      <formula>"Alta"</formula>
    </cfRule>
    <cfRule type="cellIs" dxfId="342" priority="494" operator="equal">
      <formula>"Media"</formula>
    </cfRule>
    <cfRule type="cellIs" dxfId="341" priority="495" operator="equal">
      <formula>"Baja"</formula>
    </cfRule>
    <cfRule type="cellIs" dxfId="340" priority="496" operator="equal">
      <formula>"Muy Baja"</formula>
    </cfRule>
  </conditionalFormatting>
  <conditionalFormatting sqref="AA54:AA59">
    <cfRule type="cellIs" dxfId="339" priority="487" operator="equal">
      <formula>"Catastrófico"</formula>
    </cfRule>
    <cfRule type="cellIs" dxfId="338" priority="488" operator="equal">
      <formula>"Mayor"</formula>
    </cfRule>
    <cfRule type="cellIs" dxfId="337" priority="489" operator="equal">
      <formula>"Moderado"</formula>
    </cfRule>
    <cfRule type="cellIs" dxfId="336" priority="490" operator="equal">
      <formula>"Menor"</formula>
    </cfRule>
    <cfRule type="cellIs" dxfId="335" priority="491" operator="equal">
      <formula>"Leve"</formula>
    </cfRule>
  </conditionalFormatting>
  <conditionalFormatting sqref="AC54:AC59">
    <cfRule type="cellIs" dxfId="334" priority="483" operator="equal">
      <formula>"Extremo"</formula>
    </cfRule>
    <cfRule type="cellIs" dxfId="333" priority="484" operator="equal">
      <formula>"Alto"</formula>
    </cfRule>
    <cfRule type="cellIs" dxfId="332" priority="485" operator="equal">
      <formula>"Moderado"</formula>
    </cfRule>
    <cfRule type="cellIs" dxfId="331" priority="486" operator="equal">
      <formula>"Bajo"</formula>
    </cfRule>
  </conditionalFormatting>
  <conditionalFormatting sqref="K12:K47 K54:K59">
    <cfRule type="containsText" dxfId="330" priority="426" operator="containsText" text="❌">
      <formula>NOT(ISERROR(SEARCH("❌",K12)))</formula>
    </cfRule>
  </conditionalFormatting>
  <conditionalFormatting sqref="H60">
    <cfRule type="cellIs" dxfId="329" priority="322" operator="equal">
      <formula>"Muy Alta"</formula>
    </cfRule>
    <cfRule type="cellIs" dxfId="328" priority="323" operator="equal">
      <formula>"Alta"</formula>
    </cfRule>
    <cfRule type="cellIs" dxfId="327" priority="324" operator="equal">
      <formula>"Media"</formula>
    </cfRule>
    <cfRule type="cellIs" dxfId="326" priority="325" operator="equal">
      <formula>"Baja"</formula>
    </cfRule>
    <cfRule type="cellIs" dxfId="325" priority="326" operator="equal">
      <formula>"Muy Baja"</formula>
    </cfRule>
  </conditionalFormatting>
  <conditionalFormatting sqref="L60">
    <cfRule type="cellIs" dxfId="324" priority="317" operator="equal">
      <formula>"Catastrófico"</formula>
    </cfRule>
    <cfRule type="cellIs" dxfId="323" priority="318" operator="equal">
      <formula>"Mayor"</formula>
    </cfRule>
    <cfRule type="cellIs" dxfId="322" priority="319" operator="equal">
      <formula>"Moderado"</formula>
    </cfRule>
    <cfRule type="cellIs" dxfId="321" priority="320" operator="equal">
      <formula>"Menor"</formula>
    </cfRule>
    <cfRule type="cellIs" dxfId="320" priority="321" operator="equal">
      <formula>"Leve"</formula>
    </cfRule>
  </conditionalFormatting>
  <conditionalFormatting sqref="K60:K65">
    <cfRule type="containsText" dxfId="319" priority="316" operator="containsText" text="❌">
      <formula>NOT(ISERROR(SEARCH("❌",K60)))</formula>
    </cfRule>
  </conditionalFormatting>
  <conditionalFormatting sqref="N60">
    <cfRule type="cellIs" dxfId="318" priority="312" operator="equal">
      <formula>"Extremo"</formula>
    </cfRule>
    <cfRule type="cellIs" dxfId="317" priority="313" operator="equal">
      <formula>"Alto"</formula>
    </cfRule>
    <cfRule type="cellIs" dxfId="316" priority="314" operator="equal">
      <formula>"Moderado"</formula>
    </cfRule>
    <cfRule type="cellIs" dxfId="315" priority="315" operator="equal">
      <formula>"Bajo"</formula>
    </cfRule>
  </conditionalFormatting>
  <conditionalFormatting sqref="Y60">
    <cfRule type="cellIs" dxfId="314" priority="307" operator="equal">
      <formula>"Muy Alta"</formula>
    </cfRule>
    <cfRule type="cellIs" dxfId="313" priority="308" operator="equal">
      <formula>"Alta"</formula>
    </cfRule>
    <cfRule type="cellIs" dxfId="312" priority="309" operator="equal">
      <formula>"Media"</formula>
    </cfRule>
    <cfRule type="cellIs" dxfId="311" priority="310" operator="equal">
      <formula>"Baja"</formula>
    </cfRule>
    <cfRule type="cellIs" dxfId="310" priority="311" operator="equal">
      <formula>"Muy Baja"</formula>
    </cfRule>
  </conditionalFormatting>
  <conditionalFormatting sqref="AA60">
    <cfRule type="cellIs" dxfId="309" priority="302" operator="equal">
      <formula>"Catastrófico"</formula>
    </cfRule>
    <cfRule type="cellIs" dxfId="308" priority="303" operator="equal">
      <formula>"Mayor"</formula>
    </cfRule>
    <cfRule type="cellIs" dxfId="307" priority="304" operator="equal">
      <formula>"Moderado"</formula>
    </cfRule>
    <cfRule type="cellIs" dxfId="306" priority="305" operator="equal">
      <formula>"Menor"</formula>
    </cfRule>
    <cfRule type="cellIs" dxfId="305" priority="306" operator="equal">
      <formula>"Leve"</formula>
    </cfRule>
  </conditionalFormatting>
  <conditionalFormatting sqref="AC60">
    <cfRule type="cellIs" dxfId="304" priority="298" operator="equal">
      <formula>"Extremo"</formula>
    </cfRule>
    <cfRule type="cellIs" dxfId="303" priority="299" operator="equal">
      <formula>"Alto"</formula>
    </cfRule>
    <cfRule type="cellIs" dxfId="302" priority="300" operator="equal">
      <formula>"Moderado"</formula>
    </cfRule>
    <cfRule type="cellIs" dxfId="301" priority="301" operator="equal">
      <formula>"Bajo"</formula>
    </cfRule>
  </conditionalFormatting>
  <conditionalFormatting sqref="Y61">
    <cfRule type="cellIs" dxfId="300" priority="293" operator="equal">
      <formula>"Muy Alta"</formula>
    </cfRule>
    <cfRule type="cellIs" dxfId="299" priority="294" operator="equal">
      <formula>"Alta"</formula>
    </cfRule>
    <cfRule type="cellIs" dxfId="298" priority="295" operator="equal">
      <formula>"Media"</formula>
    </cfRule>
    <cfRule type="cellIs" dxfId="297" priority="296" operator="equal">
      <formula>"Baja"</formula>
    </cfRule>
    <cfRule type="cellIs" dxfId="296" priority="297" operator="equal">
      <formula>"Muy Baja"</formula>
    </cfRule>
  </conditionalFormatting>
  <conditionalFormatting sqref="AA61">
    <cfRule type="cellIs" dxfId="295" priority="288" operator="equal">
      <formula>"Catastrófico"</formula>
    </cfRule>
    <cfRule type="cellIs" dxfId="294" priority="289" operator="equal">
      <formula>"Mayor"</formula>
    </cfRule>
    <cfRule type="cellIs" dxfId="293" priority="290" operator="equal">
      <formula>"Moderado"</formula>
    </cfRule>
    <cfRule type="cellIs" dxfId="292" priority="291" operator="equal">
      <formula>"Menor"</formula>
    </cfRule>
    <cfRule type="cellIs" dxfId="291" priority="292" operator="equal">
      <formula>"Leve"</formula>
    </cfRule>
  </conditionalFormatting>
  <conditionalFormatting sqref="AC61">
    <cfRule type="cellIs" dxfId="290" priority="284" operator="equal">
      <formula>"Extremo"</formula>
    </cfRule>
    <cfRule type="cellIs" dxfId="289" priority="285" operator="equal">
      <formula>"Alto"</formula>
    </cfRule>
    <cfRule type="cellIs" dxfId="288" priority="286" operator="equal">
      <formula>"Moderado"</formula>
    </cfRule>
    <cfRule type="cellIs" dxfId="287" priority="287" operator="equal">
      <formula>"Bajo"</formula>
    </cfRule>
  </conditionalFormatting>
  <conditionalFormatting sqref="Y62">
    <cfRule type="cellIs" dxfId="286" priority="279" operator="equal">
      <formula>"Muy Alta"</formula>
    </cfRule>
    <cfRule type="cellIs" dxfId="285" priority="280" operator="equal">
      <formula>"Alta"</formula>
    </cfRule>
    <cfRule type="cellIs" dxfId="284" priority="281" operator="equal">
      <formula>"Media"</formula>
    </cfRule>
    <cfRule type="cellIs" dxfId="283" priority="282" operator="equal">
      <formula>"Baja"</formula>
    </cfRule>
    <cfRule type="cellIs" dxfId="282" priority="283" operator="equal">
      <formula>"Muy Baja"</formula>
    </cfRule>
  </conditionalFormatting>
  <conditionalFormatting sqref="AA62">
    <cfRule type="cellIs" dxfId="281" priority="274" operator="equal">
      <formula>"Catastrófico"</formula>
    </cfRule>
    <cfRule type="cellIs" dxfId="280" priority="275" operator="equal">
      <formula>"Mayor"</formula>
    </cfRule>
    <cfRule type="cellIs" dxfId="279" priority="276" operator="equal">
      <formula>"Moderado"</formula>
    </cfRule>
    <cfRule type="cellIs" dxfId="278" priority="277" operator="equal">
      <formula>"Menor"</formula>
    </cfRule>
    <cfRule type="cellIs" dxfId="277" priority="278" operator="equal">
      <formula>"Leve"</formula>
    </cfRule>
  </conditionalFormatting>
  <conditionalFormatting sqref="AC62">
    <cfRule type="cellIs" dxfId="276" priority="270" operator="equal">
      <formula>"Extremo"</formula>
    </cfRule>
    <cfRule type="cellIs" dxfId="275" priority="271" operator="equal">
      <formula>"Alto"</formula>
    </cfRule>
    <cfRule type="cellIs" dxfId="274" priority="272" operator="equal">
      <formula>"Moderado"</formula>
    </cfRule>
    <cfRule type="cellIs" dxfId="273" priority="273" operator="equal">
      <formula>"Bajo"</formula>
    </cfRule>
  </conditionalFormatting>
  <conditionalFormatting sqref="Y63">
    <cfRule type="cellIs" dxfId="272" priority="265" operator="equal">
      <formula>"Muy Alta"</formula>
    </cfRule>
    <cfRule type="cellIs" dxfId="271" priority="266" operator="equal">
      <formula>"Alta"</formula>
    </cfRule>
    <cfRule type="cellIs" dxfId="270" priority="267" operator="equal">
      <formula>"Media"</formula>
    </cfRule>
    <cfRule type="cellIs" dxfId="269" priority="268" operator="equal">
      <formula>"Baja"</formula>
    </cfRule>
    <cfRule type="cellIs" dxfId="268" priority="269" operator="equal">
      <formula>"Muy Baja"</formula>
    </cfRule>
  </conditionalFormatting>
  <conditionalFormatting sqref="AA63">
    <cfRule type="cellIs" dxfId="267" priority="260" operator="equal">
      <formula>"Catastrófico"</formula>
    </cfRule>
    <cfRule type="cellIs" dxfId="266" priority="261" operator="equal">
      <formula>"Mayor"</formula>
    </cfRule>
    <cfRule type="cellIs" dxfId="265" priority="262" operator="equal">
      <formula>"Moderado"</formula>
    </cfRule>
    <cfRule type="cellIs" dxfId="264" priority="263" operator="equal">
      <formula>"Menor"</formula>
    </cfRule>
    <cfRule type="cellIs" dxfId="263" priority="264" operator="equal">
      <formula>"Leve"</formula>
    </cfRule>
  </conditionalFormatting>
  <conditionalFormatting sqref="AC63">
    <cfRule type="cellIs" dxfId="262" priority="256" operator="equal">
      <formula>"Extremo"</formula>
    </cfRule>
    <cfRule type="cellIs" dxfId="261" priority="257" operator="equal">
      <formula>"Alto"</formula>
    </cfRule>
    <cfRule type="cellIs" dxfId="260" priority="258" operator="equal">
      <formula>"Moderado"</formula>
    </cfRule>
    <cfRule type="cellIs" dxfId="259" priority="259" operator="equal">
      <formula>"Bajo"</formula>
    </cfRule>
  </conditionalFormatting>
  <conditionalFormatting sqref="Y64">
    <cfRule type="cellIs" dxfId="258" priority="251" operator="equal">
      <formula>"Muy Alta"</formula>
    </cfRule>
    <cfRule type="cellIs" dxfId="257" priority="252" operator="equal">
      <formula>"Alta"</formula>
    </cfRule>
    <cfRule type="cellIs" dxfId="256" priority="253" operator="equal">
      <formula>"Media"</formula>
    </cfRule>
    <cfRule type="cellIs" dxfId="255" priority="254" operator="equal">
      <formula>"Baja"</formula>
    </cfRule>
    <cfRule type="cellIs" dxfId="254" priority="255" operator="equal">
      <formula>"Muy Baja"</formula>
    </cfRule>
  </conditionalFormatting>
  <conditionalFormatting sqref="AA64">
    <cfRule type="cellIs" dxfId="253" priority="246" operator="equal">
      <formula>"Catastrófico"</formula>
    </cfRule>
    <cfRule type="cellIs" dxfId="252" priority="247" operator="equal">
      <formula>"Mayor"</formula>
    </cfRule>
    <cfRule type="cellIs" dxfId="251" priority="248" operator="equal">
      <formula>"Moderado"</formula>
    </cfRule>
    <cfRule type="cellIs" dxfId="250" priority="249" operator="equal">
      <formula>"Menor"</formula>
    </cfRule>
    <cfRule type="cellIs" dxfId="249" priority="250" operator="equal">
      <formula>"Leve"</formula>
    </cfRule>
  </conditionalFormatting>
  <conditionalFormatting sqref="AC64">
    <cfRule type="cellIs" dxfId="248" priority="242" operator="equal">
      <formula>"Extremo"</formula>
    </cfRule>
    <cfRule type="cellIs" dxfId="247" priority="243" operator="equal">
      <formula>"Alto"</formula>
    </cfRule>
    <cfRule type="cellIs" dxfId="246" priority="244" operator="equal">
      <formula>"Moderado"</formula>
    </cfRule>
    <cfRule type="cellIs" dxfId="245" priority="245" operator="equal">
      <formula>"Bajo"</formula>
    </cfRule>
  </conditionalFormatting>
  <conditionalFormatting sqref="Y65">
    <cfRule type="cellIs" dxfId="244" priority="237" operator="equal">
      <formula>"Muy Alta"</formula>
    </cfRule>
    <cfRule type="cellIs" dxfId="243" priority="238" operator="equal">
      <formula>"Alta"</formula>
    </cfRule>
    <cfRule type="cellIs" dxfId="242" priority="239" operator="equal">
      <formula>"Media"</formula>
    </cfRule>
    <cfRule type="cellIs" dxfId="241" priority="240" operator="equal">
      <formula>"Baja"</formula>
    </cfRule>
    <cfRule type="cellIs" dxfId="240" priority="241" operator="equal">
      <formula>"Muy Baja"</formula>
    </cfRule>
  </conditionalFormatting>
  <conditionalFormatting sqref="AA65">
    <cfRule type="cellIs" dxfId="239" priority="232" operator="equal">
      <formula>"Catastrófico"</formula>
    </cfRule>
    <cfRule type="cellIs" dxfId="238" priority="233" operator="equal">
      <formula>"Mayor"</formula>
    </cfRule>
    <cfRule type="cellIs" dxfId="237" priority="234" operator="equal">
      <formula>"Moderado"</formula>
    </cfRule>
    <cfRule type="cellIs" dxfId="236" priority="235" operator="equal">
      <formula>"Menor"</formula>
    </cfRule>
    <cfRule type="cellIs" dxfId="235" priority="236" operator="equal">
      <formula>"Leve"</formula>
    </cfRule>
  </conditionalFormatting>
  <conditionalFormatting sqref="AC65">
    <cfRule type="cellIs" dxfId="234" priority="228" operator="equal">
      <formula>"Extremo"</formula>
    </cfRule>
    <cfRule type="cellIs" dxfId="233" priority="229" operator="equal">
      <formula>"Alto"</formula>
    </cfRule>
    <cfRule type="cellIs" dxfId="232" priority="230" operator="equal">
      <formula>"Moderado"</formula>
    </cfRule>
    <cfRule type="cellIs" dxfId="231" priority="231" operator="equal">
      <formula>"Bajo"</formula>
    </cfRule>
  </conditionalFormatting>
  <conditionalFormatting sqref="H66">
    <cfRule type="cellIs" dxfId="230" priority="223" operator="equal">
      <formula>"Muy Alta"</formula>
    </cfRule>
    <cfRule type="cellIs" dxfId="229" priority="224" operator="equal">
      <formula>"Alta"</formula>
    </cfRule>
    <cfRule type="cellIs" dxfId="228" priority="225" operator="equal">
      <formula>"Media"</formula>
    </cfRule>
    <cfRule type="cellIs" dxfId="227" priority="226" operator="equal">
      <formula>"Baja"</formula>
    </cfRule>
    <cfRule type="cellIs" dxfId="226" priority="227" operator="equal">
      <formula>"Muy Baja"</formula>
    </cfRule>
  </conditionalFormatting>
  <conditionalFormatting sqref="L66">
    <cfRule type="cellIs" dxfId="225" priority="218" operator="equal">
      <formula>"Catastrófico"</formula>
    </cfRule>
    <cfRule type="cellIs" dxfId="224" priority="219" operator="equal">
      <formula>"Mayor"</formula>
    </cfRule>
    <cfRule type="cellIs" dxfId="223" priority="220" operator="equal">
      <formula>"Moderado"</formula>
    </cfRule>
    <cfRule type="cellIs" dxfId="222" priority="221" operator="equal">
      <formula>"Menor"</formula>
    </cfRule>
    <cfRule type="cellIs" dxfId="221" priority="222" operator="equal">
      <formula>"Leve"</formula>
    </cfRule>
  </conditionalFormatting>
  <conditionalFormatting sqref="K66:K71">
    <cfRule type="containsText" dxfId="220" priority="217" operator="containsText" text="❌">
      <formula>NOT(ISERROR(SEARCH("❌",K66)))</formula>
    </cfRule>
  </conditionalFormatting>
  <conditionalFormatting sqref="N66">
    <cfRule type="cellIs" dxfId="219" priority="213" operator="equal">
      <formula>"Extremo"</formula>
    </cfRule>
    <cfRule type="cellIs" dxfId="218" priority="214" operator="equal">
      <formula>"Alto"</formula>
    </cfRule>
    <cfRule type="cellIs" dxfId="217" priority="215" operator="equal">
      <formula>"Moderado"</formula>
    </cfRule>
    <cfRule type="cellIs" dxfId="216" priority="216" operator="equal">
      <formula>"Bajo"</formula>
    </cfRule>
  </conditionalFormatting>
  <conditionalFormatting sqref="Y66">
    <cfRule type="cellIs" dxfId="215" priority="208" operator="equal">
      <formula>"Muy Alta"</formula>
    </cfRule>
    <cfRule type="cellIs" dxfId="214" priority="209" operator="equal">
      <formula>"Alta"</formula>
    </cfRule>
    <cfRule type="cellIs" dxfId="213" priority="210" operator="equal">
      <formula>"Media"</formula>
    </cfRule>
    <cfRule type="cellIs" dxfId="212" priority="211" operator="equal">
      <formula>"Baja"</formula>
    </cfRule>
    <cfRule type="cellIs" dxfId="211" priority="212" operator="equal">
      <formula>"Muy Baja"</formula>
    </cfRule>
  </conditionalFormatting>
  <conditionalFormatting sqref="AA66">
    <cfRule type="cellIs" dxfId="210" priority="203" operator="equal">
      <formula>"Catastrófico"</formula>
    </cfRule>
    <cfRule type="cellIs" dxfId="209" priority="204" operator="equal">
      <formula>"Mayor"</formula>
    </cfRule>
    <cfRule type="cellIs" dxfId="208" priority="205" operator="equal">
      <formula>"Moderado"</formula>
    </cfRule>
    <cfRule type="cellIs" dxfId="207" priority="206" operator="equal">
      <formula>"Menor"</formula>
    </cfRule>
    <cfRule type="cellIs" dxfId="206" priority="207" operator="equal">
      <formula>"Leve"</formula>
    </cfRule>
  </conditionalFormatting>
  <conditionalFormatting sqref="AC66">
    <cfRule type="cellIs" dxfId="205" priority="199" operator="equal">
      <formula>"Extremo"</formula>
    </cfRule>
    <cfRule type="cellIs" dxfId="204" priority="200" operator="equal">
      <formula>"Alto"</formula>
    </cfRule>
    <cfRule type="cellIs" dxfId="203" priority="201" operator="equal">
      <formula>"Moderado"</formula>
    </cfRule>
    <cfRule type="cellIs" dxfId="202" priority="202" operator="equal">
      <formula>"Bajo"</formula>
    </cfRule>
  </conditionalFormatting>
  <conditionalFormatting sqref="Y67">
    <cfRule type="cellIs" dxfId="201" priority="194" operator="equal">
      <formula>"Muy Alta"</formula>
    </cfRule>
    <cfRule type="cellIs" dxfId="200" priority="195" operator="equal">
      <formula>"Alta"</formula>
    </cfRule>
    <cfRule type="cellIs" dxfId="199" priority="196" operator="equal">
      <formula>"Media"</formula>
    </cfRule>
    <cfRule type="cellIs" dxfId="198" priority="197" operator="equal">
      <formula>"Baja"</formula>
    </cfRule>
    <cfRule type="cellIs" dxfId="197" priority="198" operator="equal">
      <formula>"Muy Baja"</formula>
    </cfRule>
  </conditionalFormatting>
  <conditionalFormatting sqref="AA67">
    <cfRule type="cellIs" dxfId="196" priority="189" operator="equal">
      <formula>"Catastrófico"</formula>
    </cfRule>
    <cfRule type="cellIs" dxfId="195" priority="190" operator="equal">
      <formula>"Mayor"</formula>
    </cfRule>
    <cfRule type="cellIs" dxfId="194" priority="191" operator="equal">
      <formula>"Moderado"</formula>
    </cfRule>
    <cfRule type="cellIs" dxfId="193" priority="192" operator="equal">
      <formula>"Menor"</formula>
    </cfRule>
    <cfRule type="cellIs" dxfId="192" priority="193" operator="equal">
      <formula>"Leve"</formula>
    </cfRule>
  </conditionalFormatting>
  <conditionalFormatting sqref="AC67">
    <cfRule type="cellIs" dxfId="191" priority="185" operator="equal">
      <formula>"Extremo"</formula>
    </cfRule>
    <cfRule type="cellIs" dxfId="190" priority="186" operator="equal">
      <formula>"Alto"</formula>
    </cfRule>
    <cfRule type="cellIs" dxfId="189" priority="187" operator="equal">
      <formula>"Moderado"</formula>
    </cfRule>
    <cfRule type="cellIs" dxfId="188" priority="188" operator="equal">
      <formula>"Bajo"</formula>
    </cfRule>
  </conditionalFormatting>
  <conditionalFormatting sqref="Y68">
    <cfRule type="cellIs" dxfId="187" priority="180" operator="equal">
      <formula>"Muy Alta"</formula>
    </cfRule>
    <cfRule type="cellIs" dxfId="186" priority="181" operator="equal">
      <formula>"Alta"</formula>
    </cfRule>
    <cfRule type="cellIs" dxfId="185" priority="182" operator="equal">
      <formula>"Media"</formula>
    </cfRule>
    <cfRule type="cellIs" dxfId="184" priority="183" operator="equal">
      <formula>"Baja"</formula>
    </cfRule>
    <cfRule type="cellIs" dxfId="183" priority="184" operator="equal">
      <formula>"Muy Baja"</formula>
    </cfRule>
  </conditionalFormatting>
  <conditionalFormatting sqref="AA68">
    <cfRule type="cellIs" dxfId="182" priority="175" operator="equal">
      <formula>"Catastrófico"</formula>
    </cfRule>
    <cfRule type="cellIs" dxfId="181" priority="176" operator="equal">
      <formula>"Mayor"</formula>
    </cfRule>
    <cfRule type="cellIs" dxfId="180" priority="177" operator="equal">
      <formula>"Moderado"</formula>
    </cfRule>
    <cfRule type="cellIs" dxfId="179" priority="178" operator="equal">
      <formula>"Menor"</formula>
    </cfRule>
    <cfRule type="cellIs" dxfId="178" priority="179" operator="equal">
      <formula>"Leve"</formula>
    </cfRule>
  </conditionalFormatting>
  <conditionalFormatting sqref="AC68">
    <cfRule type="cellIs" dxfId="177" priority="171" operator="equal">
      <formula>"Extremo"</formula>
    </cfRule>
    <cfRule type="cellIs" dxfId="176" priority="172" operator="equal">
      <formula>"Alto"</formula>
    </cfRule>
    <cfRule type="cellIs" dxfId="175" priority="173" operator="equal">
      <formula>"Moderado"</formula>
    </cfRule>
    <cfRule type="cellIs" dxfId="174" priority="174" operator="equal">
      <formula>"Bajo"</formula>
    </cfRule>
  </conditionalFormatting>
  <conditionalFormatting sqref="Y69">
    <cfRule type="cellIs" dxfId="173" priority="166" operator="equal">
      <formula>"Muy Alta"</formula>
    </cfRule>
    <cfRule type="cellIs" dxfId="172" priority="167" operator="equal">
      <formula>"Alta"</formula>
    </cfRule>
    <cfRule type="cellIs" dxfId="171" priority="168" operator="equal">
      <formula>"Media"</formula>
    </cfRule>
    <cfRule type="cellIs" dxfId="170" priority="169" operator="equal">
      <formula>"Baja"</formula>
    </cfRule>
    <cfRule type="cellIs" dxfId="169" priority="170" operator="equal">
      <formula>"Muy Baja"</formula>
    </cfRule>
  </conditionalFormatting>
  <conditionalFormatting sqref="AA69">
    <cfRule type="cellIs" dxfId="168" priority="161" operator="equal">
      <formula>"Catastrófico"</formula>
    </cfRule>
    <cfRule type="cellIs" dxfId="167" priority="162" operator="equal">
      <formula>"Mayor"</formula>
    </cfRule>
    <cfRule type="cellIs" dxfId="166" priority="163" operator="equal">
      <formula>"Moderado"</formula>
    </cfRule>
    <cfRule type="cellIs" dxfId="165" priority="164" operator="equal">
      <formula>"Menor"</formula>
    </cfRule>
    <cfRule type="cellIs" dxfId="164" priority="165" operator="equal">
      <formula>"Leve"</formula>
    </cfRule>
  </conditionalFormatting>
  <conditionalFormatting sqref="AC69">
    <cfRule type="cellIs" dxfId="163" priority="157" operator="equal">
      <formula>"Extremo"</formula>
    </cfRule>
    <cfRule type="cellIs" dxfId="162" priority="158" operator="equal">
      <formula>"Alto"</formula>
    </cfRule>
    <cfRule type="cellIs" dxfId="161" priority="159" operator="equal">
      <formula>"Moderado"</formula>
    </cfRule>
    <cfRule type="cellIs" dxfId="160" priority="160" operator="equal">
      <formula>"Bajo"</formula>
    </cfRule>
  </conditionalFormatting>
  <conditionalFormatting sqref="Y70">
    <cfRule type="cellIs" dxfId="159" priority="152" operator="equal">
      <formula>"Muy Alta"</formula>
    </cfRule>
    <cfRule type="cellIs" dxfId="158" priority="153" operator="equal">
      <formula>"Alta"</formula>
    </cfRule>
    <cfRule type="cellIs" dxfId="157" priority="154" operator="equal">
      <formula>"Media"</formula>
    </cfRule>
    <cfRule type="cellIs" dxfId="156" priority="155" operator="equal">
      <formula>"Baja"</formula>
    </cfRule>
    <cfRule type="cellIs" dxfId="155" priority="156" operator="equal">
      <formula>"Muy Baja"</formula>
    </cfRule>
  </conditionalFormatting>
  <conditionalFormatting sqref="AA70">
    <cfRule type="cellIs" dxfId="154" priority="147" operator="equal">
      <formula>"Catastrófico"</formula>
    </cfRule>
    <cfRule type="cellIs" dxfId="153" priority="148" operator="equal">
      <formula>"Mayor"</formula>
    </cfRule>
    <cfRule type="cellIs" dxfId="152" priority="149" operator="equal">
      <formula>"Moderado"</formula>
    </cfRule>
    <cfRule type="cellIs" dxfId="151" priority="150" operator="equal">
      <formula>"Menor"</formula>
    </cfRule>
    <cfRule type="cellIs" dxfId="150" priority="151" operator="equal">
      <formula>"Leve"</formula>
    </cfRule>
  </conditionalFormatting>
  <conditionalFormatting sqref="AC70">
    <cfRule type="cellIs" dxfId="149" priority="143" operator="equal">
      <formula>"Extremo"</formula>
    </cfRule>
    <cfRule type="cellIs" dxfId="148" priority="144" operator="equal">
      <formula>"Alto"</formula>
    </cfRule>
    <cfRule type="cellIs" dxfId="147" priority="145" operator="equal">
      <formula>"Moderado"</formula>
    </cfRule>
    <cfRule type="cellIs" dxfId="146" priority="146" operator="equal">
      <formula>"Bajo"</formula>
    </cfRule>
  </conditionalFormatting>
  <conditionalFormatting sqref="Y71">
    <cfRule type="cellIs" dxfId="145" priority="138" operator="equal">
      <formula>"Muy Alta"</formula>
    </cfRule>
    <cfRule type="cellIs" dxfId="144" priority="139" operator="equal">
      <formula>"Alta"</formula>
    </cfRule>
    <cfRule type="cellIs" dxfId="143" priority="140" operator="equal">
      <formula>"Media"</formula>
    </cfRule>
    <cfRule type="cellIs" dxfId="142" priority="141" operator="equal">
      <formula>"Baja"</formula>
    </cfRule>
    <cfRule type="cellIs" dxfId="141" priority="142" operator="equal">
      <formula>"Muy Baja"</formula>
    </cfRule>
  </conditionalFormatting>
  <conditionalFormatting sqref="AA71">
    <cfRule type="cellIs" dxfId="140" priority="133" operator="equal">
      <formula>"Catastrófico"</formula>
    </cfRule>
    <cfRule type="cellIs" dxfId="139" priority="134" operator="equal">
      <formula>"Mayor"</formula>
    </cfRule>
    <cfRule type="cellIs" dxfId="138" priority="135" operator="equal">
      <formula>"Moderado"</formula>
    </cfRule>
    <cfRule type="cellIs" dxfId="137" priority="136" operator="equal">
      <formula>"Menor"</formula>
    </cfRule>
    <cfRule type="cellIs" dxfId="136" priority="137" operator="equal">
      <formula>"Leve"</formula>
    </cfRule>
  </conditionalFormatting>
  <conditionalFormatting sqref="AC71">
    <cfRule type="cellIs" dxfId="135" priority="129" operator="equal">
      <formula>"Extremo"</formula>
    </cfRule>
    <cfRule type="cellIs" dxfId="134" priority="130" operator="equal">
      <formula>"Alto"</formula>
    </cfRule>
    <cfRule type="cellIs" dxfId="133" priority="131" operator="equal">
      <formula>"Moderado"</formula>
    </cfRule>
    <cfRule type="cellIs" dxfId="132" priority="132" operator="equal">
      <formula>"Bajo"</formula>
    </cfRule>
  </conditionalFormatting>
  <conditionalFormatting sqref="H72">
    <cfRule type="cellIs" dxfId="131" priority="124" operator="equal">
      <formula>"Muy Alta"</formula>
    </cfRule>
    <cfRule type="cellIs" dxfId="130" priority="125" operator="equal">
      <formula>"Alta"</formula>
    </cfRule>
    <cfRule type="cellIs" dxfId="129" priority="126" operator="equal">
      <formula>"Media"</formula>
    </cfRule>
    <cfRule type="cellIs" dxfId="128" priority="127" operator="equal">
      <formula>"Baja"</formula>
    </cfRule>
    <cfRule type="cellIs" dxfId="127" priority="128" operator="equal">
      <formula>"Muy Baja"</formula>
    </cfRule>
  </conditionalFormatting>
  <conditionalFormatting sqref="L72">
    <cfRule type="cellIs" dxfId="126" priority="119" operator="equal">
      <formula>"Catastrófico"</formula>
    </cfRule>
    <cfRule type="cellIs" dxfId="125" priority="120" operator="equal">
      <formula>"Mayor"</formula>
    </cfRule>
    <cfRule type="cellIs" dxfId="124" priority="121" operator="equal">
      <formula>"Moderado"</formula>
    </cfRule>
    <cfRule type="cellIs" dxfId="123" priority="122" operator="equal">
      <formula>"Menor"</formula>
    </cfRule>
    <cfRule type="cellIs" dxfId="122" priority="123" operator="equal">
      <formula>"Leve"</formula>
    </cfRule>
  </conditionalFormatting>
  <conditionalFormatting sqref="K72:K77">
    <cfRule type="containsText" dxfId="121" priority="118" operator="containsText" text="❌">
      <formula>NOT(ISERROR(SEARCH("❌",K72)))</formula>
    </cfRule>
  </conditionalFormatting>
  <conditionalFormatting sqref="N72">
    <cfRule type="cellIs" dxfId="120" priority="114" operator="equal">
      <formula>"Extremo"</formula>
    </cfRule>
    <cfRule type="cellIs" dxfId="119" priority="115" operator="equal">
      <formula>"Alto"</formula>
    </cfRule>
    <cfRule type="cellIs" dxfId="118" priority="116" operator="equal">
      <formula>"Moderado"</formula>
    </cfRule>
    <cfRule type="cellIs" dxfId="117" priority="117" operator="equal">
      <formula>"Bajo"</formula>
    </cfRule>
  </conditionalFormatting>
  <conditionalFormatting sqref="Y72">
    <cfRule type="cellIs" dxfId="116" priority="109" operator="equal">
      <formula>"Muy Alta"</formula>
    </cfRule>
    <cfRule type="cellIs" dxfId="115" priority="110" operator="equal">
      <formula>"Alta"</formula>
    </cfRule>
    <cfRule type="cellIs" dxfId="114" priority="111" operator="equal">
      <formula>"Media"</formula>
    </cfRule>
    <cfRule type="cellIs" dxfId="113" priority="112" operator="equal">
      <formula>"Baja"</formula>
    </cfRule>
    <cfRule type="cellIs" dxfId="112" priority="113" operator="equal">
      <formula>"Muy Baja"</formula>
    </cfRule>
  </conditionalFormatting>
  <conditionalFormatting sqref="AA72">
    <cfRule type="cellIs" dxfId="111" priority="104" operator="equal">
      <formula>"Catastrófico"</formula>
    </cfRule>
    <cfRule type="cellIs" dxfId="110" priority="105" operator="equal">
      <formula>"Mayor"</formula>
    </cfRule>
    <cfRule type="cellIs" dxfId="109" priority="106" operator="equal">
      <formula>"Moderado"</formula>
    </cfRule>
    <cfRule type="cellIs" dxfId="108" priority="107" operator="equal">
      <formula>"Menor"</formula>
    </cfRule>
    <cfRule type="cellIs" dxfId="107" priority="108" operator="equal">
      <formula>"Leve"</formula>
    </cfRule>
  </conditionalFormatting>
  <conditionalFormatting sqref="AC72">
    <cfRule type="cellIs" dxfId="106" priority="100" operator="equal">
      <formula>"Extremo"</formula>
    </cfRule>
    <cfRule type="cellIs" dxfId="105" priority="101" operator="equal">
      <formula>"Alto"</formula>
    </cfRule>
    <cfRule type="cellIs" dxfId="104" priority="102" operator="equal">
      <formula>"Moderado"</formula>
    </cfRule>
    <cfRule type="cellIs" dxfId="103" priority="103" operator="equal">
      <formula>"Bajo"</formula>
    </cfRule>
  </conditionalFormatting>
  <conditionalFormatting sqref="Y73">
    <cfRule type="cellIs" dxfId="102" priority="95" operator="equal">
      <formula>"Muy Alta"</formula>
    </cfRule>
    <cfRule type="cellIs" dxfId="101" priority="96" operator="equal">
      <formula>"Alta"</formula>
    </cfRule>
    <cfRule type="cellIs" dxfId="100" priority="97" operator="equal">
      <formula>"Media"</formula>
    </cfRule>
    <cfRule type="cellIs" dxfId="99" priority="98" operator="equal">
      <formula>"Baja"</formula>
    </cfRule>
    <cfRule type="cellIs" dxfId="98" priority="99" operator="equal">
      <formula>"Muy Baja"</formula>
    </cfRule>
  </conditionalFormatting>
  <conditionalFormatting sqref="AA73">
    <cfRule type="cellIs" dxfId="97" priority="90" operator="equal">
      <formula>"Catastrófico"</formula>
    </cfRule>
    <cfRule type="cellIs" dxfId="96" priority="91" operator="equal">
      <formula>"Mayor"</formula>
    </cfRule>
    <cfRule type="cellIs" dxfId="95" priority="92" operator="equal">
      <formula>"Moderado"</formula>
    </cfRule>
    <cfRule type="cellIs" dxfId="94" priority="93" operator="equal">
      <formula>"Menor"</formula>
    </cfRule>
    <cfRule type="cellIs" dxfId="93" priority="94" operator="equal">
      <formula>"Leve"</formula>
    </cfRule>
  </conditionalFormatting>
  <conditionalFormatting sqref="AC73">
    <cfRule type="cellIs" dxfId="92" priority="86" operator="equal">
      <formula>"Extremo"</formula>
    </cfRule>
    <cfRule type="cellIs" dxfId="91" priority="87" operator="equal">
      <formula>"Alto"</formula>
    </cfRule>
    <cfRule type="cellIs" dxfId="90" priority="88" operator="equal">
      <formula>"Moderado"</formula>
    </cfRule>
    <cfRule type="cellIs" dxfId="89" priority="89" operator="equal">
      <formula>"Bajo"</formula>
    </cfRule>
  </conditionalFormatting>
  <conditionalFormatting sqref="Y74">
    <cfRule type="cellIs" dxfId="88" priority="81" operator="equal">
      <formula>"Muy Alta"</formula>
    </cfRule>
    <cfRule type="cellIs" dxfId="87" priority="82" operator="equal">
      <formula>"Alta"</formula>
    </cfRule>
    <cfRule type="cellIs" dxfId="86" priority="83" operator="equal">
      <formula>"Media"</formula>
    </cfRule>
    <cfRule type="cellIs" dxfId="85" priority="84" operator="equal">
      <formula>"Baja"</formula>
    </cfRule>
    <cfRule type="cellIs" dxfId="84" priority="85" operator="equal">
      <formula>"Muy Baja"</formula>
    </cfRule>
  </conditionalFormatting>
  <conditionalFormatting sqref="AA74">
    <cfRule type="cellIs" dxfId="83" priority="76" operator="equal">
      <formula>"Catastrófico"</formula>
    </cfRule>
    <cfRule type="cellIs" dxfId="82" priority="77" operator="equal">
      <formula>"Mayor"</formula>
    </cfRule>
    <cfRule type="cellIs" dxfId="81" priority="78" operator="equal">
      <formula>"Moderado"</formula>
    </cfRule>
    <cfRule type="cellIs" dxfId="80" priority="79" operator="equal">
      <formula>"Menor"</formula>
    </cfRule>
    <cfRule type="cellIs" dxfId="79" priority="80" operator="equal">
      <formula>"Leve"</formula>
    </cfRule>
  </conditionalFormatting>
  <conditionalFormatting sqref="AC74">
    <cfRule type="cellIs" dxfId="78" priority="72" operator="equal">
      <formula>"Extremo"</formula>
    </cfRule>
    <cfRule type="cellIs" dxfId="77" priority="73" operator="equal">
      <formula>"Alto"</formula>
    </cfRule>
    <cfRule type="cellIs" dxfId="76" priority="74" operator="equal">
      <formula>"Moderado"</formula>
    </cfRule>
    <cfRule type="cellIs" dxfId="75" priority="75" operator="equal">
      <formula>"Bajo"</formula>
    </cfRule>
  </conditionalFormatting>
  <conditionalFormatting sqref="Y75">
    <cfRule type="cellIs" dxfId="74" priority="67" operator="equal">
      <formula>"Muy Alta"</formula>
    </cfRule>
    <cfRule type="cellIs" dxfId="73" priority="68" operator="equal">
      <formula>"Alta"</formula>
    </cfRule>
    <cfRule type="cellIs" dxfId="72" priority="69" operator="equal">
      <formula>"Media"</formula>
    </cfRule>
    <cfRule type="cellIs" dxfId="71" priority="70" operator="equal">
      <formula>"Baja"</formula>
    </cfRule>
    <cfRule type="cellIs" dxfId="70" priority="71" operator="equal">
      <formula>"Muy Baja"</formula>
    </cfRule>
  </conditionalFormatting>
  <conditionalFormatting sqref="AA75">
    <cfRule type="cellIs" dxfId="69" priority="62" operator="equal">
      <formula>"Catastrófico"</formula>
    </cfRule>
    <cfRule type="cellIs" dxfId="68" priority="63" operator="equal">
      <formula>"Mayor"</formula>
    </cfRule>
    <cfRule type="cellIs" dxfId="67" priority="64" operator="equal">
      <formula>"Moderado"</formula>
    </cfRule>
    <cfRule type="cellIs" dxfId="66" priority="65" operator="equal">
      <formula>"Menor"</formula>
    </cfRule>
    <cfRule type="cellIs" dxfId="65" priority="66" operator="equal">
      <formula>"Leve"</formula>
    </cfRule>
  </conditionalFormatting>
  <conditionalFormatting sqref="AC75">
    <cfRule type="cellIs" dxfId="64" priority="58" operator="equal">
      <formula>"Extremo"</formula>
    </cfRule>
    <cfRule type="cellIs" dxfId="63" priority="59" operator="equal">
      <formula>"Alto"</formula>
    </cfRule>
    <cfRule type="cellIs" dxfId="62" priority="60" operator="equal">
      <formula>"Moderado"</formula>
    </cfRule>
    <cfRule type="cellIs" dxfId="61" priority="61" operator="equal">
      <formula>"Bajo"</formula>
    </cfRule>
  </conditionalFormatting>
  <conditionalFormatting sqref="Y76">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A76">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C76">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Y77">
    <cfRule type="cellIs" dxfId="46" priority="39" operator="equal">
      <formula>"Muy Alta"</formula>
    </cfRule>
    <cfRule type="cellIs" dxfId="45" priority="40" operator="equal">
      <formula>"Alta"</formula>
    </cfRule>
    <cfRule type="cellIs" dxfId="44" priority="41" operator="equal">
      <formula>"Media"</formula>
    </cfRule>
    <cfRule type="cellIs" dxfId="43" priority="42" operator="equal">
      <formula>"Baja"</formula>
    </cfRule>
    <cfRule type="cellIs" dxfId="42" priority="43" operator="equal">
      <formula>"Muy Baja"</formula>
    </cfRule>
  </conditionalFormatting>
  <conditionalFormatting sqref="AA77">
    <cfRule type="cellIs" dxfId="41" priority="34" operator="equal">
      <formula>"Catastrófico"</formula>
    </cfRule>
    <cfRule type="cellIs" dxfId="40" priority="35" operator="equal">
      <formula>"Mayor"</formula>
    </cfRule>
    <cfRule type="cellIs" dxfId="39" priority="36" operator="equal">
      <formula>"Moderado"</formula>
    </cfRule>
    <cfRule type="cellIs" dxfId="38" priority="37" operator="equal">
      <formula>"Menor"</formula>
    </cfRule>
    <cfRule type="cellIs" dxfId="37" priority="38" operator="equal">
      <formula>"Leve"</formula>
    </cfRule>
  </conditionalFormatting>
  <conditionalFormatting sqref="AC77">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L48">
    <cfRule type="cellIs" dxfId="32" priority="25" operator="equal">
      <formula>"Catastrófico"</formula>
    </cfRule>
    <cfRule type="cellIs" dxfId="31" priority="26" operator="equal">
      <formula>"Mayor"</formula>
    </cfRule>
    <cfRule type="cellIs" dxfId="30" priority="27" operator="equal">
      <formula>"Moderado"</formula>
    </cfRule>
    <cfRule type="cellIs" dxfId="29" priority="28" operator="equal">
      <formula>"Menor"</formula>
    </cfRule>
    <cfRule type="cellIs" dxfId="28" priority="29" operator="equal">
      <formula>"Leve"</formula>
    </cfRule>
  </conditionalFormatting>
  <conditionalFormatting sqref="H48">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N48">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48:Y53">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48:AA5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48:AC5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48:K53">
    <cfRule type="containsText" dxfId="4" priority="1" operator="containsText" text="❌">
      <formula>NOT(ISERROR(SEARCH("❌",K48)))</formula>
    </cfRule>
  </conditionalFormatting>
  <pageMargins left="0.7" right="0.7" top="0.75" bottom="0.75" header="0.3" footer="0.3"/>
  <pageSetup orientation="portrait" r:id="rId1"/>
  <ignoredErrors>
    <ignoredError sqref="AB14" formula="1"/>
  </ignoredErrors>
  <drawing r:id="rId2"/>
  <extLst>
    <ext xmlns:x14="http://schemas.microsoft.com/office/spreadsheetml/2009/9/main" uri="{CCE6A557-97BC-4b89-ADB6-D9C93CAAB3DF}">
      <x14:dataValidations xmlns:xm="http://schemas.microsoft.com/office/excel/2006/main" count="22">
        <x14:dataValidation type="list" allowBlank="1" showInputMessage="1" showErrorMessage="1">
          <x14:formula1>
            <xm:f>'Opciones Tratamiento'!$B$9:$B$10</xm:f>
          </x14:formula1>
          <xm:sqref>AJ12:AJ13 AJ15:AJ16 AJ18:AJ19 AJ21:AJ22 AJ24:AJ25 AJ27:AJ28 AJ30:AJ31 AJ33:AJ34 AJ36:AJ37 AJ39:AJ40 AJ42:AJ43 AJ45:AJ46 AJ75:AJ77 AJ60:AJ61 AJ54:AJ55 AJ57:AJ58 AJ63:AJ67 AJ69:AJ73</xm:sqref>
        </x14:dataValidation>
        <x14:dataValidation type="list" allowBlank="1" showInputMessage="1" showErrorMessage="1">
          <x14:formula1>
            <xm:f>'Opciones Tratamiento'!$B$13:$B$19</xm:f>
          </x14:formula1>
          <xm:sqref>F66 F72 F12:F47 F54:F60</xm:sqref>
        </x14:dataValidation>
        <x14:dataValidation type="list" allowBlank="1" showInputMessage="1" showErrorMessage="1">
          <x14:formula1>
            <xm:f>'Opciones Tratamiento'!$E$2:$E$4</xm:f>
          </x14:formula1>
          <xm:sqref>B66 B72 B12:B47 B54:B60</xm:sqref>
        </x14:dataValidation>
        <x14:dataValidation type="list" allowBlank="1" showInputMessage="1" showErrorMessage="1">
          <x14:formula1>
            <xm:f>'Tabla Impacto'!$F$210:$F$221</xm:f>
          </x14:formula1>
          <xm:sqref>J66 J72 J12:J47 J54:J60</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AE73:AE77 AE67:AE71 AE12:AE47 AE54:AE65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AF73:AF77 AF67:AF71 AF12:AF47 AF54:AF65</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AG12:AG77</xm:sqref>
        </x14:dataValidation>
        <x14:dataValidation type="list" allowBlank="1" showInputMessage="1" showErrorMessage="1">
          <x14:formula1>
            <xm:f>'Tabla Valoración controles'!$D$4:$D$6</xm:f>
          </x14:formula1>
          <xm:sqref>R12:R47 R54:R77</xm:sqref>
        </x14:dataValidation>
        <x14:dataValidation type="list" allowBlank="1" showInputMessage="1" showErrorMessage="1">
          <x14:formula1>
            <xm:f>'Tabla Valoración controles'!$D$7:$D$8</xm:f>
          </x14:formula1>
          <xm:sqref>S12:S47 S54:S77</xm:sqref>
        </x14:dataValidation>
        <x14:dataValidation type="list" allowBlank="1" showInputMessage="1" showErrorMessage="1">
          <x14:formula1>
            <xm:f>'Tabla Valoración controles'!$D$9:$D$10</xm:f>
          </x14:formula1>
          <xm:sqref>U12:U47 U54:U77</xm:sqref>
        </x14:dataValidation>
        <x14:dataValidation type="list" allowBlank="1" showInputMessage="1" showErrorMessage="1">
          <x14:formula1>
            <xm:f>'Tabla Valoración controles'!$D$11:$D$12</xm:f>
          </x14:formula1>
          <xm:sqref>V12:V47 V54:V77</xm:sqref>
        </x14:dataValidation>
        <x14:dataValidation type="list" allowBlank="1" showInputMessage="1" showErrorMessage="1">
          <x14:formula1>
            <xm:f>'Tabla Valoración controles'!$D$13:$D$14</xm:f>
          </x14:formula1>
          <xm:sqref>W12:W47 W54:W77</xm:sqref>
        </x14:dataValidation>
        <x14:dataValidation type="list" allowBlank="1" showInputMessage="1" showErrorMessage="1">
          <x14:formula1>
            <xm:f>'Opciones Tratamiento'!$B$2:$B$5</xm:f>
          </x14:formula1>
          <xm:sqref>AD12:AD47 AD54:AD77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AH12:AH47 AH54:AH77</xm:sqref>
        </x14:dataValidation>
        <x14:dataValidation type="custom" allowBlank="1" showInputMessage="1" showErrorMessage="1" error="Recuerde que las acciones se generan bajo la medida de mitigar el riesgo">
          <x14:formula1>
            <xm:f>IF(OR(AD12='Opciones Tratamiento'!$B$2,AD12='Opciones Tratamiento'!$B$3,AD12='Opciones Tratamiento'!$B$4),ISBLANK(AD12),ISTEXT(AD12))</xm:f>
          </x14:formula1>
          <xm:sqref>AI12:AI47 AI54:AI77</xm:sqref>
        </x14:dataValidation>
        <x14:dataValidation type="custom" allowBlank="1" showInputMessage="1" showErrorMessage="1" error="Recuerde que las acciones se generan bajo la medida de mitigar el riesgo">
          <x14:formula1>
            <xm:f>IF(OR(AD48='C:\Users\LENOVO\Desktop\Secretaria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Tratamiento'!#REF!),ISBLANK(AD48),ISTEXT(AD48))</xm:f>
          </x14:formula1>
          <xm:sqref>AI48:AI53</xm:sqref>
        </x14:dataValidation>
        <x14:dataValidation type="custom" allowBlank="1" showInputMessage="1" showErrorMessage="1" error="Recuerde que las acciones se generan bajo la medida de mitigar el riesgo">
          <x14:formula1>
            <xm:f>IF(OR(AD48='C:\Users\LENOVO\Desktop\Secretaria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Tratamiento'!#REF!),ISBLANK(AD48),ISTEXT(AD48))</xm:f>
          </x14:formula1>
          <xm:sqref>AH48:AH53</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2024\OK\[MR-SAD-01-V10_Mapa_riesgos_Administrativa_2024-OK.xlsx]Tabla Valoración controles'!#REF!</xm:f>
          </x14:formula1>
          <xm:sqref>U48:W53 R48:S53</xm:sqref>
        </x14:dataValidation>
        <x14:dataValidation type="custom" allowBlank="1" showInputMessage="1" showErrorMessage="1" error="Recuerde que las acciones se generan bajo la medida de mitigar el riesgo">
          <x14:formula1>
            <xm:f>IF(OR(AD48='C:\Users\LENOVO\Desktop\Secretaria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Tratamiento'!#REF!),ISBLANK(AD48),ISTEXT(AD48))</xm:f>
          </x14:formula1>
          <xm:sqref>AF48:AF53</xm:sqref>
        </x14:dataValidation>
        <x14:dataValidation type="custom" allowBlank="1" showInputMessage="1" showErrorMessage="1" error="Recuerde que las acciones se generan bajo la medida de mitigar el riesgo">
          <x14:formula1>
            <xm:f>IF(OR(AD48='C:\Users\LENOVO\Desktop\Secretaria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Tratamiento'!#REF!,AD48='C:\Users\LENOVO\Desktop\Secretaria Administrativa\SEG. INSTRUMENTOS PLANIF Y CONTROL\2024\AJUSTE DE MAPAS E INDICADORES 2024\OK\[MR-SAD-01-V10_Mapa_riesgos_Administrativa_2024-OK.xlsx]Opciones Tratamiento'!#REF!),ISBLANK(AD48),ISTEXT(AD48))</xm:f>
          </x14:formula1>
          <xm:sqref>AE48:AE53</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2024\OK\[MR-SAD-01-V10_Mapa_riesgos_Administrativa_2024-OK.xlsx]Tabla Impacto'!#REF!</xm:f>
          </x14:formula1>
          <xm:sqref>J48:J53</xm:sqref>
        </x14:dataValidation>
        <x14:dataValidation type="list" allowBlank="1" showInputMessage="1" showErrorMessage="1">
          <x14:formula1>
            <xm:f>'C:\Users\LENOVO\Desktop\Secretaria Administrativa\SEG. INSTRUMENTOS PLANIF Y CONTROL\2024\AJUSTE DE MAPAS E INDICADORES 2024\OK\[MR-SAD-01-V10_Mapa_riesgos_Administrativa_2024-OK.xlsx]Opciones Tratamiento'!#REF!</xm:f>
          </x14:formula1>
          <xm:sqref>B48:B53 F48:F53 AJ48:AJ49 AJ51:AJ52 AD48:AD53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10" zoomScale="50" zoomScaleNormal="50" workbookViewId="0">
      <selection activeCell="E38" sqref="E38:I45"/>
    </sheetView>
  </sheetViews>
  <sheetFormatPr baseColWidth="10" defaultRowHeight="15" x14ac:dyDescent="0.25"/>
  <cols>
    <col min="2" max="39" width="5.7109375" customWidth="1"/>
    <col min="41" max="46" width="5.7109375" customWidth="1"/>
  </cols>
  <sheetData>
    <row r="1" spans="1:99" x14ac:dyDescent="0.2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row>
    <row r="2" spans="1:99" ht="18" customHeight="1" x14ac:dyDescent="0.25">
      <c r="A2" s="96"/>
      <c r="B2" s="370" t="s">
        <v>159</v>
      </c>
      <c r="C2" s="370"/>
      <c r="D2" s="370"/>
      <c r="E2" s="370"/>
      <c r="F2" s="370"/>
      <c r="G2" s="370"/>
      <c r="H2" s="370"/>
      <c r="I2" s="370"/>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row>
    <row r="3" spans="1:99" ht="18.75" customHeight="1" x14ac:dyDescent="0.25">
      <c r="A3" s="96"/>
      <c r="B3" s="370"/>
      <c r="C3" s="370"/>
      <c r="D3" s="370"/>
      <c r="E3" s="370"/>
      <c r="F3" s="370"/>
      <c r="G3" s="370"/>
      <c r="H3" s="370"/>
      <c r="I3" s="370"/>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row>
    <row r="4" spans="1:99" ht="15" customHeight="1" x14ac:dyDescent="0.25">
      <c r="A4" s="96"/>
      <c r="B4" s="370"/>
      <c r="C4" s="370"/>
      <c r="D4" s="370"/>
      <c r="E4" s="370"/>
      <c r="F4" s="370"/>
      <c r="G4" s="370"/>
      <c r="H4" s="370"/>
      <c r="I4" s="370"/>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row>
    <row r="5" spans="1:99" ht="15.75" thickBot="1" x14ac:dyDescent="0.3">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row>
    <row r="6" spans="1:99" ht="15" customHeight="1" x14ac:dyDescent="0.25">
      <c r="A6" s="96"/>
      <c r="B6" s="285" t="s">
        <v>4</v>
      </c>
      <c r="C6" s="285"/>
      <c r="D6" s="286"/>
      <c r="E6" s="323" t="s">
        <v>116</v>
      </c>
      <c r="F6" s="324"/>
      <c r="G6" s="324"/>
      <c r="H6" s="324"/>
      <c r="I6" s="325"/>
      <c r="J6" s="334" t="str">
        <f>IF(AND('Mapa final'!$H$12="Muy Alta",'Mapa final'!$L$12="Leve"),CONCATENATE("R",'Mapa final'!$A$12),"")</f>
        <v/>
      </c>
      <c r="K6" s="335"/>
      <c r="L6" s="335" t="str">
        <f ca="1">IF(AND('Mapa final'!$H$18="Muy Alta",'Mapa final'!$L$18="Leve"),CONCATENATE("R",'Mapa final'!$A$18),"")</f>
        <v/>
      </c>
      <c r="M6" s="335"/>
      <c r="N6" s="335" t="str">
        <f ca="1">IF(AND('Mapa final'!$H$24="Muy Alta",'Mapa final'!$L$24="Leve"),CONCATENATE("R",'Mapa final'!$A$24),"")</f>
        <v/>
      </c>
      <c r="O6" s="337"/>
      <c r="P6" s="334" t="str">
        <f>IF(AND('Mapa final'!$H$12="Muy Alta",'Mapa final'!$L$12="Menor"),CONCATENATE("R",'Mapa final'!$A$12),"")</f>
        <v/>
      </c>
      <c r="Q6" s="335"/>
      <c r="R6" s="335" t="str">
        <f ca="1">IF(AND('Mapa final'!$H$18="Muy Alta",'Mapa final'!$L$18="Menor"),CONCATENATE("R",'Mapa final'!$A$18),"")</f>
        <v/>
      </c>
      <c r="S6" s="335"/>
      <c r="T6" s="335" t="str">
        <f ca="1">IF(AND('Mapa final'!$H$24="Muy Alta",'Mapa final'!$L$24="Menor"),CONCATENATE("R",'Mapa final'!$A$24),"")</f>
        <v/>
      </c>
      <c r="U6" s="337"/>
      <c r="V6" s="334" t="str">
        <f>IF(AND('Mapa final'!$H$12="Muy Alta",'Mapa final'!$L$12="Moderado"),CONCATENATE("R",'Mapa final'!$A$12),"")</f>
        <v/>
      </c>
      <c r="W6" s="335"/>
      <c r="X6" s="335" t="str">
        <f ca="1">IF(AND('Mapa final'!$H$18="Muy Alta",'Mapa final'!$L$18="Moderado"),CONCATENATE("R",'Mapa final'!$A$18),"")</f>
        <v/>
      </c>
      <c r="Y6" s="335"/>
      <c r="Z6" s="335" t="str">
        <f ca="1">IF(AND('Mapa final'!$H$24="Muy Alta",'Mapa final'!$L$24="Moderado"),CONCATENATE("R",'Mapa final'!$A$24),"")</f>
        <v/>
      </c>
      <c r="AA6" s="337"/>
      <c r="AB6" s="334" t="str">
        <f>IF(AND('Mapa final'!$H$12="Muy Alta",'Mapa final'!$L$12="Mayor"),CONCATENATE("R",'Mapa final'!$A$12),"")</f>
        <v/>
      </c>
      <c r="AC6" s="335"/>
      <c r="AD6" s="335" t="str">
        <f ca="1">IF(AND('Mapa final'!$H$18="Muy Alta",'Mapa final'!$L$18="Mayor"),CONCATENATE("R",'Mapa final'!$A$18),"")</f>
        <v/>
      </c>
      <c r="AE6" s="335"/>
      <c r="AF6" s="335" t="str">
        <f ca="1">IF(AND('Mapa final'!$H$24="Muy Alta",'Mapa final'!$L$24="Mayor"),CONCATENATE("R",'Mapa final'!$A$24),"")</f>
        <v/>
      </c>
      <c r="AG6" s="337"/>
      <c r="AH6" s="349" t="str">
        <f>IF(AND('Mapa final'!$H$12="Muy Alta",'Mapa final'!$L$12="Catastrófico"),CONCATENATE("R",'Mapa final'!$A$12),"")</f>
        <v/>
      </c>
      <c r="AI6" s="350"/>
      <c r="AJ6" s="350" t="str">
        <f ca="1">IF(AND('Mapa final'!$H$18="Muy Alta",'Mapa final'!$L$18="Catastrófico"),CONCATENATE("R",'Mapa final'!$A$18),"")</f>
        <v/>
      </c>
      <c r="AK6" s="350"/>
      <c r="AL6" s="350" t="str">
        <f ca="1">IF(AND('Mapa final'!$H$24="Muy Alta",'Mapa final'!$L$24="Catastrófico"),CONCATENATE("R",'Mapa final'!$A$24),"")</f>
        <v/>
      </c>
      <c r="AM6" s="351"/>
      <c r="AO6" s="287" t="s">
        <v>79</v>
      </c>
      <c r="AP6" s="288"/>
      <c r="AQ6" s="288"/>
      <c r="AR6" s="288"/>
      <c r="AS6" s="288"/>
      <c r="AT6" s="289"/>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row>
    <row r="7" spans="1:99" ht="15" customHeight="1" x14ac:dyDescent="0.25">
      <c r="A7" s="96"/>
      <c r="B7" s="285"/>
      <c r="C7" s="285"/>
      <c r="D7" s="286"/>
      <c r="E7" s="326"/>
      <c r="F7" s="327"/>
      <c r="G7" s="327"/>
      <c r="H7" s="327"/>
      <c r="I7" s="328"/>
      <c r="J7" s="336"/>
      <c r="K7" s="332"/>
      <c r="L7" s="332"/>
      <c r="M7" s="332"/>
      <c r="N7" s="332"/>
      <c r="O7" s="333"/>
      <c r="P7" s="336"/>
      <c r="Q7" s="332"/>
      <c r="R7" s="332"/>
      <c r="S7" s="332"/>
      <c r="T7" s="332"/>
      <c r="U7" s="333"/>
      <c r="V7" s="336"/>
      <c r="W7" s="332"/>
      <c r="X7" s="332"/>
      <c r="Y7" s="332"/>
      <c r="Z7" s="332"/>
      <c r="AA7" s="333"/>
      <c r="AB7" s="336"/>
      <c r="AC7" s="332"/>
      <c r="AD7" s="332"/>
      <c r="AE7" s="332"/>
      <c r="AF7" s="332"/>
      <c r="AG7" s="333"/>
      <c r="AH7" s="343"/>
      <c r="AI7" s="344"/>
      <c r="AJ7" s="344"/>
      <c r="AK7" s="344"/>
      <c r="AL7" s="344"/>
      <c r="AM7" s="345"/>
      <c r="AN7" s="96"/>
      <c r="AO7" s="290"/>
      <c r="AP7" s="291"/>
      <c r="AQ7" s="291"/>
      <c r="AR7" s="291"/>
      <c r="AS7" s="291"/>
      <c r="AT7" s="292"/>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row>
    <row r="8" spans="1:99" ht="15" customHeight="1" x14ac:dyDescent="0.25">
      <c r="A8" s="96"/>
      <c r="B8" s="285"/>
      <c r="C8" s="285"/>
      <c r="D8" s="286"/>
      <c r="E8" s="326"/>
      <c r="F8" s="327"/>
      <c r="G8" s="327"/>
      <c r="H8" s="327"/>
      <c r="I8" s="328"/>
      <c r="J8" s="336" t="str">
        <f ca="1">IF(AND('Mapa final'!$H$30="Muy Alta",'Mapa final'!$L$30="Leve"),CONCATENATE("R",'Mapa final'!$A$30),"")</f>
        <v/>
      </c>
      <c r="K8" s="332"/>
      <c r="L8" s="332" t="str">
        <f ca="1">IF(AND('Mapa final'!$H$36="Muy Alta",'Mapa final'!$L$36="Leve"),CONCATENATE("R",'Mapa final'!$A$36),"")</f>
        <v/>
      </c>
      <c r="M8" s="332"/>
      <c r="N8" s="332" t="str">
        <f ca="1">IF(AND('Mapa final'!$H$42="Muy Alta",'Mapa final'!$L$42="Leve"),CONCATENATE("R",'Mapa final'!$A$42),"")</f>
        <v/>
      </c>
      <c r="O8" s="333"/>
      <c r="P8" s="336" t="str">
        <f ca="1">IF(AND('Mapa final'!$H$30="Muy Alta",'Mapa final'!$L$30="Menor"),CONCATENATE("R",'Mapa final'!$A$30),"")</f>
        <v/>
      </c>
      <c r="Q8" s="332"/>
      <c r="R8" s="332" t="str">
        <f ca="1">IF(AND('Mapa final'!$H$36="Muy Alta",'Mapa final'!$L$36="Menor"),CONCATENATE("R",'Mapa final'!$A$36),"")</f>
        <v/>
      </c>
      <c r="S8" s="332"/>
      <c r="T8" s="332" t="str">
        <f ca="1">IF(AND('Mapa final'!$H$42="Muy Alta",'Mapa final'!$L$42="Menor"),CONCATENATE("R",'Mapa final'!$A$42),"")</f>
        <v/>
      </c>
      <c r="U8" s="333"/>
      <c r="V8" s="336" t="str">
        <f ca="1">IF(AND('Mapa final'!$H$30="Muy Alta",'Mapa final'!$L$30="Moderado"),CONCATENATE("R",'Mapa final'!$A$30),"")</f>
        <v/>
      </c>
      <c r="W8" s="332"/>
      <c r="X8" s="332" t="str">
        <f ca="1">IF(AND('Mapa final'!$H$36="Muy Alta",'Mapa final'!$L$36="Moderado"),CONCATENATE("R",'Mapa final'!$A$36),"")</f>
        <v/>
      </c>
      <c r="Y8" s="332"/>
      <c r="Z8" s="332" t="str">
        <f ca="1">IF(AND('Mapa final'!$H$42="Muy Alta",'Mapa final'!$L$42="Moderado"),CONCATENATE("R",'Mapa final'!$A$42),"")</f>
        <v/>
      </c>
      <c r="AA8" s="333"/>
      <c r="AB8" s="336" t="str">
        <f ca="1">IF(AND('Mapa final'!$H$30="Muy Alta",'Mapa final'!$L$30="Mayor"),CONCATENATE("R",'Mapa final'!$A$30),"")</f>
        <v/>
      </c>
      <c r="AC8" s="332"/>
      <c r="AD8" s="332" t="str">
        <f ca="1">IF(AND('Mapa final'!$H$36="Muy Alta",'Mapa final'!$L$36="Mayor"),CONCATENATE("R",'Mapa final'!$A$36),"")</f>
        <v/>
      </c>
      <c r="AE8" s="332"/>
      <c r="AF8" s="332" t="str">
        <f ca="1">IF(AND('Mapa final'!$H$42="Muy Alta",'Mapa final'!$L$42="Mayor"),CONCATENATE("R",'Mapa final'!$A$42),"")</f>
        <v/>
      </c>
      <c r="AG8" s="333"/>
      <c r="AH8" s="343" t="str">
        <f ca="1">IF(AND('Mapa final'!$H$30="Muy Alta",'Mapa final'!$L$30="Catastrófico"),CONCATENATE("R",'Mapa final'!$A$30),"")</f>
        <v/>
      </c>
      <c r="AI8" s="344"/>
      <c r="AJ8" s="344" t="str">
        <f ca="1">IF(AND('Mapa final'!$H$36="Muy Alta",'Mapa final'!$L$36="Catastrófico"),CONCATENATE("R",'Mapa final'!$A$36),"")</f>
        <v/>
      </c>
      <c r="AK8" s="344"/>
      <c r="AL8" s="344" t="str">
        <f ca="1">IF(AND('Mapa final'!$H$42="Muy Alta",'Mapa final'!$L$42="Catastrófico"),CONCATENATE("R",'Mapa final'!$A$42),"")</f>
        <v/>
      </c>
      <c r="AM8" s="345"/>
      <c r="AN8" s="96"/>
      <c r="AO8" s="290"/>
      <c r="AP8" s="291"/>
      <c r="AQ8" s="291"/>
      <c r="AR8" s="291"/>
      <c r="AS8" s="291"/>
      <c r="AT8" s="292"/>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row>
    <row r="9" spans="1:99" ht="15" customHeight="1" x14ac:dyDescent="0.25">
      <c r="A9" s="96"/>
      <c r="B9" s="285"/>
      <c r="C9" s="285"/>
      <c r="D9" s="286"/>
      <c r="E9" s="326"/>
      <c r="F9" s="327"/>
      <c r="G9" s="327"/>
      <c r="H9" s="327"/>
      <c r="I9" s="328"/>
      <c r="J9" s="336"/>
      <c r="K9" s="332"/>
      <c r="L9" s="332"/>
      <c r="M9" s="332"/>
      <c r="N9" s="332"/>
      <c r="O9" s="333"/>
      <c r="P9" s="336"/>
      <c r="Q9" s="332"/>
      <c r="R9" s="332"/>
      <c r="S9" s="332"/>
      <c r="T9" s="332"/>
      <c r="U9" s="333"/>
      <c r="V9" s="336"/>
      <c r="W9" s="332"/>
      <c r="X9" s="332"/>
      <c r="Y9" s="332"/>
      <c r="Z9" s="332"/>
      <c r="AA9" s="333"/>
      <c r="AB9" s="336"/>
      <c r="AC9" s="332"/>
      <c r="AD9" s="332"/>
      <c r="AE9" s="332"/>
      <c r="AF9" s="332"/>
      <c r="AG9" s="333"/>
      <c r="AH9" s="343"/>
      <c r="AI9" s="344"/>
      <c r="AJ9" s="344"/>
      <c r="AK9" s="344"/>
      <c r="AL9" s="344"/>
      <c r="AM9" s="345"/>
      <c r="AN9" s="96"/>
      <c r="AO9" s="290"/>
      <c r="AP9" s="291"/>
      <c r="AQ9" s="291"/>
      <c r="AR9" s="291"/>
      <c r="AS9" s="291"/>
      <c r="AT9" s="292"/>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row>
    <row r="10" spans="1:99" ht="15" customHeight="1" x14ac:dyDescent="0.25">
      <c r="A10" s="96"/>
      <c r="B10" s="285"/>
      <c r="C10" s="285"/>
      <c r="D10" s="286"/>
      <c r="E10" s="326"/>
      <c r="F10" s="327"/>
      <c r="G10" s="327"/>
      <c r="H10" s="327"/>
      <c r="I10" s="328"/>
      <c r="J10" s="336" t="str">
        <f>IF(AND('Mapa final'!$H$48="Muy Alta",'Mapa final'!$L$48="Leve"),CONCATENATE("R",'Mapa final'!$A$48),"")</f>
        <v/>
      </c>
      <c r="K10" s="332"/>
      <c r="L10" s="332" t="str">
        <f ca="1">IF(AND('Mapa final'!$H$54="Muy Alta",'Mapa final'!$L$54="Leve"),CONCATENATE("R",'Mapa final'!$A$54),"")</f>
        <v/>
      </c>
      <c r="M10" s="332"/>
      <c r="N10" s="332" t="str">
        <f ca="1">IF(AND('Mapa final'!$H$60="Muy Alta",'Mapa final'!$L$60="Leve"),CONCATENATE("R",'Mapa final'!$A$60),"")</f>
        <v/>
      </c>
      <c r="O10" s="333"/>
      <c r="P10" s="336" t="str">
        <f>IF(AND('Mapa final'!$H$48="Muy Alta",'Mapa final'!$L$48="Menor"),CONCATENATE("R",'Mapa final'!$A$48),"")</f>
        <v/>
      </c>
      <c r="Q10" s="332"/>
      <c r="R10" s="332" t="str">
        <f ca="1">IF(AND('Mapa final'!$H$54="Muy Alta",'Mapa final'!$L$54="Menor"),CONCATENATE("R",'Mapa final'!$A$54),"")</f>
        <v/>
      </c>
      <c r="S10" s="332"/>
      <c r="T10" s="332" t="str">
        <f ca="1">IF(AND('Mapa final'!$H$60="Muy Alta",'Mapa final'!$L$60="Menor"),CONCATENATE("R",'Mapa final'!$A$60),"")</f>
        <v/>
      </c>
      <c r="U10" s="332"/>
      <c r="V10" s="336" t="str">
        <f>IF(AND('Mapa final'!$H$48="Muy Alta",'Mapa final'!$L$48="Moderado"),CONCATENATE("R",'Mapa final'!$A$48),"")</f>
        <v/>
      </c>
      <c r="W10" s="332"/>
      <c r="X10" s="332" t="str">
        <f ca="1">IF(AND('Mapa final'!$H$54="Muy Alta",'Mapa final'!$L$54="Moderado"),CONCATENATE("R",'Mapa final'!$A$54),"")</f>
        <v/>
      </c>
      <c r="Y10" s="332"/>
      <c r="Z10" s="332" t="str">
        <f ca="1">IF(AND('Mapa final'!$H$60="Muy Alta",'Mapa final'!$L$60="Moderado"),CONCATENATE("R",'Mapa final'!$A$60),"")</f>
        <v/>
      </c>
      <c r="AA10" s="332"/>
      <c r="AB10" s="336" t="str">
        <f>IF(AND('Mapa final'!$H$48="Muy Alta",'Mapa final'!$L$48="Mayor"),CONCATENATE("R",'Mapa final'!$A$48),"")</f>
        <v/>
      </c>
      <c r="AC10" s="332"/>
      <c r="AD10" s="332" t="str">
        <f ca="1">IF(AND('Mapa final'!$H$54="Muy Alta",'Mapa final'!$L$54="Mayor"),CONCATENATE("R",'Mapa final'!$A$54),"")</f>
        <v/>
      </c>
      <c r="AE10" s="332"/>
      <c r="AF10" s="332" t="str">
        <f ca="1">IF(AND('Mapa final'!$H$60="Muy Alta",'Mapa final'!$L$60="Mayor"),CONCATENATE("R",'Mapa final'!$A$60),"")</f>
        <v/>
      </c>
      <c r="AG10" s="332"/>
      <c r="AH10" s="343" t="str">
        <f>IF(AND('Mapa final'!$H$48="Muy Alta",'Mapa final'!$L$48="Catastrófico"),CONCATENATE("R",'Mapa final'!$A$48),"")</f>
        <v/>
      </c>
      <c r="AI10" s="344"/>
      <c r="AJ10" s="344" t="str">
        <f ca="1">IF(AND('Mapa final'!$H$54="Muy Alta",'Mapa final'!$L$54="Catastrófico"),CONCATENATE("R",'Mapa final'!$A$54),"")</f>
        <v/>
      </c>
      <c r="AK10" s="344"/>
      <c r="AL10" s="344" t="str">
        <f ca="1">IF(AND('Mapa final'!$H$60="Muy Alta",'Mapa final'!$L$60="Catastrófico"),CONCATENATE("R",'Mapa final'!$A$60),"")</f>
        <v/>
      </c>
      <c r="AM10" s="345"/>
      <c r="AN10" s="96"/>
      <c r="AO10" s="290"/>
      <c r="AP10" s="291"/>
      <c r="AQ10" s="291"/>
      <c r="AR10" s="291"/>
      <c r="AS10" s="291"/>
      <c r="AT10" s="292"/>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row>
    <row r="11" spans="1:99" ht="15" customHeight="1" x14ac:dyDescent="0.25">
      <c r="A11" s="96"/>
      <c r="B11" s="285"/>
      <c r="C11" s="285"/>
      <c r="D11" s="286"/>
      <c r="E11" s="326"/>
      <c r="F11" s="327"/>
      <c r="G11" s="327"/>
      <c r="H11" s="327"/>
      <c r="I11" s="328"/>
      <c r="J11" s="336"/>
      <c r="K11" s="332"/>
      <c r="L11" s="332"/>
      <c r="M11" s="332"/>
      <c r="N11" s="332"/>
      <c r="O11" s="333"/>
      <c r="P11" s="336"/>
      <c r="Q11" s="332"/>
      <c r="R11" s="332"/>
      <c r="S11" s="332"/>
      <c r="T11" s="332"/>
      <c r="U11" s="332"/>
      <c r="V11" s="336"/>
      <c r="W11" s="332"/>
      <c r="X11" s="332"/>
      <c r="Y11" s="332"/>
      <c r="Z11" s="332"/>
      <c r="AA11" s="332"/>
      <c r="AB11" s="336"/>
      <c r="AC11" s="332"/>
      <c r="AD11" s="332"/>
      <c r="AE11" s="332"/>
      <c r="AF11" s="332"/>
      <c r="AG11" s="332"/>
      <c r="AH11" s="343"/>
      <c r="AI11" s="344"/>
      <c r="AJ11" s="344"/>
      <c r="AK11" s="344"/>
      <c r="AL11" s="344"/>
      <c r="AM11" s="345"/>
      <c r="AN11" s="96"/>
      <c r="AO11" s="290"/>
      <c r="AP11" s="291"/>
      <c r="AQ11" s="291"/>
      <c r="AR11" s="291"/>
      <c r="AS11" s="291"/>
      <c r="AT11" s="292"/>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row>
    <row r="12" spans="1:99" ht="15" customHeight="1" x14ac:dyDescent="0.25">
      <c r="A12" s="96"/>
      <c r="B12" s="285"/>
      <c r="C12" s="285"/>
      <c r="D12" s="286"/>
      <c r="E12" s="326"/>
      <c r="F12" s="327"/>
      <c r="G12" s="327"/>
      <c r="H12" s="327"/>
      <c r="I12" s="328"/>
      <c r="J12" s="336" t="str">
        <f ca="1">IF(AND('Mapa final'!$H$72="Muy Alta",'Mapa final'!$L$72="Leve"),CONCATENATE("R",'Mapa final'!$A$72),"")</f>
        <v/>
      </c>
      <c r="K12" s="332"/>
      <c r="L12" s="332" t="str">
        <f>IF(AND('Mapa final'!$H$78="Muy Alta",'Mapa final'!$L$78="Leve"),CONCATENATE("R",'Mapa final'!$A$78),"")</f>
        <v/>
      </c>
      <c r="M12" s="332"/>
      <c r="N12" s="332" t="str">
        <f>IF(AND('Mapa final'!$H$85="Muy Alta",'Mapa final'!$L$85="Leve"),CONCATENATE("R",'Mapa final'!$A$85),"")</f>
        <v/>
      </c>
      <c r="O12" s="333"/>
      <c r="P12" s="336" t="str">
        <f ca="1">IF(AND('Mapa final'!$H$72="Muy Alta",'Mapa final'!$L$72="Menor"),CONCATENATE("R",'Mapa final'!$A$72),"")</f>
        <v/>
      </c>
      <c r="Q12" s="332"/>
      <c r="R12" s="332" t="str">
        <f>IF(AND('Mapa final'!$H$78="Muy Alta",'Mapa final'!$L$78="Menor"),CONCATENATE("R",'Mapa final'!$A$78),"")</f>
        <v/>
      </c>
      <c r="S12" s="332"/>
      <c r="T12" s="332" t="str">
        <f>IF(AND('Mapa final'!$H$85="Muy Alta",'Mapa final'!$L$85="Menor"),CONCATENATE("R",'Mapa final'!$A$85),"")</f>
        <v/>
      </c>
      <c r="U12" s="333"/>
      <c r="V12" s="336" t="str">
        <f ca="1">IF(AND('Mapa final'!$H$72="Muy Alta",'Mapa final'!$L$72="Moderado"),CONCATENATE("R",'Mapa final'!$A$72),"")</f>
        <v/>
      </c>
      <c r="W12" s="332"/>
      <c r="X12" s="332" t="str">
        <f>IF(AND('Mapa final'!$H$78="Muy Alta",'Mapa final'!$L$78="Moderado"),CONCATENATE("R",'Mapa final'!$A$78),"")</f>
        <v/>
      </c>
      <c r="Y12" s="332"/>
      <c r="Z12" s="332" t="str">
        <f>IF(AND('Mapa final'!$H$85="Muy Alta",'Mapa final'!$L$85="Moderado"),CONCATENATE("R",'Mapa final'!$A$85),"")</f>
        <v/>
      </c>
      <c r="AA12" s="333"/>
      <c r="AB12" s="336" t="str">
        <f ca="1">IF(AND('Mapa final'!$H$72="Muy Alta",'Mapa final'!$L$72="Mayor"),CONCATENATE("R",'Mapa final'!$A$72),"")</f>
        <v/>
      </c>
      <c r="AC12" s="332"/>
      <c r="AD12" s="332" t="str">
        <f>IF(AND('Mapa final'!$H$78="Muy Alta",'Mapa final'!$L$78="Mayor"),CONCATENATE("R",'Mapa final'!$A$78),"")</f>
        <v/>
      </c>
      <c r="AE12" s="332"/>
      <c r="AF12" s="332" t="str">
        <f>IF(AND('Mapa final'!$H$85="Muy Alta",'Mapa final'!$L$85="Mayor"),CONCATENATE("R",'Mapa final'!$A$85),"")</f>
        <v/>
      </c>
      <c r="AG12" s="333"/>
      <c r="AH12" s="343" t="str">
        <f ca="1">IF(AND('Mapa final'!$H$72="Muy Alta",'Mapa final'!$L$72="Catastrófico"),CONCATENATE("R",'Mapa final'!$A$72),"")</f>
        <v/>
      </c>
      <c r="AI12" s="344"/>
      <c r="AJ12" s="344" t="str">
        <f>IF(AND('Mapa final'!$H$78="Muy Alta",'Mapa final'!$L$78="Catastrófico"),CONCATENATE("R",'Mapa final'!$A$78),"")</f>
        <v/>
      </c>
      <c r="AK12" s="344"/>
      <c r="AL12" s="344" t="str">
        <f>IF(AND('Mapa final'!$H$85="Muy Alta",'Mapa final'!$L$85="Catastrófico"),CONCATENATE("R",'Mapa final'!$A$85),"")</f>
        <v/>
      </c>
      <c r="AM12" s="345"/>
      <c r="AN12" s="96"/>
      <c r="AO12" s="290"/>
      <c r="AP12" s="291"/>
      <c r="AQ12" s="291"/>
      <c r="AR12" s="291"/>
      <c r="AS12" s="291"/>
      <c r="AT12" s="292"/>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row>
    <row r="13" spans="1:99" ht="15.75" customHeight="1" thickBot="1" x14ac:dyDescent="0.3">
      <c r="A13" s="96"/>
      <c r="B13" s="285"/>
      <c r="C13" s="285"/>
      <c r="D13" s="286"/>
      <c r="E13" s="329"/>
      <c r="F13" s="330"/>
      <c r="G13" s="330"/>
      <c r="H13" s="330"/>
      <c r="I13" s="331"/>
      <c r="J13" s="336"/>
      <c r="K13" s="332"/>
      <c r="L13" s="332"/>
      <c r="M13" s="332"/>
      <c r="N13" s="332"/>
      <c r="O13" s="333"/>
      <c r="P13" s="336"/>
      <c r="Q13" s="332"/>
      <c r="R13" s="332"/>
      <c r="S13" s="332"/>
      <c r="T13" s="332"/>
      <c r="U13" s="333"/>
      <c r="V13" s="336"/>
      <c r="W13" s="332"/>
      <c r="X13" s="332"/>
      <c r="Y13" s="332"/>
      <c r="Z13" s="332"/>
      <c r="AA13" s="333"/>
      <c r="AB13" s="336"/>
      <c r="AC13" s="332"/>
      <c r="AD13" s="332"/>
      <c r="AE13" s="332"/>
      <c r="AF13" s="332"/>
      <c r="AG13" s="333"/>
      <c r="AH13" s="346"/>
      <c r="AI13" s="347"/>
      <c r="AJ13" s="347"/>
      <c r="AK13" s="347"/>
      <c r="AL13" s="347"/>
      <c r="AM13" s="348"/>
      <c r="AN13" s="96"/>
      <c r="AO13" s="293"/>
      <c r="AP13" s="294"/>
      <c r="AQ13" s="294"/>
      <c r="AR13" s="294"/>
      <c r="AS13" s="294"/>
      <c r="AT13" s="295"/>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row>
    <row r="14" spans="1:99" ht="15" customHeight="1" x14ac:dyDescent="0.25">
      <c r="A14" s="96"/>
      <c r="B14" s="285"/>
      <c r="C14" s="285"/>
      <c r="D14" s="286"/>
      <c r="E14" s="323" t="s">
        <v>115</v>
      </c>
      <c r="F14" s="324"/>
      <c r="G14" s="324"/>
      <c r="H14" s="324"/>
      <c r="I14" s="324"/>
      <c r="J14" s="358" t="str">
        <f>IF(AND('Mapa final'!$H$12="Alta",'Mapa final'!$L$12="Leve"),CONCATENATE("R",'Mapa final'!$A$12),"")</f>
        <v/>
      </c>
      <c r="K14" s="359"/>
      <c r="L14" s="359" t="str">
        <f ca="1">IF(AND('Mapa final'!$H$18="Alta",'Mapa final'!$L$18="Leve"),CONCATENATE("R",'Mapa final'!$A$18),"")</f>
        <v/>
      </c>
      <c r="M14" s="359"/>
      <c r="N14" s="359" t="str">
        <f ca="1">IF(AND('Mapa final'!$H$24="Alta",'Mapa final'!$L$24="Leve"),CONCATENATE("R",'Mapa final'!$A$24),"")</f>
        <v/>
      </c>
      <c r="O14" s="360"/>
      <c r="P14" s="358" t="str">
        <f>IF(AND('Mapa final'!$H$12="Alta",'Mapa final'!$L$12="Menor"),CONCATENATE("R",'Mapa final'!$A$12),"")</f>
        <v/>
      </c>
      <c r="Q14" s="359"/>
      <c r="R14" s="359" t="str">
        <f ca="1">IF(AND('Mapa final'!$H$18="Alta",'Mapa final'!$L$18="Menor"),CONCATENATE("R",'Mapa final'!$A$18),"")</f>
        <v/>
      </c>
      <c r="S14" s="359"/>
      <c r="T14" s="359" t="str">
        <f ca="1">IF(AND('Mapa final'!$H$24="Alta",'Mapa final'!$L$24="Menor"),CONCATENATE("R",'Mapa final'!$A$24),"")</f>
        <v/>
      </c>
      <c r="U14" s="360"/>
      <c r="V14" s="334" t="str">
        <f>IF(AND('Mapa final'!$H$12="Alta",'Mapa final'!$L$12="Moderado"),CONCATENATE("R",'Mapa final'!$A$12),"")</f>
        <v/>
      </c>
      <c r="W14" s="335"/>
      <c r="X14" s="335" t="str">
        <f ca="1">IF(AND('Mapa final'!$H$18="Alta",'Mapa final'!$L$18="Moderado"),CONCATENATE("R",'Mapa final'!$A$18),"")</f>
        <v/>
      </c>
      <c r="Y14" s="335"/>
      <c r="Z14" s="335" t="str">
        <f ca="1">IF(AND('Mapa final'!$H$24="Alta",'Mapa final'!$L$24="Moderado"),CONCATENATE("R",'Mapa final'!$A$24),"")</f>
        <v/>
      </c>
      <c r="AA14" s="337"/>
      <c r="AB14" s="334" t="str">
        <f>IF(AND('Mapa final'!$H$12="Alta",'Mapa final'!$L$12="Mayor"),CONCATENATE("R",'Mapa final'!$A$12),"")</f>
        <v/>
      </c>
      <c r="AC14" s="335"/>
      <c r="AD14" s="335" t="str">
        <f ca="1">IF(AND('Mapa final'!$H$18="Alta",'Mapa final'!$L$18="Mayor"),CONCATENATE("R",'Mapa final'!$A$18),"")</f>
        <v/>
      </c>
      <c r="AE14" s="335"/>
      <c r="AF14" s="335" t="str">
        <f ca="1">IF(AND('Mapa final'!$H$24="Alta",'Mapa final'!$L$24="Mayor"),CONCATENATE("R",'Mapa final'!$A$24),"")</f>
        <v/>
      </c>
      <c r="AG14" s="337"/>
      <c r="AH14" s="349" t="str">
        <f>IF(AND('Mapa final'!$H$12="Alta",'Mapa final'!$L$12="Catastrófico"),CONCATENATE("R",'Mapa final'!$A$12),"")</f>
        <v/>
      </c>
      <c r="AI14" s="350"/>
      <c r="AJ14" s="350" t="str">
        <f ca="1">IF(AND('Mapa final'!$H$18="Alta",'Mapa final'!$L$18="Catastrófico"),CONCATENATE("R",'Mapa final'!$A$18),"")</f>
        <v/>
      </c>
      <c r="AK14" s="350"/>
      <c r="AL14" s="350" t="str">
        <f ca="1">IF(AND('Mapa final'!$H$24="Alta",'Mapa final'!$L$24="Catastrófico"),CONCATENATE("R",'Mapa final'!$A$24),"")</f>
        <v/>
      </c>
      <c r="AM14" s="351"/>
      <c r="AN14" s="96"/>
      <c r="AO14" s="296" t="s">
        <v>80</v>
      </c>
      <c r="AP14" s="297"/>
      <c r="AQ14" s="297"/>
      <c r="AR14" s="297"/>
      <c r="AS14" s="297"/>
      <c r="AT14" s="298"/>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row>
    <row r="15" spans="1:99" ht="15" customHeight="1" x14ac:dyDescent="0.25">
      <c r="A15" s="96"/>
      <c r="B15" s="285"/>
      <c r="C15" s="285"/>
      <c r="D15" s="286"/>
      <c r="E15" s="326"/>
      <c r="F15" s="327"/>
      <c r="G15" s="327"/>
      <c r="H15" s="327"/>
      <c r="I15" s="327"/>
      <c r="J15" s="352"/>
      <c r="K15" s="353"/>
      <c r="L15" s="353"/>
      <c r="M15" s="353"/>
      <c r="N15" s="353"/>
      <c r="O15" s="356"/>
      <c r="P15" s="352"/>
      <c r="Q15" s="353"/>
      <c r="R15" s="353"/>
      <c r="S15" s="353"/>
      <c r="T15" s="353"/>
      <c r="U15" s="356"/>
      <c r="V15" s="336"/>
      <c r="W15" s="332"/>
      <c r="X15" s="332"/>
      <c r="Y15" s="332"/>
      <c r="Z15" s="332"/>
      <c r="AA15" s="333"/>
      <c r="AB15" s="336"/>
      <c r="AC15" s="332"/>
      <c r="AD15" s="332"/>
      <c r="AE15" s="332"/>
      <c r="AF15" s="332"/>
      <c r="AG15" s="333"/>
      <c r="AH15" s="343"/>
      <c r="AI15" s="344"/>
      <c r="AJ15" s="344"/>
      <c r="AK15" s="344"/>
      <c r="AL15" s="344"/>
      <c r="AM15" s="345"/>
      <c r="AN15" s="96"/>
      <c r="AO15" s="299"/>
      <c r="AP15" s="300"/>
      <c r="AQ15" s="300"/>
      <c r="AR15" s="300"/>
      <c r="AS15" s="300"/>
      <c r="AT15" s="301"/>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row>
    <row r="16" spans="1:99" ht="15" customHeight="1" x14ac:dyDescent="0.25">
      <c r="A16" s="96"/>
      <c r="B16" s="285"/>
      <c r="C16" s="285"/>
      <c r="D16" s="286"/>
      <c r="E16" s="326"/>
      <c r="F16" s="327"/>
      <c r="G16" s="327"/>
      <c r="H16" s="327"/>
      <c r="I16" s="327"/>
      <c r="J16" s="352" t="str">
        <f ca="1">IF(AND('Mapa final'!$H$30="Alta",'Mapa final'!$L$30="Leve"),CONCATENATE("R",'Mapa final'!$A$30),"")</f>
        <v/>
      </c>
      <c r="K16" s="353"/>
      <c r="L16" s="353" t="str">
        <f ca="1">IF(AND('Mapa final'!$H$36="Alta",'Mapa final'!$L$36="Leve"),CONCATENATE("R",'Mapa final'!$A$36),"")</f>
        <v/>
      </c>
      <c r="M16" s="353"/>
      <c r="N16" s="353" t="str">
        <f ca="1">IF(AND('Mapa final'!$H$42="Alta",'Mapa final'!$L$42="Leve"),CONCATENATE("R",'Mapa final'!$A$42),"")</f>
        <v/>
      </c>
      <c r="O16" s="356"/>
      <c r="P16" s="352" t="str">
        <f ca="1">IF(AND('Mapa final'!$H$30="Alta",'Mapa final'!$L$30="Menor"),CONCATENATE("R",'Mapa final'!$A$30),"")</f>
        <v/>
      </c>
      <c r="Q16" s="353"/>
      <c r="R16" s="353" t="str">
        <f ca="1">IF(AND('Mapa final'!$H$36="Alta",'Mapa final'!$L$36="Menor"),CONCATENATE("R",'Mapa final'!$A$36),"")</f>
        <v/>
      </c>
      <c r="S16" s="353"/>
      <c r="T16" s="353" t="str">
        <f ca="1">IF(AND('Mapa final'!$H$42="Alta",'Mapa final'!$L$42="Menor"),CONCATENATE("R",'Mapa final'!$A$42),"")</f>
        <v/>
      </c>
      <c r="U16" s="356"/>
      <c r="V16" s="336" t="str">
        <f ca="1">IF(AND('Mapa final'!$H$30="Alta",'Mapa final'!$L$30="Moderado"),CONCATENATE("R",'Mapa final'!$A$30),"")</f>
        <v/>
      </c>
      <c r="W16" s="332"/>
      <c r="X16" s="332" t="str">
        <f ca="1">IF(AND('Mapa final'!$H$36="Alta",'Mapa final'!$L$36="Moderado"),CONCATENATE("R",'Mapa final'!$A$36),"")</f>
        <v/>
      </c>
      <c r="Y16" s="332"/>
      <c r="Z16" s="332" t="str">
        <f ca="1">IF(AND('Mapa final'!$H$42="Alta",'Mapa final'!$L$42="Moderado"),CONCATENATE("R",'Mapa final'!$A$42),"")</f>
        <v/>
      </c>
      <c r="AA16" s="333"/>
      <c r="AB16" s="336" t="str">
        <f ca="1">IF(AND('Mapa final'!$H$30="Alta",'Mapa final'!$L$30="Mayor"),CONCATENATE("R",'Mapa final'!$A$30),"")</f>
        <v/>
      </c>
      <c r="AC16" s="332"/>
      <c r="AD16" s="332" t="str">
        <f ca="1">IF(AND('Mapa final'!$H$36="Alta",'Mapa final'!$L$36="Mayor"),CONCATENATE("R",'Mapa final'!$A$36),"")</f>
        <v/>
      </c>
      <c r="AE16" s="332"/>
      <c r="AF16" s="332" t="str">
        <f ca="1">IF(AND('Mapa final'!$H$42="Alta",'Mapa final'!$L$42="Mayor"),CONCATENATE("R",'Mapa final'!$A$42),"")</f>
        <v/>
      </c>
      <c r="AG16" s="333"/>
      <c r="AH16" s="343" t="str">
        <f ca="1">IF(AND('Mapa final'!$H$30="Alta",'Mapa final'!$L$30="Catastrófico"),CONCATENATE("R",'Mapa final'!$A$30),"")</f>
        <v/>
      </c>
      <c r="AI16" s="344"/>
      <c r="AJ16" s="344" t="str">
        <f ca="1">IF(AND('Mapa final'!$H$36="Alta",'Mapa final'!$L$36="Catastrófico"),CONCATENATE("R",'Mapa final'!$A$36),"")</f>
        <v/>
      </c>
      <c r="AK16" s="344"/>
      <c r="AL16" s="344" t="str">
        <f ca="1">IF(AND('Mapa final'!$H$42="Alta",'Mapa final'!$L$42="Catastrófico"),CONCATENATE("R",'Mapa final'!$A$42),"")</f>
        <v/>
      </c>
      <c r="AM16" s="345"/>
      <c r="AN16" s="96"/>
      <c r="AO16" s="299"/>
      <c r="AP16" s="300"/>
      <c r="AQ16" s="300"/>
      <c r="AR16" s="300"/>
      <c r="AS16" s="300"/>
      <c r="AT16" s="301"/>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row>
    <row r="17" spans="1:80" ht="15" customHeight="1" x14ac:dyDescent="0.25">
      <c r="A17" s="96"/>
      <c r="B17" s="285"/>
      <c r="C17" s="285"/>
      <c r="D17" s="286"/>
      <c r="E17" s="326"/>
      <c r="F17" s="327"/>
      <c r="G17" s="327"/>
      <c r="H17" s="327"/>
      <c r="I17" s="327"/>
      <c r="J17" s="352"/>
      <c r="K17" s="353"/>
      <c r="L17" s="353"/>
      <c r="M17" s="353"/>
      <c r="N17" s="353"/>
      <c r="O17" s="356"/>
      <c r="P17" s="352"/>
      <c r="Q17" s="353"/>
      <c r="R17" s="353"/>
      <c r="S17" s="353"/>
      <c r="T17" s="353"/>
      <c r="U17" s="356"/>
      <c r="V17" s="336"/>
      <c r="W17" s="332"/>
      <c r="X17" s="332"/>
      <c r="Y17" s="332"/>
      <c r="Z17" s="332"/>
      <c r="AA17" s="333"/>
      <c r="AB17" s="336"/>
      <c r="AC17" s="332"/>
      <c r="AD17" s="332"/>
      <c r="AE17" s="332"/>
      <c r="AF17" s="332"/>
      <c r="AG17" s="333"/>
      <c r="AH17" s="343"/>
      <c r="AI17" s="344"/>
      <c r="AJ17" s="344"/>
      <c r="AK17" s="344"/>
      <c r="AL17" s="344"/>
      <c r="AM17" s="345"/>
      <c r="AN17" s="96"/>
      <c r="AO17" s="299"/>
      <c r="AP17" s="300"/>
      <c r="AQ17" s="300"/>
      <c r="AR17" s="300"/>
      <c r="AS17" s="300"/>
      <c r="AT17" s="301"/>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row>
    <row r="18" spans="1:80" ht="15" customHeight="1" x14ac:dyDescent="0.25">
      <c r="A18" s="96"/>
      <c r="B18" s="285"/>
      <c r="C18" s="285"/>
      <c r="D18" s="286"/>
      <c r="E18" s="326"/>
      <c r="F18" s="327"/>
      <c r="G18" s="327"/>
      <c r="H18" s="327"/>
      <c r="I18" s="327"/>
      <c r="J18" s="352" t="str">
        <f>IF(AND('Mapa final'!$H$48="Alta",'Mapa final'!$L$48="Leve"),CONCATENATE("R",'Mapa final'!$A$48),"")</f>
        <v/>
      </c>
      <c r="K18" s="353"/>
      <c r="L18" s="353" t="str">
        <f ca="1">IF(AND('Mapa final'!$H$54="Alta",'Mapa final'!$L$54="Leve"),CONCATENATE("R",'Mapa final'!$A$54),"")</f>
        <v/>
      </c>
      <c r="M18" s="353"/>
      <c r="N18" s="353" t="str">
        <f ca="1">IF(AND('Mapa final'!$H$60="Alta",'Mapa final'!$L$60="Leve"),CONCATENATE("R",'Mapa final'!$A$60),"")</f>
        <v/>
      </c>
      <c r="O18" s="353"/>
      <c r="P18" s="352" t="str">
        <f>IF(AND('Mapa final'!$H$48="Alta",'Mapa final'!$L$48="Menor"),CONCATENATE("R",'Mapa final'!$A$48),"")</f>
        <v/>
      </c>
      <c r="Q18" s="353"/>
      <c r="R18" s="353" t="str">
        <f ca="1">IF(AND('Mapa final'!$H$54="Alta",'Mapa final'!$L$54="Menor"),CONCATENATE("R",'Mapa final'!$A$54),"")</f>
        <v/>
      </c>
      <c r="S18" s="353"/>
      <c r="T18" s="353" t="str">
        <f ca="1">IF(AND('Mapa final'!$H$60="Alta",'Mapa final'!$L$60="Menor"),CONCATENATE("R",'Mapa final'!$A$60),"")</f>
        <v/>
      </c>
      <c r="U18" s="353"/>
      <c r="V18" s="336" t="str">
        <f>IF(AND('Mapa final'!$H$48="Alta",'Mapa final'!$L$48="Moderado"),CONCATENATE("R",'Mapa final'!$A$48),"")</f>
        <v/>
      </c>
      <c r="W18" s="332"/>
      <c r="X18" s="332" t="str">
        <f ca="1">IF(AND('Mapa final'!$H$54="Alta",'Mapa final'!$L$54="Moderado"),CONCATENATE("R",'Mapa final'!$A$54),"")</f>
        <v/>
      </c>
      <c r="Y18" s="332"/>
      <c r="Z18" s="332" t="str">
        <f ca="1">IF(AND('Mapa final'!$H$60="Alta",'Mapa final'!$L$60="Moderado"),CONCATENATE("R",'Mapa final'!$A$60),"")</f>
        <v/>
      </c>
      <c r="AA18" s="332"/>
      <c r="AB18" s="336" t="str">
        <f>IF(AND('Mapa final'!$H$48="Alta",'Mapa final'!$L$48="Mayor"),CONCATENATE("R",'Mapa final'!$A$48),"")</f>
        <v>R6</v>
      </c>
      <c r="AC18" s="332"/>
      <c r="AD18" s="332" t="str">
        <f ca="1">IF(AND('Mapa final'!$H$54="Alta",'Mapa final'!$L$54="Mayor"),CONCATENATE("R",'Mapa final'!$A$54),"")</f>
        <v/>
      </c>
      <c r="AE18" s="332"/>
      <c r="AF18" s="332" t="str">
        <f ca="1">IF(AND('Mapa final'!$H$60="Alta",'Mapa final'!$L$60="Mayor"),CONCATENATE("R",'Mapa final'!$A$60),"")</f>
        <v/>
      </c>
      <c r="AG18" s="332"/>
      <c r="AH18" s="343" t="str">
        <f>IF(AND('Mapa final'!$H$48="Alta",'Mapa final'!$L$48="Catastrófico"),CONCATENATE("R",'Mapa final'!$A$48),"")</f>
        <v/>
      </c>
      <c r="AI18" s="344"/>
      <c r="AJ18" s="344" t="str">
        <f ca="1">IF(AND('Mapa final'!$H$54="Alta",'Mapa final'!$L$54="Catastrófico"),CONCATENATE("R",'Mapa final'!$A$54),"")</f>
        <v/>
      </c>
      <c r="AK18" s="344"/>
      <c r="AL18" s="344" t="str">
        <f ca="1">IF(AND('Mapa final'!$H$60="Alta",'Mapa final'!$L$60="Catastrófico"),CONCATENATE("R",'Mapa final'!$A$60),"")</f>
        <v/>
      </c>
      <c r="AM18" s="345"/>
      <c r="AN18" s="96"/>
      <c r="AO18" s="299"/>
      <c r="AP18" s="300"/>
      <c r="AQ18" s="300"/>
      <c r="AR18" s="300"/>
      <c r="AS18" s="300"/>
      <c r="AT18" s="301"/>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row>
    <row r="19" spans="1:80" ht="15" customHeight="1" x14ac:dyDescent="0.25">
      <c r="A19" s="96"/>
      <c r="B19" s="285"/>
      <c r="C19" s="285"/>
      <c r="D19" s="286"/>
      <c r="E19" s="326"/>
      <c r="F19" s="327"/>
      <c r="G19" s="327"/>
      <c r="H19" s="327"/>
      <c r="I19" s="327"/>
      <c r="J19" s="352"/>
      <c r="K19" s="353"/>
      <c r="L19" s="353"/>
      <c r="M19" s="353"/>
      <c r="N19" s="353"/>
      <c r="O19" s="353"/>
      <c r="P19" s="352"/>
      <c r="Q19" s="353"/>
      <c r="R19" s="353"/>
      <c r="S19" s="353"/>
      <c r="T19" s="353"/>
      <c r="U19" s="353"/>
      <c r="V19" s="336"/>
      <c r="W19" s="332"/>
      <c r="X19" s="332"/>
      <c r="Y19" s="332"/>
      <c r="Z19" s="332"/>
      <c r="AA19" s="332"/>
      <c r="AB19" s="336"/>
      <c r="AC19" s="332"/>
      <c r="AD19" s="332"/>
      <c r="AE19" s="332"/>
      <c r="AF19" s="332"/>
      <c r="AG19" s="332"/>
      <c r="AH19" s="343"/>
      <c r="AI19" s="344"/>
      <c r="AJ19" s="344"/>
      <c r="AK19" s="344"/>
      <c r="AL19" s="344"/>
      <c r="AM19" s="345"/>
      <c r="AN19" s="96"/>
      <c r="AO19" s="299"/>
      <c r="AP19" s="300"/>
      <c r="AQ19" s="300"/>
      <c r="AR19" s="300"/>
      <c r="AS19" s="300"/>
      <c r="AT19" s="301"/>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row>
    <row r="20" spans="1:80" ht="15" customHeight="1" x14ac:dyDescent="0.25">
      <c r="A20" s="96"/>
      <c r="B20" s="285"/>
      <c r="C20" s="285"/>
      <c r="D20" s="286"/>
      <c r="E20" s="326"/>
      <c r="F20" s="327"/>
      <c r="G20" s="327"/>
      <c r="H20" s="327"/>
      <c r="I20" s="327"/>
      <c r="J20" s="352" t="str">
        <f ca="1">IF(AND('Mapa final'!$H$72="Alta",'Mapa final'!$L$72="Leve"),CONCATENATE("R",'Mapa final'!$A$72),"")</f>
        <v/>
      </c>
      <c r="K20" s="353"/>
      <c r="L20" s="353" t="str">
        <f>IF(AND('Mapa final'!$H$78="Alta",'Mapa final'!$L$78="Leve"),CONCATENATE("R",'Mapa final'!$A$78),"")</f>
        <v/>
      </c>
      <c r="M20" s="353"/>
      <c r="N20" s="353" t="str">
        <f>IF(AND('Mapa final'!$H$85="Alta",'Mapa final'!$L$85="Leve"),CONCATENATE("R",'Mapa final'!$A$85),"")</f>
        <v/>
      </c>
      <c r="O20" s="356"/>
      <c r="P20" s="352" t="str">
        <f ca="1">IF(AND('Mapa final'!$H$72="Alta",'Mapa final'!$L$72="Menor"),CONCATENATE("R",'Mapa final'!$A$72),"")</f>
        <v/>
      </c>
      <c r="Q20" s="353"/>
      <c r="R20" s="353" t="str">
        <f>IF(AND('Mapa final'!$H$78="Alta",'Mapa final'!$L$78="Menor"),CONCATENATE("R",'Mapa final'!$A$78),"")</f>
        <v/>
      </c>
      <c r="S20" s="353"/>
      <c r="T20" s="353" t="str">
        <f>IF(AND('Mapa final'!$H$85="Alta",'Mapa final'!$L$85="Menor"),CONCATENATE("R",'Mapa final'!$A$85),"")</f>
        <v/>
      </c>
      <c r="U20" s="356"/>
      <c r="V20" s="336" t="str">
        <f ca="1">IF(AND('Mapa final'!$H$72="Alta",'Mapa final'!$L$72="Moderado"),CONCATENATE("R",'Mapa final'!$A$72),"")</f>
        <v/>
      </c>
      <c r="W20" s="332"/>
      <c r="X20" s="332" t="str">
        <f>IF(AND('Mapa final'!$H$78="Alta",'Mapa final'!$L$78="Moderado"),CONCATENATE("R",'Mapa final'!$A$78),"")</f>
        <v/>
      </c>
      <c r="Y20" s="332"/>
      <c r="Z20" s="332" t="str">
        <f>IF(AND('Mapa final'!$H$85="Alta",'Mapa final'!$L$85="Moderado"),CONCATENATE("R",'Mapa final'!$A$85),"")</f>
        <v/>
      </c>
      <c r="AA20" s="333"/>
      <c r="AB20" s="336" t="str">
        <f ca="1">IF(AND('Mapa final'!$H$66="Alta",'Mapa final'!$L$66="Mayor"),CONCATENATE("R",'Mapa final'!$A$66),"")</f>
        <v/>
      </c>
      <c r="AC20" s="332"/>
      <c r="AD20" s="332" t="str">
        <f>IF(AND('Mapa final'!$H$78="Alta",'Mapa final'!$L$78="Mayor"),CONCATENATE("R",'Mapa final'!$A$78),"")</f>
        <v/>
      </c>
      <c r="AE20" s="332"/>
      <c r="AF20" s="332" t="str">
        <f>IF(AND('Mapa final'!$H$85="Alta",'Mapa final'!$L$85="Mayor"),CONCATENATE("R",'Mapa final'!$A$85),"")</f>
        <v/>
      </c>
      <c r="AG20" s="333"/>
      <c r="AH20" s="343" t="str">
        <f ca="1">IF(AND('Mapa final'!$H$72="Alta",'Mapa final'!$L$72="Catastrófico"),CONCATENATE("R",'Mapa final'!$A$72),"")</f>
        <v/>
      </c>
      <c r="AI20" s="344"/>
      <c r="AJ20" s="344" t="str">
        <f>IF(AND('Mapa final'!$H$78="Alta",'Mapa final'!$L$78="Catastrófico"),CONCATENATE("R",'Mapa final'!$A$78),"")</f>
        <v/>
      </c>
      <c r="AK20" s="344"/>
      <c r="AL20" s="344" t="str">
        <f>IF(AND('Mapa final'!$H$85="Alta",'Mapa final'!$L$85="Catastrófico"),CONCATENATE("R",'Mapa final'!$A$85),"")</f>
        <v/>
      </c>
      <c r="AM20" s="345"/>
      <c r="AN20" s="96"/>
      <c r="AO20" s="299"/>
      <c r="AP20" s="300"/>
      <c r="AQ20" s="300"/>
      <c r="AR20" s="300"/>
      <c r="AS20" s="300"/>
      <c r="AT20" s="301"/>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row>
    <row r="21" spans="1:80" ht="15.75" customHeight="1" thickBot="1" x14ac:dyDescent="0.3">
      <c r="A21" s="96"/>
      <c r="B21" s="285"/>
      <c r="C21" s="285"/>
      <c r="D21" s="286"/>
      <c r="E21" s="329"/>
      <c r="F21" s="330"/>
      <c r="G21" s="330"/>
      <c r="H21" s="330"/>
      <c r="I21" s="330"/>
      <c r="J21" s="354"/>
      <c r="K21" s="355"/>
      <c r="L21" s="355"/>
      <c r="M21" s="355"/>
      <c r="N21" s="355"/>
      <c r="O21" s="357"/>
      <c r="P21" s="354"/>
      <c r="Q21" s="355"/>
      <c r="R21" s="355"/>
      <c r="S21" s="355"/>
      <c r="T21" s="355"/>
      <c r="U21" s="357"/>
      <c r="V21" s="340"/>
      <c r="W21" s="341"/>
      <c r="X21" s="341"/>
      <c r="Y21" s="341"/>
      <c r="Z21" s="341"/>
      <c r="AA21" s="342"/>
      <c r="AB21" s="340"/>
      <c r="AC21" s="341"/>
      <c r="AD21" s="341"/>
      <c r="AE21" s="341"/>
      <c r="AF21" s="341"/>
      <c r="AG21" s="342"/>
      <c r="AH21" s="346"/>
      <c r="AI21" s="347"/>
      <c r="AJ21" s="347"/>
      <c r="AK21" s="347"/>
      <c r="AL21" s="347"/>
      <c r="AM21" s="348"/>
      <c r="AN21" s="96"/>
      <c r="AO21" s="302"/>
      <c r="AP21" s="303"/>
      <c r="AQ21" s="303"/>
      <c r="AR21" s="303"/>
      <c r="AS21" s="303"/>
      <c r="AT21" s="304"/>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row>
    <row r="22" spans="1:80" x14ac:dyDescent="0.25">
      <c r="A22" s="96"/>
      <c r="B22" s="285"/>
      <c r="C22" s="285"/>
      <c r="D22" s="286"/>
      <c r="E22" s="323" t="s">
        <v>117</v>
      </c>
      <c r="F22" s="324"/>
      <c r="G22" s="324"/>
      <c r="H22" s="324"/>
      <c r="I22" s="325"/>
      <c r="J22" s="358" t="str">
        <f>IF(AND('Mapa final'!$H$12="Media",'Mapa final'!$L$12="Leve"),CONCATENATE("R",'Mapa final'!$A$12),"")</f>
        <v/>
      </c>
      <c r="K22" s="359"/>
      <c r="L22" s="359" t="str">
        <f ca="1">IF(AND('Mapa final'!$H$18="Media",'Mapa final'!$L$18="Leve"),CONCATENATE("R",'Mapa final'!$A$18),"")</f>
        <v/>
      </c>
      <c r="M22" s="359"/>
      <c r="N22" s="359" t="str">
        <f ca="1">IF(AND('Mapa final'!$H$24="Media",'Mapa final'!$L$24="Leve"),CONCATENATE("R",'Mapa final'!$A$24),"")</f>
        <v/>
      </c>
      <c r="O22" s="360"/>
      <c r="P22" s="358" t="str">
        <f>IF(AND('Mapa final'!$H$12="Media",'Mapa final'!$L$12="Menor"),CONCATENATE("R",'Mapa final'!$A$12),"")</f>
        <v/>
      </c>
      <c r="Q22" s="359"/>
      <c r="R22" s="359" t="str">
        <f ca="1">IF(AND('Mapa final'!$H$18="Media",'Mapa final'!$L$18="Menor"),CONCATENATE("R",'Mapa final'!$A$18),"")</f>
        <v/>
      </c>
      <c r="S22" s="359"/>
      <c r="T22" s="359" t="str">
        <f ca="1">IF(AND('Mapa final'!$H$24="Media",'Mapa final'!$L$24="Menor"),CONCATENATE("R",'Mapa final'!$A$24),"")</f>
        <v/>
      </c>
      <c r="U22" s="360"/>
      <c r="V22" s="358" t="str">
        <f>IF(AND('Mapa final'!$H$12="Media",'Mapa final'!$L$12="Moderado"),CONCATENATE("R",'Mapa final'!$A$12),"")</f>
        <v/>
      </c>
      <c r="W22" s="359"/>
      <c r="X22" s="359" t="str">
        <f ca="1">IF(AND('Mapa final'!$H$18="Media",'Mapa final'!$L$18="Moderado"),CONCATENATE("R",'Mapa final'!$A$18),"")</f>
        <v/>
      </c>
      <c r="Y22" s="359"/>
      <c r="Z22" s="359" t="str">
        <f ca="1">IF(AND('Mapa final'!$H$24="Media",'Mapa final'!$L$24="Moderado"),CONCATENATE("R",'Mapa final'!$A$24),"")</f>
        <v/>
      </c>
      <c r="AA22" s="360"/>
      <c r="AB22" s="334" t="str">
        <f>IF(AND('Mapa final'!$H$12="Media",'Mapa final'!$L$12="Mayor"),CONCATENATE("R",'Mapa final'!$A$12),"")</f>
        <v/>
      </c>
      <c r="AC22" s="335"/>
      <c r="AD22" s="335" t="str">
        <f ca="1">IF(AND('Mapa final'!$H$18="Media",'Mapa final'!$L$18="Mayor"),CONCATENATE("R",'Mapa final'!$A$18),"")</f>
        <v/>
      </c>
      <c r="AE22" s="335"/>
      <c r="AF22" s="335" t="str">
        <f ca="1">IF(AND('Mapa final'!$H$24="Media",'Mapa final'!$L$24="Mayor"),CONCATENATE("R",'Mapa final'!$A$24),"")</f>
        <v/>
      </c>
      <c r="AG22" s="337"/>
      <c r="AH22" s="349" t="str">
        <f>IF(AND('Mapa final'!$H$12="Media",'Mapa final'!$L$12="Catastrófico"),CONCATENATE("R",'Mapa final'!$A$12),"")</f>
        <v/>
      </c>
      <c r="AI22" s="350"/>
      <c r="AJ22" s="350" t="str">
        <f ca="1">IF(AND('Mapa final'!$H$18="Media",'Mapa final'!$L$18="Catastrófico"),CONCATENATE("R",'Mapa final'!$A$18),"")</f>
        <v/>
      </c>
      <c r="AK22" s="350"/>
      <c r="AL22" s="350" t="str">
        <f ca="1">IF(AND('Mapa final'!$H$24="Media",'Mapa final'!$L$24="Catastrófico"),CONCATENATE("R",'Mapa final'!$A$24),"")</f>
        <v/>
      </c>
      <c r="AM22" s="351"/>
      <c r="AN22" s="96"/>
      <c r="AO22" s="305" t="s">
        <v>81</v>
      </c>
      <c r="AP22" s="306"/>
      <c r="AQ22" s="306"/>
      <c r="AR22" s="306"/>
      <c r="AS22" s="306"/>
      <c r="AT22" s="307"/>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row>
    <row r="23" spans="1:80" x14ac:dyDescent="0.25">
      <c r="A23" s="96"/>
      <c r="B23" s="285"/>
      <c r="C23" s="285"/>
      <c r="D23" s="286"/>
      <c r="E23" s="326"/>
      <c r="F23" s="327"/>
      <c r="G23" s="327"/>
      <c r="H23" s="327"/>
      <c r="I23" s="328"/>
      <c r="J23" s="352"/>
      <c r="K23" s="353"/>
      <c r="L23" s="353"/>
      <c r="M23" s="353"/>
      <c r="N23" s="353"/>
      <c r="O23" s="356"/>
      <c r="P23" s="352"/>
      <c r="Q23" s="353"/>
      <c r="R23" s="353"/>
      <c r="S23" s="353"/>
      <c r="T23" s="353"/>
      <c r="U23" s="356"/>
      <c r="V23" s="352"/>
      <c r="W23" s="353"/>
      <c r="X23" s="353"/>
      <c r="Y23" s="353"/>
      <c r="Z23" s="353"/>
      <c r="AA23" s="356"/>
      <c r="AB23" s="336"/>
      <c r="AC23" s="332"/>
      <c r="AD23" s="332"/>
      <c r="AE23" s="332"/>
      <c r="AF23" s="332"/>
      <c r="AG23" s="333"/>
      <c r="AH23" s="343"/>
      <c r="AI23" s="344"/>
      <c r="AJ23" s="344"/>
      <c r="AK23" s="344"/>
      <c r="AL23" s="344"/>
      <c r="AM23" s="345"/>
      <c r="AN23" s="96"/>
      <c r="AO23" s="308"/>
      <c r="AP23" s="309"/>
      <c r="AQ23" s="309"/>
      <c r="AR23" s="309"/>
      <c r="AS23" s="309"/>
      <c r="AT23" s="310"/>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row>
    <row r="24" spans="1:80" x14ac:dyDescent="0.25">
      <c r="A24" s="96"/>
      <c r="B24" s="285"/>
      <c r="C24" s="285"/>
      <c r="D24" s="286"/>
      <c r="E24" s="326"/>
      <c r="F24" s="327"/>
      <c r="G24" s="327"/>
      <c r="H24" s="327"/>
      <c r="I24" s="328"/>
      <c r="J24" s="352" t="str">
        <f ca="1">IF(AND('Mapa final'!$H$30="Media",'Mapa final'!$L$30="Leve"),CONCATENATE("R",'Mapa final'!$A$30),"")</f>
        <v/>
      </c>
      <c r="K24" s="353"/>
      <c r="L24" s="353" t="str">
        <f ca="1">IF(AND('Mapa final'!$H$36="Media",'Mapa final'!$L$36="Leve"),CONCATENATE("R",'Mapa final'!$A$36),"")</f>
        <v/>
      </c>
      <c r="M24" s="353"/>
      <c r="N24" s="353" t="str">
        <f ca="1">IF(AND('Mapa final'!$H$42="Media",'Mapa final'!$L$42="Leve"),CONCATENATE("R",'Mapa final'!$A$42),"")</f>
        <v/>
      </c>
      <c r="O24" s="356"/>
      <c r="P24" s="352" t="str">
        <f ca="1">IF(AND('Mapa final'!$H$30="Media",'Mapa final'!$L$30="Menor"),CONCATENATE("R",'Mapa final'!$A$30),"")</f>
        <v/>
      </c>
      <c r="Q24" s="353"/>
      <c r="R24" s="353" t="str">
        <f ca="1">IF(AND('Mapa final'!$H$36="Media",'Mapa final'!$L$36="Menor"),CONCATENATE("R",'Mapa final'!$A$36),"")</f>
        <v/>
      </c>
      <c r="S24" s="353"/>
      <c r="T24" s="353" t="str">
        <f ca="1">IF(AND('Mapa final'!$H$42="Media",'Mapa final'!$L$42="Menor"),CONCATENATE("R",'Mapa final'!$A$42),"")</f>
        <v/>
      </c>
      <c r="U24" s="356"/>
      <c r="V24" s="352" t="str">
        <f ca="1">IF(AND('Mapa final'!$H$30="Media",'Mapa final'!$L$30="Moderado"),CONCATENATE("R",'Mapa final'!$A$30),"")</f>
        <v/>
      </c>
      <c r="W24" s="353"/>
      <c r="X24" s="353" t="str">
        <f ca="1">IF(AND('Mapa final'!$H$36="Media",'Mapa final'!$L$36="Moderado"),CONCATENATE("R",'Mapa final'!$A$36),"")</f>
        <v/>
      </c>
      <c r="Y24" s="353"/>
      <c r="Z24" s="353" t="str">
        <f ca="1">IF(AND('Mapa final'!$H$42="Media",'Mapa final'!$L$42="Moderado"),CONCATENATE("R",'Mapa final'!$A$42),"")</f>
        <v/>
      </c>
      <c r="AA24" s="356"/>
      <c r="AB24" s="336" t="str">
        <f ca="1">IF(AND('Mapa final'!$H$30="Media",'Mapa final'!$L$30="Mayor"),CONCATENATE("R",'Mapa final'!$A$30),"")</f>
        <v/>
      </c>
      <c r="AC24" s="332"/>
      <c r="AD24" s="332" t="str">
        <f ca="1">IF(AND('Mapa final'!$H$36="Media",'Mapa final'!$L$36="Mayor"),CONCATENATE("R",'Mapa final'!$A$36),"")</f>
        <v/>
      </c>
      <c r="AE24" s="332"/>
      <c r="AF24" s="332" t="str">
        <f ca="1">IF(AND('Mapa final'!$H$42="Media",'Mapa final'!$L$42="Mayor"),CONCATENATE("R",'Mapa final'!$A$42),"")</f>
        <v/>
      </c>
      <c r="AG24" s="333"/>
      <c r="AH24" s="343" t="str">
        <f ca="1">IF(AND('Mapa final'!$H$30="Media",'Mapa final'!$L$30="Catastrófico"),CONCATENATE("R",'Mapa final'!$A$30),"")</f>
        <v/>
      </c>
      <c r="AI24" s="344"/>
      <c r="AJ24" s="344" t="str">
        <f ca="1">IF(AND('Mapa final'!$H$36="Media",'Mapa final'!$L$36="Catastrófico"),CONCATENATE("R",'Mapa final'!$A$36),"")</f>
        <v/>
      </c>
      <c r="AK24" s="344"/>
      <c r="AL24" s="344" t="str">
        <f ca="1">IF(AND('Mapa final'!$H$42="Media",'Mapa final'!$L$42="Catastrófico"),CONCATENATE("R",'Mapa final'!$A$42),"")</f>
        <v/>
      </c>
      <c r="AM24" s="345"/>
      <c r="AN24" s="96"/>
      <c r="AO24" s="308"/>
      <c r="AP24" s="309"/>
      <c r="AQ24" s="309"/>
      <c r="AR24" s="309"/>
      <c r="AS24" s="309"/>
      <c r="AT24" s="310"/>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row>
    <row r="25" spans="1:80" x14ac:dyDescent="0.25">
      <c r="A25" s="96"/>
      <c r="B25" s="285"/>
      <c r="C25" s="285"/>
      <c r="D25" s="286"/>
      <c r="E25" s="326"/>
      <c r="F25" s="327"/>
      <c r="G25" s="327"/>
      <c r="H25" s="327"/>
      <c r="I25" s="328"/>
      <c r="J25" s="352"/>
      <c r="K25" s="353"/>
      <c r="L25" s="353"/>
      <c r="M25" s="353"/>
      <c r="N25" s="353"/>
      <c r="O25" s="356"/>
      <c r="P25" s="352"/>
      <c r="Q25" s="353"/>
      <c r="R25" s="353"/>
      <c r="S25" s="353"/>
      <c r="T25" s="353"/>
      <c r="U25" s="356"/>
      <c r="V25" s="352"/>
      <c r="W25" s="353"/>
      <c r="X25" s="353"/>
      <c r="Y25" s="353"/>
      <c r="Z25" s="353"/>
      <c r="AA25" s="356"/>
      <c r="AB25" s="336"/>
      <c r="AC25" s="332"/>
      <c r="AD25" s="332"/>
      <c r="AE25" s="332"/>
      <c r="AF25" s="332"/>
      <c r="AG25" s="333"/>
      <c r="AH25" s="343"/>
      <c r="AI25" s="344"/>
      <c r="AJ25" s="344"/>
      <c r="AK25" s="344"/>
      <c r="AL25" s="344"/>
      <c r="AM25" s="345"/>
      <c r="AN25" s="96"/>
      <c r="AO25" s="308"/>
      <c r="AP25" s="309"/>
      <c r="AQ25" s="309"/>
      <c r="AR25" s="309"/>
      <c r="AS25" s="309"/>
      <c r="AT25" s="310"/>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row>
    <row r="26" spans="1:80" ht="15" customHeight="1" x14ac:dyDescent="0.25">
      <c r="A26" s="96"/>
      <c r="B26" s="285"/>
      <c r="C26" s="285"/>
      <c r="D26" s="286"/>
      <c r="E26" s="326"/>
      <c r="F26" s="327"/>
      <c r="G26" s="327"/>
      <c r="H26" s="327"/>
      <c r="I26" s="328"/>
      <c r="J26" s="352" t="str">
        <f>IF(AND('Mapa final'!$H$48="Media",'Mapa final'!$L$48="Leve"),CONCATENATE("R",'Mapa final'!$A$48),"")</f>
        <v/>
      </c>
      <c r="K26" s="353"/>
      <c r="L26" s="353" t="str">
        <f ca="1">IF(AND('Mapa final'!$H$54="Media",'Mapa final'!$L$54="Leve"),CONCATENATE("R",'Mapa final'!$A$54),"")</f>
        <v/>
      </c>
      <c r="M26" s="353"/>
      <c r="N26" s="353" t="str">
        <f ca="1">IF(AND('Mapa final'!$H$60="Media",'Mapa final'!$L$60="Leve"),CONCATENATE("R",'Mapa final'!$A$60),"")</f>
        <v/>
      </c>
      <c r="O26" s="353"/>
      <c r="P26" s="352" t="str">
        <f>IF(AND('Mapa final'!$H$48="Media",'Mapa final'!$L$48="Menor"),CONCATENATE("R",'Mapa final'!$A$48),"")</f>
        <v/>
      </c>
      <c r="Q26" s="353"/>
      <c r="R26" s="353" t="str">
        <f ca="1">IF(AND('Mapa final'!$H$54="Media",'Mapa final'!$L$54="Menor"),CONCATENATE("R",'Mapa final'!$A$54),"")</f>
        <v/>
      </c>
      <c r="S26" s="353"/>
      <c r="T26" s="353" t="str">
        <f ca="1">IF(AND('Mapa final'!$H$60="Media",'Mapa final'!$L$60="Menor"),CONCATENATE("R",'Mapa final'!$A$60),"")</f>
        <v/>
      </c>
      <c r="U26" s="353"/>
      <c r="V26" s="352" t="str">
        <f>IF(AND('Mapa final'!$H$48="Media",'Mapa final'!$L$48="Moderado"),CONCATENATE("R",'Mapa final'!$A$48),"")</f>
        <v/>
      </c>
      <c r="W26" s="353"/>
      <c r="X26" s="353" t="str">
        <f ca="1">IF(AND('Mapa final'!$H$54="Media",'Mapa final'!$L$54="Moderado"),CONCATENATE("R",'Mapa final'!$A$54),"")</f>
        <v>R7</v>
      </c>
      <c r="Y26" s="353"/>
      <c r="Z26" s="353" t="str">
        <f ca="1">IF(AND('Mapa final'!$H$60="Media",'Mapa final'!$L$60="Moderado"),CONCATENATE("R",'Mapa final'!$A$60),"")</f>
        <v/>
      </c>
      <c r="AA26" s="353"/>
      <c r="AB26" s="336" t="str">
        <f>IF(AND('Mapa final'!$H$48="Media",'Mapa final'!$L$48="Mayor"),CONCATENATE("R",'Mapa final'!$A$48),"")</f>
        <v/>
      </c>
      <c r="AC26" s="332"/>
      <c r="AD26" s="332" t="str">
        <f ca="1">IF(AND('Mapa final'!$H$54="Media",'Mapa final'!$L$54="Mayor"),CONCATENATE("R",'Mapa final'!$A$54),"")</f>
        <v/>
      </c>
      <c r="AE26" s="332"/>
      <c r="AF26" s="332" t="str">
        <f ca="1">IF(AND('Mapa final'!$H$60="Media",'Mapa final'!$L$60="Mayor"),CONCATENATE("R",'Mapa final'!$A$60),"")</f>
        <v/>
      </c>
      <c r="AG26" s="332"/>
      <c r="AH26" s="343" t="str">
        <f>IF(AND('Mapa final'!$H$48="Media",'Mapa final'!$L$48="Catastrófico"),CONCATENATE("R",'Mapa final'!$A$48),"")</f>
        <v/>
      </c>
      <c r="AI26" s="344"/>
      <c r="AJ26" s="344" t="str">
        <f ca="1">IF(AND('Mapa final'!$H$54="Media",'Mapa final'!$L$54="Catastrófico"),CONCATENATE("R",'Mapa final'!$A$54),"")</f>
        <v/>
      </c>
      <c r="AK26" s="344"/>
      <c r="AL26" s="344" t="str">
        <f ca="1">IF(AND('Mapa final'!$H$60="Media",'Mapa final'!$L$60="Catastrófico"),CONCATENATE("R",'Mapa final'!$A$60),"")</f>
        <v/>
      </c>
      <c r="AM26" s="345"/>
      <c r="AN26" s="96"/>
      <c r="AO26" s="308"/>
      <c r="AP26" s="309"/>
      <c r="AQ26" s="309"/>
      <c r="AR26" s="309"/>
      <c r="AS26" s="309"/>
      <c r="AT26" s="310"/>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row>
    <row r="27" spans="1:80" ht="15" customHeight="1" x14ac:dyDescent="0.25">
      <c r="A27" s="96"/>
      <c r="B27" s="285"/>
      <c r="C27" s="285"/>
      <c r="D27" s="286"/>
      <c r="E27" s="326"/>
      <c r="F27" s="327"/>
      <c r="G27" s="327"/>
      <c r="H27" s="327"/>
      <c r="I27" s="328"/>
      <c r="J27" s="352"/>
      <c r="K27" s="353"/>
      <c r="L27" s="353"/>
      <c r="M27" s="353"/>
      <c r="N27" s="353"/>
      <c r="O27" s="353"/>
      <c r="P27" s="352"/>
      <c r="Q27" s="353"/>
      <c r="R27" s="353"/>
      <c r="S27" s="353"/>
      <c r="T27" s="353"/>
      <c r="U27" s="353"/>
      <c r="V27" s="352"/>
      <c r="W27" s="353"/>
      <c r="X27" s="353"/>
      <c r="Y27" s="353"/>
      <c r="Z27" s="353"/>
      <c r="AA27" s="353"/>
      <c r="AB27" s="336"/>
      <c r="AC27" s="332"/>
      <c r="AD27" s="332"/>
      <c r="AE27" s="332"/>
      <c r="AF27" s="332"/>
      <c r="AG27" s="332"/>
      <c r="AH27" s="343"/>
      <c r="AI27" s="344"/>
      <c r="AJ27" s="344"/>
      <c r="AK27" s="344"/>
      <c r="AL27" s="344"/>
      <c r="AM27" s="345"/>
      <c r="AN27" s="96"/>
      <c r="AO27" s="308"/>
      <c r="AP27" s="309"/>
      <c r="AQ27" s="309"/>
      <c r="AR27" s="309"/>
      <c r="AS27" s="309"/>
      <c r="AT27" s="310"/>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row>
    <row r="28" spans="1:80" x14ac:dyDescent="0.25">
      <c r="A28" s="96"/>
      <c r="B28" s="285"/>
      <c r="C28" s="285"/>
      <c r="D28" s="286"/>
      <c r="E28" s="326"/>
      <c r="F28" s="327"/>
      <c r="G28" s="327"/>
      <c r="H28" s="327"/>
      <c r="I28" s="328"/>
      <c r="J28" s="352" t="str">
        <f ca="1">IF(AND('Mapa final'!$H$72="Media",'Mapa final'!$L$72="Leve"),CONCATENATE("R",'Mapa final'!$A$72),"")</f>
        <v/>
      </c>
      <c r="K28" s="353"/>
      <c r="L28" s="353" t="str">
        <f>IF(AND('Mapa final'!$H$78="Media",'Mapa final'!$L$78="Leve"),CONCATENATE("R",'Mapa final'!$A$78),"")</f>
        <v/>
      </c>
      <c r="M28" s="353"/>
      <c r="N28" s="353" t="str">
        <f>IF(AND('Mapa final'!$H$85="Media",'Mapa final'!$L$85="Leve"),CONCATENATE("R",'Mapa final'!$A$85),"")</f>
        <v/>
      </c>
      <c r="O28" s="356"/>
      <c r="P28" s="352" t="str">
        <f ca="1">IF(AND('Mapa final'!$H$72="Media",'Mapa final'!$L$72="Menor"),CONCATENATE("R",'Mapa final'!$A$72),"")</f>
        <v/>
      </c>
      <c r="Q28" s="353"/>
      <c r="R28" s="353" t="str">
        <f>IF(AND('Mapa final'!$H$78="Media",'Mapa final'!$L$78="Menor"),CONCATENATE("R",'Mapa final'!$A$78),"")</f>
        <v/>
      </c>
      <c r="S28" s="353"/>
      <c r="T28" s="353" t="str">
        <f>IF(AND('Mapa final'!$H$85="Media",'Mapa final'!$L$85="Menor"),CONCATENATE("R",'Mapa final'!$A$85),"")</f>
        <v/>
      </c>
      <c r="U28" s="356"/>
      <c r="V28" s="352" t="str">
        <f ca="1">IF(AND('Mapa final'!$H$72="Media",'Mapa final'!$L$72="Moderado"),CONCATENATE("R",'Mapa final'!$A$72),"")</f>
        <v/>
      </c>
      <c r="W28" s="353"/>
      <c r="X28" s="353" t="str">
        <f>IF(AND('Mapa final'!$H$78="Media",'Mapa final'!$L$78="Moderado"),CONCATENATE("R",'Mapa final'!$A$78),"")</f>
        <v/>
      </c>
      <c r="Y28" s="353"/>
      <c r="Z28" s="353" t="str">
        <f>IF(AND('Mapa final'!$H$85="Media",'Mapa final'!$L$85="Moderado"),CONCATENATE("R",'Mapa final'!$A$85),"")</f>
        <v/>
      </c>
      <c r="AA28" s="356"/>
      <c r="AB28" s="336" t="str">
        <f ca="1">IF(AND('Mapa final'!$H$72="Media",'Mapa final'!$L$72="Mayor"),CONCATENATE("R",'Mapa final'!$A$72),"")</f>
        <v>R10</v>
      </c>
      <c r="AC28" s="332"/>
      <c r="AD28" s="332" t="str">
        <f>IF(AND('Mapa final'!$H$78="Media",'Mapa final'!$L$78="Mayor"),CONCATENATE("R",'Mapa final'!$A$78),"")</f>
        <v/>
      </c>
      <c r="AE28" s="332"/>
      <c r="AF28" s="332" t="str">
        <f>IF(AND('Mapa final'!$H$85="Media",'Mapa final'!$L$85="Mayor"),CONCATENATE("R",'Mapa final'!$A$85),"")</f>
        <v/>
      </c>
      <c r="AG28" s="333"/>
      <c r="AH28" s="343" t="str">
        <f ca="1">IF(AND('Mapa final'!$H$72="Media",'Mapa final'!$L$72="Catastrófico"),CONCATENATE("R",'Mapa final'!$A$72),"")</f>
        <v/>
      </c>
      <c r="AI28" s="344"/>
      <c r="AJ28" s="344" t="str">
        <f>IF(AND('Mapa final'!$H$78="Media",'Mapa final'!$L$78="Catastrófico"),CONCATENATE("R",'Mapa final'!$A$78),"")</f>
        <v/>
      </c>
      <c r="AK28" s="344"/>
      <c r="AL28" s="344" t="str">
        <f>IF(AND('Mapa final'!$H$85="Media",'Mapa final'!$L$85="Catastrófico"),CONCATENATE("R",'Mapa final'!$A$85),"")</f>
        <v/>
      </c>
      <c r="AM28" s="345"/>
      <c r="AN28" s="96"/>
      <c r="AO28" s="308"/>
      <c r="AP28" s="309"/>
      <c r="AQ28" s="309"/>
      <c r="AR28" s="309"/>
      <c r="AS28" s="309"/>
      <c r="AT28" s="310"/>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row>
    <row r="29" spans="1:80" ht="15.75" thickBot="1" x14ac:dyDescent="0.3">
      <c r="A29" s="96"/>
      <c r="B29" s="285"/>
      <c r="C29" s="285"/>
      <c r="D29" s="286"/>
      <c r="E29" s="329"/>
      <c r="F29" s="330"/>
      <c r="G29" s="330"/>
      <c r="H29" s="330"/>
      <c r="I29" s="331"/>
      <c r="J29" s="352"/>
      <c r="K29" s="353"/>
      <c r="L29" s="353"/>
      <c r="M29" s="353"/>
      <c r="N29" s="353"/>
      <c r="O29" s="356"/>
      <c r="P29" s="354"/>
      <c r="Q29" s="355"/>
      <c r="R29" s="355"/>
      <c r="S29" s="355"/>
      <c r="T29" s="355"/>
      <c r="U29" s="357"/>
      <c r="V29" s="354"/>
      <c r="W29" s="355"/>
      <c r="X29" s="355"/>
      <c r="Y29" s="355"/>
      <c r="Z29" s="355"/>
      <c r="AA29" s="357"/>
      <c r="AB29" s="340"/>
      <c r="AC29" s="341"/>
      <c r="AD29" s="341"/>
      <c r="AE29" s="341"/>
      <c r="AF29" s="341"/>
      <c r="AG29" s="342"/>
      <c r="AH29" s="346"/>
      <c r="AI29" s="347"/>
      <c r="AJ29" s="347"/>
      <c r="AK29" s="347"/>
      <c r="AL29" s="347"/>
      <c r="AM29" s="348"/>
      <c r="AN29" s="96"/>
      <c r="AO29" s="311"/>
      <c r="AP29" s="312"/>
      <c r="AQ29" s="312"/>
      <c r="AR29" s="312"/>
      <c r="AS29" s="312"/>
      <c r="AT29" s="313"/>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row>
    <row r="30" spans="1:80" x14ac:dyDescent="0.25">
      <c r="A30" s="96"/>
      <c r="B30" s="285"/>
      <c r="C30" s="285"/>
      <c r="D30" s="286"/>
      <c r="E30" s="323" t="s">
        <v>114</v>
      </c>
      <c r="F30" s="324"/>
      <c r="G30" s="324"/>
      <c r="H30" s="324"/>
      <c r="I30" s="324"/>
      <c r="J30" s="367" t="str">
        <f>IF(AND('Mapa final'!$H$12="Baja",'Mapa final'!$L$12="Leve"),CONCATENATE("R",'Mapa final'!$A$12),"")</f>
        <v/>
      </c>
      <c r="K30" s="368"/>
      <c r="L30" s="368" t="str">
        <f ca="1">IF(AND('Mapa final'!$H$18="Baja",'Mapa final'!$L$18="Leve"),CONCATENATE("R",'Mapa final'!$A$18),"")</f>
        <v/>
      </c>
      <c r="M30" s="368"/>
      <c r="N30" s="368" t="str">
        <f ca="1">IF(AND('Mapa final'!$H$24="Baja",'Mapa final'!$L$24="Leve"),CONCATENATE("R",'Mapa final'!$A$24),"")</f>
        <v/>
      </c>
      <c r="O30" s="369"/>
      <c r="P30" s="359" t="str">
        <f>IF(AND('Mapa final'!$H$12="Baja",'Mapa final'!$L$12="Menor"),CONCATENATE("R",'Mapa final'!$A$12),"")</f>
        <v/>
      </c>
      <c r="Q30" s="359"/>
      <c r="R30" s="359" t="str">
        <f ca="1">IF(AND('Mapa final'!$H$18="Baja",'Mapa final'!$L$18="Menor"),CONCATENATE("R",'Mapa final'!$A$18),"")</f>
        <v/>
      </c>
      <c r="S30" s="359"/>
      <c r="T30" s="359" t="str">
        <f ca="1">IF(AND('Mapa final'!$H$24="Baja",'Mapa final'!$L$24="Menor"),CONCATENATE("R",'Mapa final'!$A$24),"")</f>
        <v/>
      </c>
      <c r="U30" s="360"/>
      <c r="V30" s="358" t="str">
        <f>IF(AND('Mapa final'!$H$12="Baja",'Mapa final'!$L$12="Moderado"),CONCATENATE("R",'Mapa final'!$A$12),"")</f>
        <v>R1</v>
      </c>
      <c r="W30" s="359"/>
      <c r="X30" s="359" t="str">
        <f ca="1">IF(AND('Mapa final'!$H$18="Baja",'Mapa final'!$L$18="Moderado"),CONCATENATE("R",'Mapa final'!$A$18),"")</f>
        <v/>
      </c>
      <c r="Y30" s="359"/>
      <c r="Z30" s="359" t="str">
        <f ca="1">IF(AND('Mapa final'!$H$24="Baja",'Mapa final'!$L$24="Moderado"),CONCATENATE("R",'Mapa final'!$A$24),"")</f>
        <v>R3</v>
      </c>
      <c r="AA30" s="360"/>
      <c r="AB30" s="334" t="str">
        <f>IF(AND('Mapa final'!$H$12="Baja",'Mapa final'!$L$12="Mayor"),CONCATENATE("R",'Mapa final'!$A$12),"")</f>
        <v/>
      </c>
      <c r="AC30" s="335"/>
      <c r="AD30" s="335" t="str">
        <f ca="1">IF(AND('Mapa final'!$H$18="Baja",'Mapa final'!$L$18="Mayor"),CONCATENATE("R",'Mapa final'!$A$18),"")</f>
        <v/>
      </c>
      <c r="AE30" s="335"/>
      <c r="AF30" s="335" t="str">
        <f ca="1">IF(AND('Mapa final'!$H$24="Baja",'Mapa final'!$L$24="Mayor"),CONCATENATE("R",'Mapa final'!$A$24),"")</f>
        <v/>
      </c>
      <c r="AG30" s="337"/>
      <c r="AH30" s="349" t="str">
        <f>IF(AND('Mapa final'!$H$12="Baja",'Mapa final'!$L$12="Catastrófico"),CONCATENATE("R",'Mapa final'!$A$12),"")</f>
        <v/>
      </c>
      <c r="AI30" s="350"/>
      <c r="AJ30" s="350" t="str">
        <f ca="1">IF(AND('Mapa final'!$H$18="Baja",'Mapa final'!$L$18="Catastrófico"),CONCATENATE("R",'Mapa final'!$A$18),"")</f>
        <v/>
      </c>
      <c r="AK30" s="350"/>
      <c r="AL30" s="350" t="str">
        <f ca="1">IF(AND('Mapa final'!$H$24="Baja",'Mapa final'!$L$24="Catastrófico"),CONCATENATE("R",'Mapa final'!$A$24),"")</f>
        <v/>
      </c>
      <c r="AM30" s="351"/>
      <c r="AN30" s="96"/>
      <c r="AO30" s="314" t="s">
        <v>82</v>
      </c>
      <c r="AP30" s="315"/>
      <c r="AQ30" s="315"/>
      <c r="AR30" s="315"/>
      <c r="AS30" s="315"/>
      <c r="AT30" s="31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row>
    <row r="31" spans="1:80" x14ac:dyDescent="0.25">
      <c r="A31" s="96"/>
      <c r="B31" s="285"/>
      <c r="C31" s="285"/>
      <c r="D31" s="286"/>
      <c r="E31" s="326"/>
      <c r="F31" s="327"/>
      <c r="G31" s="327"/>
      <c r="H31" s="327"/>
      <c r="I31" s="327"/>
      <c r="J31" s="363"/>
      <c r="K31" s="361"/>
      <c r="L31" s="361"/>
      <c r="M31" s="361"/>
      <c r="N31" s="361"/>
      <c r="O31" s="362"/>
      <c r="P31" s="353"/>
      <c r="Q31" s="353"/>
      <c r="R31" s="353"/>
      <c r="S31" s="353"/>
      <c r="T31" s="353"/>
      <c r="U31" s="356"/>
      <c r="V31" s="352"/>
      <c r="W31" s="353"/>
      <c r="X31" s="353"/>
      <c r="Y31" s="353"/>
      <c r="Z31" s="353"/>
      <c r="AA31" s="356"/>
      <c r="AB31" s="336"/>
      <c r="AC31" s="332"/>
      <c r="AD31" s="332"/>
      <c r="AE31" s="332"/>
      <c r="AF31" s="332"/>
      <c r="AG31" s="333"/>
      <c r="AH31" s="343"/>
      <c r="AI31" s="344"/>
      <c r="AJ31" s="344"/>
      <c r="AK31" s="344"/>
      <c r="AL31" s="344"/>
      <c r="AM31" s="345"/>
      <c r="AN31" s="96"/>
      <c r="AO31" s="317"/>
      <c r="AP31" s="318"/>
      <c r="AQ31" s="318"/>
      <c r="AR31" s="318"/>
      <c r="AS31" s="318"/>
      <c r="AT31" s="319"/>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row>
    <row r="32" spans="1:80" x14ac:dyDescent="0.25">
      <c r="A32" s="96"/>
      <c r="B32" s="285"/>
      <c r="C32" s="285"/>
      <c r="D32" s="286"/>
      <c r="E32" s="326"/>
      <c r="F32" s="327"/>
      <c r="G32" s="327"/>
      <c r="H32" s="327"/>
      <c r="I32" s="327"/>
      <c r="J32" s="363" t="str">
        <f ca="1">IF(AND('Mapa final'!$H$30="Baja",'Mapa final'!$L$30="Leve"),CONCATENATE("R",'Mapa final'!$A$30),"")</f>
        <v/>
      </c>
      <c r="K32" s="361"/>
      <c r="L32" s="361" t="str">
        <f ca="1">IF(AND('Mapa final'!$H$36="Baja",'Mapa final'!$L$36="Leve"),CONCATENATE("R",'Mapa final'!$A$36),"")</f>
        <v/>
      </c>
      <c r="M32" s="361"/>
      <c r="N32" s="361" t="str">
        <f ca="1">IF(AND('Mapa final'!$H$42="Baja",'Mapa final'!$L$42="Leve"),CONCATENATE("R",'Mapa final'!$A$42),"")</f>
        <v/>
      </c>
      <c r="O32" s="362"/>
      <c r="P32" s="353" t="str">
        <f ca="1">IF(AND('Mapa final'!$H$30="Baja",'Mapa final'!$L$30="Menor"),CONCATENATE("R",'Mapa final'!$A$30),"")</f>
        <v/>
      </c>
      <c r="Q32" s="353"/>
      <c r="R32" s="353" t="str">
        <f ca="1">IF(AND('Mapa final'!$H$36="Baja",'Mapa final'!$L$36="Menor"),CONCATENATE("R",'Mapa final'!$A$36),"")</f>
        <v/>
      </c>
      <c r="S32" s="353"/>
      <c r="T32" s="353" t="str">
        <f ca="1">IF(AND('Mapa final'!$H$42="Baja",'Mapa final'!$L$42="Menor"),CONCATENATE("R",'Mapa final'!$A$42),"")</f>
        <v/>
      </c>
      <c r="U32" s="356"/>
      <c r="V32" s="352" t="str">
        <f ca="1">IF(AND('Mapa final'!$H$30="Baja",'Mapa final'!$L$30="Moderado"),CONCATENATE("R",'Mapa final'!$A$30),"")</f>
        <v>R4</v>
      </c>
      <c r="W32" s="353"/>
      <c r="X32" s="353" t="str">
        <f ca="1">IF(AND('Mapa final'!$H$36="Baja",'Mapa final'!$L$36="Moderado"),CONCATENATE("R",'Mapa final'!$A$36),"")</f>
        <v/>
      </c>
      <c r="Y32" s="353"/>
      <c r="Z32" s="353" t="str">
        <f ca="1">IF(AND('Mapa final'!$H$42="Baja",'Mapa final'!$L$42="Moderado"),CONCATENATE("R",'Mapa final'!$A$42),"")</f>
        <v/>
      </c>
      <c r="AA32" s="356"/>
      <c r="AB32" s="336" t="str">
        <f ca="1">IF(AND('Mapa final'!$H$30="Baja",'Mapa final'!$L$30="Mayor"),CONCATENATE("R",'Mapa final'!$A$30),"")</f>
        <v/>
      </c>
      <c r="AC32" s="332"/>
      <c r="AD32" s="332" t="str">
        <f ca="1">IF(AND('Mapa final'!$H$36="Baja",'Mapa final'!$L$36="Mayor"),CONCATENATE("R",'Mapa final'!$A$36),"")</f>
        <v/>
      </c>
      <c r="AE32" s="332"/>
      <c r="AF32" s="332" t="str">
        <f ca="1">IF(AND('Mapa final'!$H$42="Baja",'Mapa final'!$L$42="Mayor"),CONCATENATE("R",'Mapa final'!$A$42),"")</f>
        <v/>
      </c>
      <c r="AG32" s="333"/>
      <c r="AH32" s="343" t="str">
        <f ca="1">IF(AND('Mapa final'!$H$30="Baja",'Mapa final'!$L$30="Catastrófico"),CONCATENATE("R",'Mapa final'!$A$30),"")</f>
        <v/>
      </c>
      <c r="AI32" s="344"/>
      <c r="AJ32" s="344" t="str">
        <f ca="1">IF(AND('Mapa final'!$H$36="Baja",'Mapa final'!$L$36="Catastrófico"),CONCATENATE("R",'Mapa final'!$A$36),"")</f>
        <v/>
      </c>
      <c r="AK32" s="344"/>
      <c r="AL32" s="344" t="str">
        <f ca="1">IF(AND('Mapa final'!$H$42="Baja",'Mapa final'!$L$42="Catastrófico"),CONCATENATE("R",'Mapa final'!$A$42),"")</f>
        <v/>
      </c>
      <c r="AM32" s="345"/>
      <c r="AN32" s="96"/>
      <c r="AO32" s="317"/>
      <c r="AP32" s="318"/>
      <c r="AQ32" s="318"/>
      <c r="AR32" s="318"/>
      <c r="AS32" s="318"/>
      <c r="AT32" s="319"/>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row>
    <row r="33" spans="1:80" x14ac:dyDescent="0.25">
      <c r="A33" s="96"/>
      <c r="B33" s="285"/>
      <c r="C33" s="285"/>
      <c r="D33" s="286"/>
      <c r="E33" s="326"/>
      <c r="F33" s="327"/>
      <c r="G33" s="327"/>
      <c r="H33" s="327"/>
      <c r="I33" s="327"/>
      <c r="J33" s="363"/>
      <c r="K33" s="361"/>
      <c r="L33" s="361"/>
      <c r="M33" s="361"/>
      <c r="N33" s="361"/>
      <c r="O33" s="362"/>
      <c r="P33" s="353"/>
      <c r="Q33" s="353"/>
      <c r="R33" s="353"/>
      <c r="S33" s="353"/>
      <c r="T33" s="353"/>
      <c r="U33" s="356"/>
      <c r="V33" s="352"/>
      <c r="W33" s="353"/>
      <c r="X33" s="353"/>
      <c r="Y33" s="353"/>
      <c r="Z33" s="353"/>
      <c r="AA33" s="356"/>
      <c r="AB33" s="336"/>
      <c r="AC33" s="332"/>
      <c r="AD33" s="332"/>
      <c r="AE33" s="332"/>
      <c r="AF33" s="332"/>
      <c r="AG33" s="333"/>
      <c r="AH33" s="343"/>
      <c r="AI33" s="344"/>
      <c r="AJ33" s="344"/>
      <c r="AK33" s="344"/>
      <c r="AL33" s="344"/>
      <c r="AM33" s="345"/>
      <c r="AN33" s="96"/>
      <c r="AO33" s="317"/>
      <c r="AP33" s="318"/>
      <c r="AQ33" s="318"/>
      <c r="AR33" s="318"/>
      <c r="AS33" s="318"/>
      <c r="AT33" s="319"/>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row>
    <row r="34" spans="1:80" ht="15" customHeight="1" x14ac:dyDescent="0.25">
      <c r="A34" s="96"/>
      <c r="B34" s="285"/>
      <c r="C34" s="285"/>
      <c r="D34" s="286"/>
      <c r="E34" s="326"/>
      <c r="F34" s="327"/>
      <c r="G34" s="327"/>
      <c r="H34" s="327"/>
      <c r="I34" s="327"/>
      <c r="J34" s="363" t="str">
        <f>IF(AND('Mapa final'!$H$48="Baja",'Mapa final'!$L$48="Leve"),CONCATENATE("R",'Mapa final'!$A$48),"")</f>
        <v/>
      </c>
      <c r="K34" s="361"/>
      <c r="L34" s="361" t="str">
        <f ca="1">IF(AND('Mapa final'!$H$54="Baja",'Mapa final'!$L$54="Leve"),CONCATENATE("R",'Mapa final'!$A$54),"")</f>
        <v/>
      </c>
      <c r="M34" s="361"/>
      <c r="N34" s="361" t="str">
        <f ca="1">IF(AND('Mapa final'!$H$60="Baja",'Mapa final'!$L$60="Leve"),CONCATENATE("R",'Mapa final'!$A$60),"")</f>
        <v/>
      </c>
      <c r="O34" s="362"/>
      <c r="P34" s="353" t="str">
        <f>IF(AND('Mapa final'!$H$48="Baja",'Mapa final'!$L$48="Menor"),CONCATENATE("R",'Mapa final'!$A$48),"")</f>
        <v/>
      </c>
      <c r="Q34" s="353"/>
      <c r="R34" s="353" t="str">
        <f ca="1">IF(AND('Mapa final'!$H$54="Baja",'Mapa final'!$L$54="Menor"),CONCATENATE("R",'Mapa final'!$A$54),"")</f>
        <v/>
      </c>
      <c r="S34" s="353"/>
      <c r="T34" s="353" t="str">
        <f ca="1">IF(AND('Mapa final'!$H$54="Baja",'Mapa final'!$L$54="Menor"),CONCATENATE("R",'Mapa final'!$A$54),"")</f>
        <v/>
      </c>
      <c r="U34" s="353"/>
      <c r="V34" s="352" t="str">
        <f>IF(AND('Mapa final'!$H$48="Baja",'Mapa final'!$L$48="Moderado"),CONCATENATE("R",'Mapa final'!$A$48),"")</f>
        <v/>
      </c>
      <c r="W34" s="353"/>
      <c r="X34" s="353" t="str">
        <f ca="1">IF(AND('Mapa final'!$H$54="Baja",'Mapa final'!$L$54="Moderado"),CONCATENATE("R",'Mapa final'!$A$54),"")</f>
        <v/>
      </c>
      <c r="Y34" s="353"/>
      <c r="Z34" s="353" t="str">
        <f ca="1">IF(AND('Mapa final'!$H$60="Baja",'Mapa final'!$L$60="Moderado"),CONCATENATE("R",'Mapa final'!$A$60),"")</f>
        <v>R8</v>
      </c>
      <c r="AA34" s="353"/>
      <c r="AB34" s="336" t="str">
        <f>IF(AND('Mapa final'!$H$48="Baja",'Mapa final'!$L$48="Mayor"),CONCATENATE("R",'Mapa final'!$A$48),"")</f>
        <v/>
      </c>
      <c r="AC34" s="332"/>
      <c r="AD34" s="332" t="str">
        <f ca="1">IF(AND('Mapa final'!$H$54="Baja",'Mapa final'!$L$54="Mayor"),CONCATENATE("R",'Mapa final'!$A$54),"")</f>
        <v/>
      </c>
      <c r="AE34" s="332"/>
      <c r="AF34" s="332" t="str">
        <f ca="1">IF(AND('Mapa final'!$H$60="Baja",'Mapa final'!$L$60="Mayor"),CONCATENATE("R",'Mapa final'!$A$60),"")</f>
        <v/>
      </c>
      <c r="AG34" s="332"/>
      <c r="AH34" s="343" t="str">
        <f>IF(AND('Mapa final'!$H$48="Baja",'Mapa final'!$L$48="Catastrófico"),CONCATENATE("R",'Mapa final'!$A$48),"")</f>
        <v/>
      </c>
      <c r="AI34" s="344"/>
      <c r="AJ34" s="344" t="str">
        <f ca="1">IF(AND('Mapa final'!$H$54="Baja",'Mapa final'!$L$54="Catastrófico"),CONCATENATE("R",'Mapa final'!$A$54),"")</f>
        <v/>
      </c>
      <c r="AK34" s="344"/>
      <c r="AL34" s="344" t="str">
        <f ca="1">IF(AND('Mapa final'!$H$60="Baja",'Mapa final'!$L$60="Catastrófico"),CONCATENATE("R",'Mapa final'!$A$60),"")</f>
        <v/>
      </c>
      <c r="AM34" s="345"/>
      <c r="AN34" s="96"/>
      <c r="AO34" s="317"/>
      <c r="AP34" s="318"/>
      <c r="AQ34" s="318"/>
      <c r="AR34" s="318"/>
      <c r="AS34" s="318"/>
      <c r="AT34" s="319"/>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row>
    <row r="35" spans="1:80" ht="15" customHeight="1" x14ac:dyDescent="0.25">
      <c r="A35" s="96"/>
      <c r="B35" s="285"/>
      <c r="C35" s="285"/>
      <c r="D35" s="286"/>
      <c r="E35" s="326"/>
      <c r="F35" s="327"/>
      <c r="G35" s="327"/>
      <c r="H35" s="327"/>
      <c r="I35" s="327"/>
      <c r="J35" s="363"/>
      <c r="K35" s="361"/>
      <c r="L35" s="361"/>
      <c r="M35" s="361"/>
      <c r="N35" s="361"/>
      <c r="O35" s="362"/>
      <c r="P35" s="353"/>
      <c r="Q35" s="353"/>
      <c r="R35" s="353"/>
      <c r="S35" s="353"/>
      <c r="T35" s="353"/>
      <c r="U35" s="353"/>
      <c r="V35" s="352"/>
      <c r="W35" s="353"/>
      <c r="X35" s="353"/>
      <c r="Y35" s="353"/>
      <c r="Z35" s="353"/>
      <c r="AA35" s="353"/>
      <c r="AB35" s="336"/>
      <c r="AC35" s="332"/>
      <c r="AD35" s="332"/>
      <c r="AE35" s="332"/>
      <c r="AF35" s="332"/>
      <c r="AG35" s="332"/>
      <c r="AH35" s="343"/>
      <c r="AI35" s="344"/>
      <c r="AJ35" s="344"/>
      <c r="AK35" s="344"/>
      <c r="AL35" s="344"/>
      <c r="AM35" s="345"/>
      <c r="AN35" s="96"/>
      <c r="AO35" s="317"/>
      <c r="AP35" s="318"/>
      <c r="AQ35" s="318"/>
      <c r="AR35" s="318"/>
      <c r="AS35" s="318"/>
      <c r="AT35" s="319"/>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row>
    <row r="36" spans="1:80" x14ac:dyDescent="0.25">
      <c r="A36" s="96"/>
      <c r="B36" s="285"/>
      <c r="C36" s="285"/>
      <c r="D36" s="286"/>
      <c r="E36" s="326"/>
      <c r="F36" s="327"/>
      <c r="G36" s="327"/>
      <c r="H36" s="327"/>
      <c r="I36" s="327"/>
      <c r="J36" s="363" t="str">
        <f ca="1">IF(AND('Mapa final'!$H$72="Baja",'Mapa final'!$L$72="Leve"),CONCATENATE("R",'Mapa final'!$A$72),"")</f>
        <v/>
      </c>
      <c r="K36" s="361"/>
      <c r="L36" s="361" t="str">
        <f>IF(AND('Mapa final'!$H$78="Baja",'Mapa final'!$L$78="Leve"),CONCATENATE("R",'Mapa final'!$A$78),"")</f>
        <v/>
      </c>
      <c r="M36" s="361"/>
      <c r="N36" s="361" t="str">
        <f>IF(AND('Mapa final'!$H$85="Baja",'Mapa final'!$L$85="Leve"),CONCATENATE("R",'Mapa final'!$A$85),"")</f>
        <v/>
      </c>
      <c r="O36" s="362"/>
      <c r="P36" s="353" t="str">
        <f ca="1">IF(AND('Mapa final'!$H$72="Baja",'Mapa final'!$L$72="Menor"),CONCATENATE("R",'Mapa final'!$A$72),"")</f>
        <v/>
      </c>
      <c r="Q36" s="353"/>
      <c r="R36" s="353" t="str">
        <f>IF(AND('Mapa final'!$H$78="Baja",'Mapa final'!$L$78="Menor"),CONCATENATE("R",'Mapa final'!$A$78),"")</f>
        <v/>
      </c>
      <c r="S36" s="353"/>
      <c r="T36" s="353" t="str">
        <f>IF(AND('Mapa final'!$H$85="Baja",'Mapa final'!$L$85="Menor"),CONCATENATE("R",'Mapa final'!$A$85),"")</f>
        <v/>
      </c>
      <c r="U36" s="356"/>
      <c r="V36" s="352" t="str">
        <f ca="1">IF(AND('Mapa final'!$H$72="Baja",'Mapa final'!$L$72="Moderado"),CONCATENATE("R",'Mapa final'!$A$72),"")</f>
        <v/>
      </c>
      <c r="W36" s="353"/>
      <c r="X36" s="353" t="str">
        <f>IF(AND('Mapa final'!$H$78="Baja",'Mapa final'!$L$78="Moderado"),CONCATENATE("R",'Mapa final'!$A$78),"")</f>
        <v/>
      </c>
      <c r="Y36" s="353"/>
      <c r="Z36" s="353" t="str">
        <f>IF(AND('Mapa final'!$H$85="Baja",'Mapa final'!$L$85="Moderado"),CONCATENATE("R",'Mapa final'!$A$85),"")</f>
        <v/>
      </c>
      <c r="AA36" s="356"/>
      <c r="AB36" s="336" t="str">
        <f ca="1">IF(AND('Mapa final'!$H$72="Baja",'Mapa final'!$L$72="Mayor"),CONCATENATE("R",'Mapa final'!$A$72),"")</f>
        <v/>
      </c>
      <c r="AC36" s="332"/>
      <c r="AD36" s="332" t="str">
        <f>IF(AND('Mapa final'!$H$78="Baja",'Mapa final'!$L$78="Mayor"),CONCATENATE("R",'Mapa final'!$A$78),"")</f>
        <v/>
      </c>
      <c r="AE36" s="332"/>
      <c r="AF36" s="332" t="str">
        <f>IF(AND('Mapa final'!$H$85="Baja",'Mapa final'!$L$85="Mayor"),CONCATENATE("R",'Mapa final'!$A$85),"")</f>
        <v/>
      </c>
      <c r="AG36" s="333"/>
      <c r="AH36" s="343" t="str">
        <f ca="1">IF(AND('Mapa final'!$H$72="Baja",'Mapa final'!$L$72="Catastrófico"),CONCATENATE("R",'Mapa final'!$A$72),"")</f>
        <v/>
      </c>
      <c r="AI36" s="344"/>
      <c r="AJ36" s="344" t="str">
        <f>IF(AND('Mapa final'!$H$78="Baja",'Mapa final'!$L$78="Catastrófico"),CONCATENATE("R",'Mapa final'!$A$78),"")</f>
        <v/>
      </c>
      <c r="AK36" s="344"/>
      <c r="AL36" s="344" t="str">
        <f>IF(AND('Mapa final'!$H$85="Baja",'Mapa final'!$L$85="Catastrófico"),CONCATENATE("R",'Mapa final'!$A$85),"")</f>
        <v/>
      </c>
      <c r="AM36" s="345"/>
      <c r="AN36" s="96"/>
      <c r="AO36" s="317"/>
      <c r="AP36" s="318"/>
      <c r="AQ36" s="318"/>
      <c r="AR36" s="318"/>
      <c r="AS36" s="318"/>
      <c r="AT36" s="319"/>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row>
    <row r="37" spans="1:80" ht="15.75" thickBot="1" x14ac:dyDescent="0.3">
      <c r="A37" s="96"/>
      <c r="B37" s="285"/>
      <c r="C37" s="285"/>
      <c r="D37" s="286"/>
      <c r="E37" s="329"/>
      <c r="F37" s="330"/>
      <c r="G37" s="330"/>
      <c r="H37" s="330"/>
      <c r="I37" s="330"/>
      <c r="J37" s="364"/>
      <c r="K37" s="365"/>
      <c r="L37" s="365"/>
      <c r="M37" s="365"/>
      <c r="N37" s="365"/>
      <c r="O37" s="366"/>
      <c r="P37" s="355"/>
      <c r="Q37" s="355"/>
      <c r="R37" s="355"/>
      <c r="S37" s="355"/>
      <c r="T37" s="355"/>
      <c r="U37" s="357"/>
      <c r="V37" s="354"/>
      <c r="W37" s="355"/>
      <c r="X37" s="355"/>
      <c r="Y37" s="355"/>
      <c r="Z37" s="355"/>
      <c r="AA37" s="357"/>
      <c r="AB37" s="340"/>
      <c r="AC37" s="341"/>
      <c r="AD37" s="341"/>
      <c r="AE37" s="341"/>
      <c r="AF37" s="341"/>
      <c r="AG37" s="342"/>
      <c r="AH37" s="346"/>
      <c r="AI37" s="347"/>
      <c r="AJ37" s="347"/>
      <c r="AK37" s="347"/>
      <c r="AL37" s="347"/>
      <c r="AM37" s="348"/>
      <c r="AN37" s="96"/>
      <c r="AO37" s="320"/>
      <c r="AP37" s="321"/>
      <c r="AQ37" s="321"/>
      <c r="AR37" s="321"/>
      <c r="AS37" s="321"/>
      <c r="AT37" s="322"/>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row>
    <row r="38" spans="1:80" x14ac:dyDescent="0.25">
      <c r="A38" s="96"/>
      <c r="B38" s="285"/>
      <c r="C38" s="285"/>
      <c r="D38" s="286"/>
      <c r="E38" s="323" t="s">
        <v>113</v>
      </c>
      <c r="F38" s="324"/>
      <c r="G38" s="324"/>
      <c r="H38" s="324"/>
      <c r="I38" s="325"/>
      <c r="J38" s="367" t="str">
        <f>IF(AND('Mapa final'!$H$12="Muy Baja",'Mapa final'!$L$12="Leve"),CONCATENATE("R",'Mapa final'!$A$12),"")</f>
        <v/>
      </c>
      <c r="K38" s="368"/>
      <c r="L38" s="368" t="str">
        <f ca="1">IF(AND('Mapa final'!$H$18="Muy Baja",'Mapa final'!$L$18="Leve"),CONCATENATE("R",'Mapa final'!$A$18),"")</f>
        <v/>
      </c>
      <c r="M38" s="368"/>
      <c r="N38" s="368" t="str">
        <f ca="1">IF(AND('Mapa final'!$H$24="Muy Baja",'Mapa final'!$L$24="Leve"),CONCATENATE("R",'Mapa final'!$A$24),"")</f>
        <v/>
      </c>
      <c r="O38" s="369"/>
      <c r="P38" s="367" t="str">
        <f>IF(AND('Mapa final'!$H$12="Muy Baja",'Mapa final'!$L$12="Menor"),CONCATENATE("R",'Mapa final'!$A$12),"")</f>
        <v/>
      </c>
      <c r="Q38" s="368"/>
      <c r="R38" s="368" t="str">
        <f ca="1">IF(AND('Mapa final'!$H$18="Muy Baja",'Mapa final'!$L$18="Menor"),CONCATENATE("R",'Mapa final'!$A$18),"")</f>
        <v/>
      </c>
      <c r="S38" s="368"/>
      <c r="T38" s="368" t="str">
        <f ca="1">IF(AND('Mapa final'!$H$24="Muy Baja",'Mapa final'!$L$24="Menor"),CONCATENATE("R",'Mapa final'!$A$24),"")</f>
        <v/>
      </c>
      <c r="U38" s="369"/>
      <c r="V38" s="358" t="str">
        <f>IF(AND('Mapa final'!$H$12="Muy Baja",'Mapa final'!$L$12="Moderado"),CONCATENATE("R",'Mapa final'!$A$12),"")</f>
        <v/>
      </c>
      <c r="W38" s="359"/>
      <c r="X38" s="359" t="str">
        <f ca="1">IF(AND('Mapa final'!$H$18="Muy Baja",'Mapa final'!$L$18="Moderado"),CONCATENATE("R",'Mapa final'!$A$18),"")</f>
        <v>R2</v>
      </c>
      <c r="Y38" s="359"/>
      <c r="Z38" s="359" t="str">
        <f ca="1">IF(AND('Mapa final'!$H$24="Muy Baja",'Mapa final'!$L$24="Moderado"),CONCATENATE("R",'Mapa final'!$A$24),"")</f>
        <v/>
      </c>
      <c r="AA38" s="360"/>
      <c r="AB38" s="334" t="str">
        <f>IF(AND('Mapa final'!$H$12="Muy Baja",'Mapa final'!$L$12="Mayor"),CONCATENATE("R",'Mapa final'!$A$12),"")</f>
        <v/>
      </c>
      <c r="AC38" s="335"/>
      <c r="AD38" s="335" t="str">
        <f ca="1">IF(AND('Mapa final'!$H$18="Muy Baja",'Mapa final'!$L$18="Mayor"),CONCATENATE("R",'Mapa final'!$A$18),"")</f>
        <v/>
      </c>
      <c r="AE38" s="335"/>
      <c r="AF38" s="335" t="str">
        <f ca="1">IF(AND('Mapa final'!$H$24="Muy Baja",'Mapa final'!$L$24="Mayor"),CONCATENATE("R",'Mapa final'!$A$24),"")</f>
        <v/>
      </c>
      <c r="AG38" s="337"/>
      <c r="AH38" s="349" t="str">
        <f>IF(AND('Mapa final'!$H$12="Muy Baja",'Mapa final'!$L$12="Catastrófico"),CONCATENATE("R",'Mapa final'!$A$12),"")</f>
        <v/>
      </c>
      <c r="AI38" s="350"/>
      <c r="AJ38" s="350" t="str">
        <f ca="1">IF(AND('Mapa final'!$H$18="Muy Baja",'Mapa final'!$L$18="Catastrófico"),CONCATENATE("R",'Mapa final'!$A$18),"")</f>
        <v/>
      </c>
      <c r="AK38" s="350"/>
      <c r="AL38" s="350" t="str">
        <f ca="1">IF(AND('Mapa final'!$H$24="Muy Baja",'Mapa final'!$L$24="Catastrófico"),CONCATENATE("R",'Mapa final'!$A$24),"")</f>
        <v/>
      </c>
      <c r="AM38" s="351"/>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row>
    <row r="39" spans="1:80" x14ac:dyDescent="0.25">
      <c r="A39" s="96"/>
      <c r="B39" s="285"/>
      <c r="C39" s="285"/>
      <c r="D39" s="286"/>
      <c r="E39" s="326"/>
      <c r="F39" s="327"/>
      <c r="G39" s="327"/>
      <c r="H39" s="327"/>
      <c r="I39" s="328"/>
      <c r="J39" s="363"/>
      <c r="K39" s="361"/>
      <c r="L39" s="361"/>
      <c r="M39" s="361"/>
      <c r="N39" s="361"/>
      <c r="O39" s="362"/>
      <c r="P39" s="363"/>
      <c r="Q39" s="361"/>
      <c r="R39" s="361"/>
      <c r="S39" s="361"/>
      <c r="T39" s="361"/>
      <c r="U39" s="362"/>
      <c r="V39" s="352"/>
      <c r="W39" s="353"/>
      <c r="X39" s="353"/>
      <c r="Y39" s="353"/>
      <c r="Z39" s="353"/>
      <c r="AA39" s="356"/>
      <c r="AB39" s="336"/>
      <c r="AC39" s="332"/>
      <c r="AD39" s="332"/>
      <c r="AE39" s="332"/>
      <c r="AF39" s="332"/>
      <c r="AG39" s="333"/>
      <c r="AH39" s="343"/>
      <c r="AI39" s="344"/>
      <c r="AJ39" s="344"/>
      <c r="AK39" s="344"/>
      <c r="AL39" s="344"/>
      <c r="AM39" s="345"/>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row>
    <row r="40" spans="1:80" x14ac:dyDescent="0.25">
      <c r="A40" s="96"/>
      <c r="B40" s="285"/>
      <c r="C40" s="285"/>
      <c r="D40" s="286"/>
      <c r="E40" s="326"/>
      <c r="F40" s="327"/>
      <c r="G40" s="327"/>
      <c r="H40" s="327"/>
      <c r="I40" s="328"/>
      <c r="J40" s="363" t="str">
        <f ca="1">IF(AND('Mapa final'!$H$30="Muy Baja",'Mapa final'!$L$30="Leve"),CONCATENATE("R",'Mapa final'!$A$30),"")</f>
        <v/>
      </c>
      <c r="K40" s="361"/>
      <c r="L40" s="361" t="str">
        <f ca="1">IF(AND('Mapa final'!$H$36="Muy Baja",'Mapa final'!$L$36="Leve"),CONCATENATE("R",'Mapa final'!$A$36),"")</f>
        <v/>
      </c>
      <c r="M40" s="361"/>
      <c r="N40" s="361" t="str">
        <f ca="1">IF(AND('Mapa final'!$H$42="Muy Baja",'Mapa final'!$L$42="Leve"),CONCATENATE("R",'Mapa final'!$A$42),"")</f>
        <v/>
      </c>
      <c r="O40" s="362"/>
      <c r="P40" s="363" t="str">
        <f ca="1">IF(AND('Mapa final'!$H$30="Muy Baja",'Mapa final'!$L$30="Menor"),CONCATENATE("R",'Mapa final'!$A$30),"")</f>
        <v/>
      </c>
      <c r="Q40" s="361"/>
      <c r="R40" s="361" t="str">
        <f ca="1">IF(AND('Mapa final'!$H$36="Muy Baja",'Mapa final'!$L$36="Menor"),CONCATENATE("R",'Mapa final'!$A$36),"")</f>
        <v/>
      </c>
      <c r="S40" s="361"/>
      <c r="T40" s="361" t="str">
        <f ca="1">IF(AND('Mapa final'!$H$42="Muy Baja",'Mapa final'!$L$42="Menor"),CONCATENATE("R",'Mapa final'!$A$42),"")</f>
        <v/>
      </c>
      <c r="U40" s="362"/>
      <c r="V40" s="352" t="str">
        <f ca="1">IF(AND('Mapa final'!$H$30="Muy Baja",'Mapa final'!$L$30="Moderado"),CONCATENATE("R",'Mapa final'!$A$30),"")</f>
        <v/>
      </c>
      <c r="W40" s="353"/>
      <c r="X40" s="353" t="str">
        <f ca="1">IF(AND('Mapa final'!$H$36="Muy Baja",'Mapa final'!$L$36="Moderado"),CONCATENATE("R",'Mapa final'!$A$36),"")</f>
        <v/>
      </c>
      <c r="Y40" s="353"/>
      <c r="Z40" s="353" t="str">
        <f ca="1">IF(AND('Mapa final'!$H$42="Muy Baja",'Mapa final'!$L$42="Moderado"),CONCATENATE("R",'Mapa final'!$A$42),"")</f>
        <v>R5</v>
      </c>
      <c r="AA40" s="356"/>
      <c r="AB40" s="336" t="str">
        <f ca="1">IF(AND('Mapa final'!$H$30="Muy Baja",'Mapa final'!$L$30="Mayor"),CONCATENATE("R",'Mapa final'!$A$30),"")</f>
        <v/>
      </c>
      <c r="AC40" s="332"/>
      <c r="AD40" s="332" t="str">
        <f ca="1">IF(AND('Mapa final'!$H$36="Muy Baja",'Mapa final'!$L$36="Mayor"),CONCATENATE("R",'Mapa final'!$A$36),"")</f>
        <v/>
      </c>
      <c r="AE40" s="332"/>
      <c r="AF40" s="332" t="str">
        <f ca="1">IF(AND('Mapa final'!$H$42="Muy Baja",'Mapa final'!$L$42="Mayor"),CONCATENATE("R",'Mapa final'!$A$42),"")</f>
        <v/>
      </c>
      <c r="AG40" s="333"/>
      <c r="AH40" s="343" t="str">
        <f ca="1">IF(AND('Mapa final'!$H$30="Muy Baja",'Mapa final'!$L$30="Catastrófico"),CONCATENATE("R",'Mapa final'!$A$30),"")</f>
        <v/>
      </c>
      <c r="AI40" s="344"/>
      <c r="AJ40" s="344" t="str">
        <f ca="1">IF(AND('Mapa final'!$H$36="Muy Baja",'Mapa final'!$L$36="Catastrófico"),CONCATENATE("R",'Mapa final'!$A$36),"")</f>
        <v/>
      </c>
      <c r="AK40" s="344"/>
      <c r="AL40" s="344" t="str">
        <f ca="1">IF(AND('Mapa final'!$H$42="Muy Baja",'Mapa final'!$L$42="Catastrófico"),CONCATENATE("R",'Mapa final'!$A$42),"")</f>
        <v/>
      </c>
      <c r="AM40" s="345"/>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row>
    <row r="41" spans="1:80" x14ac:dyDescent="0.25">
      <c r="A41" s="96"/>
      <c r="B41" s="285"/>
      <c r="C41" s="285"/>
      <c r="D41" s="286"/>
      <c r="E41" s="326"/>
      <c r="F41" s="327"/>
      <c r="G41" s="327"/>
      <c r="H41" s="327"/>
      <c r="I41" s="328"/>
      <c r="J41" s="363"/>
      <c r="K41" s="361"/>
      <c r="L41" s="361"/>
      <c r="M41" s="361"/>
      <c r="N41" s="361"/>
      <c r="O41" s="362"/>
      <c r="P41" s="363"/>
      <c r="Q41" s="361"/>
      <c r="R41" s="361"/>
      <c r="S41" s="361"/>
      <c r="T41" s="361"/>
      <c r="U41" s="362"/>
      <c r="V41" s="352"/>
      <c r="W41" s="353"/>
      <c r="X41" s="353"/>
      <c r="Y41" s="353"/>
      <c r="Z41" s="353"/>
      <c r="AA41" s="356"/>
      <c r="AB41" s="336"/>
      <c r="AC41" s="332"/>
      <c r="AD41" s="332"/>
      <c r="AE41" s="332"/>
      <c r="AF41" s="332"/>
      <c r="AG41" s="333"/>
      <c r="AH41" s="343"/>
      <c r="AI41" s="344"/>
      <c r="AJ41" s="344"/>
      <c r="AK41" s="344"/>
      <c r="AL41" s="344"/>
      <c r="AM41" s="345"/>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row>
    <row r="42" spans="1:80" ht="15" customHeight="1" x14ac:dyDescent="0.25">
      <c r="A42" s="96"/>
      <c r="B42" s="285"/>
      <c r="C42" s="285"/>
      <c r="D42" s="286"/>
      <c r="E42" s="326"/>
      <c r="F42" s="327"/>
      <c r="G42" s="327"/>
      <c r="H42" s="327"/>
      <c r="I42" s="328"/>
      <c r="J42" s="363" t="str">
        <f>IF(AND('Mapa final'!$H$48="Muy Baja",'Mapa final'!$L$48="Leve"),CONCATENATE("R",'Mapa final'!$A$48),"")</f>
        <v/>
      </c>
      <c r="K42" s="361"/>
      <c r="L42" s="361" t="str">
        <f ca="1">IF(AND('Mapa final'!$H$54="Muy Baja",'Mapa final'!$L$54="Leve"),CONCATENATE("R",'Mapa final'!$A$54),"")</f>
        <v/>
      </c>
      <c r="M42" s="361"/>
      <c r="N42" s="361" t="str">
        <f ca="1">IF(AND('Mapa final'!$H$60="Muy Baja",'Mapa final'!$L$60="Leve"),CONCATENATE("R",'Mapa final'!$A$60),"")</f>
        <v/>
      </c>
      <c r="O42" s="361"/>
      <c r="P42" s="363" t="str">
        <f>IF(AND('Mapa final'!$H$48="Muy Baja",'Mapa final'!$L$48="Menor"),CONCATENATE("R",'Mapa final'!$A$48),"")</f>
        <v/>
      </c>
      <c r="Q42" s="361"/>
      <c r="R42" s="361" t="str">
        <f ca="1">IF(AND('Mapa final'!$H$54="Muy Baja",'Mapa final'!$L$54="Menor"),CONCATENATE("R",'Mapa final'!$A$54),"")</f>
        <v/>
      </c>
      <c r="S42" s="361"/>
      <c r="T42" s="361" t="str">
        <f ca="1">IF(AND('Mapa final'!$H$60="Muy Baja",'Mapa final'!$L$60="Menor"),CONCATENATE("R",'Mapa final'!$A$60),"")</f>
        <v/>
      </c>
      <c r="U42" s="361"/>
      <c r="V42" s="352" t="str">
        <f>IF(AND('Mapa final'!$H$48="Muy Baja",'Mapa final'!$L$48="Moderado"),CONCATENATE("R",'Mapa final'!$A$48),"")</f>
        <v/>
      </c>
      <c r="W42" s="353"/>
      <c r="X42" s="353" t="str">
        <f ca="1">IF(AND('Mapa final'!$H$54="Muy Baja",'Mapa final'!$L$54="Moderado"),CONCATENATE("R",'Mapa final'!$A$54),"")</f>
        <v/>
      </c>
      <c r="Y42" s="353"/>
      <c r="Z42" s="353" t="str">
        <f ca="1">IF(AND('Mapa final'!$H$60="Muy Baja",'Mapa final'!$L$60="Moderado"),CONCATENATE("R",'Mapa final'!$A$60),"")</f>
        <v/>
      </c>
      <c r="AA42" s="353"/>
      <c r="AB42" s="336" t="str">
        <f>IF(AND('Mapa final'!$H$48="Muy Baja",'Mapa final'!$L$48="Mayor"),CONCATENATE("R",'Mapa final'!$A$48),"")</f>
        <v/>
      </c>
      <c r="AC42" s="332"/>
      <c r="AD42" s="332" t="str">
        <f ca="1">IF(AND('Mapa final'!$H$54="Muy Baja",'Mapa final'!$L$54="Mayor"),CONCATENATE("R",'Mapa final'!$A$54),"")</f>
        <v/>
      </c>
      <c r="AE42" s="332"/>
      <c r="AF42" s="332" t="str">
        <f ca="1">IF(AND('Mapa final'!$H$60="Muy Baja",'Mapa final'!$L$60="Mayor"),CONCATENATE("R",'Mapa final'!$A$60),"")</f>
        <v/>
      </c>
      <c r="AG42" s="332"/>
      <c r="AH42" s="343" t="str">
        <f>IF(AND('Mapa final'!$H$48="Muy Baja",'Mapa final'!$L$48="Catastrófico"),CONCATENATE("R",'Mapa final'!$A$48),"")</f>
        <v/>
      </c>
      <c r="AI42" s="344"/>
      <c r="AJ42" s="344" t="str">
        <f ca="1">IF(AND('Mapa final'!$H$54="Muy Baja",'Mapa final'!$L$54="Catastrófico"),CONCATENATE("R",'Mapa final'!$A$54),"")</f>
        <v/>
      </c>
      <c r="AK42" s="344"/>
      <c r="AL42" s="344" t="str">
        <f ca="1">IF(AND('Mapa final'!$H$60="Muy Baja",'Mapa final'!$L$60="Catastrófico"),CONCATENATE("R",'Mapa final'!$A$60),"")</f>
        <v/>
      </c>
      <c r="AM42" s="345"/>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row>
    <row r="43" spans="1:80" ht="15" customHeight="1" x14ac:dyDescent="0.25">
      <c r="A43" s="96"/>
      <c r="B43" s="285"/>
      <c r="C43" s="285"/>
      <c r="D43" s="286"/>
      <c r="E43" s="326"/>
      <c r="F43" s="327"/>
      <c r="G43" s="327"/>
      <c r="H43" s="327"/>
      <c r="I43" s="328"/>
      <c r="J43" s="363"/>
      <c r="K43" s="361"/>
      <c r="L43" s="361"/>
      <c r="M43" s="361"/>
      <c r="N43" s="361"/>
      <c r="O43" s="361"/>
      <c r="P43" s="363"/>
      <c r="Q43" s="361"/>
      <c r="R43" s="361"/>
      <c r="S43" s="361"/>
      <c r="T43" s="361"/>
      <c r="U43" s="361"/>
      <c r="V43" s="352"/>
      <c r="W43" s="353"/>
      <c r="X43" s="353"/>
      <c r="Y43" s="353"/>
      <c r="Z43" s="353"/>
      <c r="AA43" s="353"/>
      <c r="AB43" s="336"/>
      <c r="AC43" s="332"/>
      <c r="AD43" s="332"/>
      <c r="AE43" s="332"/>
      <c r="AF43" s="332"/>
      <c r="AG43" s="332"/>
      <c r="AH43" s="343"/>
      <c r="AI43" s="344"/>
      <c r="AJ43" s="344"/>
      <c r="AK43" s="344"/>
      <c r="AL43" s="344"/>
      <c r="AM43" s="345"/>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row>
    <row r="44" spans="1:80" x14ac:dyDescent="0.25">
      <c r="A44" s="96"/>
      <c r="B44" s="285"/>
      <c r="C44" s="285"/>
      <c r="D44" s="286"/>
      <c r="E44" s="326"/>
      <c r="F44" s="327"/>
      <c r="G44" s="327"/>
      <c r="H44" s="327"/>
      <c r="I44" s="328"/>
      <c r="J44" s="363" t="str">
        <f ca="1">IF(AND('Mapa final'!$H$72="Muy Baja",'Mapa final'!$L$72="Leve"),CONCATENATE("R",'Mapa final'!$A$72),"")</f>
        <v/>
      </c>
      <c r="K44" s="361"/>
      <c r="L44" s="361" t="str">
        <f>IF(AND('Mapa final'!$H$78="Muy Baja",'Mapa final'!$L$78="Leve"),CONCATENATE("R",'Mapa final'!$A$78),"")</f>
        <v/>
      </c>
      <c r="M44" s="361"/>
      <c r="N44" s="361" t="str">
        <f>IF(AND('Mapa final'!$H$85="Muy Baja",'Mapa final'!$L$85="Leve"),CONCATENATE("R",'Mapa final'!$A$85),"")</f>
        <v/>
      </c>
      <c r="O44" s="362"/>
      <c r="P44" s="363" t="str">
        <f ca="1">IF(AND('Mapa final'!$H$72="Muy Baja",'Mapa final'!$L$72="Menor"),CONCATENATE("R",'Mapa final'!$A$72),"")</f>
        <v/>
      </c>
      <c r="Q44" s="361"/>
      <c r="R44" s="361" t="str">
        <f>IF(AND('Mapa final'!$H$78="Muy Baja",'Mapa final'!$L$78="Menor"),CONCATENATE("R",'Mapa final'!$A$78),"")</f>
        <v/>
      </c>
      <c r="S44" s="361"/>
      <c r="T44" s="361" t="str">
        <f>IF(AND('Mapa final'!$H$85="Muy Baja",'Mapa final'!$L$85="Menor"),CONCATENATE("R",'Mapa final'!$A$85),"")</f>
        <v/>
      </c>
      <c r="U44" s="362"/>
      <c r="V44" s="352" t="str">
        <f ca="1">IF(AND('Mapa final'!$H$72="Muy Baja",'Mapa final'!$L$72="Moderado"),CONCATENATE("R",'Mapa final'!$A$72),"")</f>
        <v/>
      </c>
      <c r="W44" s="353"/>
      <c r="X44" s="353" t="str">
        <f>IF(AND('Mapa final'!$H$78="Muy Baja",'Mapa final'!$L$78="Moderado"),CONCATENATE("R",'Mapa final'!$A$78),"")</f>
        <v/>
      </c>
      <c r="Y44" s="353"/>
      <c r="Z44" s="353" t="str">
        <f>IF(AND('Mapa final'!$H$85="Muy Baja",'Mapa final'!$L$85="Moderado"),CONCATENATE("R",'Mapa final'!$A$85),"")</f>
        <v/>
      </c>
      <c r="AA44" s="356"/>
      <c r="AB44" s="336" t="str">
        <f ca="1">IF(AND('Mapa final'!$H$72="Muy Baja",'Mapa final'!$L$72="Mayor"),CONCATENATE("R",'Mapa final'!$A$72),"")</f>
        <v/>
      </c>
      <c r="AC44" s="332"/>
      <c r="AD44" s="332" t="str">
        <f>IF(AND('Mapa final'!$H$78="Muy Baja",'Mapa final'!$L$78="Mayor"),CONCATENATE("R",'Mapa final'!$A$78),"")</f>
        <v/>
      </c>
      <c r="AE44" s="332"/>
      <c r="AF44" s="332" t="str">
        <f>IF(AND('Mapa final'!$H$85="Muy Baja",'Mapa final'!$L$85="Mayor"),CONCATENATE("R",'Mapa final'!$A$85),"")</f>
        <v/>
      </c>
      <c r="AG44" s="333"/>
      <c r="AH44" s="343" t="str">
        <f ca="1">IF(AND('Mapa final'!$H$72="Muy Baja",'Mapa final'!$L$72="Catastrófico"),CONCATENATE("R",'Mapa final'!$A$72),"")</f>
        <v/>
      </c>
      <c r="AI44" s="344"/>
      <c r="AJ44" s="344" t="str">
        <f>IF(AND('Mapa final'!$H$78="Muy Baja",'Mapa final'!$L$78="Catastrófico"),CONCATENATE("R",'Mapa final'!$A$78),"")</f>
        <v/>
      </c>
      <c r="AK44" s="344"/>
      <c r="AL44" s="344" t="str">
        <f>IF(AND('Mapa final'!$H$85="Muy Baja",'Mapa final'!$L$85="Catastrófico"),CONCATENATE("R",'Mapa final'!$A$85),"")</f>
        <v/>
      </c>
      <c r="AM44" s="345"/>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row>
    <row r="45" spans="1:80" ht="15.75" thickBot="1" x14ac:dyDescent="0.3">
      <c r="A45" s="96"/>
      <c r="B45" s="285"/>
      <c r="C45" s="285"/>
      <c r="D45" s="286"/>
      <c r="E45" s="329"/>
      <c r="F45" s="330"/>
      <c r="G45" s="330"/>
      <c r="H45" s="330"/>
      <c r="I45" s="331"/>
      <c r="J45" s="364"/>
      <c r="K45" s="365"/>
      <c r="L45" s="365"/>
      <c r="M45" s="365"/>
      <c r="N45" s="365"/>
      <c r="O45" s="366"/>
      <c r="P45" s="364"/>
      <c r="Q45" s="365"/>
      <c r="R45" s="365"/>
      <c r="S45" s="365"/>
      <c r="T45" s="365"/>
      <c r="U45" s="366"/>
      <c r="V45" s="354"/>
      <c r="W45" s="355"/>
      <c r="X45" s="355"/>
      <c r="Y45" s="355"/>
      <c r="Z45" s="355"/>
      <c r="AA45" s="357"/>
      <c r="AB45" s="340"/>
      <c r="AC45" s="341"/>
      <c r="AD45" s="341"/>
      <c r="AE45" s="341"/>
      <c r="AF45" s="341"/>
      <c r="AG45" s="342"/>
      <c r="AH45" s="346"/>
      <c r="AI45" s="347"/>
      <c r="AJ45" s="347"/>
      <c r="AK45" s="347"/>
      <c r="AL45" s="347"/>
      <c r="AM45" s="348"/>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row>
    <row r="46" spans="1:80" x14ac:dyDescent="0.25">
      <c r="A46" s="96"/>
      <c r="B46" s="96"/>
      <c r="C46" s="96"/>
      <c r="D46" s="96"/>
      <c r="E46" s="96"/>
      <c r="F46" s="96"/>
      <c r="G46" s="96"/>
      <c r="H46" s="96"/>
      <c r="I46" s="96"/>
      <c r="J46" s="323" t="s">
        <v>112</v>
      </c>
      <c r="K46" s="324"/>
      <c r="L46" s="324"/>
      <c r="M46" s="324"/>
      <c r="N46" s="324"/>
      <c r="O46" s="325"/>
      <c r="P46" s="323" t="s">
        <v>111</v>
      </c>
      <c r="Q46" s="324"/>
      <c r="R46" s="324"/>
      <c r="S46" s="324"/>
      <c r="T46" s="324"/>
      <c r="U46" s="325"/>
      <c r="V46" s="323" t="s">
        <v>110</v>
      </c>
      <c r="W46" s="324"/>
      <c r="X46" s="324"/>
      <c r="Y46" s="324"/>
      <c r="Z46" s="324"/>
      <c r="AA46" s="325"/>
      <c r="AB46" s="323" t="s">
        <v>109</v>
      </c>
      <c r="AC46" s="339"/>
      <c r="AD46" s="324"/>
      <c r="AE46" s="324"/>
      <c r="AF46" s="324"/>
      <c r="AG46" s="325"/>
      <c r="AH46" s="323" t="s">
        <v>108</v>
      </c>
      <c r="AI46" s="324"/>
      <c r="AJ46" s="324"/>
      <c r="AK46" s="324"/>
      <c r="AL46" s="324"/>
      <c r="AM46" s="325"/>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row>
    <row r="47" spans="1:80" x14ac:dyDescent="0.25">
      <c r="A47" s="96"/>
      <c r="B47" s="96"/>
      <c r="C47" s="96"/>
      <c r="D47" s="96"/>
      <c r="E47" s="96"/>
      <c r="F47" s="96"/>
      <c r="G47" s="96"/>
      <c r="H47" s="96"/>
      <c r="I47" s="96"/>
      <c r="J47" s="326"/>
      <c r="K47" s="327"/>
      <c r="L47" s="327"/>
      <c r="M47" s="327"/>
      <c r="N47" s="327"/>
      <c r="O47" s="328"/>
      <c r="P47" s="326"/>
      <c r="Q47" s="327"/>
      <c r="R47" s="327"/>
      <c r="S47" s="327"/>
      <c r="T47" s="327"/>
      <c r="U47" s="328"/>
      <c r="V47" s="326"/>
      <c r="W47" s="327"/>
      <c r="X47" s="327"/>
      <c r="Y47" s="327"/>
      <c r="Z47" s="327"/>
      <c r="AA47" s="328"/>
      <c r="AB47" s="326"/>
      <c r="AC47" s="327"/>
      <c r="AD47" s="327"/>
      <c r="AE47" s="327"/>
      <c r="AF47" s="327"/>
      <c r="AG47" s="328"/>
      <c r="AH47" s="326"/>
      <c r="AI47" s="327"/>
      <c r="AJ47" s="327"/>
      <c r="AK47" s="327"/>
      <c r="AL47" s="327"/>
      <c r="AM47" s="328"/>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row>
    <row r="48" spans="1:80" x14ac:dyDescent="0.25">
      <c r="A48" s="96"/>
      <c r="B48" s="96"/>
      <c r="C48" s="96"/>
      <c r="D48" s="96"/>
      <c r="E48" s="96"/>
      <c r="F48" s="96"/>
      <c r="G48" s="96"/>
      <c r="H48" s="96"/>
      <c r="I48" s="96"/>
      <c r="J48" s="326"/>
      <c r="K48" s="327"/>
      <c r="L48" s="327"/>
      <c r="M48" s="327"/>
      <c r="N48" s="327"/>
      <c r="O48" s="328"/>
      <c r="P48" s="326"/>
      <c r="Q48" s="327"/>
      <c r="R48" s="327"/>
      <c r="S48" s="327"/>
      <c r="T48" s="327"/>
      <c r="U48" s="328"/>
      <c r="V48" s="326"/>
      <c r="W48" s="327"/>
      <c r="X48" s="327"/>
      <c r="Y48" s="327"/>
      <c r="Z48" s="327"/>
      <c r="AA48" s="328"/>
      <c r="AB48" s="326"/>
      <c r="AC48" s="327"/>
      <c r="AD48" s="327"/>
      <c r="AE48" s="327"/>
      <c r="AF48" s="327"/>
      <c r="AG48" s="328"/>
      <c r="AH48" s="326"/>
      <c r="AI48" s="327"/>
      <c r="AJ48" s="327"/>
      <c r="AK48" s="327"/>
      <c r="AL48" s="327"/>
      <c r="AM48" s="328"/>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row>
    <row r="49" spans="1:80" x14ac:dyDescent="0.25">
      <c r="A49" s="96"/>
      <c r="B49" s="96"/>
      <c r="C49" s="96"/>
      <c r="D49" s="96"/>
      <c r="E49" s="96"/>
      <c r="F49" s="96"/>
      <c r="G49" s="96"/>
      <c r="H49" s="96"/>
      <c r="I49" s="96"/>
      <c r="J49" s="326"/>
      <c r="K49" s="327"/>
      <c r="L49" s="327"/>
      <c r="M49" s="327"/>
      <c r="N49" s="327"/>
      <c r="O49" s="328"/>
      <c r="P49" s="326"/>
      <c r="Q49" s="327"/>
      <c r="R49" s="327"/>
      <c r="S49" s="327"/>
      <c r="T49" s="327"/>
      <c r="U49" s="328"/>
      <c r="V49" s="326"/>
      <c r="W49" s="327"/>
      <c r="X49" s="327"/>
      <c r="Y49" s="327"/>
      <c r="Z49" s="327"/>
      <c r="AA49" s="328"/>
      <c r="AB49" s="326"/>
      <c r="AC49" s="327"/>
      <c r="AD49" s="327"/>
      <c r="AE49" s="327"/>
      <c r="AF49" s="327"/>
      <c r="AG49" s="328"/>
      <c r="AH49" s="326"/>
      <c r="AI49" s="327"/>
      <c r="AJ49" s="327"/>
      <c r="AK49" s="327"/>
      <c r="AL49" s="327"/>
      <c r="AM49" s="328"/>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row>
    <row r="50" spans="1:80" x14ac:dyDescent="0.25">
      <c r="A50" s="96"/>
      <c r="B50" s="96"/>
      <c r="C50" s="96"/>
      <c r="D50" s="96"/>
      <c r="E50" s="96"/>
      <c r="F50" s="96"/>
      <c r="G50" s="96"/>
      <c r="H50" s="96"/>
      <c r="I50" s="96"/>
      <c r="J50" s="326"/>
      <c r="K50" s="327"/>
      <c r="L50" s="327"/>
      <c r="M50" s="327"/>
      <c r="N50" s="327"/>
      <c r="O50" s="328"/>
      <c r="P50" s="326"/>
      <c r="Q50" s="327"/>
      <c r="R50" s="327"/>
      <c r="S50" s="327"/>
      <c r="T50" s="327"/>
      <c r="U50" s="328"/>
      <c r="V50" s="326"/>
      <c r="W50" s="327"/>
      <c r="X50" s="327"/>
      <c r="Y50" s="327"/>
      <c r="Z50" s="327"/>
      <c r="AA50" s="328"/>
      <c r="AB50" s="326"/>
      <c r="AC50" s="327"/>
      <c r="AD50" s="327"/>
      <c r="AE50" s="327"/>
      <c r="AF50" s="327"/>
      <c r="AG50" s="328"/>
      <c r="AH50" s="326"/>
      <c r="AI50" s="327"/>
      <c r="AJ50" s="327"/>
      <c r="AK50" s="327"/>
      <c r="AL50" s="327"/>
      <c r="AM50" s="328"/>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row>
    <row r="51" spans="1:80" ht="15.75" thickBot="1" x14ac:dyDescent="0.3">
      <c r="A51" s="96"/>
      <c r="B51" s="96"/>
      <c r="C51" s="96"/>
      <c r="D51" s="96"/>
      <c r="E51" s="96"/>
      <c r="F51" s="96"/>
      <c r="G51" s="96"/>
      <c r="H51" s="96"/>
      <c r="I51" s="96"/>
      <c r="J51" s="329"/>
      <c r="K51" s="330"/>
      <c r="L51" s="330"/>
      <c r="M51" s="330"/>
      <c r="N51" s="330"/>
      <c r="O51" s="331"/>
      <c r="P51" s="329"/>
      <c r="Q51" s="330"/>
      <c r="R51" s="330"/>
      <c r="S51" s="330"/>
      <c r="T51" s="330"/>
      <c r="U51" s="331"/>
      <c r="V51" s="329"/>
      <c r="W51" s="330"/>
      <c r="X51" s="330"/>
      <c r="Y51" s="330"/>
      <c r="Z51" s="330"/>
      <c r="AA51" s="331"/>
      <c r="AB51" s="329"/>
      <c r="AC51" s="330"/>
      <c r="AD51" s="330"/>
      <c r="AE51" s="330"/>
      <c r="AF51" s="330"/>
      <c r="AG51" s="331"/>
      <c r="AH51" s="329"/>
      <c r="AI51" s="330"/>
      <c r="AJ51" s="330"/>
      <c r="AK51" s="330"/>
      <c r="AL51" s="330"/>
      <c r="AM51" s="331"/>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row>
    <row r="52" spans="1:80" x14ac:dyDescent="0.2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row>
    <row r="53" spans="1:80" ht="15" customHeight="1" x14ac:dyDescent="0.25">
      <c r="A53" s="96"/>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row>
    <row r="54" spans="1:80" ht="15" customHeight="1" x14ac:dyDescent="0.25">
      <c r="A54" s="96"/>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row>
    <row r="55" spans="1:80" x14ac:dyDescent="0.2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row>
    <row r="56" spans="1:80" x14ac:dyDescent="0.2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row>
    <row r="57" spans="1:80" x14ac:dyDescent="0.2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row>
    <row r="58" spans="1:80" x14ac:dyDescent="0.25">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row>
    <row r="59" spans="1:80" x14ac:dyDescent="0.2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row>
    <row r="60" spans="1:80" x14ac:dyDescent="0.2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row>
    <row r="61" spans="1:80" x14ac:dyDescent="0.2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row>
    <row r="62" spans="1:80" x14ac:dyDescent="0.2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row>
    <row r="63" spans="1:80" x14ac:dyDescent="0.2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row>
    <row r="64" spans="1:80" x14ac:dyDescent="0.2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row>
    <row r="65" spans="1:80"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row>
    <row r="66" spans="1:80" x14ac:dyDescent="0.2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row>
    <row r="67" spans="1:80" x14ac:dyDescent="0.2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row>
    <row r="68" spans="1:80" x14ac:dyDescent="0.2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row>
    <row r="69" spans="1:80" x14ac:dyDescent="0.2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row>
    <row r="70" spans="1:80" x14ac:dyDescent="0.2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row>
    <row r="71" spans="1:80" x14ac:dyDescent="0.2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row>
    <row r="72" spans="1:80" x14ac:dyDescent="0.2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row>
    <row r="73" spans="1:80" x14ac:dyDescent="0.2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row>
    <row r="74" spans="1:80" x14ac:dyDescent="0.2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row>
    <row r="75" spans="1:80" x14ac:dyDescent="0.2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row>
    <row r="76" spans="1:80" x14ac:dyDescent="0.2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row>
    <row r="77" spans="1:80" x14ac:dyDescent="0.2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row>
    <row r="78" spans="1:80"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row>
    <row r="79" spans="1:80" x14ac:dyDescent="0.2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row>
    <row r="80" spans="1:80" x14ac:dyDescent="0.2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row>
    <row r="81" spans="1:63" x14ac:dyDescent="0.2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row>
    <row r="82" spans="1:63" x14ac:dyDescent="0.2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row>
    <row r="83" spans="1:63" x14ac:dyDescent="0.2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row>
    <row r="84" spans="1:63" x14ac:dyDescent="0.2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row>
    <row r="85" spans="1:63" x14ac:dyDescent="0.2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row>
    <row r="86" spans="1:63" x14ac:dyDescent="0.2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row>
    <row r="87" spans="1:63" x14ac:dyDescent="0.2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row>
    <row r="88" spans="1:63" x14ac:dyDescent="0.2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row>
    <row r="89" spans="1:63" x14ac:dyDescent="0.2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row>
    <row r="90" spans="1:63" x14ac:dyDescent="0.2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row>
    <row r="91" spans="1:63" x14ac:dyDescent="0.2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row>
    <row r="92" spans="1:63" x14ac:dyDescent="0.2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row>
    <row r="93" spans="1:63" x14ac:dyDescent="0.2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row>
    <row r="94" spans="1:63" x14ac:dyDescent="0.2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row>
    <row r="95" spans="1:63" x14ac:dyDescent="0.2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row>
    <row r="96" spans="1:63" x14ac:dyDescent="0.2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row>
    <row r="97" spans="1:63" x14ac:dyDescent="0.2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row>
    <row r="98" spans="1:63" x14ac:dyDescent="0.2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row>
    <row r="99" spans="1:63" x14ac:dyDescent="0.2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row>
    <row r="100" spans="1:63" x14ac:dyDescent="0.2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row>
    <row r="101" spans="1:63" x14ac:dyDescent="0.2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row>
    <row r="102" spans="1:63" x14ac:dyDescent="0.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row>
    <row r="103" spans="1:63"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row>
    <row r="104" spans="1:63" x14ac:dyDescent="0.2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row>
    <row r="105" spans="1:63" x14ac:dyDescent="0.2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row>
    <row r="106" spans="1:63"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row>
    <row r="107" spans="1:63" x14ac:dyDescent="0.2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row>
    <row r="108" spans="1:63" x14ac:dyDescent="0.2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row>
    <row r="109" spans="1:63" x14ac:dyDescent="0.2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row>
    <row r="110" spans="1:63" x14ac:dyDescent="0.2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row>
    <row r="111" spans="1:63"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row>
    <row r="112" spans="1:63" x14ac:dyDescent="0.2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row>
    <row r="113" spans="1:63" x14ac:dyDescent="0.2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row>
    <row r="114" spans="1:63" x14ac:dyDescent="0.2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row>
    <row r="115" spans="1:63" x14ac:dyDescent="0.2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row>
    <row r="116" spans="1:63" x14ac:dyDescent="0.2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row>
    <row r="117" spans="1:63" x14ac:dyDescent="0.2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row>
    <row r="118" spans="1:63" x14ac:dyDescent="0.2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row>
    <row r="119" spans="1:63" x14ac:dyDescent="0.2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row>
    <row r="120" spans="1:63" x14ac:dyDescent="0.2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row>
    <row r="121" spans="1:63"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row>
    <row r="122" spans="1:63" x14ac:dyDescent="0.25">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row>
    <row r="123" spans="1:63" x14ac:dyDescent="0.25">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row>
    <row r="124" spans="1:63" x14ac:dyDescent="0.25">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row>
    <row r="125" spans="1:63" x14ac:dyDescent="0.25">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row>
    <row r="126" spans="1:63" x14ac:dyDescent="0.25">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row>
    <row r="127" spans="1:63" x14ac:dyDescent="0.25">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row>
    <row r="128" spans="1:63" x14ac:dyDescent="0.25">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row>
    <row r="129" spans="2:63" x14ac:dyDescent="0.25">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row>
    <row r="130" spans="2:63" x14ac:dyDescent="0.25">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row>
    <row r="131" spans="2:63" x14ac:dyDescent="0.25">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row>
    <row r="132" spans="2:63" x14ac:dyDescent="0.25">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row>
    <row r="133" spans="2:63" x14ac:dyDescent="0.25">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row>
    <row r="134" spans="2:63" x14ac:dyDescent="0.25">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row>
    <row r="135" spans="2:63" x14ac:dyDescent="0.25">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row>
    <row r="136" spans="2:63" x14ac:dyDescent="0.25">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row>
    <row r="137" spans="2:63" x14ac:dyDescent="0.25">
      <c r="B137" s="96"/>
      <c r="C137" s="96"/>
      <c r="D137" s="96"/>
      <c r="E137" s="96"/>
      <c r="F137" s="96"/>
      <c r="G137" s="96"/>
      <c r="H137" s="96"/>
      <c r="I137" s="96"/>
    </row>
    <row r="138" spans="2:63" x14ac:dyDescent="0.25">
      <c r="B138" s="96"/>
      <c r="C138" s="96"/>
      <c r="D138" s="96"/>
      <c r="E138" s="96"/>
      <c r="F138" s="96"/>
      <c r="G138" s="96"/>
      <c r="H138" s="96"/>
      <c r="I138" s="96"/>
    </row>
    <row r="139" spans="2:63" x14ac:dyDescent="0.25">
      <c r="B139" s="96"/>
      <c r="C139" s="96"/>
      <c r="D139" s="96"/>
      <c r="E139" s="96"/>
      <c r="F139" s="96"/>
      <c r="G139" s="96"/>
      <c r="H139" s="96"/>
      <c r="I139" s="96"/>
    </row>
    <row r="140" spans="2:63" x14ac:dyDescent="0.25">
      <c r="B140" s="96"/>
      <c r="C140" s="96"/>
      <c r="D140" s="96"/>
      <c r="E140" s="96"/>
      <c r="F140" s="96"/>
      <c r="G140" s="96"/>
      <c r="H140" s="96"/>
      <c r="I140" s="96"/>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51"/>
  <sheetViews>
    <sheetView topLeftCell="D1" zoomScale="50" zoomScaleNormal="50" workbookViewId="0">
      <selection activeCell="BB4" sqref="BB4"/>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10.2851562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row>
    <row r="2" spans="1:91" ht="18" customHeight="1" x14ac:dyDescent="0.25">
      <c r="A2" s="96"/>
      <c r="B2" s="396" t="s">
        <v>158</v>
      </c>
      <c r="C2" s="397"/>
      <c r="D2" s="397"/>
      <c r="E2" s="397"/>
      <c r="F2" s="397"/>
      <c r="G2" s="397"/>
      <c r="H2" s="397"/>
      <c r="I2" s="397"/>
      <c r="J2" s="338" t="s">
        <v>2</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row>
    <row r="3" spans="1:91" ht="18.75" customHeight="1" x14ac:dyDescent="0.25">
      <c r="A3" s="96"/>
      <c r="B3" s="397"/>
      <c r="C3" s="397"/>
      <c r="D3" s="397"/>
      <c r="E3" s="397"/>
      <c r="F3" s="397"/>
      <c r="G3" s="397"/>
      <c r="H3" s="397"/>
      <c r="I3" s="397"/>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row>
    <row r="4" spans="1:91" ht="15" customHeight="1" x14ac:dyDescent="0.25">
      <c r="A4" s="96"/>
      <c r="B4" s="397"/>
      <c r="C4" s="397"/>
      <c r="D4" s="397"/>
      <c r="E4" s="397"/>
      <c r="F4" s="397"/>
      <c r="G4" s="397"/>
      <c r="H4" s="397"/>
      <c r="I4" s="397"/>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row>
    <row r="5" spans="1:91" ht="15.75" thickBot="1" x14ac:dyDescent="0.3">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row>
    <row r="6" spans="1:91" ht="15" customHeight="1" x14ac:dyDescent="0.25">
      <c r="A6" s="96"/>
      <c r="B6" s="285" t="s">
        <v>4</v>
      </c>
      <c r="C6" s="285"/>
      <c r="D6" s="286"/>
      <c r="E6" s="380" t="s">
        <v>116</v>
      </c>
      <c r="F6" s="381"/>
      <c r="G6" s="381"/>
      <c r="H6" s="381"/>
      <c r="I6" s="398"/>
      <c r="J6" s="59" t="str">
        <f>IF(AND('Mapa final'!$Y$12="Muy Alta",'Mapa final'!$AA$12="Leve"),CONCATENATE("R1C",'Mapa final'!$O$12),"")</f>
        <v/>
      </c>
      <c r="K6" s="60" t="str">
        <f>IF(AND('Mapa final'!$Y$13="Muy Alta",'Mapa final'!$AA$13="Leve"),CONCATENATE("R1C",'Mapa final'!$O$13),"")</f>
        <v/>
      </c>
      <c r="L6" s="60" t="str">
        <f>IF(AND('Mapa final'!$Y$14="Muy Alta",'Mapa final'!$AA$14="Leve"),CONCATENATE("R1C",'Mapa final'!$O$14),"")</f>
        <v/>
      </c>
      <c r="M6" s="60" t="str">
        <f>IF(AND('Mapa final'!$Y$15="Muy Alta",'Mapa final'!$AA$15="Leve"),CONCATENATE("R1C",'Mapa final'!$O$15),"")</f>
        <v/>
      </c>
      <c r="N6" s="60" t="str">
        <f>IF(AND('Mapa final'!$Y$16="Muy Alta",'Mapa final'!$AA$16="Leve"),CONCATENATE("R1C",'Mapa final'!$O$16),"")</f>
        <v/>
      </c>
      <c r="O6" s="60" t="str">
        <f>IF(AND('Mapa final'!$Y$17="Muy Alta",'Mapa final'!$AA$17="Leve"),CONCATENATE("R1C",'Mapa final'!$O$17),"")</f>
        <v/>
      </c>
      <c r="P6" s="59" t="str">
        <f>IF(AND('Mapa final'!$Y$12="Muy Alta",'Mapa final'!$AA$12="Menor"),CONCATENATE("R1C",'Mapa final'!$O$12),"")</f>
        <v/>
      </c>
      <c r="Q6" s="60" t="str">
        <f>IF(AND('Mapa final'!$Y$13="Muy Alta",'Mapa final'!$AA$13="Menor"),CONCATENATE("R1C",'Mapa final'!$O$13),"")</f>
        <v/>
      </c>
      <c r="R6" s="60" t="str">
        <f>IF(AND('Mapa final'!$Y$14="Muy Alta",'Mapa final'!$AA$14="Menor"),CONCATENATE("R1C",'Mapa final'!$O$14),"")</f>
        <v/>
      </c>
      <c r="S6" s="60" t="str">
        <f>IF(AND('Mapa final'!$Y$15="Muy Alta",'Mapa final'!$AA$15="Menor"),CONCATENATE("R1C",'Mapa final'!$O$15),"")</f>
        <v/>
      </c>
      <c r="T6" s="60" t="str">
        <f>IF(AND('Mapa final'!$Y$16="Muy Alta",'Mapa final'!$AA$16="Menor"),CONCATENATE("R1C",'Mapa final'!$O$16),"")</f>
        <v/>
      </c>
      <c r="U6" s="61" t="str">
        <f>IF(AND('Mapa final'!$Y$17="Muy Alta",'Mapa final'!$AA$17="Menor"),CONCATENATE("R1C",'Mapa final'!$O$17),"")</f>
        <v/>
      </c>
      <c r="V6" s="60" t="str">
        <f>IF(AND('Mapa final'!$Y$12="Muy Alta",'Mapa final'!$AA$12="Moderado"),CONCATENATE("R1C",'Mapa final'!$O$12),"")</f>
        <v/>
      </c>
      <c r="W6" s="60" t="str">
        <f>IF(AND('Mapa final'!$Y$13="Muy Alta",'Mapa final'!$AA$13="Moderado"),CONCATENATE("R1C",'Mapa final'!$O$13),"")</f>
        <v/>
      </c>
      <c r="X6" s="60" t="str">
        <f>IF(AND('Mapa final'!$Y$14="Muy Alta",'Mapa final'!$AA$14="Moderado"),CONCATENATE("R1C",'Mapa final'!$O$14),"")</f>
        <v/>
      </c>
      <c r="Y6" s="60" t="str">
        <f>IF(AND('Mapa final'!$Y$15="Muy Alta",'Mapa final'!$AA$15="Moderado"),CONCATENATE("R1C",'Mapa final'!$O$15),"")</f>
        <v/>
      </c>
      <c r="Z6" s="60" t="str">
        <f>IF(AND('Mapa final'!$Y$16="Muy Alta",'Mapa final'!$AA$16="Moderado"),CONCATENATE("R1C",'Mapa final'!$O$16),"")</f>
        <v/>
      </c>
      <c r="AA6" s="60" t="str">
        <f>IF(AND('Mapa final'!$Y$17="Muy Alta",'Mapa final'!$AA$17="Moderado"),CONCATENATE("R1C",'Mapa final'!$O$17),"")</f>
        <v/>
      </c>
      <c r="AB6" s="59" t="str">
        <f>IF(AND('Mapa final'!$Y$12="Muy Alta",'Mapa final'!$AA$12="Mayor"),CONCATENATE("R1C",'Mapa final'!$O$12),"")</f>
        <v/>
      </c>
      <c r="AC6" s="60" t="str">
        <f>IF(AND('Mapa final'!$Y$13="Muy Alta",'Mapa final'!$AA$13="Mayor"),CONCATENATE("R1C",'Mapa final'!$O$13),"")</f>
        <v/>
      </c>
      <c r="AD6" s="60" t="str">
        <f>IF(AND('Mapa final'!$Y$14="Muy Alta",'Mapa final'!$AA$14="Mayor"),CONCATENATE("R1C",'Mapa final'!$O$14),"")</f>
        <v/>
      </c>
      <c r="AE6" s="60" t="str">
        <f>IF(AND('Mapa final'!$Y$15="Muy Alta",'Mapa final'!$AA$15="Mayor"),CONCATENATE("R1C",'Mapa final'!$O$15),"")</f>
        <v/>
      </c>
      <c r="AF6" s="60" t="str">
        <f>IF(AND('Mapa final'!$Y$16="Muy Alta",'Mapa final'!$AA$16="Mayor"),CONCATENATE("R1C",'Mapa final'!$O$16),"")</f>
        <v/>
      </c>
      <c r="AG6" s="61" t="str">
        <f>IF(AND('Mapa final'!$Y$17="Muy Alta",'Mapa final'!$AA$17="Mayor"),CONCATENATE("R1C",'Mapa final'!$O$17),"")</f>
        <v/>
      </c>
      <c r="AH6" s="62" t="str">
        <f>IF(AND('Mapa final'!$Y$12="Muy Alta",'Mapa final'!$AA$12="Catastrófico"),CONCATENATE("R1C",'Mapa final'!$O$12),"")</f>
        <v/>
      </c>
      <c r="AI6" s="63" t="str">
        <f>IF(AND('Mapa final'!$Y$13="Muy Alta",'Mapa final'!$AA$13="Catastrófico"),CONCATENATE("R1C",'Mapa final'!$O$13),"")</f>
        <v/>
      </c>
      <c r="AJ6" s="63" t="str">
        <f>IF(AND('Mapa final'!$Y$14="Muy Alta",'Mapa final'!$AA$14="Catastrófico"),CONCATENATE("R1C",'Mapa final'!$O$14),"")</f>
        <v/>
      </c>
      <c r="AK6" s="63" t="str">
        <f>IF(AND('Mapa final'!$Y$15="Muy Alta",'Mapa final'!$AA$15="Catastrófico"),CONCATENATE("R1C",'Mapa final'!$O$15),"")</f>
        <v/>
      </c>
      <c r="AL6" s="63" t="str">
        <f>IF(AND('Mapa final'!$Y$16="Muy Alta",'Mapa final'!$AA$16="Catastrófico"),CONCATENATE("R1C",'Mapa final'!$O$16),"")</f>
        <v/>
      </c>
      <c r="AM6" s="64" t="str">
        <f>IF(AND('Mapa final'!$Y$17="Muy Alta",'Mapa final'!$AA$17="Catastrófico"),CONCATENATE("R1C",'Mapa final'!$O$17),"")</f>
        <v/>
      </c>
      <c r="AN6" s="96"/>
      <c r="AO6" s="387" t="s">
        <v>79</v>
      </c>
      <c r="AP6" s="388"/>
      <c r="AQ6" s="388"/>
      <c r="AR6" s="388"/>
      <c r="AS6" s="388"/>
      <c r="AT6" s="389"/>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row>
    <row r="7" spans="1:91" ht="15" customHeight="1" x14ac:dyDescent="0.25">
      <c r="A7" s="96"/>
      <c r="B7" s="285"/>
      <c r="C7" s="285"/>
      <c r="D7" s="286"/>
      <c r="E7" s="384"/>
      <c r="F7" s="383"/>
      <c r="G7" s="383"/>
      <c r="H7" s="383"/>
      <c r="I7" s="399"/>
      <c r="J7" s="65" t="str">
        <f ca="1">IF(AND('Mapa final'!$Y$18="Muy Alta",'Mapa final'!$AA$18="Leve"),CONCATENATE("R2C",'Mapa final'!$O$18),"")</f>
        <v/>
      </c>
      <c r="K7" s="66" t="str">
        <f>IF(AND('Mapa final'!$Y$19="Muy Alta",'Mapa final'!$AA$19="Leve"),CONCATENATE("R2C",'Mapa final'!$O$19),"")</f>
        <v/>
      </c>
      <c r="L7" s="66" t="str">
        <f>IF(AND('Mapa final'!$Y$20="Muy Alta",'Mapa final'!$AA$20="Leve"),CONCATENATE("R2C",'Mapa final'!$O$20),"")</f>
        <v/>
      </c>
      <c r="M7" s="66" t="str">
        <f>IF(AND('Mapa final'!$Y$21="Muy Alta",'Mapa final'!$AA$21="Leve"),CONCATENATE("R2C",'Mapa final'!$O$21),"")</f>
        <v/>
      </c>
      <c r="N7" s="66" t="str">
        <f>IF(AND('Mapa final'!$Y$22="Muy Alta",'Mapa final'!$AA$22="Leve"),CONCATENATE("R2C",'Mapa final'!$O$22),"")</f>
        <v/>
      </c>
      <c r="O7" s="66" t="str">
        <f>IF(AND('Mapa final'!$Y$23="Muy Alta",'Mapa final'!$AA$23="Leve"),CONCATENATE("R2C",'Mapa final'!$O$23),"")</f>
        <v/>
      </c>
      <c r="P7" s="65" t="str">
        <f ca="1">IF(AND('Mapa final'!$Y$18="Muy Alta",'Mapa final'!$AA$18="Menor"),CONCATENATE("R2C",'Mapa final'!$O$18),"")</f>
        <v/>
      </c>
      <c r="Q7" s="66" t="str">
        <f>IF(AND('Mapa final'!$Y$19="Muy Alta",'Mapa final'!$AA$19="Menor"),CONCATENATE("R2C",'Mapa final'!$O$19),"")</f>
        <v/>
      </c>
      <c r="R7" s="66" t="str">
        <f>IF(AND('Mapa final'!$Y$20="Muy Alta",'Mapa final'!$AA$20="Menor"),CONCATENATE("R2C",'Mapa final'!$O$20),"")</f>
        <v/>
      </c>
      <c r="S7" s="66" t="str">
        <f>IF(AND('Mapa final'!$Y$21="Muy Alta",'Mapa final'!$AA$21="Menor"),CONCATENATE("R2C",'Mapa final'!$O$21),"")</f>
        <v/>
      </c>
      <c r="T7" s="66" t="str">
        <f>IF(AND('Mapa final'!$Y$22="Muy Alta",'Mapa final'!$AA$22="Menor"),CONCATENATE("R2C",'Mapa final'!$O$22),"")</f>
        <v/>
      </c>
      <c r="U7" s="67" t="str">
        <f>IF(AND('Mapa final'!$Y$23="Muy Alta",'Mapa final'!$AA$23="Menor"),CONCATENATE("R2C",'Mapa final'!$O$23),"")</f>
        <v/>
      </c>
      <c r="V7" s="66" t="str">
        <f ca="1">IF(AND('Mapa final'!$Y$18="Muy Alta",'Mapa final'!$AA$18="Moderado"),CONCATENATE("R2C",'Mapa final'!$O$18),"")</f>
        <v/>
      </c>
      <c r="W7" s="66" t="str">
        <f>IF(AND('Mapa final'!$Y$19="Muy Alta",'Mapa final'!$AA$19="Moderado"),CONCATENATE("R2C",'Mapa final'!$O$19),"")</f>
        <v/>
      </c>
      <c r="X7" s="66" t="str">
        <f>IF(AND('Mapa final'!$Y$20="Muy Alta",'Mapa final'!$AA$20="Moderado"),CONCATENATE("R2C",'Mapa final'!$O$20),"")</f>
        <v/>
      </c>
      <c r="Y7" s="66" t="str">
        <f>IF(AND('Mapa final'!$Y$21="Muy Alta",'Mapa final'!$AA$21="Moderado"),CONCATENATE("R2C",'Mapa final'!$O$21),"")</f>
        <v/>
      </c>
      <c r="Z7" s="66" t="str">
        <f>IF(AND('Mapa final'!$Y$22="Muy Alta",'Mapa final'!$AA$22="Moderado"),CONCATENATE("R2C",'Mapa final'!$O$22),"")</f>
        <v/>
      </c>
      <c r="AA7" s="66" t="str">
        <f>IF(AND('Mapa final'!$Y$23="Muy Alta",'Mapa final'!$AA$23="Moderado"),CONCATENATE("R2C",'Mapa final'!$O$23),"")</f>
        <v/>
      </c>
      <c r="AB7" s="65" t="str">
        <f ca="1">IF(AND('Mapa final'!$Y$18="Muy Alta",'Mapa final'!$AA$18="Mayor"),CONCATENATE("R2C",'Mapa final'!$O$18),"")</f>
        <v/>
      </c>
      <c r="AC7" s="66" t="str">
        <f>IF(AND('Mapa final'!$Y$19="Muy Alta",'Mapa final'!$AA$19="Mayor"),CONCATENATE("R2C",'Mapa final'!$O$19),"")</f>
        <v/>
      </c>
      <c r="AD7" s="66" t="str">
        <f>IF(AND('Mapa final'!$Y$20="Muy Alta",'Mapa final'!$AA$20="Mayor"),CONCATENATE("R2C",'Mapa final'!$O$20),"")</f>
        <v/>
      </c>
      <c r="AE7" s="66" t="str">
        <f>IF(AND('Mapa final'!$Y$21="Muy Alta",'Mapa final'!$AA$21="Mayor"),CONCATENATE("R2C",'Mapa final'!$O$21),"")</f>
        <v/>
      </c>
      <c r="AF7" s="66" t="str">
        <f>IF(AND('Mapa final'!$Y$22="Muy Alta",'Mapa final'!$AA$22="Mayor"),CONCATENATE("R2C",'Mapa final'!$O$22),"")</f>
        <v/>
      </c>
      <c r="AG7" s="67" t="str">
        <f>IF(AND('Mapa final'!$Y$23="Muy Alta",'Mapa final'!$AA$23="Mayor"),CONCATENATE("R2C",'Mapa final'!$O$23),"")</f>
        <v/>
      </c>
      <c r="AH7" s="68" t="str">
        <f ca="1">IF(AND('Mapa final'!$Y$18="Muy Alta",'Mapa final'!$AA$18="Catastrófico"),CONCATENATE("R2C",'Mapa final'!$O$18),"")</f>
        <v/>
      </c>
      <c r="AI7" s="69" t="str">
        <f>IF(AND('Mapa final'!$Y$19="Muy Alta",'Mapa final'!$AA$19="Catastrófico"),CONCATENATE("R2C",'Mapa final'!$O$19),"")</f>
        <v/>
      </c>
      <c r="AJ7" s="69" t="str">
        <f>IF(AND('Mapa final'!$Y$20="Muy Alta",'Mapa final'!$AA$20="Catastrófico"),CONCATENATE("R2C",'Mapa final'!$O$20),"")</f>
        <v/>
      </c>
      <c r="AK7" s="69" t="str">
        <f>IF(AND('Mapa final'!$Y$21="Muy Alta",'Mapa final'!$AA$21="Catastrófico"),CONCATENATE("R2C",'Mapa final'!$O$21),"")</f>
        <v/>
      </c>
      <c r="AL7" s="69" t="str">
        <f>IF(AND('Mapa final'!$Y$22="Muy Alta",'Mapa final'!$AA$22="Catastrófico"),CONCATENATE("R2C",'Mapa final'!$O$22),"")</f>
        <v/>
      </c>
      <c r="AM7" s="70" t="str">
        <f>IF(AND('Mapa final'!$Y$23="Muy Alta",'Mapa final'!$AA$23="Catastrófico"),CONCATENATE("R2C",'Mapa final'!$O$23),"")</f>
        <v/>
      </c>
      <c r="AN7" s="96"/>
      <c r="AO7" s="390"/>
      <c r="AP7" s="391"/>
      <c r="AQ7" s="391"/>
      <c r="AR7" s="391"/>
      <c r="AS7" s="391"/>
      <c r="AT7" s="392"/>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row>
    <row r="8" spans="1:91" ht="15" customHeight="1" x14ac:dyDescent="0.25">
      <c r="A8" s="96"/>
      <c r="B8" s="285"/>
      <c r="C8" s="285"/>
      <c r="D8" s="286"/>
      <c r="E8" s="384"/>
      <c r="F8" s="383"/>
      <c r="G8" s="383"/>
      <c r="H8" s="383"/>
      <c r="I8" s="399"/>
      <c r="J8" s="65" t="str">
        <f ca="1">IF(AND('Mapa final'!$Y$24="Muy Alta",'Mapa final'!$AA$24="Leve"),CONCATENATE("R3C",'Mapa final'!$O$24),"")</f>
        <v/>
      </c>
      <c r="K8" s="66" t="str">
        <f>IF(AND('Mapa final'!$Y$25="Muy Alta",'Mapa final'!$AA$25="Leve"),CONCATENATE("R3C",'Mapa final'!$O$25),"")</f>
        <v/>
      </c>
      <c r="L8" s="66" t="str">
        <f>IF(AND('Mapa final'!$Y$26="Muy Alta",'Mapa final'!$AA$26="Leve"),CONCATENATE("R3C",'Mapa final'!$O$26),"")</f>
        <v/>
      </c>
      <c r="M8" s="66" t="str">
        <f>IF(AND('Mapa final'!$Y$27="Muy Alta",'Mapa final'!$AA$27="Leve"),CONCATENATE("R3C",'Mapa final'!$O$27),"")</f>
        <v/>
      </c>
      <c r="N8" s="66" t="str">
        <f>IF(AND('Mapa final'!$Y$28="Muy Alta",'Mapa final'!$AA$28="Leve"),CONCATENATE("R3C",'Mapa final'!$O$28),"")</f>
        <v/>
      </c>
      <c r="O8" s="66" t="str">
        <f>IF(AND('Mapa final'!$Y$29="Muy Alta",'Mapa final'!$AA$29="Leve"),CONCATENATE("R3C",'Mapa final'!$O$29),"")</f>
        <v/>
      </c>
      <c r="P8" s="65" t="str">
        <f ca="1">IF(AND('Mapa final'!$Y$24="Muy Alta",'Mapa final'!$AA$24="Menor"),CONCATENATE("R3C",'Mapa final'!$O$24),"")</f>
        <v/>
      </c>
      <c r="Q8" s="66" t="str">
        <f>IF(AND('Mapa final'!$Y$25="Muy Alta",'Mapa final'!$AA$25="Menor"),CONCATENATE("R3C",'Mapa final'!$O$25),"")</f>
        <v/>
      </c>
      <c r="R8" s="66" t="str">
        <f>IF(AND('Mapa final'!$Y$26="Muy Alta",'Mapa final'!$AA$26="Menor"),CONCATENATE("R3C",'Mapa final'!$O$26),"")</f>
        <v/>
      </c>
      <c r="S8" s="66" t="str">
        <f>IF(AND('Mapa final'!$Y$27="Muy Alta",'Mapa final'!$AA$27="Menor"),CONCATENATE("R3C",'Mapa final'!$O$27),"")</f>
        <v/>
      </c>
      <c r="T8" s="66" t="str">
        <f>IF(AND('Mapa final'!$Y$28="Muy Alta",'Mapa final'!$AA$28="Menor"),CONCATENATE("R3C",'Mapa final'!$O$28),"")</f>
        <v/>
      </c>
      <c r="U8" s="67" t="str">
        <f>IF(AND('Mapa final'!$Y$29="Muy Alta",'Mapa final'!$AA$29="Menor"),CONCATENATE("R3C",'Mapa final'!$O$29),"")</f>
        <v/>
      </c>
      <c r="V8" s="66" t="str">
        <f ca="1">IF(AND('Mapa final'!$Y$24="Muy Alta",'Mapa final'!$AA$24="Moderado"),CONCATENATE("R3C",'Mapa final'!$O$24),"")</f>
        <v/>
      </c>
      <c r="W8" s="66" t="str">
        <f>IF(AND('Mapa final'!$Y$25="Muy Alta",'Mapa final'!$AA$25="Moderado"),CONCATENATE("R3C",'Mapa final'!$O$25),"")</f>
        <v/>
      </c>
      <c r="X8" s="66" t="str">
        <f>IF(AND('Mapa final'!$Y$26="Muy Alta",'Mapa final'!$AA$26="Moderado"),CONCATENATE("R3C",'Mapa final'!$O$26),"")</f>
        <v/>
      </c>
      <c r="Y8" s="66" t="str">
        <f>IF(AND('Mapa final'!$Y$27="Muy Alta",'Mapa final'!$AA$27="Moderado"),CONCATENATE("R3C",'Mapa final'!$O$27),"")</f>
        <v/>
      </c>
      <c r="Z8" s="66" t="str">
        <f>IF(AND('Mapa final'!$Y$28="Muy Alta",'Mapa final'!$AA$28="Moderado"),CONCATENATE("R3C",'Mapa final'!$O$28),"")</f>
        <v/>
      </c>
      <c r="AA8" s="66" t="str">
        <f>IF(AND('Mapa final'!$Y$29="Muy Alta",'Mapa final'!$AA$29="Moderado"),CONCATENATE("R3C",'Mapa final'!$O$29),"")</f>
        <v/>
      </c>
      <c r="AB8" s="65" t="str">
        <f ca="1">IF(AND('Mapa final'!$Y$24="Muy Alta",'Mapa final'!$AA$24="Mayor"),CONCATENATE("R3C",'Mapa final'!$O$24),"")</f>
        <v/>
      </c>
      <c r="AC8" s="66" t="str">
        <f>IF(AND('Mapa final'!$Y$25="Muy Alta",'Mapa final'!$AA$25="Mayor"),CONCATENATE("R3C",'Mapa final'!$O$25),"")</f>
        <v/>
      </c>
      <c r="AD8" s="66" t="str">
        <f>IF(AND('Mapa final'!$Y$26="Muy Alta",'Mapa final'!$AA$26="Mayor"),CONCATENATE("R3C",'Mapa final'!$O$26),"")</f>
        <v/>
      </c>
      <c r="AE8" s="66" t="str">
        <f>IF(AND('Mapa final'!$Y$27="Muy Alta",'Mapa final'!$AA$27="Mayor"),CONCATENATE("R3C",'Mapa final'!$O$27),"")</f>
        <v/>
      </c>
      <c r="AF8" s="66" t="str">
        <f>IF(AND('Mapa final'!$Y$28="Muy Alta",'Mapa final'!$AA$28="Mayor"),CONCATENATE("R3C",'Mapa final'!$O$28),"")</f>
        <v/>
      </c>
      <c r="AG8" s="67" t="str">
        <f>IF(AND('Mapa final'!$Y$29="Muy Alta",'Mapa final'!$AA$29="Mayor"),CONCATENATE("R3C",'Mapa final'!$O$29),"")</f>
        <v/>
      </c>
      <c r="AH8" s="68" t="str">
        <f ca="1">IF(AND('Mapa final'!$Y$24="Muy Alta",'Mapa final'!$AA$24="Catastrófico"),CONCATENATE("R3C",'Mapa final'!$O$24),"")</f>
        <v/>
      </c>
      <c r="AI8" s="69" t="str">
        <f>IF(AND('Mapa final'!$Y$25="Muy Alta",'Mapa final'!$AA$25="Catastrófico"),CONCATENATE("R3C",'Mapa final'!$O$25),"")</f>
        <v/>
      </c>
      <c r="AJ8" s="69" t="str">
        <f>IF(AND('Mapa final'!$Y$26="Muy Alta",'Mapa final'!$AA$26="Catastrófico"),CONCATENATE("R3C",'Mapa final'!$O$26),"")</f>
        <v/>
      </c>
      <c r="AK8" s="69" t="str">
        <f>IF(AND('Mapa final'!$Y$27="Muy Alta",'Mapa final'!$AA$27="Catastrófico"),CONCATENATE("R3C",'Mapa final'!$O$27),"")</f>
        <v/>
      </c>
      <c r="AL8" s="69" t="str">
        <f>IF(AND('Mapa final'!$Y$28="Muy Alta",'Mapa final'!$AA$28="Catastrófico"),CONCATENATE("R3C",'Mapa final'!$O$28),"")</f>
        <v/>
      </c>
      <c r="AM8" s="70" t="str">
        <f>IF(AND('Mapa final'!$Y$29="Muy Alta",'Mapa final'!$AA$29="Catastrófico"),CONCATENATE("R3C",'Mapa final'!$O$29),"")</f>
        <v/>
      </c>
      <c r="AN8" s="96"/>
      <c r="AO8" s="390"/>
      <c r="AP8" s="391"/>
      <c r="AQ8" s="391"/>
      <c r="AR8" s="391"/>
      <c r="AS8" s="391"/>
      <c r="AT8" s="392"/>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row>
    <row r="9" spans="1:91" ht="15" customHeight="1" x14ac:dyDescent="0.25">
      <c r="A9" s="96"/>
      <c r="B9" s="285"/>
      <c r="C9" s="285"/>
      <c r="D9" s="286"/>
      <c r="E9" s="384"/>
      <c r="F9" s="383"/>
      <c r="G9" s="383"/>
      <c r="H9" s="383"/>
      <c r="I9" s="399"/>
      <c r="J9" s="65" t="str">
        <f ca="1">IF(AND('Mapa final'!$Y$30="Muy Alta",'Mapa final'!$AA$30="Leve"),CONCATENATE("R4C",'Mapa final'!$O$30),"")</f>
        <v/>
      </c>
      <c r="K9" s="66" t="str">
        <f>IF(AND('Mapa final'!$Y$31="Muy Alta",'Mapa final'!$AA$31="Leve"),CONCATENATE("R4C",'Mapa final'!$O$31),"")</f>
        <v/>
      </c>
      <c r="L9" s="66" t="str">
        <f>IF(AND('Mapa final'!$Y$32="Muy Alta",'Mapa final'!$AA$32="Leve"),CONCATENATE("R4C",'Mapa final'!$O$32),"")</f>
        <v/>
      </c>
      <c r="M9" s="66" t="str">
        <f>IF(AND('Mapa final'!$Y$33="Muy Alta",'Mapa final'!$AA$33="Leve"),CONCATENATE("R4C",'Mapa final'!$O$33),"")</f>
        <v/>
      </c>
      <c r="N9" s="66" t="str">
        <f>IF(AND('Mapa final'!$Y$34="Muy Alta",'Mapa final'!$AA$34="Leve"),CONCATENATE("R4C",'Mapa final'!$O$34),"")</f>
        <v/>
      </c>
      <c r="O9" s="66" t="str">
        <f>IF(AND('Mapa final'!$Y$35="Muy Alta",'Mapa final'!$AA$35="Leve"),CONCATENATE("R4C",'Mapa final'!$O$35),"")</f>
        <v/>
      </c>
      <c r="P9" s="65" t="str">
        <f ca="1">IF(AND('Mapa final'!$Y$30="Muy Alta",'Mapa final'!$AA$30="Menor"),CONCATENATE("R4C",'Mapa final'!$O$30),"")</f>
        <v/>
      </c>
      <c r="Q9" s="66" t="str">
        <f>IF(AND('Mapa final'!$Y$31="Muy Alta",'Mapa final'!$AA$31="Menor"),CONCATENATE("R4C",'Mapa final'!$O$31),"")</f>
        <v/>
      </c>
      <c r="R9" s="66" t="str">
        <f>IF(AND('Mapa final'!$Y$32="Muy Alta",'Mapa final'!$AA$32="Menor"),CONCATENATE("R4C",'Mapa final'!$O$32),"")</f>
        <v/>
      </c>
      <c r="S9" s="66" t="str">
        <f>IF(AND('Mapa final'!$Y$33="Muy Alta",'Mapa final'!$AA$33="Menor"),CONCATENATE("R4C",'Mapa final'!$O$33),"")</f>
        <v/>
      </c>
      <c r="T9" s="66" t="str">
        <f>IF(AND('Mapa final'!$Y$34="Muy Alta",'Mapa final'!$AA$34="Menor"),CONCATENATE("R4C",'Mapa final'!$O$34),"")</f>
        <v/>
      </c>
      <c r="U9" s="67" t="str">
        <f>IF(AND('Mapa final'!$Y$35="Muy Alta",'Mapa final'!$AA$35="Menor"),CONCATENATE("R4C",'Mapa final'!$O$35),"")</f>
        <v/>
      </c>
      <c r="V9" s="66" t="str">
        <f ca="1">IF(AND('Mapa final'!$Y$30="Muy Alta",'Mapa final'!$AA$30="Moderado"),CONCATENATE("R4C",'Mapa final'!$O$30),"")</f>
        <v/>
      </c>
      <c r="W9" s="66" t="str">
        <f>IF(AND('Mapa final'!$Y$31="Muy Alta",'Mapa final'!$AA$31="Moderado"),CONCATENATE("R4C",'Mapa final'!$O$31),"")</f>
        <v/>
      </c>
      <c r="X9" s="66" t="str">
        <f>IF(AND('Mapa final'!$Y$32="Muy Alta",'Mapa final'!$AA$32="Moderado"),CONCATENATE("R4C",'Mapa final'!$O$32),"")</f>
        <v/>
      </c>
      <c r="Y9" s="66" t="str">
        <f>IF(AND('Mapa final'!$Y$33="Muy Alta",'Mapa final'!$AA$33="Moderado"),CONCATENATE("R4C",'Mapa final'!$O$33),"")</f>
        <v/>
      </c>
      <c r="Z9" s="66" t="str">
        <f>IF(AND('Mapa final'!$Y$34="Muy Alta",'Mapa final'!$AA$34="Moderado"),CONCATENATE("R4C",'Mapa final'!$O$34),"")</f>
        <v/>
      </c>
      <c r="AA9" s="66" t="str">
        <f>IF(AND('Mapa final'!$Y$35="Muy Alta",'Mapa final'!$AA$35="Moderado"),CONCATENATE("R4C",'Mapa final'!$O$35),"")</f>
        <v/>
      </c>
      <c r="AB9" s="65" t="str">
        <f ca="1">IF(AND('Mapa final'!$Y$30="Muy Alta",'Mapa final'!$AA$30="Mayor"),CONCATENATE("R4C",'Mapa final'!$O$30),"")</f>
        <v/>
      </c>
      <c r="AC9" s="66" t="str">
        <f>IF(AND('Mapa final'!$Y$31="Muy Alta",'Mapa final'!$AA$31="Mayor"),CONCATENATE("R4C",'Mapa final'!$O$31),"")</f>
        <v/>
      </c>
      <c r="AD9" s="66" t="str">
        <f>IF(AND('Mapa final'!$Y$32="Muy Alta",'Mapa final'!$AA$32="Mayor"),CONCATENATE("R4C",'Mapa final'!$O$32),"")</f>
        <v/>
      </c>
      <c r="AE9" s="66" t="str">
        <f>IF(AND('Mapa final'!$Y$33="Muy Alta",'Mapa final'!$AA$33="Mayor"),CONCATENATE("R4C",'Mapa final'!$O$33),"")</f>
        <v/>
      </c>
      <c r="AF9" s="66" t="str">
        <f>IF(AND('Mapa final'!$Y$34="Muy Alta",'Mapa final'!$AA$34="Mayor"),CONCATENATE("R4C",'Mapa final'!$O$34),"")</f>
        <v/>
      </c>
      <c r="AG9" s="67" t="str">
        <f>IF(AND('Mapa final'!$Y$35="Muy Alta",'Mapa final'!$AA$35="Mayor"),CONCATENATE("R4C",'Mapa final'!$O$35),"")</f>
        <v/>
      </c>
      <c r="AH9" s="68" t="str">
        <f ca="1">IF(AND('Mapa final'!$Y$30="Muy Alta",'Mapa final'!$AA$30="Catastrófico"),CONCATENATE("R4C",'Mapa final'!$O$30),"")</f>
        <v/>
      </c>
      <c r="AI9" s="69" t="str">
        <f>IF(AND('Mapa final'!$Y$31="Muy Alta",'Mapa final'!$AA$31="Catastrófico"),CONCATENATE("R4C",'Mapa final'!$O$31),"")</f>
        <v/>
      </c>
      <c r="AJ9" s="69" t="str">
        <f>IF(AND('Mapa final'!$Y$32="Muy Alta",'Mapa final'!$AA$32="Catastrófico"),CONCATENATE("R4C",'Mapa final'!$O$32),"")</f>
        <v/>
      </c>
      <c r="AK9" s="69" t="str">
        <f>IF(AND('Mapa final'!$Y$33="Muy Alta",'Mapa final'!$AA$33="Catastrófico"),CONCATENATE("R4C",'Mapa final'!$O$33),"")</f>
        <v/>
      </c>
      <c r="AL9" s="69" t="str">
        <f>IF(AND('Mapa final'!$Y$34="Muy Alta",'Mapa final'!$AA$34="Catastrófico"),CONCATENATE("R4C",'Mapa final'!$O$34),"")</f>
        <v/>
      </c>
      <c r="AM9" s="70" t="str">
        <f>IF(AND('Mapa final'!$Y$35="Muy Alta",'Mapa final'!$AA$35="Catastrófico"),CONCATENATE("R4C",'Mapa final'!$O$35),"")</f>
        <v/>
      </c>
      <c r="AN9" s="96"/>
      <c r="AO9" s="390"/>
      <c r="AP9" s="391"/>
      <c r="AQ9" s="391"/>
      <c r="AR9" s="391"/>
      <c r="AS9" s="391"/>
      <c r="AT9" s="392"/>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row>
    <row r="10" spans="1:91" ht="15" customHeight="1" x14ac:dyDescent="0.25">
      <c r="A10" s="96"/>
      <c r="B10" s="285"/>
      <c r="C10" s="285"/>
      <c r="D10" s="286"/>
      <c r="E10" s="384"/>
      <c r="F10" s="383"/>
      <c r="G10" s="383"/>
      <c r="H10" s="383"/>
      <c r="I10" s="399"/>
      <c r="J10" s="65" t="str">
        <f>IF(AND('Mapa final'!$Y$36="Muy Alta",'Mapa final'!$AA$36="Leve"),CONCATENATE("R5C",'Mapa final'!$O$36),"")</f>
        <v/>
      </c>
      <c r="K10" s="66" t="str">
        <f>IF(AND('Mapa final'!$Y$37="Muy Alta",'Mapa final'!$AA$37="Leve"),CONCATENATE("R5C",'Mapa final'!$O$37),"")</f>
        <v/>
      </c>
      <c r="L10" s="66" t="str">
        <f>IF(AND('Mapa final'!$Y$38="Muy Alta",'Mapa final'!$AA$38="Leve"),CONCATENATE("R5C",'Mapa final'!$O$38),"")</f>
        <v/>
      </c>
      <c r="M10" s="66" t="str">
        <f>IF(AND('Mapa final'!$Y$39="Muy Alta",'Mapa final'!$AA$39="Leve"),CONCATENATE("R5C",'Mapa final'!$O$39),"")</f>
        <v/>
      </c>
      <c r="N10" s="66" t="str">
        <f>IF(AND('Mapa final'!$Y$40="Muy Alta",'Mapa final'!$AA$40="Leve"),CONCATENATE("R5C",'Mapa final'!$O$40),"")</f>
        <v/>
      </c>
      <c r="O10" s="66" t="str">
        <f>IF(AND('Mapa final'!$Y$41="Muy Alta",'Mapa final'!$AA$41="Leve"),CONCATENATE("R5C",'Mapa final'!$O$41),"")</f>
        <v/>
      </c>
      <c r="P10" s="65" t="str">
        <f>IF(AND('Mapa final'!$Y$36="Muy Alta",'Mapa final'!$AA$36="Menor"),CONCATENATE("R5C",'Mapa final'!$O$36),"")</f>
        <v/>
      </c>
      <c r="Q10" s="66" t="str">
        <f>IF(AND('Mapa final'!$Y$37="Muy Alta",'Mapa final'!$AA$37="Menor"),CONCATENATE("R5C",'Mapa final'!$O$37),"")</f>
        <v/>
      </c>
      <c r="R10" s="66" t="str">
        <f>IF(AND('Mapa final'!$Y$38="Muy Alta",'Mapa final'!$AA$38="Menor"),CONCATENATE("R5C",'Mapa final'!$O$38),"")</f>
        <v/>
      </c>
      <c r="S10" s="66" t="str">
        <f>IF(AND('Mapa final'!$Y$39="Muy Alta",'Mapa final'!$AA$39="Menor"),CONCATENATE("R5C",'Mapa final'!$O$39),"")</f>
        <v/>
      </c>
      <c r="T10" s="66" t="str">
        <f>IF(AND('Mapa final'!$Y$40="Muy Alta",'Mapa final'!$AA$40="Menor"),CONCATENATE("R5C",'Mapa final'!$O$40),"")</f>
        <v/>
      </c>
      <c r="U10" s="67" t="str">
        <f>IF(AND('Mapa final'!$Y$41="Muy Alta",'Mapa final'!$AA$41="Menor"),CONCATENATE("R5C",'Mapa final'!$O$41),"")</f>
        <v/>
      </c>
      <c r="V10" s="66" t="str">
        <f>IF(AND('Mapa final'!$Y$36="Muy Alta",'Mapa final'!$AA$36="Moderado"),CONCATENATE("R5C",'Mapa final'!$O$36),"")</f>
        <v/>
      </c>
      <c r="W10" s="66" t="str">
        <f>IF(AND('Mapa final'!$Y$37="Muy Alta",'Mapa final'!$AA$37="Moderado"),CONCATENATE("R5C",'Mapa final'!$O$37),"")</f>
        <v/>
      </c>
      <c r="X10" s="66" t="str">
        <f>IF(AND('Mapa final'!$Y$38="Muy Alta",'Mapa final'!$AA$38="Moderado"),CONCATENATE("R5C",'Mapa final'!$O$38),"")</f>
        <v/>
      </c>
      <c r="Y10" s="66" t="str">
        <f>IF(AND('Mapa final'!$Y$39="Muy Alta",'Mapa final'!$AA$39="Moderado"),CONCATENATE("R5C",'Mapa final'!$O$39),"")</f>
        <v/>
      </c>
      <c r="Z10" s="66" t="str">
        <f>IF(AND('Mapa final'!$Y$40="Muy Alta",'Mapa final'!$AA$40="Moderado"),CONCATENATE("R5C",'Mapa final'!$O$40),"")</f>
        <v/>
      </c>
      <c r="AA10" s="66" t="str">
        <f>IF(AND('Mapa final'!$Y$41="Muy Alta",'Mapa final'!$AA$41="Moderado"),CONCATENATE("R5C",'Mapa final'!$O$41),"")</f>
        <v/>
      </c>
      <c r="AB10" s="65" t="str">
        <f>IF(AND('Mapa final'!$Y$36="Muy Alta",'Mapa final'!$AA$36="Mayor"),CONCATENATE("R5C",'Mapa final'!$O$36),"")</f>
        <v/>
      </c>
      <c r="AC10" s="66" t="str">
        <f>IF(AND('Mapa final'!$Y$37="Muy Alta",'Mapa final'!$AA$37="Mayor"),CONCATENATE("R5C",'Mapa final'!$O$37),"")</f>
        <v/>
      </c>
      <c r="AD10" s="66" t="str">
        <f>IF(AND('Mapa final'!$Y$38="Muy Alta",'Mapa final'!$AA$38="Mayor"),CONCATENATE("R5C",'Mapa final'!$O$38),"")</f>
        <v/>
      </c>
      <c r="AE10" s="66" t="str">
        <f>IF(AND('Mapa final'!$Y$39="Muy Alta",'Mapa final'!$AA$39="Mayor"),CONCATENATE("R5C",'Mapa final'!$O$39),"")</f>
        <v/>
      </c>
      <c r="AF10" s="66" t="str">
        <f>IF(AND('Mapa final'!$Y$40="Muy Alta",'Mapa final'!$AA$40="Mayor"),CONCATENATE("R5C",'Mapa final'!$O$40),"")</f>
        <v/>
      </c>
      <c r="AG10" s="67" t="str">
        <f>IF(AND('Mapa final'!$Y$41="Muy Alta",'Mapa final'!$AA$41="Mayor"),CONCATENATE("R5C",'Mapa final'!$O$41),"")</f>
        <v/>
      </c>
      <c r="AH10" s="68" t="str">
        <f>IF(AND('Mapa final'!$Y$36="Muy Alta",'Mapa final'!$AA$36="Catastrófico"),CONCATENATE("R5C",'Mapa final'!$O$36),"")</f>
        <v/>
      </c>
      <c r="AI10" s="69" t="str">
        <f>IF(AND('Mapa final'!$Y$37="Muy Alta",'Mapa final'!$AA$37="Catastrófico"),CONCATENATE("R5C",'Mapa final'!$O$37),"")</f>
        <v/>
      </c>
      <c r="AJ10" s="69" t="str">
        <f>IF(AND('Mapa final'!$Y$38="Muy Alta",'Mapa final'!$AA$38="Catastrófico"),CONCATENATE("R5C",'Mapa final'!$O$38),"")</f>
        <v/>
      </c>
      <c r="AK10" s="69" t="str">
        <f>IF(AND('Mapa final'!$Y$39="Muy Alta",'Mapa final'!$AA$39="Catastrófico"),CONCATENATE("R5C",'Mapa final'!$O$39),"")</f>
        <v/>
      </c>
      <c r="AL10" s="69" t="str">
        <f>IF(AND('Mapa final'!$Y$40="Muy Alta",'Mapa final'!$AA$40="Catastrófico"),CONCATENATE("R5C",'Mapa final'!$O$40),"")</f>
        <v/>
      </c>
      <c r="AM10" s="70" t="str">
        <f>IF(AND('Mapa final'!$Y$41="Muy Alta",'Mapa final'!$AA$41="Catastrófico"),CONCATENATE("R5C",'Mapa final'!$O$41),"")</f>
        <v/>
      </c>
      <c r="AN10" s="96"/>
      <c r="AO10" s="390"/>
      <c r="AP10" s="391"/>
      <c r="AQ10" s="391"/>
      <c r="AR10" s="391"/>
      <c r="AS10" s="391"/>
      <c r="AT10" s="392"/>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row>
    <row r="11" spans="1:91" ht="15" customHeight="1" x14ac:dyDescent="0.25">
      <c r="A11" s="96"/>
      <c r="B11" s="285"/>
      <c r="C11" s="285"/>
      <c r="D11" s="286"/>
      <c r="E11" s="384"/>
      <c r="F11" s="383"/>
      <c r="G11" s="383"/>
      <c r="H11" s="383"/>
      <c r="I11" s="399"/>
      <c r="J11" s="65" t="str">
        <f ca="1">IF(AND('Mapa final'!$Y$42="Muy Alta",'Mapa final'!$AA$42="Leve"),CONCATENATE("R6C",'Mapa final'!$O$42),"")</f>
        <v/>
      </c>
      <c r="K11" s="66" t="str">
        <f>IF(AND('Mapa final'!$Y$43="Muy Alta",'Mapa final'!$AA$43="Leve"),CONCATENATE("R6C",'Mapa final'!$O$43),"")</f>
        <v/>
      </c>
      <c r="L11" s="66" t="str">
        <f>IF(AND('Mapa final'!$Y$44="Muy Alta",'Mapa final'!$AA$44="Leve"),CONCATENATE("R6C",'Mapa final'!$O$44),"")</f>
        <v/>
      </c>
      <c r="M11" s="66" t="str">
        <f>IF(AND('Mapa final'!$Y$45="Muy Alta",'Mapa final'!$AA$45="Leve"),CONCATENATE("R6C",'Mapa final'!$O$45),"")</f>
        <v/>
      </c>
      <c r="N11" s="66" t="str">
        <f>IF(AND('Mapa final'!$Y$46="Muy Alta",'Mapa final'!$AA$46="Leve"),CONCATENATE("R6C",'Mapa final'!$O$46),"")</f>
        <v/>
      </c>
      <c r="O11" s="66" t="str">
        <f>IF(AND('Mapa final'!$Y$47="Muy Alta",'Mapa final'!$AA$47="Leve"),CONCATENATE("R6C",'Mapa final'!$O$47),"")</f>
        <v/>
      </c>
      <c r="P11" s="65" t="str">
        <f ca="1">IF(AND('Mapa final'!$Y$42="Muy Alta",'Mapa final'!$AA$42="Menor"),CONCATENATE("R6C",'Mapa final'!$O$42),"")</f>
        <v/>
      </c>
      <c r="Q11" s="66" t="str">
        <f>IF(AND('Mapa final'!$Y$43="Muy Alta",'Mapa final'!$AA$43="Menor"),CONCATENATE("R6C",'Mapa final'!$O$43),"")</f>
        <v/>
      </c>
      <c r="R11" s="66" t="str">
        <f>IF(AND('Mapa final'!$Y$44="Muy Alta",'Mapa final'!$AA$44="Menor"),CONCATENATE("R6C",'Mapa final'!$O$44),"")</f>
        <v/>
      </c>
      <c r="S11" s="66" t="str">
        <f>IF(AND('Mapa final'!$Y$45="Muy Alta",'Mapa final'!$AA$45="Menor"),CONCATENATE("R6C",'Mapa final'!$O$45),"")</f>
        <v/>
      </c>
      <c r="T11" s="66" t="str">
        <f>IF(AND('Mapa final'!$Y$46="Muy Alta",'Mapa final'!$AA$46="Menor"),CONCATENATE("R6C",'Mapa final'!$O$46),"")</f>
        <v/>
      </c>
      <c r="U11" s="67" t="str">
        <f>IF(AND('Mapa final'!$Y$47="Muy Alta",'Mapa final'!$AA$47="Menor"),CONCATENATE("R6C",'Mapa final'!$O$47),"")</f>
        <v/>
      </c>
      <c r="V11" s="66" t="str">
        <f ca="1">IF(AND('Mapa final'!$Y$42="Muy Alta",'Mapa final'!$AA$42="Moderado"),CONCATENATE("R6C",'Mapa final'!$O$42),"")</f>
        <v/>
      </c>
      <c r="W11" s="66" t="str">
        <f>IF(AND('Mapa final'!$Y$43="Muy Alta",'Mapa final'!$AA$43="Moderado"),CONCATENATE("R6C",'Mapa final'!$O$43),"")</f>
        <v/>
      </c>
      <c r="X11" s="66" t="str">
        <f>IF(AND('Mapa final'!$Y$44="Muy Alta",'Mapa final'!$AA$44="Moderado"),CONCATENATE("R6C",'Mapa final'!$O$44),"")</f>
        <v/>
      </c>
      <c r="Y11" s="66" t="str">
        <f>IF(AND('Mapa final'!$Y$45="Muy Alta",'Mapa final'!$AA$45="Moderado"),CONCATENATE("R6C",'Mapa final'!$O$45),"")</f>
        <v/>
      </c>
      <c r="Z11" s="66" t="str">
        <f>IF(AND('Mapa final'!$Y$46="Muy Alta",'Mapa final'!$AA$46="Moderado"),CONCATENATE("R6C",'Mapa final'!$O$46),"")</f>
        <v/>
      </c>
      <c r="AA11" s="66" t="str">
        <f>IF(AND('Mapa final'!$Y$47="Muy Alta",'Mapa final'!$AA$47="Moderado"),CONCATENATE("R6C",'Mapa final'!$O$47),"")</f>
        <v/>
      </c>
      <c r="AB11" s="65" t="str">
        <f ca="1">IF(AND('Mapa final'!$Y$42="Muy Alta",'Mapa final'!$AA$42="Mayor"),CONCATENATE("R6C",'Mapa final'!$O$42),"")</f>
        <v/>
      </c>
      <c r="AC11" s="66" t="str">
        <f>IF(AND('Mapa final'!$Y$43="Muy Alta",'Mapa final'!$AA$43="Mayor"),CONCATENATE("R6C",'Mapa final'!$O$43),"")</f>
        <v/>
      </c>
      <c r="AD11" s="66" t="str">
        <f>IF(AND('Mapa final'!$Y$44="Muy Alta",'Mapa final'!$AA$44="Mayor"),CONCATENATE("R6C",'Mapa final'!$O$44),"")</f>
        <v/>
      </c>
      <c r="AE11" s="66" t="str">
        <f>IF(AND('Mapa final'!$Y$45="Muy Alta",'Mapa final'!$AA$45="Mayor"),CONCATENATE("R6C",'Mapa final'!$O$45),"")</f>
        <v/>
      </c>
      <c r="AF11" s="66" t="str">
        <f>IF(AND('Mapa final'!$Y$46="Muy Alta",'Mapa final'!$AA$46="Mayor"),CONCATENATE("R6C",'Mapa final'!$O$46),"")</f>
        <v/>
      </c>
      <c r="AG11" s="67" t="str">
        <f>IF(AND('Mapa final'!$Y$47="Muy Alta",'Mapa final'!$AA$47="Mayor"),CONCATENATE("R6C",'Mapa final'!$O$47),"")</f>
        <v/>
      </c>
      <c r="AH11" s="68" t="str">
        <f ca="1">IF(AND('Mapa final'!$Y$42="Muy Alta",'Mapa final'!$AA$42="Catastrófico"),CONCATENATE("R6C",'Mapa final'!$O$42),"")</f>
        <v/>
      </c>
      <c r="AI11" s="69" t="str">
        <f>IF(AND('Mapa final'!$Y$43="Muy Alta",'Mapa final'!$AA$43="Catastrófico"),CONCATENATE("R6C",'Mapa final'!$O$43),"")</f>
        <v/>
      </c>
      <c r="AJ11" s="69" t="str">
        <f>IF(AND('Mapa final'!$Y$44="Muy Alta",'Mapa final'!$AA$44="Catastrófico"),CONCATENATE("R6C",'Mapa final'!$O$44),"")</f>
        <v/>
      </c>
      <c r="AK11" s="69" t="str">
        <f>IF(AND('Mapa final'!$Y$45="Muy Alta",'Mapa final'!$AA$45="Catastrófico"),CONCATENATE("R6C",'Mapa final'!$O$45),"")</f>
        <v/>
      </c>
      <c r="AL11" s="69" t="str">
        <f>IF(AND('Mapa final'!$Y$46="Muy Alta",'Mapa final'!$AA$46="Catastrófico"),CONCATENATE("R6C",'Mapa final'!$O$46),"")</f>
        <v/>
      </c>
      <c r="AM11" s="70" t="str">
        <f>IF(AND('Mapa final'!$Y$47="Muy Alta",'Mapa final'!$AA$47="Catastrófico"),CONCATENATE("R6C",'Mapa final'!$O$47),"")</f>
        <v/>
      </c>
      <c r="AN11" s="96"/>
      <c r="AO11" s="390"/>
      <c r="AP11" s="391"/>
      <c r="AQ11" s="391"/>
      <c r="AR11" s="391"/>
      <c r="AS11" s="391"/>
      <c r="AT11" s="392"/>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row>
    <row r="12" spans="1:91" ht="15" customHeight="1" x14ac:dyDescent="0.25">
      <c r="A12" s="96"/>
      <c r="B12" s="285"/>
      <c r="C12" s="285"/>
      <c r="D12" s="286"/>
      <c r="E12" s="384"/>
      <c r="F12" s="383"/>
      <c r="G12" s="383"/>
      <c r="H12" s="383"/>
      <c r="I12" s="399"/>
      <c r="J12" s="65" t="str">
        <f>IF(AND('Mapa final'!$Y$48="Muy Alta",'Mapa final'!$AA$48="Leve"),CONCATENATE("R7C",'Mapa final'!$O$48),"")</f>
        <v/>
      </c>
      <c r="K12" s="66" t="str">
        <f>IF(AND('Mapa final'!$Y$49="Muy Alta",'Mapa final'!$AA$49="Leve"),CONCATENATE("R7C",'Mapa final'!$O$49),"")</f>
        <v/>
      </c>
      <c r="L12" s="66" t="str">
        <f>IF(AND('Mapa final'!$Y$50="Muy Alta",'Mapa final'!$AA$50="Leve"),CONCATENATE("R7C",'Mapa final'!$O$50),"")</f>
        <v/>
      </c>
      <c r="M12" s="66" t="str">
        <f>IF(AND('Mapa final'!$Y$51="Muy Alta",'Mapa final'!$AA$51="Leve"),CONCATENATE("R7C",'Mapa final'!$O$51),"")</f>
        <v/>
      </c>
      <c r="N12" s="66" t="str">
        <f>IF(AND('Mapa final'!$Y$52="Muy Alta",'Mapa final'!$AA$52="Leve"),CONCATENATE("R7C",'Mapa final'!$O$52),"")</f>
        <v/>
      </c>
      <c r="O12" s="66" t="str">
        <f>IF(AND('Mapa final'!$Y$53="Muy Alta",'Mapa final'!$AA$53="Leve"),CONCATENATE("R7C",'Mapa final'!$O$53),"")</f>
        <v/>
      </c>
      <c r="P12" s="65" t="str">
        <f>IF(AND('Mapa final'!$Y$48="Muy Alta",'Mapa final'!$AA$48="Menor"),CONCATENATE("R7C",'Mapa final'!$O$48),"")</f>
        <v/>
      </c>
      <c r="Q12" s="66" t="str">
        <f>IF(AND('Mapa final'!$Y$49="Muy Alta",'Mapa final'!$AA$49="Menor"),CONCATENATE("R7C",'Mapa final'!$O$49),"")</f>
        <v/>
      </c>
      <c r="R12" s="66" t="str">
        <f>IF(AND('Mapa final'!$Y$50="Muy Alta",'Mapa final'!$AA$50="Menor"),CONCATENATE("R7C",'Mapa final'!$O$50),"")</f>
        <v/>
      </c>
      <c r="S12" s="66" t="str">
        <f>IF(AND('Mapa final'!$Y$51="Muy Alta",'Mapa final'!$AA$51="Menor"),CONCATENATE("R7C",'Mapa final'!$O$51),"")</f>
        <v/>
      </c>
      <c r="T12" s="66" t="str">
        <f>IF(AND('Mapa final'!$Y$52="Muy Alta",'Mapa final'!$AA$52="Menor"),CONCATENATE("R7C",'Mapa final'!$O$52),"")</f>
        <v/>
      </c>
      <c r="U12" s="67" t="str">
        <f>IF(AND('Mapa final'!$Y$53="Muy Alta",'Mapa final'!$AA$53="Menor"),CONCATENATE("R7C",'Mapa final'!$O$53),"")</f>
        <v/>
      </c>
      <c r="V12" s="66" t="str">
        <f>IF(AND('Mapa final'!$Y$48="Muy Alta",'Mapa final'!$AA$48="Moderado"),CONCATENATE("R7C",'Mapa final'!$O$48),"")</f>
        <v/>
      </c>
      <c r="W12" s="66" t="str">
        <f>IF(AND('Mapa final'!$Y$49="Muy Alta",'Mapa final'!$AA$49="Moderado"),CONCATENATE("R7C",'Mapa final'!$O$49),"")</f>
        <v/>
      </c>
      <c r="X12" s="66" t="str">
        <f>IF(AND('Mapa final'!$Y$50="Muy Alta",'Mapa final'!$AA$50="Moderado"),CONCATENATE("R7C",'Mapa final'!$O$50),"")</f>
        <v/>
      </c>
      <c r="Y12" s="66" t="str">
        <f>IF(AND('Mapa final'!$Y$51="Muy Alta",'Mapa final'!$AA$51="Moderado"),CONCATENATE("R7C",'Mapa final'!$O$51),"")</f>
        <v/>
      </c>
      <c r="Z12" s="66" t="str">
        <f>IF(AND('Mapa final'!$Y$52="Muy Alta",'Mapa final'!$AA$52="Moderado"),CONCATENATE("R7C",'Mapa final'!$O$52),"")</f>
        <v/>
      </c>
      <c r="AA12" s="66" t="str">
        <f>IF(AND('Mapa final'!$Y$53="Muy Alta",'Mapa final'!$AA$53="Moderado"),CONCATENATE("R7C",'Mapa final'!$O$53),"")</f>
        <v/>
      </c>
      <c r="AB12" s="65" t="str">
        <f>IF(AND('Mapa final'!$Y$48="Muy Alta",'Mapa final'!$AA$48="Mayor"),CONCATENATE("R7C",'Mapa final'!$O$48),"")</f>
        <v/>
      </c>
      <c r="AC12" s="66" t="str">
        <f>IF(AND('Mapa final'!$Y$49="Muy Alta",'Mapa final'!$AA$49="Mayor"),CONCATENATE("R7C",'Mapa final'!$O$49),"")</f>
        <v/>
      </c>
      <c r="AD12" s="66" t="str">
        <f>IF(AND('Mapa final'!$Y$50="Muy Alta",'Mapa final'!$AA$50="Mayor"),CONCATENATE("R7C",'Mapa final'!$O$50),"")</f>
        <v/>
      </c>
      <c r="AE12" s="66" t="str">
        <f>IF(AND('Mapa final'!$Y$51="Muy Alta",'Mapa final'!$AA$51="Mayor"),CONCATENATE("R7C",'Mapa final'!$O$51),"")</f>
        <v/>
      </c>
      <c r="AF12" s="66" t="str">
        <f>IF(AND('Mapa final'!$Y$52="Muy Alta",'Mapa final'!$AA$52="Mayor"),CONCATENATE("R7C",'Mapa final'!$O$52),"")</f>
        <v/>
      </c>
      <c r="AG12" s="67" t="str">
        <f>IF(AND('Mapa final'!$Y$53="Muy Alta",'Mapa final'!$AA$53="Mayor"),CONCATENATE("R7C",'Mapa final'!$O$53),"")</f>
        <v/>
      </c>
      <c r="AH12" s="68" t="str">
        <f>IF(AND('Mapa final'!$Y$48="Muy Alta",'Mapa final'!$AA$48="Catastrófico"),CONCATENATE("R7C",'Mapa final'!$O$48),"")</f>
        <v/>
      </c>
      <c r="AI12" s="69" t="str">
        <f>IF(AND('Mapa final'!$Y$49="Muy Alta",'Mapa final'!$AA$49="Catastrófico"),CONCATENATE("R7C",'Mapa final'!$O$49),"")</f>
        <v/>
      </c>
      <c r="AJ12" s="69" t="str">
        <f>IF(AND('Mapa final'!$Y$50="Muy Alta",'Mapa final'!$AA$50="Catastrófico"),CONCATENATE("R7C",'Mapa final'!$O$50),"")</f>
        <v/>
      </c>
      <c r="AK12" s="69" t="str">
        <f>IF(AND('Mapa final'!$Y$51="Muy Alta",'Mapa final'!$AA$51="Catastrófico"),CONCATENATE("R7C",'Mapa final'!$O$51),"")</f>
        <v/>
      </c>
      <c r="AL12" s="69" t="str">
        <f>IF(AND('Mapa final'!$Y$52="Muy Alta",'Mapa final'!$AA$52="Catastrófico"),CONCATENATE("R7C",'Mapa final'!$O$52),"")</f>
        <v/>
      </c>
      <c r="AM12" s="70" t="str">
        <f>IF(AND('Mapa final'!$Y$53="Muy Alta",'Mapa final'!$AA$53="Catastrófico"),CONCATENATE("R7C",'Mapa final'!$O$53),"")</f>
        <v/>
      </c>
      <c r="AN12" s="96"/>
      <c r="AO12" s="390"/>
      <c r="AP12" s="391"/>
      <c r="AQ12" s="391"/>
      <c r="AR12" s="391"/>
      <c r="AS12" s="391"/>
      <c r="AT12" s="392"/>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row>
    <row r="13" spans="1:91" ht="15" customHeight="1" x14ac:dyDescent="0.25">
      <c r="A13" s="96"/>
      <c r="B13" s="285"/>
      <c r="C13" s="285"/>
      <c r="D13" s="286"/>
      <c r="E13" s="384"/>
      <c r="F13" s="383"/>
      <c r="G13" s="383"/>
      <c r="H13" s="383"/>
      <c r="I13" s="399"/>
      <c r="J13" s="65" t="str">
        <f ca="1">IF(AND('Mapa final'!$Y$54="Muy Alta",'Mapa final'!$AA$54="Leve"),CONCATENATE("R8C",'Mapa final'!$O$54),"")</f>
        <v/>
      </c>
      <c r="K13" s="66" t="str">
        <f>IF(AND('Mapa final'!$Y$55="Muy Alta",'Mapa final'!$AA$55="Leve"),CONCATENATE("R8C",'Mapa final'!$O$55),"")</f>
        <v/>
      </c>
      <c r="L13" s="66" t="str">
        <f>IF(AND('Mapa final'!$Y$56="Muy Alta",'Mapa final'!$AA$56="Leve"),CONCATENATE("R8C",'Mapa final'!$O$56),"")</f>
        <v/>
      </c>
      <c r="M13" s="66" t="str">
        <f>IF(AND('Mapa final'!$Y$57="Muy Alta",'Mapa final'!$AA$57="Leve"),CONCATENATE("R8C",'Mapa final'!$O$57),"")</f>
        <v/>
      </c>
      <c r="N13" s="66" t="str">
        <f>IF(AND('Mapa final'!$Y$58="Muy Alta",'Mapa final'!$AA$58="Leve"),CONCATENATE("R8C",'Mapa final'!$O$58),"")</f>
        <v/>
      </c>
      <c r="O13" s="66" t="str">
        <f>IF(AND('Mapa final'!$Y$59="Muy Alta",'Mapa final'!$AA$59="Leve"),CONCATENATE("R8C",'Mapa final'!$O$59),"")</f>
        <v/>
      </c>
      <c r="P13" s="65" t="str">
        <f ca="1">IF(AND('Mapa final'!$Y$54="Muy Alta",'Mapa final'!$AA$54="Menor"),CONCATENATE("R8C",'Mapa final'!$O$54),"")</f>
        <v/>
      </c>
      <c r="Q13" s="66" t="str">
        <f>IF(AND('Mapa final'!$Y$55="Muy Alta",'Mapa final'!$AA$55="Menor"),CONCATENATE("R8C",'Mapa final'!$O$55),"")</f>
        <v/>
      </c>
      <c r="R13" s="66" t="str">
        <f>IF(AND('Mapa final'!$Y$56="Muy Alta",'Mapa final'!$AA$56="Menor"),CONCATENATE("R8C",'Mapa final'!$O$56),"")</f>
        <v/>
      </c>
      <c r="S13" s="66" t="str">
        <f>IF(AND('Mapa final'!$Y$57="Muy Alta",'Mapa final'!$AA$57="Menor"),CONCATENATE("R8C",'Mapa final'!$O$57),"")</f>
        <v/>
      </c>
      <c r="T13" s="66" t="str">
        <f>IF(AND('Mapa final'!$Y$58="Muy Alta",'Mapa final'!$AA$58="Menor"),CONCATENATE("R8C",'Mapa final'!$O$58),"")</f>
        <v/>
      </c>
      <c r="U13" s="67" t="str">
        <f>IF(AND('Mapa final'!$Y$59="Muy Alta",'Mapa final'!$AA$59="Menor"),CONCATENATE("R8C",'Mapa final'!$O$59),"")</f>
        <v/>
      </c>
      <c r="V13" s="66" t="str">
        <f ca="1">IF(AND('Mapa final'!$Y$54="Muy Alta",'Mapa final'!$AA$54="Moderado"),CONCATENATE("R8C",'Mapa final'!$O$54),"")</f>
        <v/>
      </c>
      <c r="W13" s="66" t="str">
        <f>IF(AND('Mapa final'!$Y$55="Muy Alta",'Mapa final'!$AA$55="Moderado"),CONCATENATE("R8C",'Mapa final'!$O$55),"")</f>
        <v/>
      </c>
      <c r="X13" s="66" t="str">
        <f>IF(AND('Mapa final'!$Y$56="Muy Alta",'Mapa final'!$AA$56="Moderado"),CONCATENATE("R8C",'Mapa final'!$O$56),"")</f>
        <v/>
      </c>
      <c r="Y13" s="66" t="str">
        <f>IF(AND('Mapa final'!$Y$57="Muy Alta",'Mapa final'!$AA$57="Moderado"),CONCATENATE("R8C",'Mapa final'!$O$57),"")</f>
        <v/>
      </c>
      <c r="Z13" s="66" t="str">
        <f>IF(AND('Mapa final'!$Y$58="Muy Alta",'Mapa final'!$AA$58="Moderado"),CONCATENATE("R8C",'Mapa final'!$O$58),"")</f>
        <v/>
      </c>
      <c r="AA13" s="66" t="str">
        <f>IF(AND('Mapa final'!$Y$59="Muy Alta",'Mapa final'!$AA$59="Moderado"),CONCATENATE("R8C",'Mapa final'!$O$59),"")</f>
        <v/>
      </c>
      <c r="AB13" s="65" t="str">
        <f ca="1">IF(AND('Mapa final'!$Y$54="Muy Alta",'Mapa final'!$AA$54="Mayor"),CONCATENATE("R8C",'Mapa final'!$O$54),"")</f>
        <v/>
      </c>
      <c r="AC13" s="66" t="str">
        <f>IF(AND('Mapa final'!$Y$55="Muy Alta",'Mapa final'!$AA$55="Mayor"),CONCATENATE("R8C",'Mapa final'!$O$55),"")</f>
        <v/>
      </c>
      <c r="AD13" s="66" t="str">
        <f>IF(AND('Mapa final'!$Y$56="Muy Alta",'Mapa final'!$AA$56="Mayor"),CONCATENATE("R8C",'Mapa final'!$O$56),"")</f>
        <v/>
      </c>
      <c r="AE13" s="66" t="str">
        <f>IF(AND('Mapa final'!$Y$57="Muy Alta",'Mapa final'!$AA$57="Mayor"),CONCATENATE("R8C",'Mapa final'!$O$57),"")</f>
        <v/>
      </c>
      <c r="AF13" s="66" t="str">
        <f>IF(AND('Mapa final'!$Y$58="Muy Alta",'Mapa final'!$AA$58="Mayor"),CONCATENATE("R8C",'Mapa final'!$O$58),"")</f>
        <v/>
      </c>
      <c r="AG13" s="67" t="str">
        <f>IF(AND('Mapa final'!$Y$59="Muy Alta",'Mapa final'!$AA$59="Mayor"),CONCATENATE("R8C",'Mapa final'!$O$59),"")</f>
        <v/>
      </c>
      <c r="AH13" s="68" t="str">
        <f ca="1">IF(AND('Mapa final'!$Y$54="Muy Alta",'Mapa final'!$AA$54="Catastrófico"),CONCATENATE("R8C",'Mapa final'!$O$54),"")</f>
        <v/>
      </c>
      <c r="AI13" s="69" t="str">
        <f>IF(AND('Mapa final'!$Y$55="Muy Alta",'Mapa final'!$AA$55="Catastrófico"),CONCATENATE("R8C",'Mapa final'!$O$55),"")</f>
        <v/>
      </c>
      <c r="AJ13" s="69" t="str">
        <f>IF(AND('Mapa final'!$Y$56="Muy Alta",'Mapa final'!$AA$56="Catastrófico"),CONCATENATE("R8C",'Mapa final'!$O$56),"")</f>
        <v/>
      </c>
      <c r="AK13" s="69" t="str">
        <f>IF(AND('Mapa final'!$Y$57="Muy Alta",'Mapa final'!$AA$57="Catastrófico"),CONCATENATE("R8C",'Mapa final'!$O$57),"")</f>
        <v/>
      </c>
      <c r="AL13" s="69" t="str">
        <f>IF(AND('Mapa final'!$Y$58="Muy Alta",'Mapa final'!$AA$58="Catastrófico"),CONCATENATE("R8C",'Mapa final'!$O$58),"")</f>
        <v/>
      </c>
      <c r="AM13" s="70" t="str">
        <f>IF(AND('Mapa final'!$Y$59="Muy Alta",'Mapa final'!$AA$59="Catastrófico"),CONCATENATE("R8C",'Mapa final'!$O$59),"")</f>
        <v/>
      </c>
      <c r="AN13" s="96"/>
      <c r="AO13" s="390"/>
      <c r="AP13" s="391"/>
      <c r="AQ13" s="391"/>
      <c r="AR13" s="391"/>
      <c r="AS13" s="391"/>
      <c r="AT13" s="392"/>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row>
    <row r="14" spans="1:91" ht="15" customHeight="1" x14ac:dyDescent="0.25">
      <c r="A14" s="96"/>
      <c r="B14" s="285"/>
      <c r="C14" s="285"/>
      <c r="D14" s="286"/>
      <c r="E14" s="384"/>
      <c r="F14" s="383"/>
      <c r="G14" s="383"/>
      <c r="H14" s="383"/>
      <c r="I14" s="399"/>
      <c r="J14" s="65" t="str">
        <f ca="1">IF(AND('Mapa final'!$Y$60="Muy Alta",'Mapa final'!$AA$60="Leve"),CONCATENATE("R9C",'Mapa final'!$O$60),"")</f>
        <v/>
      </c>
      <c r="K14" s="66" t="str">
        <f>IF(AND('Mapa final'!$Y$61="Muy Alta",'Mapa final'!$AA$61="Leve"),CONCATENATE("R9C",'Mapa final'!$O$61),"")</f>
        <v/>
      </c>
      <c r="L14" s="66" t="str">
        <f>IF(AND('Mapa final'!$Y$62="Muy Alta",'Mapa final'!$AA$62="Leve"),CONCATENATE("R9C",'Mapa final'!$O$62),"")</f>
        <v/>
      </c>
      <c r="M14" s="66" t="str">
        <f>IF(AND('Mapa final'!$Y$63="Muy Alta",'Mapa final'!$AA$63="Leve"),CONCATENATE("R9C",'Mapa final'!$O$63),"")</f>
        <v/>
      </c>
      <c r="N14" s="66" t="str">
        <f>IF(AND('Mapa final'!$Y$64="Muy Alta",'Mapa final'!$AA$64="Leve"),CONCATENATE("R9C",'Mapa final'!$O$64),"")</f>
        <v/>
      </c>
      <c r="O14" s="66" t="str">
        <f>IF(AND('Mapa final'!$Y$65="Muy Alta",'Mapa final'!$AA$65="Leve"),CONCATENATE("R9C",'Mapa final'!$O$65),"")</f>
        <v/>
      </c>
      <c r="P14" s="65" t="str">
        <f ca="1">IF(AND('Mapa final'!$Y$60="Muy Alta",'Mapa final'!$AA$60="Menor"),CONCATENATE("R9C",'Mapa final'!$O$60),"")</f>
        <v/>
      </c>
      <c r="Q14" s="66" t="str">
        <f>IF(AND('Mapa final'!$Y$61="Muy Alta",'Mapa final'!$AA$61="Menor"),CONCATENATE("R9C",'Mapa final'!$O$61),"")</f>
        <v/>
      </c>
      <c r="R14" s="66" t="str">
        <f>IF(AND('Mapa final'!$Y$62="Muy Alta",'Mapa final'!$AA$62="Menor"),CONCATENATE("R9C",'Mapa final'!$O$62),"")</f>
        <v/>
      </c>
      <c r="S14" s="66" t="str">
        <f>IF(AND('Mapa final'!$Y$63="Muy Alta",'Mapa final'!$AA$63="Menor"),CONCATENATE("R9C",'Mapa final'!$O$63),"")</f>
        <v/>
      </c>
      <c r="T14" s="66" t="str">
        <f>IF(AND('Mapa final'!$Y$64="Muy Alta",'Mapa final'!$AA$64="Menor"),CONCATENATE("R9C",'Mapa final'!$O$64),"")</f>
        <v/>
      </c>
      <c r="U14" s="67" t="str">
        <f>IF(AND('Mapa final'!$Y$65="Muy Alta",'Mapa final'!$AA$65="Menor"),CONCATENATE("R9C",'Mapa final'!$O$65),"")</f>
        <v/>
      </c>
      <c r="V14" s="66" t="str">
        <f ca="1">IF(AND('Mapa final'!$Y$60="Muy Alta",'Mapa final'!$AA$60="Moderado"),CONCATENATE("R9C",'Mapa final'!$O$60),"")</f>
        <v/>
      </c>
      <c r="W14" s="66" t="str">
        <f>IF(AND('Mapa final'!$Y$61="Muy Alta",'Mapa final'!$AA$61="Moderado"),CONCATENATE("R9C",'Mapa final'!$O$61),"")</f>
        <v/>
      </c>
      <c r="X14" s="66" t="str">
        <f>IF(AND('Mapa final'!$Y$62="Muy Alta",'Mapa final'!$AA$62="Moderado"),CONCATENATE("R9C",'Mapa final'!$O$62),"")</f>
        <v/>
      </c>
      <c r="Y14" s="66" t="str">
        <f>IF(AND('Mapa final'!$Y$63="Muy Alta",'Mapa final'!$AA$63="Moderado"),CONCATENATE("R9C",'Mapa final'!$O$63),"")</f>
        <v/>
      </c>
      <c r="Z14" s="66" t="str">
        <f>IF(AND('Mapa final'!$Y$64="Muy Alta",'Mapa final'!$AA$64="Moderado"),CONCATENATE("R9C",'Mapa final'!$O$64),"")</f>
        <v/>
      </c>
      <c r="AA14" s="66" t="str">
        <f>IF(AND('Mapa final'!$Y$65="Muy Alta",'Mapa final'!$AA$65="Moderado"),CONCATENATE("R9C",'Mapa final'!$O$65),"")</f>
        <v/>
      </c>
      <c r="AB14" s="65" t="str">
        <f ca="1">IF(AND('Mapa final'!$Y$60="Muy Alta",'Mapa final'!$AA$60="Mayor"),CONCATENATE("R9C",'Mapa final'!$O$60),"")</f>
        <v/>
      </c>
      <c r="AC14" s="66" t="str">
        <f>IF(AND('Mapa final'!$Y$61="Muy Alta",'Mapa final'!$AA$61="Mayor"),CONCATENATE("R9C",'Mapa final'!$O$61),"")</f>
        <v/>
      </c>
      <c r="AD14" s="66" t="str">
        <f>IF(AND('Mapa final'!$Y$62="Muy Alta",'Mapa final'!$AA$62="Mayor"),CONCATENATE("R9C",'Mapa final'!$O$62),"")</f>
        <v/>
      </c>
      <c r="AE14" s="66" t="str">
        <f>IF(AND('Mapa final'!$Y$63="Muy Alta",'Mapa final'!$AA$63="Mayor"),CONCATENATE("R9C",'Mapa final'!$O$63),"")</f>
        <v/>
      </c>
      <c r="AF14" s="66" t="str">
        <f>IF(AND('Mapa final'!$Y$64="Muy Alta",'Mapa final'!$AA$64="Mayor"),CONCATENATE("R9C",'Mapa final'!$O$64),"")</f>
        <v/>
      </c>
      <c r="AG14" s="67" t="str">
        <f>IF(AND('Mapa final'!$Y$65="Muy Alta",'Mapa final'!$AA$65="Mayor"),CONCATENATE("R9C",'Mapa final'!$O$65),"")</f>
        <v/>
      </c>
      <c r="AH14" s="68" t="str">
        <f ca="1">IF(AND('Mapa final'!$Y$60="Muy Alta",'Mapa final'!$AA$60="Catastrófico"),CONCATENATE("R9C",'Mapa final'!$O$60),"")</f>
        <v/>
      </c>
      <c r="AI14" s="69" t="str">
        <f>IF(AND('Mapa final'!$Y$61="Muy Alta",'Mapa final'!$AA$61="Catastrófico"),CONCATENATE("R9C",'Mapa final'!$O$61),"")</f>
        <v/>
      </c>
      <c r="AJ14" s="69" t="str">
        <f>IF(AND('Mapa final'!$Y$62="Muy Alta",'Mapa final'!$AA$62="Catastrófico"),CONCATENATE("R9C",'Mapa final'!$O$62),"")</f>
        <v/>
      </c>
      <c r="AK14" s="69" t="str">
        <f>IF(AND('Mapa final'!$Y$63="Muy Alta",'Mapa final'!$AA$63="Catastrófico"),CONCATENATE("R9C",'Mapa final'!$O$63),"")</f>
        <v/>
      </c>
      <c r="AL14" s="69" t="str">
        <f>IF(AND('Mapa final'!$Y$64="Muy Alta",'Mapa final'!$AA$64="Catastrófico"),CONCATENATE("R9C",'Mapa final'!$O$64),"")</f>
        <v/>
      </c>
      <c r="AM14" s="70" t="str">
        <f>IF(AND('Mapa final'!$Y$65="Muy Alta",'Mapa final'!$AA$65="Catastrófico"),CONCATENATE("R9C",'Mapa final'!$O$65),"")</f>
        <v/>
      </c>
      <c r="AN14" s="96"/>
      <c r="AO14" s="390"/>
      <c r="AP14" s="391"/>
      <c r="AQ14" s="391"/>
      <c r="AR14" s="391"/>
      <c r="AS14" s="391"/>
      <c r="AT14" s="392"/>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row>
    <row r="15" spans="1:91" ht="15.75" customHeight="1" thickBot="1" x14ac:dyDescent="0.3">
      <c r="A15" s="96"/>
      <c r="B15" s="285"/>
      <c r="C15" s="285"/>
      <c r="D15" s="286"/>
      <c r="E15" s="385"/>
      <c r="F15" s="386"/>
      <c r="G15" s="386"/>
      <c r="H15" s="386"/>
      <c r="I15" s="400"/>
      <c r="J15" s="71" t="str">
        <f ca="1">IF(AND('Mapa final'!$Y$72="Muy Alta",'Mapa final'!$AA$72="Leve"),CONCATENATE("R10C",'Mapa final'!$O$72),"")</f>
        <v/>
      </c>
      <c r="K15" s="72" t="str">
        <f>IF(AND('Mapa final'!$Y$73="Muy Alta",'Mapa final'!$AA$73="Leve"),CONCATENATE("R10C",'Mapa final'!$O$73),"")</f>
        <v/>
      </c>
      <c r="L15" s="72" t="str">
        <f>IF(AND('Mapa final'!$Y$74="Muy Alta",'Mapa final'!$AA$74="Leve"),CONCATENATE("R10C",'Mapa final'!$O$74),"")</f>
        <v/>
      </c>
      <c r="M15" s="72" t="str">
        <f>IF(AND('Mapa final'!$Y$75="Muy Alta",'Mapa final'!$AA$75="Leve"),CONCATENATE("R10C",'Mapa final'!$O$75),"")</f>
        <v/>
      </c>
      <c r="N15" s="72" t="str">
        <f>IF(AND('Mapa final'!$Y$76="Muy Alta",'Mapa final'!$AA$76="Leve"),CONCATENATE("R10C",'Mapa final'!$O$76),"")</f>
        <v/>
      </c>
      <c r="O15" s="72" t="str">
        <f>IF(AND('Mapa final'!$Y$77="Muy Alta",'Mapa final'!$AA$77="Leve"),CONCATENATE("R10C",'Mapa final'!$O$77),"")</f>
        <v/>
      </c>
      <c r="P15" s="71" t="str">
        <f ca="1">IF(AND('Mapa final'!$Y$72="Muy Alta",'Mapa final'!$AA$72="Menor"),CONCATENATE("R10C",'Mapa final'!$O$72),"")</f>
        <v/>
      </c>
      <c r="Q15" s="72" t="str">
        <f>IF(AND('Mapa final'!$Y$73="Muy Alta",'Mapa final'!$AA$73="Menor"),CONCATENATE("R10C",'Mapa final'!$O$73),"")</f>
        <v/>
      </c>
      <c r="R15" s="72" t="str">
        <f>IF(AND('Mapa final'!$Y$74="Muy Alta",'Mapa final'!$AA$74="Menor"),CONCATENATE("R10C",'Mapa final'!$O$74),"")</f>
        <v/>
      </c>
      <c r="S15" s="72" t="str">
        <f>IF(AND('Mapa final'!$Y$75="Muy Alta",'Mapa final'!$AA$75="Menor"),CONCATENATE("R10C",'Mapa final'!$O$75),"")</f>
        <v/>
      </c>
      <c r="T15" s="72" t="str">
        <f>IF(AND('Mapa final'!$Y$76="Muy Alta",'Mapa final'!$AA$76="Menor"),CONCATENATE("R10C",'Mapa final'!$O$76),"")</f>
        <v/>
      </c>
      <c r="U15" s="73" t="str">
        <f>IF(AND('Mapa final'!$Y$77="Muy Alta",'Mapa final'!$AA$77="Menor"),CONCATENATE("R10C",'Mapa final'!$O$77),"")</f>
        <v/>
      </c>
      <c r="V15" s="72" t="str">
        <f ca="1">IF(AND('Mapa final'!$Y$72="Muy Alta",'Mapa final'!$AA$72="Moderado"),CONCATENATE("R10C",'Mapa final'!$O$72),"")</f>
        <v/>
      </c>
      <c r="W15" s="72" t="str">
        <f>IF(AND('Mapa final'!$Y$73="Muy Alta",'Mapa final'!$AA$73="Moderado"),CONCATENATE("R10C",'Mapa final'!$O$73),"")</f>
        <v/>
      </c>
      <c r="X15" s="72" t="str">
        <f>IF(AND('Mapa final'!$Y$74="Muy Alta",'Mapa final'!$AA$74="Moderado"),CONCATENATE("R10C",'Mapa final'!$O$74),"")</f>
        <v/>
      </c>
      <c r="Y15" s="72" t="str">
        <f>IF(AND('Mapa final'!$Y$75="Muy Alta",'Mapa final'!$AA$75="Moderado"),CONCATENATE("R10C",'Mapa final'!$O$75),"")</f>
        <v/>
      </c>
      <c r="Z15" s="72" t="str">
        <f>IF(AND('Mapa final'!$Y$76="Muy Alta",'Mapa final'!$AA$76="Moderado"),CONCATENATE("R10C",'Mapa final'!$O$76),"")</f>
        <v/>
      </c>
      <c r="AA15" s="72" t="str">
        <f>IF(AND('Mapa final'!$Y$77="Muy Alta",'Mapa final'!$AA$77="Moderado"),CONCATENATE("R10C",'Mapa final'!$O$77),"")</f>
        <v/>
      </c>
      <c r="AB15" s="71" t="str">
        <f ca="1">IF(AND('Mapa final'!$Y$72="Muy Alta",'Mapa final'!$AA$72="Mayor"),CONCATENATE("R10C",'Mapa final'!$O$72),"")</f>
        <v/>
      </c>
      <c r="AC15" s="72" t="str">
        <f>IF(AND('Mapa final'!$Y$73="Muy Alta",'Mapa final'!$AA$73="Mayor"),CONCATENATE("R10C",'Mapa final'!$O$73),"")</f>
        <v/>
      </c>
      <c r="AD15" s="72" t="str">
        <f>IF(AND('Mapa final'!$Y$74="Muy Alta",'Mapa final'!$AA$74="Mayor"),CONCATENATE("R10C",'Mapa final'!$O$74),"")</f>
        <v/>
      </c>
      <c r="AE15" s="72" t="str">
        <f>IF(AND('Mapa final'!$Y$75="Muy Alta",'Mapa final'!$AA$75="Mayor"),CONCATENATE("R10C",'Mapa final'!$O$75),"")</f>
        <v/>
      </c>
      <c r="AF15" s="72" t="str">
        <f>IF(AND('Mapa final'!$Y$76="Muy Alta",'Mapa final'!$AA$76="Mayor"),CONCATENATE("R10C",'Mapa final'!$O$76),"")</f>
        <v/>
      </c>
      <c r="AG15" s="73" t="str">
        <f>IF(AND('Mapa final'!$Y$77="Muy Alta",'Mapa final'!$AA$77="Mayor"),CONCATENATE("R10C",'Mapa final'!$O$77),"")</f>
        <v/>
      </c>
      <c r="AH15" s="74" t="str">
        <f ca="1">IF(AND('Mapa final'!$Y$72="Muy Alta",'Mapa final'!$AA$72="Catastrófico"),CONCATENATE("R10C",'Mapa final'!$O$72),"")</f>
        <v/>
      </c>
      <c r="AI15" s="75" t="str">
        <f>IF(AND('Mapa final'!$Y$73="Muy Alta",'Mapa final'!$AA$73="Catastrófico"),CONCATENATE("R10C",'Mapa final'!$O$73),"")</f>
        <v/>
      </c>
      <c r="AJ15" s="75" t="str">
        <f>IF(AND('Mapa final'!$Y$74="Muy Alta",'Mapa final'!$AA$74="Catastrófico"),CONCATENATE("R10C",'Mapa final'!$O$74),"")</f>
        <v/>
      </c>
      <c r="AK15" s="75" t="str">
        <f>IF(AND('Mapa final'!$Y$75="Muy Alta",'Mapa final'!$AA$75="Catastrófico"),CONCATENATE("R10C",'Mapa final'!$O$75),"")</f>
        <v/>
      </c>
      <c r="AL15" s="75" t="str">
        <f>IF(AND('Mapa final'!$Y$76="Muy Alta",'Mapa final'!$AA$76="Catastrófico"),CONCATENATE("R10C",'Mapa final'!$O$76),"")</f>
        <v/>
      </c>
      <c r="AM15" s="76" t="str">
        <f>IF(AND('Mapa final'!$Y$77="Muy Alta",'Mapa final'!$AA$77="Catastrófico"),CONCATENATE("R10C",'Mapa final'!$O$77),"")</f>
        <v/>
      </c>
      <c r="AN15" s="96"/>
      <c r="AO15" s="393"/>
      <c r="AP15" s="394"/>
      <c r="AQ15" s="394"/>
      <c r="AR15" s="394"/>
      <c r="AS15" s="394"/>
      <c r="AT15" s="395"/>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row>
    <row r="16" spans="1:91" ht="15" customHeight="1" x14ac:dyDescent="0.25">
      <c r="A16" s="96"/>
      <c r="B16" s="285"/>
      <c r="C16" s="285"/>
      <c r="D16" s="286"/>
      <c r="E16" s="380" t="s">
        <v>115</v>
      </c>
      <c r="F16" s="381"/>
      <c r="G16" s="381"/>
      <c r="H16" s="381"/>
      <c r="I16" s="381"/>
      <c r="J16" s="77" t="str">
        <f>IF(AND('Mapa final'!$Y$12="Alta",'Mapa final'!$AA$12="Leve"),CONCATENATE("R1C",'Mapa final'!$O$12),"")</f>
        <v/>
      </c>
      <c r="K16" s="78" t="str">
        <f>IF(AND('Mapa final'!$Y$13="Alta",'Mapa final'!$AA$13="Leve"),CONCATENATE("R1C",'Mapa final'!$O$13),"")</f>
        <v/>
      </c>
      <c r="L16" s="78" t="str">
        <f>IF(AND('Mapa final'!$Y$14="Alta",'Mapa final'!$AA$14="Leve"),CONCATENATE("R1C",'Mapa final'!$O$14),"")</f>
        <v/>
      </c>
      <c r="M16" s="78" t="str">
        <f>IF(AND('Mapa final'!$Y$15="Alta",'Mapa final'!$AA$15="Leve"),CONCATENATE("R1C",'Mapa final'!$O$15),"")</f>
        <v/>
      </c>
      <c r="N16" s="78" t="str">
        <f>IF(AND('Mapa final'!$Y$16="Alta",'Mapa final'!$AA$16="Leve"),CONCATENATE("R1C",'Mapa final'!$O$16),"")</f>
        <v/>
      </c>
      <c r="O16" s="79" t="str">
        <f>IF(AND('Mapa final'!$Y$17="Alta",'Mapa final'!$AA$17="Leve"),CONCATENATE("R1C",'Mapa final'!$O$17),"")</f>
        <v/>
      </c>
      <c r="P16" s="78" t="str">
        <f>IF(AND('Mapa final'!$Y$12="Alta",'Mapa final'!$AA$12="Menor"),CONCATENATE("R1C",'Mapa final'!$O$12),"")</f>
        <v/>
      </c>
      <c r="Q16" s="78" t="str">
        <f>IF(AND('Mapa final'!$Y$13="Alta",'Mapa final'!$AA$13="Menor"),CONCATENATE("R1C",'Mapa final'!$O$13),"")</f>
        <v/>
      </c>
      <c r="R16" s="78" t="str">
        <f>IF(AND('Mapa final'!$Y$14="Alta",'Mapa final'!$AA$14="Menor"),CONCATENATE("R1C",'Mapa final'!$O$14),"")</f>
        <v/>
      </c>
      <c r="S16" s="78" t="str">
        <f>IF(AND('Mapa final'!$Y$15="Alta",'Mapa final'!$AA$15="Menor"),CONCATENATE("R1C",'Mapa final'!$O$15),"")</f>
        <v/>
      </c>
      <c r="T16" s="78" t="str">
        <f>IF(AND('Mapa final'!$Y$16="Alta",'Mapa final'!$AA$16="Menor"),CONCATENATE("R1C",'Mapa final'!$O$16),"")</f>
        <v/>
      </c>
      <c r="U16" s="78" t="str">
        <f>IF(AND('Mapa final'!$Y$17="Alta",'Mapa final'!$AA$17="Menor"),CONCATENATE("R1C",'Mapa final'!$O$17),"")</f>
        <v/>
      </c>
      <c r="V16" s="59" t="str">
        <f>IF(AND('Mapa final'!$Y$12="Alta",'Mapa final'!$AA$12="Moderado"),CONCATENATE("R1C",'Mapa final'!$O$12),"")</f>
        <v/>
      </c>
      <c r="W16" s="60" t="str">
        <f>IF(AND('Mapa final'!$Y$13="Alta",'Mapa final'!$AA$13="Moderado"),CONCATENATE("R1C",'Mapa final'!$O$13),"")</f>
        <v/>
      </c>
      <c r="X16" s="60" t="str">
        <f>IF(AND('Mapa final'!$Y$14="Alta",'Mapa final'!$AA$14="Moderado"),CONCATENATE("R1C",'Mapa final'!$O$14),"")</f>
        <v/>
      </c>
      <c r="Y16" s="60" t="str">
        <f>IF(AND('Mapa final'!$Y$15="Alta",'Mapa final'!$AA$15="Moderado"),CONCATENATE("R1C",'Mapa final'!$O$15),"")</f>
        <v/>
      </c>
      <c r="Z16" s="60" t="str">
        <f>IF(AND('Mapa final'!$Y$16="Alta",'Mapa final'!$AA$16="Moderado"),CONCATENATE("R1C",'Mapa final'!$O$16),"")</f>
        <v/>
      </c>
      <c r="AA16" s="61" t="str">
        <f>IF(AND('Mapa final'!$Y$17="Alta",'Mapa final'!$AA$17="Moderado"),CONCATENATE("R1C",'Mapa final'!$O$17),"")</f>
        <v/>
      </c>
      <c r="AB16" s="60" t="str">
        <f>IF(AND('Mapa final'!$Y$12="Alta",'Mapa final'!$AA$12="Mayor"),CONCATENATE("R1C",'Mapa final'!$O$12),"")</f>
        <v/>
      </c>
      <c r="AC16" s="60" t="str">
        <f>IF(AND('Mapa final'!$Y$13="Alta",'Mapa final'!$AA$13="Mayor"),CONCATENATE("R1C",'Mapa final'!$O$13),"")</f>
        <v/>
      </c>
      <c r="AD16" s="60" t="str">
        <f>IF(AND('Mapa final'!$Y$14="Alta",'Mapa final'!$AA$14="Mayor"),CONCATENATE("R1C",'Mapa final'!$O$14),"")</f>
        <v/>
      </c>
      <c r="AE16" s="60" t="str">
        <f>IF(AND('Mapa final'!$Y$15="Alta",'Mapa final'!$AA$15="Mayor"),CONCATENATE("R1C",'Mapa final'!$O$15),"")</f>
        <v/>
      </c>
      <c r="AF16" s="60" t="str">
        <f>IF(AND('Mapa final'!$Y$16="Alta",'Mapa final'!$AA$16="Mayor"),CONCATENATE("R1C",'Mapa final'!$O$16),"")</f>
        <v/>
      </c>
      <c r="AG16" s="60" t="str">
        <f>IF(AND('Mapa final'!$Y$17="Alta",'Mapa final'!$AA$17="Mayor"),CONCATENATE("R1C",'Mapa final'!$O$17),"")</f>
        <v/>
      </c>
      <c r="AH16" s="62" t="str">
        <f>IF(AND('Mapa final'!$Y$12="Alta",'Mapa final'!$AA$12="Catastrófico"),CONCATENATE("R1C",'Mapa final'!$O$12),"")</f>
        <v/>
      </c>
      <c r="AI16" s="63" t="str">
        <f>IF(AND('Mapa final'!$Y$13="Alta",'Mapa final'!$AA$13="Catastrófico"),CONCATENATE("R1C",'Mapa final'!$O$13),"")</f>
        <v/>
      </c>
      <c r="AJ16" s="63" t="str">
        <f>IF(AND('Mapa final'!$Y$14="Alta",'Mapa final'!$AA$14="Catastrófico"),CONCATENATE("R1C",'Mapa final'!$O$14),"")</f>
        <v/>
      </c>
      <c r="AK16" s="63" t="str">
        <f>IF(AND('Mapa final'!$Y$15="Alta",'Mapa final'!$AA$15="Catastrófico"),CONCATENATE("R1C",'Mapa final'!$O$15),"")</f>
        <v/>
      </c>
      <c r="AL16" s="63" t="str">
        <f>IF(AND('Mapa final'!$Y$16="Alta",'Mapa final'!$AA$16="Catastrófico"),CONCATENATE("R1C",'Mapa final'!$O$16),"")</f>
        <v/>
      </c>
      <c r="AM16" s="64" t="str">
        <f>IF(AND('Mapa final'!$Y$17="Alta",'Mapa final'!$AA$17="Catastrófico"),CONCATENATE("R1C",'Mapa final'!$O$17),"")</f>
        <v/>
      </c>
      <c r="AN16" s="96"/>
      <c r="AO16" s="371" t="s">
        <v>80</v>
      </c>
      <c r="AP16" s="372"/>
      <c r="AQ16" s="372"/>
      <c r="AR16" s="372"/>
      <c r="AS16" s="372"/>
      <c r="AT16" s="373"/>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row>
    <row r="17" spans="1:76" ht="15" customHeight="1" x14ac:dyDescent="0.25">
      <c r="A17" s="96"/>
      <c r="B17" s="285"/>
      <c r="C17" s="285"/>
      <c r="D17" s="286"/>
      <c r="E17" s="382"/>
      <c r="F17" s="383"/>
      <c r="G17" s="383"/>
      <c r="H17" s="383"/>
      <c r="I17" s="383"/>
      <c r="J17" s="80" t="str">
        <f ca="1">IF(AND('Mapa final'!$Y$18="Alta",'Mapa final'!$AA$18="Leve"),CONCATENATE("R2C",'Mapa final'!$O$18),"")</f>
        <v/>
      </c>
      <c r="K17" s="81" t="str">
        <f>IF(AND('Mapa final'!$Y$19="Alta",'Mapa final'!$AA$19="Leve"),CONCATENATE("R2C",'Mapa final'!$O$19),"")</f>
        <v/>
      </c>
      <c r="L17" s="81" t="str">
        <f>IF(AND('Mapa final'!$Y$20="Alta",'Mapa final'!$AA$20="Leve"),CONCATENATE("R2C",'Mapa final'!$O$20),"")</f>
        <v/>
      </c>
      <c r="M17" s="81" t="str">
        <f>IF(AND('Mapa final'!$Y$21="Alta",'Mapa final'!$AA$21="Leve"),CONCATENATE("R2C",'Mapa final'!$O$21),"")</f>
        <v/>
      </c>
      <c r="N17" s="81" t="str">
        <f>IF(AND('Mapa final'!$Y$22="Alta",'Mapa final'!$AA$22="Leve"),CONCATENATE("R2C",'Mapa final'!$O$22),"")</f>
        <v/>
      </c>
      <c r="O17" s="82" t="str">
        <f>IF(AND('Mapa final'!$Y$23="Alta",'Mapa final'!$AA$23="Leve"),CONCATENATE("R2C",'Mapa final'!$O$23),"")</f>
        <v/>
      </c>
      <c r="P17" s="81" t="str">
        <f ca="1">IF(AND('Mapa final'!$Y$18="Alta",'Mapa final'!$AA$18="Menor"),CONCATENATE("R2C",'Mapa final'!$O$18),"")</f>
        <v/>
      </c>
      <c r="Q17" s="81" t="str">
        <f>IF(AND('Mapa final'!$Y$19="Alta",'Mapa final'!$AA$19="Menor"),CONCATENATE("R2C",'Mapa final'!$O$19),"")</f>
        <v/>
      </c>
      <c r="R17" s="81" t="str">
        <f>IF(AND('Mapa final'!$Y$20="Alta",'Mapa final'!$AA$20="Menor"),CONCATENATE("R2C",'Mapa final'!$O$20),"")</f>
        <v/>
      </c>
      <c r="S17" s="81" t="str">
        <f>IF(AND('Mapa final'!$Y$21="Alta",'Mapa final'!$AA$21="Menor"),CONCATENATE("R2C",'Mapa final'!$O$21),"")</f>
        <v/>
      </c>
      <c r="T17" s="81" t="str">
        <f>IF(AND('Mapa final'!$Y$22="Alta",'Mapa final'!$AA$22="Menor"),CONCATENATE("R2C",'Mapa final'!$O$22),"")</f>
        <v/>
      </c>
      <c r="U17" s="81" t="str">
        <f>IF(AND('Mapa final'!$Y$23="Alta",'Mapa final'!$AA$23="Menor"),CONCATENATE("R2C",'Mapa final'!$O$23),"")</f>
        <v/>
      </c>
      <c r="V17" s="65" t="str">
        <f ca="1">IF(AND('Mapa final'!$Y$18="Alta",'Mapa final'!$AA$18="Moderado"),CONCATENATE("R2C",'Mapa final'!$O$18),"")</f>
        <v/>
      </c>
      <c r="W17" s="66" t="str">
        <f>IF(AND('Mapa final'!$Y$19="Alta",'Mapa final'!$AA$19="Moderado"),CONCATENATE("R2C",'Mapa final'!$O$19),"")</f>
        <v/>
      </c>
      <c r="X17" s="66" t="str">
        <f>IF(AND('Mapa final'!$Y$20="Alta",'Mapa final'!$AA$20="Moderado"),CONCATENATE("R2C",'Mapa final'!$O$20),"")</f>
        <v/>
      </c>
      <c r="Y17" s="66" t="str">
        <f>IF(AND('Mapa final'!$Y$21="Alta",'Mapa final'!$AA$21="Moderado"),CONCATENATE("R2C",'Mapa final'!$O$21),"")</f>
        <v/>
      </c>
      <c r="Z17" s="66" t="str">
        <f>IF(AND('Mapa final'!$Y$22="Alta",'Mapa final'!$AA$22="Moderado"),CONCATENATE("R2C",'Mapa final'!$O$22),"")</f>
        <v/>
      </c>
      <c r="AA17" s="67" t="str">
        <f>IF(AND('Mapa final'!$Y$23="Alta",'Mapa final'!$AA$23="Moderado"),CONCATENATE("R2C",'Mapa final'!$O$23),"")</f>
        <v/>
      </c>
      <c r="AB17" s="66" t="str">
        <f ca="1">IF(AND('Mapa final'!$Y$18="Alta",'Mapa final'!$AA$18="Mayor"),CONCATENATE("R2C",'Mapa final'!$O$18),"")</f>
        <v/>
      </c>
      <c r="AC17" s="66" t="str">
        <f>IF(AND('Mapa final'!$Y$19="Alta",'Mapa final'!$AA$19="Mayor"),CONCATENATE("R2C",'Mapa final'!$O$19),"")</f>
        <v/>
      </c>
      <c r="AD17" s="66" t="str">
        <f>IF(AND('Mapa final'!$Y$20="Alta",'Mapa final'!$AA$20="Mayor"),CONCATENATE("R2C",'Mapa final'!$O$20),"")</f>
        <v/>
      </c>
      <c r="AE17" s="66" t="str">
        <f>IF(AND('Mapa final'!$Y$21="Alta",'Mapa final'!$AA$21="Mayor"),CONCATENATE("R2C",'Mapa final'!$O$21),"")</f>
        <v/>
      </c>
      <c r="AF17" s="66" t="str">
        <f>IF(AND('Mapa final'!$Y$22="Alta",'Mapa final'!$AA$22="Mayor"),CONCATENATE("R2C",'Mapa final'!$O$22),"")</f>
        <v/>
      </c>
      <c r="AG17" s="66" t="str">
        <f>IF(AND('Mapa final'!$Y$23="Alta",'Mapa final'!$AA$23="Mayor"),CONCATENATE("R2C",'Mapa final'!$O$23),"")</f>
        <v/>
      </c>
      <c r="AH17" s="68" t="str">
        <f ca="1">IF(AND('Mapa final'!$Y$18="Alta",'Mapa final'!$AA$18="Catastrófico"),CONCATENATE("R2C",'Mapa final'!$O$18),"")</f>
        <v/>
      </c>
      <c r="AI17" s="69" t="str">
        <f>IF(AND('Mapa final'!$Y$19="Alta",'Mapa final'!$AA$19="Catastrófico"),CONCATENATE("R2C",'Mapa final'!$O$19),"")</f>
        <v/>
      </c>
      <c r="AJ17" s="69" t="str">
        <f>IF(AND('Mapa final'!$Y$20="Alta",'Mapa final'!$AA$20="Catastrófico"),CONCATENATE("R2C",'Mapa final'!$O$20),"")</f>
        <v/>
      </c>
      <c r="AK17" s="69" t="str">
        <f>IF(AND('Mapa final'!$Y$21="Alta",'Mapa final'!$AA$21="Catastrófico"),CONCATENATE("R2C",'Mapa final'!$O$21),"")</f>
        <v/>
      </c>
      <c r="AL17" s="69" t="str">
        <f>IF(AND('Mapa final'!$Y$22="Alta",'Mapa final'!$AA$22="Catastrófico"),CONCATENATE("R2C",'Mapa final'!$O$22),"")</f>
        <v/>
      </c>
      <c r="AM17" s="70" t="str">
        <f>IF(AND('Mapa final'!$Y$23="Alta",'Mapa final'!$AA$23="Catastrófico"),CONCATENATE("R2C",'Mapa final'!$O$23),"")</f>
        <v/>
      </c>
      <c r="AN17" s="96"/>
      <c r="AO17" s="374"/>
      <c r="AP17" s="375"/>
      <c r="AQ17" s="375"/>
      <c r="AR17" s="375"/>
      <c r="AS17" s="375"/>
      <c r="AT17" s="37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row>
    <row r="18" spans="1:76" ht="15" customHeight="1" x14ac:dyDescent="0.25">
      <c r="A18" s="96"/>
      <c r="B18" s="285"/>
      <c r="C18" s="285"/>
      <c r="D18" s="286"/>
      <c r="E18" s="384"/>
      <c r="F18" s="383"/>
      <c r="G18" s="383"/>
      <c r="H18" s="383"/>
      <c r="I18" s="383"/>
      <c r="J18" s="80" t="str">
        <f ca="1">IF(AND('Mapa final'!$Y$24="Alta",'Mapa final'!$AA$24="Leve"),CONCATENATE("R3C",'Mapa final'!$O$24),"")</f>
        <v/>
      </c>
      <c r="K18" s="81" t="str">
        <f>IF(AND('Mapa final'!$Y$25="Alta",'Mapa final'!$AA$25="Leve"),CONCATENATE("R3C",'Mapa final'!$O$25),"")</f>
        <v/>
      </c>
      <c r="L18" s="81" t="str">
        <f>IF(AND('Mapa final'!$Y$26="Alta",'Mapa final'!$AA$26="Leve"),CONCATENATE("R3C",'Mapa final'!$O$26),"")</f>
        <v/>
      </c>
      <c r="M18" s="81" t="str">
        <f>IF(AND('Mapa final'!$Y$27="Alta",'Mapa final'!$AA$27="Leve"),CONCATENATE("R3C",'Mapa final'!$O$27),"")</f>
        <v/>
      </c>
      <c r="N18" s="81" t="str">
        <f>IF(AND('Mapa final'!$Y$28="Alta",'Mapa final'!$AA$28="Leve"),CONCATENATE("R3C",'Mapa final'!$O$28),"")</f>
        <v/>
      </c>
      <c r="O18" s="82" t="str">
        <f>IF(AND('Mapa final'!$Y$29="Alta",'Mapa final'!$AA$29="Leve"),CONCATENATE("R3C",'Mapa final'!$O$29),"")</f>
        <v/>
      </c>
      <c r="P18" s="81" t="str">
        <f ca="1">IF(AND('Mapa final'!$Y$24="Alta",'Mapa final'!$AA$24="Menor"),CONCATENATE("R3C",'Mapa final'!$O$24),"")</f>
        <v/>
      </c>
      <c r="Q18" s="81" t="str">
        <f>IF(AND('Mapa final'!$Y$25="Alta",'Mapa final'!$AA$25="Menor"),CONCATENATE("R3C",'Mapa final'!$O$25),"")</f>
        <v/>
      </c>
      <c r="R18" s="81" t="str">
        <f>IF(AND('Mapa final'!$Y$26="Alta",'Mapa final'!$AA$26="Menor"),CONCATENATE("R3C",'Mapa final'!$O$26),"")</f>
        <v/>
      </c>
      <c r="S18" s="81" t="str">
        <f>IF(AND('Mapa final'!$Y$27="Alta",'Mapa final'!$AA$27="Menor"),CONCATENATE("R3C",'Mapa final'!$O$27),"")</f>
        <v/>
      </c>
      <c r="T18" s="81" t="str">
        <f>IF(AND('Mapa final'!$Y$28="Alta",'Mapa final'!$AA$28="Menor"),CONCATENATE("R3C",'Mapa final'!$O$28),"")</f>
        <v/>
      </c>
      <c r="U18" s="81" t="str">
        <f>IF(AND('Mapa final'!$Y$29="Alta",'Mapa final'!$AA$29="Menor"),CONCATENATE("R3C",'Mapa final'!$O$29),"")</f>
        <v/>
      </c>
      <c r="V18" s="65" t="str">
        <f ca="1">IF(AND('Mapa final'!$Y$24="Alta",'Mapa final'!$AA$24="Moderado"),CONCATENATE("R3C",'Mapa final'!$O$24),"")</f>
        <v/>
      </c>
      <c r="W18" s="66" t="str">
        <f>IF(AND('Mapa final'!$Y$25="Alta",'Mapa final'!$AA$25="Moderado"),CONCATENATE("R3C",'Mapa final'!$O$25),"")</f>
        <v/>
      </c>
      <c r="X18" s="66" t="str">
        <f>IF(AND('Mapa final'!$Y$26="Alta",'Mapa final'!$AA$26="Moderado"),CONCATENATE("R3C",'Mapa final'!$O$26),"")</f>
        <v/>
      </c>
      <c r="Y18" s="66" t="str">
        <f>IF(AND('Mapa final'!$Y$27="Alta",'Mapa final'!$AA$27="Moderado"),CONCATENATE("R3C",'Mapa final'!$O$27),"")</f>
        <v/>
      </c>
      <c r="Z18" s="66" t="str">
        <f>IF(AND('Mapa final'!$Y$28="Alta",'Mapa final'!$AA$28="Moderado"),CONCATENATE("R3C",'Mapa final'!$O$28),"")</f>
        <v/>
      </c>
      <c r="AA18" s="67" t="str">
        <f>IF(AND('Mapa final'!$Y$29="Alta",'Mapa final'!$AA$29="Moderado"),CONCATENATE("R3C",'Mapa final'!$O$29),"")</f>
        <v/>
      </c>
      <c r="AB18" s="66" t="str">
        <f ca="1">IF(AND('Mapa final'!$Y$24="Alta",'Mapa final'!$AA$24="Mayor"),CONCATENATE("R3C",'Mapa final'!$O$24),"")</f>
        <v/>
      </c>
      <c r="AC18" s="66" t="str">
        <f>IF(AND('Mapa final'!$Y$25="Alta",'Mapa final'!$AA$25="Mayor"),CONCATENATE("R3C",'Mapa final'!$O$25),"")</f>
        <v/>
      </c>
      <c r="AD18" s="66" t="str">
        <f>IF(AND('Mapa final'!$Y$26="Alta",'Mapa final'!$AA$26="Mayor"),CONCATENATE("R3C",'Mapa final'!$O$26),"")</f>
        <v/>
      </c>
      <c r="AE18" s="66" t="str">
        <f>IF(AND('Mapa final'!$Y$27="Alta",'Mapa final'!$AA$27="Mayor"),CONCATENATE("R3C",'Mapa final'!$O$27),"")</f>
        <v/>
      </c>
      <c r="AF18" s="66" t="str">
        <f>IF(AND('Mapa final'!$Y$28="Alta",'Mapa final'!$AA$28="Mayor"),CONCATENATE("R3C",'Mapa final'!$O$28),"")</f>
        <v/>
      </c>
      <c r="AG18" s="66" t="str">
        <f>IF(AND('Mapa final'!$Y$29="Alta",'Mapa final'!$AA$29="Mayor"),CONCATENATE("R3C",'Mapa final'!$O$29),"")</f>
        <v/>
      </c>
      <c r="AH18" s="68" t="str">
        <f ca="1">IF(AND('Mapa final'!$Y$24="Alta",'Mapa final'!$AA$24="Catastrófico"),CONCATENATE("R3C",'Mapa final'!$O$24),"")</f>
        <v/>
      </c>
      <c r="AI18" s="69" t="str">
        <f>IF(AND('Mapa final'!$Y$25="Alta",'Mapa final'!$AA$25="Catastrófico"),CONCATENATE("R3C",'Mapa final'!$O$25),"")</f>
        <v/>
      </c>
      <c r="AJ18" s="69" t="str">
        <f>IF(AND('Mapa final'!$Y$26="Alta",'Mapa final'!$AA$26="Catastrófico"),CONCATENATE("R3C",'Mapa final'!$O$26),"")</f>
        <v/>
      </c>
      <c r="AK18" s="69" t="str">
        <f>IF(AND('Mapa final'!$Y$27="Alta",'Mapa final'!$AA$27="Catastrófico"),CONCATENATE("R3C",'Mapa final'!$O$27),"")</f>
        <v/>
      </c>
      <c r="AL18" s="69" t="str">
        <f>IF(AND('Mapa final'!$Y$28="Alta",'Mapa final'!$AA$28="Catastrófico"),CONCATENATE("R3C",'Mapa final'!$O$28),"")</f>
        <v/>
      </c>
      <c r="AM18" s="70" t="str">
        <f>IF(AND('Mapa final'!$Y$29="Alta",'Mapa final'!$AA$29="Catastrófico"),CONCATENATE("R3C",'Mapa final'!$O$29),"")</f>
        <v/>
      </c>
      <c r="AN18" s="96"/>
      <c r="AO18" s="374"/>
      <c r="AP18" s="375"/>
      <c r="AQ18" s="375"/>
      <c r="AR18" s="375"/>
      <c r="AS18" s="375"/>
      <c r="AT18" s="37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row>
    <row r="19" spans="1:76" ht="15" customHeight="1" x14ac:dyDescent="0.25">
      <c r="A19" s="96"/>
      <c r="B19" s="285"/>
      <c r="C19" s="285"/>
      <c r="D19" s="286"/>
      <c r="E19" s="384"/>
      <c r="F19" s="383"/>
      <c r="G19" s="383"/>
      <c r="H19" s="383"/>
      <c r="I19" s="383"/>
      <c r="J19" s="80" t="str">
        <f ca="1">IF(AND('Mapa final'!$Y$30="Alta",'Mapa final'!$AA$30="Leve"),CONCATENATE("R4C",'Mapa final'!$O$30),"")</f>
        <v/>
      </c>
      <c r="K19" s="81" t="str">
        <f>IF(AND('Mapa final'!$Y$31="Alta",'Mapa final'!$AA$31="Leve"),CONCATENATE("R4C",'Mapa final'!$O$31),"")</f>
        <v/>
      </c>
      <c r="L19" s="81" t="str">
        <f>IF(AND('Mapa final'!$Y$32="Alta",'Mapa final'!$AA$32="Leve"),CONCATENATE("R4C",'Mapa final'!$O$32),"")</f>
        <v/>
      </c>
      <c r="M19" s="81" t="str">
        <f>IF(AND('Mapa final'!$Y$33="Alta",'Mapa final'!$AA$33="Leve"),CONCATENATE("R4C",'Mapa final'!$O$33),"")</f>
        <v/>
      </c>
      <c r="N19" s="81" t="str">
        <f>IF(AND('Mapa final'!$Y$34="Alta",'Mapa final'!$AA$34="Leve"),CONCATENATE("R4C",'Mapa final'!$O$34),"")</f>
        <v/>
      </c>
      <c r="O19" s="82" t="str">
        <f>IF(AND('Mapa final'!$Y$35="Alta",'Mapa final'!$AA$35="Leve"),CONCATENATE("R4C",'Mapa final'!$O$35),"")</f>
        <v/>
      </c>
      <c r="P19" s="81" t="str">
        <f ca="1">IF(AND('Mapa final'!$Y$30="Alta",'Mapa final'!$AA$30="Menor"),CONCATENATE("R4C",'Mapa final'!$O$30),"")</f>
        <v/>
      </c>
      <c r="Q19" s="81" t="str">
        <f>IF(AND('Mapa final'!$Y$31="Alta",'Mapa final'!$AA$31="Menor"),CONCATENATE("R4C",'Mapa final'!$O$31),"")</f>
        <v/>
      </c>
      <c r="R19" s="81" t="str">
        <f>IF(AND('Mapa final'!$Y$32="Alta",'Mapa final'!$AA$32="Menor"),CONCATENATE("R4C",'Mapa final'!$O$32),"")</f>
        <v/>
      </c>
      <c r="S19" s="81" t="str">
        <f>IF(AND('Mapa final'!$Y$33="Alta",'Mapa final'!$AA$33="Menor"),CONCATENATE("R4C",'Mapa final'!$O$33),"")</f>
        <v/>
      </c>
      <c r="T19" s="81" t="str">
        <f>IF(AND('Mapa final'!$Y$34="Alta",'Mapa final'!$AA$34="Menor"),CONCATENATE("R4C",'Mapa final'!$O$34),"")</f>
        <v/>
      </c>
      <c r="U19" s="81" t="str">
        <f>IF(AND('Mapa final'!$Y$35="Alta",'Mapa final'!$AA$35="Menor"),CONCATENATE("R4C",'Mapa final'!$O$35),"")</f>
        <v/>
      </c>
      <c r="V19" s="65" t="str">
        <f ca="1">IF(AND('Mapa final'!$Y$30="Alta",'Mapa final'!$AA$30="Moderado"),CONCATENATE("R4C",'Mapa final'!$O$30),"")</f>
        <v/>
      </c>
      <c r="W19" s="66" t="str">
        <f>IF(AND('Mapa final'!$Y$31="Alta",'Mapa final'!$AA$31="Moderado"),CONCATENATE("R4C",'Mapa final'!$O$31),"")</f>
        <v/>
      </c>
      <c r="X19" s="66" t="str">
        <f>IF(AND('Mapa final'!$Y$32="Alta",'Mapa final'!$AA$32="Moderado"),CONCATENATE("R4C",'Mapa final'!$O$32),"")</f>
        <v/>
      </c>
      <c r="Y19" s="66" t="str">
        <f>IF(AND('Mapa final'!$Y$33="Alta",'Mapa final'!$AA$33="Moderado"),CONCATENATE("R4C",'Mapa final'!$O$33),"")</f>
        <v/>
      </c>
      <c r="Z19" s="66" t="str">
        <f>IF(AND('Mapa final'!$Y$34="Alta",'Mapa final'!$AA$34="Moderado"),CONCATENATE("R4C",'Mapa final'!$O$34),"")</f>
        <v/>
      </c>
      <c r="AA19" s="67" t="str">
        <f>IF(AND('Mapa final'!$Y$35="Alta",'Mapa final'!$AA$35="Moderado"),CONCATENATE("R4C",'Mapa final'!$O$35),"")</f>
        <v/>
      </c>
      <c r="AB19" s="66" t="str">
        <f ca="1">IF(AND('Mapa final'!$Y$30="Alta",'Mapa final'!$AA$30="Mayor"),CONCATENATE("R4C",'Mapa final'!$O$30),"")</f>
        <v/>
      </c>
      <c r="AC19" s="66" t="str">
        <f>IF(AND('Mapa final'!$Y$31="Alta",'Mapa final'!$AA$31="Mayor"),CONCATENATE("R4C",'Mapa final'!$O$31),"")</f>
        <v/>
      </c>
      <c r="AD19" s="66" t="str">
        <f>IF(AND('Mapa final'!$Y$32="Alta",'Mapa final'!$AA$32="Mayor"),CONCATENATE("R4C",'Mapa final'!$O$32),"")</f>
        <v/>
      </c>
      <c r="AE19" s="66" t="str">
        <f>IF(AND('Mapa final'!$Y$33="Alta",'Mapa final'!$AA$33="Mayor"),CONCATENATE("R4C",'Mapa final'!$O$33),"")</f>
        <v/>
      </c>
      <c r="AF19" s="66" t="str">
        <f>IF(AND('Mapa final'!$Y$34="Alta",'Mapa final'!$AA$34="Mayor"),CONCATENATE("R4C",'Mapa final'!$O$34),"")</f>
        <v/>
      </c>
      <c r="AG19" s="66" t="str">
        <f>IF(AND('Mapa final'!$Y$35="Alta",'Mapa final'!$AA$35="Mayor"),CONCATENATE("R4C",'Mapa final'!$O$35),"")</f>
        <v/>
      </c>
      <c r="AH19" s="68" t="str">
        <f ca="1">IF(AND('Mapa final'!$Y$30="Alta",'Mapa final'!$AA$30="Catastrófico"),CONCATENATE("R4C",'Mapa final'!$O$30),"")</f>
        <v/>
      </c>
      <c r="AI19" s="69" t="str">
        <f>IF(AND('Mapa final'!$Y$31="Alta",'Mapa final'!$AA$31="Catastrófico"),CONCATENATE("R4C",'Mapa final'!$O$31),"")</f>
        <v/>
      </c>
      <c r="AJ19" s="69" t="str">
        <f>IF(AND('Mapa final'!$Y$32="Alta",'Mapa final'!$AA$32="Catastrófico"),CONCATENATE("R4C",'Mapa final'!$O$32),"")</f>
        <v/>
      </c>
      <c r="AK19" s="69" t="str">
        <f>IF(AND('Mapa final'!$Y$33="Alta",'Mapa final'!$AA$33="Catastrófico"),CONCATENATE("R4C",'Mapa final'!$O$33),"")</f>
        <v/>
      </c>
      <c r="AL19" s="69" t="str">
        <f>IF(AND('Mapa final'!$Y$34="Alta",'Mapa final'!$AA$34="Catastrófico"),CONCATENATE("R4C",'Mapa final'!$O$34),"")</f>
        <v/>
      </c>
      <c r="AM19" s="70" t="str">
        <f>IF(AND('Mapa final'!$Y$35="Alta",'Mapa final'!$AA$35="Catastrófico"),CONCATENATE("R4C",'Mapa final'!$O$35),"")</f>
        <v/>
      </c>
      <c r="AN19" s="96"/>
      <c r="AO19" s="374"/>
      <c r="AP19" s="375"/>
      <c r="AQ19" s="375"/>
      <c r="AR19" s="375"/>
      <c r="AS19" s="375"/>
      <c r="AT19" s="37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row>
    <row r="20" spans="1:76" ht="15" customHeight="1" x14ac:dyDescent="0.25">
      <c r="A20" s="96"/>
      <c r="B20" s="285"/>
      <c r="C20" s="285"/>
      <c r="D20" s="286"/>
      <c r="E20" s="384"/>
      <c r="F20" s="383"/>
      <c r="G20" s="383"/>
      <c r="H20" s="383"/>
      <c r="I20" s="383"/>
      <c r="J20" s="80" t="str">
        <f>IF(AND('Mapa final'!$Y$36="Alta",'Mapa final'!$AA$36="Leve"),CONCATENATE("R5C",'Mapa final'!$O$36),"")</f>
        <v/>
      </c>
      <c r="K20" s="81" t="str">
        <f>IF(AND('Mapa final'!$Y$37="Alta",'Mapa final'!$AA$37="Leve"),CONCATENATE("R5C",'Mapa final'!$O$37),"")</f>
        <v/>
      </c>
      <c r="L20" s="81" t="str">
        <f>IF(AND('Mapa final'!$Y$38="Alta",'Mapa final'!$AA$38="Leve"),CONCATENATE("R5C",'Mapa final'!$O$38),"")</f>
        <v/>
      </c>
      <c r="M20" s="81" t="str">
        <f>IF(AND('Mapa final'!$Y$39="Alta",'Mapa final'!$AA$39="Leve"),CONCATENATE("R5C",'Mapa final'!$O$39),"")</f>
        <v/>
      </c>
      <c r="N20" s="81" t="str">
        <f>IF(AND('Mapa final'!$Y$40="Alta",'Mapa final'!$AA$40="Leve"),CONCATENATE("R5C",'Mapa final'!$O$40),"")</f>
        <v/>
      </c>
      <c r="O20" s="82" t="str">
        <f>IF(AND('Mapa final'!$Y$41="Alta",'Mapa final'!$AA$41="Leve"),CONCATENATE("R5C",'Mapa final'!$O$41),"")</f>
        <v/>
      </c>
      <c r="P20" s="81" t="str">
        <f>IF(AND('Mapa final'!$Y$36="Alta",'Mapa final'!$AA$36="Menor"),CONCATENATE("R5C",'Mapa final'!$O$36),"")</f>
        <v/>
      </c>
      <c r="Q20" s="81" t="str">
        <f>IF(AND('Mapa final'!$Y$37="Alta",'Mapa final'!$AA$37="Menor"),CONCATENATE("R5C",'Mapa final'!$O$37),"")</f>
        <v/>
      </c>
      <c r="R20" s="81" t="str">
        <f>IF(AND('Mapa final'!$Y$38="Alta",'Mapa final'!$AA$38="Menor"),CONCATENATE("R5C",'Mapa final'!$O$38),"")</f>
        <v/>
      </c>
      <c r="S20" s="81" t="str">
        <f>IF(AND('Mapa final'!$Y$39="Alta",'Mapa final'!$AA$39="Menor"),CONCATENATE("R5C",'Mapa final'!$O$39),"")</f>
        <v/>
      </c>
      <c r="T20" s="81" t="str">
        <f>IF(AND('Mapa final'!$Y$40="Alta",'Mapa final'!$AA$40="Menor"),CONCATENATE("R5C",'Mapa final'!$O$40),"")</f>
        <v/>
      </c>
      <c r="U20" s="81" t="str">
        <f>IF(AND('Mapa final'!$Y$41="Alta",'Mapa final'!$AA$41="Menor"),CONCATENATE("R5C",'Mapa final'!$O$41),"")</f>
        <v/>
      </c>
      <c r="V20" s="65" t="str">
        <f>IF(AND('Mapa final'!$Y$36="Alta",'Mapa final'!$AA$36="Moderado"),CONCATENATE("R5C",'Mapa final'!$O$36),"")</f>
        <v/>
      </c>
      <c r="W20" s="66" t="str">
        <f>IF(AND('Mapa final'!$Y$37="Alta",'Mapa final'!$AA$37="Moderado"),CONCATENATE("R5C",'Mapa final'!$O$37),"")</f>
        <v/>
      </c>
      <c r="X20" s="66" t="str">
        <f>IF(AND('Mapa final'!$Y$38="Alta",'Mapa final'!$AA$38="Moderado"),CONCATENATE("R5C",'Mapa final'!$O$38),"")</f>
        <v/>
      </c>
      <c r="Y20" s="66" t="str">
        <f>IF(AND('Mapa final'!$Y$39="Alta",'Mapa final'!$AA$39="Moderado"),CONCATENATE("R5C",'Mapa final'!$O$39),"")</f>
        <v/>
      </c>
      <c r="Z20" s="66" t="str">
        <f>IF(AND('Mapa final'!$Y$40="Alta",'Mapa final'!$AA$40="Moderado"),CONCATENATE("R5C",'Mapa final'!$O$40),"")</f>
        <v/>
      </c>
      <c r="AA20" s="67" t="str">
        <f>IF(AND('Mapa final'!$Y$41="Alta",'Mapa final'!$AA$41="Moderado"),CONCATENATE("R5C",'Mapa final'!$O$41),"")</f>
        <v/>
      </c>
      <c r="AB20" s="66" t="str">
        <f>IF(AND('Mapa final'!$Y$36="Alta",'Mapa final'!$AA$36="Mayor"),CONCATENATE("R5C",'Mapa final'!$O$36),"")</f>
        <v/>
      </c>
      <c r="AC20" s="66" t="str">
        <f>IF(AND('Mapa final'!$Y$37="Alta",'Mapa final'!$AA$37="Mayor"),CONCATENATE("R5C",'Mapa final'!$O$37),"")</f>
        <v/>
      </c>
      <c r="AD20" s="66" t="str">
        <f>IF(AND('Mapa final'!$Y$38="Alta",'Mapa final'!$AA$38="Mayor"),CONCATENATE("R5C",'Mapa final'!$O$38),"")</f>
        <v/>
      </c>
      <c r="AE20" s="66" t="str">
        <f>IF(AND('Mapa final'!$Y$39="Alta",'Mapa final'!$AA$39="Mayor"),CONCATENATE("R5C",'Mapa final'!$O$39),"")</f>
        <v/>
      </c>
      <c r="AF20" s="66" t="str">
        <f>IF(AND('Mapa final'!$Y$40="Alta",'Mapa final'!$AA$40="Mayor"),CONCATENATE("R5C",'Mapa final'!$O$40),"")</f>
        <v/>
      </c>
      <c r="AG20" s="66" t="str">
        <f>IF(AND('Mapa final'!$Y$41="Alta",'Mapa final'!$AA$41="Mayor"),CONCATENATE("R5C",'Mapa final'!$O$41),"")</f>
        <v/>
      </c>
      <c r="AH20" s="68" t="str">
        <f>IF(AND('Mapa final'!$Y$36="Alta",'Mapa final'!$AA$36="Catastrófico"),CONCATENATE("R5C",'Mapa final'!$O$36),"")</f>
        <v/>
      </c>
      <c r="AI20" s="69" t="str">
        <f>IF(AND('Mapa final'!$Y$37="Alta",'Mapa final'!$AA$37="Catastrófico"),CONCATENATE("R5C",'Mapa final'!$O$37),"")</f>
        <v/>
      </c>
      <c r="AJ20" s="69" t="str">
        <f>IF(AND('Mapa final'!$Y$38="Alta",'Mapa final'!$AA$38="Catastrófico"),CONCATENATE("R5C",'Mapa final'!$O$38),"")</f>
        <v/>
      </c>
      <c r="AK20" s="69" t="str">
        <f>IF(AND('Mapa final'!$Y$39="Alta",'Mapa final'!$AA$39="Catastrófico"),CONCATENATE("R5C",'Mapa final'!$O$39),"")</f>
        <v/>
      </c>
      <c r="AL20" s="69" t="str">
        <f>IF(AND('Mapa final'!$Y$40="Alta",'Mapa final'!$AA$40="Catastrófico"),CONCATENATE("R5C",'Mapa final'!$O$40),"")</f>
        <v/>
      </c>
      <c r="AM20" s="70" t="str">
        <f>IF(AND('Mapa final'!$Y$41="Alta",'Mapa final'!$AA$41="Catastrófico"),CONCATENATE("R5C",'Mapa final'!$O$41),"")</f>
        <v/>
      </c>
      <c r="AN20" s="96"/>
      <c r="AO20" s="374"/>
      <c r="AP20" s="375"/>
      <c r="AQ20" s="375"/>
      <c r="AR20" s="375"/>
      <c r="AS20" s="375"/>
      <c r="AT20" s="37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row>
    <row r="21" spans="1:76" ht="15" customHeight="1" x14ac:dyDescent="0.25">
      <c r="A21" s="96"/>
      <c r="B21" s="285"/>
      <c r="C21" s="285"/>
      <c r="D21" s="286"/>
      <c r="E21" s="384"/>
      <c r="F21" s="383"/>
      <c r="G21" s="383"/>
      <c r="H21" s="383"/>
      <c r="I21" s="383"/>
      <c r="J21" s="80" t="str">
        <f ca="1">IF(AND('Mapa final'!$Y$42="Alta",'Mapa final'!$AA$42="Leve"),CONCATENATE("R6C",'Mapa final'!$O$42),"")</f>
        <v/>
      </c>
      <c r="K21" s="81" t="str">
        <f>IF(AND('Mapa final'!$Y$43="Alta",'Mapa final'!$AA$43="Leve"),CONCATENATE("R6C",'Mapa final'!$O$43),"")</f>
        <v/>
      </c>
      <c r="L21" s="81" t="str">
        <f>IF(AND('Mapa final'!$Y$44="Alta",'Mapa final'!$AA$44="Leve"),CONCATENATE("R6C",'Mapa final'!$O$44),"")</f>
        <v/>
      </c>
      <c r="M21" s="81" t="str">
        <f>IF(AND('Mapa final'!$Y$45="Alta",'Mapa final'!$AA$45="Leve"),CONCATENATE("R6C",'Mapa final'!$O$45),"")</f>
        <v/>
      </c>
      <c r="N21" s="81" t="str">
        <f>IF(AND('Mapa final'!$Y$46="Alta",'Mapa final'!$AA$46="Leve"),CONCATENATE("R6C",'Mapa final'!$O$46),"")</f>
        <v/>
      </c>
      <c r="O21" s="82" t="str">
        <f>IF(AND('Mapa final'!$Y$47="Alta",'Mapa final'!$AA$47="Leve"),CONCATENATE("R6C",'Mapa final'!$O$47),"")</f>
        <v/>
      </c>
      <c r="P21" s="81" t="str">
        <f ca="1">IF(AND('Mapa final'!$Y$42="Alta",'Mapa final'!$AA$42="Menor"),CONCATENATE("R6C",'Mapa final'!$O$42),"")</f>
        <v/>
      </c>
      <c r="Q21" s="81" t="str">
        <f>IF(AND('Mapa final'!$Y$43="Alta",'Mapa final'!$AA$43="Menor"),CONCATENATE("R6C",'Mapa final'!$O$43),"")</f>
        <v/>
      </c>
      <c r="R21" s="81" t="str">
        <f>IF(AND('Mapa final'!$Y$44="Alta",'Mapa final'!$AA$44="Menor"),CONCATENATE("R6C",'Mapa final'!$O$44),"")</f>
        <v/>
      </c>
      <c r="S21" s="81" t="str">
        <f>IF(AND('Mapa final'!$Y$45="Alta",'Mapa final'!$AA$45="Menor"),CONCATENATE("R6C",'Mapa final'!$O$45),"")</f>
        <v/>
      </c>
      <c r="T21" s="81" t="str">
        <f>IF(AND('Mapa final'!$Y$46="Alta",'Mapa final'!$AA$46="Menor"),CONCATENATE("R6C",'Mapa final'!$O$46),"")</f>
        <v/>
      </c>
      <c r="U21" s="81" t="str">
        <f>IF(AND('Mapa final'!$Y$47="Alta",'Mapa final'!$AA$47="Menor"),CONCATENATE("R6C",'Mapa final'!$O$47),"")</f>
        <v/>
      </c>
      <c r="V21" s="65" t="str">
        <f ca="1">IF(AND('Mapa final'!$Y$42="Alta",'Mapa final'!$AA$42="Moderado"),CONCATENATE("R6C",'Mapa final'!$O$42),"")</f>
        <v/>
      </c>
      <c r="W21" s="66" t="str">
        <f>IF(AND('Mapa final'!$Y$43="Alta",'Mapa final'!$AA$43="Moderado"),CONCATENATE("R6C",'Mapa final'!$O$43),"")</f>
        <v/>
      </c>
      <c r="X21" s="66" t="str">
        <f>IF(AND('Mapa final'!$Y$44="Alta",'Mapa final'!$AA$44="Moderado"),CONCATENATE("R6C",'Mapa final'!$O$44),"")</f>
        <v/>
      </c>
      <c r="Y21" s="66" t="str">
        <f>IF(AND('Mapa final'!$Y$45="Alta",'Mapa final'!$AA$45="Moderado"),CONCATENATE("R6C",'Mapa final'!$O$45),"")</f>
        <v/>
      </c>
      <c r="Z21" s="66" t="str">
        <f>IF(AND('Mapa final'!$Y$46="Alta",'Mapa final'!$AA$46="Moderado"),CONCATENATE("R6C",'Mapa final'!$O$46),"")</f>
        <v/>
      </c>
      <c r="AA21" s="67" t="str">
        <f>IF(AND('Mapa final'!$Y$47="Alta",'Mapa final'!$AA$47="Moderado"),CONCATENATE("R6C",'Mapa final'!$O$47),"")</f>
        <v/>
      </c>
      <c r="AB21" s="66" t="str">
        <f ca="1">IF(AND('Mapa final'!$Y$42="Alta",'Mapa final'!$AA$42="Mayor"),CONCATENATE("R6C",'Mapa final'!$O$42),"")</f>
        <v/>
      </c>
      <c r="AC21" s="66" t="str">
        <f>IF(AND('Mapa final'!$Y$43="Alta",'Mapa final'!$AA$43="Mayor"),CONCATENATE("R6C",'Mapa final'!$O$43),"")</f>
        <v/>
      </c>
      <c r="AD21" s="66" t="str">
        <f>IF(AND('Mapa final'!$Y$44="Alta",'Mapa final'!$AA$44="Mayor"),CONCATENATE("R6C",'Mapa final'!$O$44),"")</f>
        <v/>
      </c>
      <c r="AE21" s="66" t="str">
        <f>IF(AND('Mapa final'!$Y$45="Alta",'Mapa final'!$AA$45="Mayor"),CONCATENATE("R6C",'Mapa final'!$O$45),"")</f>
        <v/>
      </c>
      <c r="AF21" s="66" t="str">
        <f>IF(AND('Mapa final'!$Y$46="Alta",'Mapa final'!$AA$46="Mayor"),CONCATENATE("R6C",'Mapa final'!$O$46),"")</f>
        <v/>
      </c>
      <c r="AG21" s="66" t="str">
        <f>IF(AND('Mapa final'!$Y$47="Alta",'Mapa final'!$AA$47="Mayor"),CONCATENATE("R6C",'Mapa final'!$O$47),"")</f>
        <v/>
      </c>
      <c r="AH21" s="68" t="str">
        <f ca="1">IF(AND('Mapa final'!$Y$42="Alta",'Mapa final'!$AA$42="Catastrófico"),CONCATENATE("R6C",'Mapa final'!$O$42),"")</f>
        <v/>
      </c>
      <c r="AI21" s="69" t="str">
        <f>IF(AND('Mapa final'!$Y$43="Alta",'Mapa final'!$AA$43="Catastrófico"),CONCATENATE("R6C",'Mapa final'!$O$43),"")</f>
        <v/>
      </c>
      <c r="AJ21" s="69" t="str">
        <f>IF(AND('Mapa final'!$Y$44="Alta",'Mapa final'!$AA$44="Catastrófico"),CONCATENATE("R6C",'Mapa final'!$O$44),"")</f>
        <v/>
      </c>
      <c r="AK21" s="69" t="str">
        <f>IF(AND('Mapa final'!$Y$45="Alta",'Mapa final'!$AA$45="Catastrófico"),CONCATENATE("R6C",'Mapa final'!$O$45),"")</f>
        <v/>
      </c>
      <c r="AL21" s="69" t="str">
        <f>IF(AND('Mapa final'!$Y$46="Alta",'Mapa final'!$AA$46="Catastrófico"),CONCATENATE("R6C",'Mapa final'!$O$46),"")</f>
        <v/>
      </c>
      <c r="AM21" s="70" t="str">
        <f>IF(AND('Mapa final'!$Y$47="Alta",'Mapa final'!$AA$47="Catastrófico"),CONCATENATE("R6C",'Mapa final'!$O$47),"")</f>
        <v/>
      </c>
      <c r="AN21" s="96"/>
      <c r="AO21" s="374"/>
      <c r="AP21" s="375"/>
      <c r="AQ21" s="375"/>
      <c r="AR21" s="375"/>
      <c r="AS21" s="375"/>
      <c r="AT21" s="37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row>
    <row r="22" spans="1:76" ht="15" customHeight="1" x14ac:dyDescent="0.25">
      <c r="A22" s="96"/>
      <c r="B22" s="285"/>
      <c r="C22" s="285"/>
      <c r="D22" s="286"/>
      <c r="E22" s="384"/>
      <c r="F22" s="383"/>
      <c r="G22" s="383"/>
      <c r="H22" s="383"/>
      <c r="I22" s="383"/>
      <c r="J22" s="80" t="str">
        <f>IF(AND('Mapa final'!$Y$48="Alta",'Mapa final'!$AA$48="Leve"),CONCATENATE("R7C",'Mapa final'!$O$48),"")</f>
        <v/>
      </c>
      <c r="K22" s="81" t="str">
        <f>IF(AND('Mapa final'!$Y$49="Alta",'Mapa final'!$AA$49="Leve"),CONCATENATE("R7C",'Mapa final'!$O$49),"")</f>
        <v/>
      </c>
      <c r="L22" s="81" t="str">
        <f>IF(AND('Mapa final'!$Y$50="Alta",'Mapa final'!$AA$50="Leve"),CONCATENATE("R7C",'Mapa final'!$O$50),"")</f>
        <v/>
      </c>
      <c r="M22" s="81" t="str">
        <f>IF(AND('Mapa final'!$Y$51="Alta",'Mapa final'!$AA$51="Leve"),CONCATENATE("R7C",'Mapa final'!$O$51),"")</f>
        <v/>
      </c>
      <c r="N22" s="81" t="str">
        <f>IF(AND('Mapa final'!$Y$52="Alta",'Mapa final'!$AA$52="Leve"),CONCATENATE("R7C",'Mapa final'!$O$52),"")</f>
        <v/>
      </c>
      <c r="O22" s="82" t="str">
        <f>IF(AND('Mapa final'!$Y$53="Alta",'Mapa final'!$AA$53="Leve"),CONCATENATE("R7C",'Mapa final'!$O$53),"")</f>
        <v/>
      </c>
      <c r="P22" s="81" t="str">
        <f>IF(AND('Mapa final'!$Y$48="Alta",'Mapa final'!$AA$48="Menor"),CONCATENATE("R7C",'Mapa final'!$O$48),"")</f>
        <v/>
      </c>
      <c r="Q22" s="81" t="str">
        <f>IF(AND('Mapa final'!$Y$49="Alta",'Mapa final'!$AA$49="Menor"),CONCATENATE("R7C",'Mapa final'!$O$49),"")</f>
        <v/>
      </c>
      <c r="R22" s="81" t="str">
        <f>IF(AND('Mapa final'!$Y$50="Alta",'Mapa final'!$AA$50="Menor"),CONCATENATE("R7C",'Mapa final'!$O$50),"")</f>
        <v/>
      </c>
      <c r="S22" s="81" t="str">
        <f>IF(AND('Mapa final'!$Y$51="Alta",'Mapa final'!$AA$51="Menor"),CONCATENATE("R7C",'Mapa final'!$O$51),"")</f>
        <v/>
      </c>
      <c r="T22" s="81" t="str">
        <f>IF(AND('Mapa final'!$Y$52="Alta",'Mapa final'!$AA$52="Menor"),CONCATENATE("R7C",'Mapa final'!$O$52),"")</f>
        <v/>
      </c>
      <c r="U22" s="81" t="str">
        <f>IF(AND('Mapa final'!$Y$53="Alta",'Mapa final'!$AA$53="Menor"),CONCATENATE("R7C",'Mapa final'!$O$53),"")</f>
        <v/>
      </c>
      <c r="V22" s="65" t="str">
        <f>IF(AND('Mapa final'!$Y$48="Alta",'Mapa final'!$AA$48="Moderado"),CONCATENATE("R7C",'Mapa final'!$O$48),"")</f>
        <v/>
      </c>
      <c r="W22" s="66" t="str">
        <f>IF(AND('Mapa final'!$Y$49="Alta",'Mapa final'!$AA$49="Moderado"),CONCATENATE("R7C",'Mapa final'!$O$49),"")</f>
        <v/>
      </c>
      <c r="X22" s="66" t="str">
        <f>IF(AND('Mapa final'!$Y$50="Alta",'Mapa final'!$AA$50="Moderado"),CONCATENATE("R7C",'Mapa final'!$O$50),"")</f>
        <v/>
      </c>
      <c r="Y22" s="66" t="str">
        <f>IF(AND('Mapa final'!$Y$51="Alta",'Mapa final'!$AA$51="Moderado"),CONCATENATE("R7C",'Mapa final'!$O$51),"")</f>
        <v/>
      </c>
      <c r="Z22" s="66" t="str">
        <f>IF(AND('Mapa final'!$Y$52="Alta",'Mapa final'!$AA$52="Moderado"),CONCATENATE("R7C",'Mapa final'!$O$52),"")</f>
        <v/>
      </c>
      <c r="AA22" s="67" t="str">
        <f>IF(AND('Mapa final'!$Y$53="Alta",'Mapa final'!$AA$53="Moderado"),CONCATENATE("R7C",'Mapa final'!$O$53),"")</f>
        <v/>
      </c>
      <c r="AB22" s="66" t="str">
        <f>IF(AND('Mapa final'!$Y$48="Alta",'Mapa final'!$AA$48="Mayor"),CONCATENATE("R7C",'Mapa final'!$O$48),"")</f>
        <v>R7C1</v>
      </c>
      <c r="AC22" s="66" t="str">
        <f>IF(AND('Mapa final'!$Y$49="Alta",'Mapa final'!$AA$49="Mayor"),CONCATENATE("R7C",'Mapa final'!$O$49),"")</f>
        <v/>
      </c>
      <c r="AD22" s="66" t="str">
        <f>IF(AND('Mapa final'!$Y$50="Alta",'Mapa final'!$AA$50="Mayor"),CONCATENATE("R7C",'Mapa final'!$O$50),"")</f>
        <v/>
      </c>
      <c r="AE22" s="66" t="str">
        <f>IF(AND('Mapa final'!$Y$51="Alta",'Mapa final'!$AA$51="Mayor"),CONCATENATE("R7C",'Mapa final'!$O$51),"")</f>
        <v/>
      </c>
      <c r="AF22" s="66" t="str">
        <f>IF(AND('Mapa final'!$Y$52="Alta",'Mapa final'!$AA$52="Mayor"),CONCATENATE("R7C",'Mapa final'!$O$52),"")</f>
        <v/>
      </c>
      <c r="AG22" s="66" t="str">
        <f>IF(AND('Mapa final'!$Y$53="Alta",'Mapa final'!$AA$53="Mayor"),CONCATENATE("R7C",'Mapa final'!$O$53),"")</f>
        <v/>
      </c>
      <c r="AH22" s="68" t="str">
        <f>IF(AND('Mapa final'!$Y$48="Alta",'Mapa final'!$AA$48="Catastrófico"),CONCATENATE("R7C",'Mapa final'!$O$48),"")</f>
        <v/>
      </c>
      <c r="AI22" s="69" t="str">
        <f>IF(AND('Mapa final'!$Y$49="Alta",'Mapa final'!$AA$49="Catastrófico"),CONCATENATE("R7C",'Mapa final'!$O$49),"")</f>
        <v/>
      </c>
      <c r="AJ22" s="69" t="str">
        <f>IF(AND('Mapa final'!$Y$50="Alta",'Mapa final'!$AA$50="Catastrófico"),CONCATENATE("R7C",'Mapa final'!$O$50),"")</f>
        <v/>
      </c>
      <c r="AK22" s="69" t="str">
        <f>IF(AND('Mapa final'!$Y$51="Alta",'Mapa final'!$AA$51="Catastrófico"),CONCATENATE("R7C",'Mapa final'!$O$51),"")</f>
        <v/>
      </c>
      <c r="AL22" s="69" t="str">
        <f>IF(AND('Mapa final'!$Y$52="Alta",'Mapa final'!$AA$52="Catastrófico"),CONCATENATE("R7C",'Mapa final'!$O$52),"")</f>
        <v/>
      </c>
      <c r="AM22" s="70" t="str">
        <f>IF(AND('Mapa final'!$Y$53="Alta",'Mapa final'!$AA$53="Catastrófico"),CONCATENATE("R7C",'Mapa final'!$O$53),"")</f>
        <v/>
      </c>
      <c r="AN22" s="96"/>
      <c r="AO22" s="374"/>
      <c r="AP22" s="375"/>
      <c r="AQ22" s="375"/>
      <c r="AR22" s="375"/>
      <c r="AS22" s="375"/>
      <c r="AT22" s="37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row>
    <row r="23" spans="1:76" ht="15" customHeight="1" x14ac:dyDescent="0.25">
      <c r="A23" s="96"/>
      <c r="B23" s="285"/>
      <c r="C23" s="285"/>
      <c r="D23" s="286"/>
      <c r="E23" s="384"/>
      <c r="F23" s="383"/>
      <c r="G23" s="383"/>
      <c r="H23" s="383"/>
      <c r="I23" s="383"/>
      <c r="J23" s="80" t="str">
        <f ca="1">IF(AND('Mapa final'!$Y$54="Alta",'Mapa final'!$AA$54="Leve"),CONCATENATE("R8C",'Mapa final'!$O$54),"")</f>
        <v/>
      </c>
      <c r="K23" s="81" t="str">
        <f>IF(AND('Mapa final'!$Y$55="Alta",'Mapa final'!$AA$55="Leve"),CONCATENATE("R8C",'Mapa final'!$O$55),"")</f>
        <v/>
      </c>
      <c r="L23" s="81" t="str">
        <f>IF(AND('Mapa final'!$Y$56="Alta",'Mapa final'!$AA$56="Leve"),CONCATENATE("R8C",'Mapa final'!$O$56),"")</f>
        <v/>
      </c>
      <c r="M23" s="81" t="str">
        <f>IF(AND('Mapa final'!$Y$57="Alta",'Mapa final'!$AA$57="Leve"),CONCATENATE("R8C",'Mapa final'!$O$57),"")</f>
        <v/>
      </c>
      <c r="N23" s="81" t="str">
        <f>IF(AND('Mapa final'!$Y$58="Alta",'Mapa final'!$AA$58="Leve"),CONCATENATE("R8C",'Mapa final'!$O$58),"")</f>
        <v/>
      </c>
      <c r="O23" s="82" t="str">
        <f>IF(AND('Mapa final'!$Y$59="Alta",'Mapa final'!$AA$59="Leve"),CONCATENATE("R8C",'Mapa final'!$O$59),"")</f>
        <v/>
      </c>
      <c r="P23" s="81" t="str">
        <f ca="1">IF(AND('Mapa final'!$Y$54="Alta",'Mapa final'!$AA$54="Menor"),CONCATENATE("R8C",'Mapa final'!$O$54),"")</f>
        <v/>
      </c>
      <c r="Q23" s="81" t="str">
        <f>IF(AND('Mapa final'!$Y$55="Alta",'Mapa final'!$AA$55="Menor"),CONCATENATE("R8C",'Mapa final'!$O$55),"")</f>
        <v/>
      </c>
      <c r="R23" s="81" t="str">
        <f>IF(AND('Mapa final'!$Y$56="Alta",'Mapa final'!$AA$56="Menor"),CONCATENATE("R8C",'Mapa final'!$O$56),"")</f>
        <v/>
      </c>
      <c r="S23" s="81" t="str">
        <f>IF(AND('Mapa final'!$Y$57="Alta",'Mapa final'!$AA$57="Menor"),CONCATENATE("R8C",'Mapa final'!$O$57),"")</f>
        <v/>
      </c>
      <c r="T23" s="81" t="str">
        <f>IF(AND('Mapa final'!$Y$58="Alta",'Mapa final'!$AA$58="Menor"),CONCATENATE("R8C",'Mapa final'!$O$58),"")</f>
        <v/>
      </c>
      <c r="U23" s="81" t="str">
        <f>IF(AND('Mapa final'!$Y$59="Alta",'Mapa final'!$AA$59="Menor"),CONCATENATE("R8C",'Mapa final'!$O$59),"")</f>
        <v/>
      </c>
      <c r="V23" s="65" t="str">
        <f ca="1">IF(AND('Mapa final'!$Y$54="Alta",'Mapa final'!$AA$54="Moderado"),CONCATENATE("R8C",'Mapa final'!$O$54),"")</f>
        <v/>
      </c>
      <c r="W23" s="66" t="str">
        <f>IF(AND('Mapa final'!$Y$55="Alta",'Mapa final'!$AA$55="Moderado"),CONCATENATE("R8C",'Mapa final'!$O$55),"")</f>
        <v/>
      </c>
      <c r="X23" s="66" t="str">
        <f>IF(AND('Mapa final'!$Y$56="Alta",'Mapa final'!$AA$56="Moderado"),CONCATENATE("R8C",'Mapa final'!$O$56),"")</f>
        <v/>
      </c>
      <c r="Y23" s="66" t="str">
        <f>IF(AND('Mapa final'!$Y$57="Alta",'Mapa final'!$AA$57="Moderado"),CONCATENATE("R8C",'Mapa final'!$O$57),"")</f>
        <v/>
      </c>
      <c r="Z23" s="66" t="str">
        <f>IF(AND('Mapa final'!$Y$58="Alta",'Mapa final'!$AA$58="Moderado"),CONCATENATE("R8C",'Mapa final'!$O$58),"")</f>
        <v/>
      </c>
      <c r="AA23" s="67" t="str">
        <f>IF(AND('Mapa final'!$Y$59="Alta",'Mapa final'!$AA$59="Moderado"),CONCATENATE("R8C",'Mapa final'!$O$59),"")</f>
        <v/>
      </c>
      <c r="AB23" s="66" t="str">
        <f ca="1">IF(AND('Mapa final'!$Y$54="Alta",'Mapa final'!$AA$54="Mayor"),CONCATENATE("R8C",'Mapa final'!$O$54),"")</f>
        <v/>
      </c>
      <c r="AC23" s="66" t="str">
        <f>IF(AND('Mapa final'!$Y$55="Alta",'Mapa final'!$AA$55="Mayor"),CONCATENATE("R8C",'Mapa final'!$O$55),"")</f>
        <v/>
      </c>
      <c r="AD23" s="66" t="str">
        <f>IF(AND('Mapa final'!$Y$56="Alta",'Mapa final'!$AA$56="Mayor"),CONCATENATE("R8C",'Mapa final'!$O$56),"")</f>
        <v/>
      </c>
      <c r="AE23" s="66" t="str">
        <f>IF(AND('Mapa final'!$Y$57="Alta",'Mapa final'!$AA$57="Mayor"),CONCATENATE("R8C",'Mapa final'!$O$57),"")</f>
        <v/>
      </c>
      <c r="AF23" s="66" t="str">
        <f>IF(AND('Mapa final'!$Y$58="Alta",'Mapa final'!$AA$58="Mayor"),CONCATENATE("R8C",'Mapa final'!$O$58),"")</f>
        <v/>
      </c>
      <c r="AG23" s="66" t="str">
        <f>IF(AND('Mapa final'!$Y$59="Alta",'Mapa final'!$AA$59="Mayor"),CONCATENATE("R8C",'Mapa final'!$O$59),"")</f>
        <v/>
      </c>
      <c r="AH23" s="68" t="str">
        <f ca="1">IF(AND('Mapa final'!$Y$54="Alta",'Mapa final'!$AA$54="Catastrófico"),CONCATENATE("R8C",'Mapa final'!$O$54),"")</f>
        <v/>
      </c>
      <c r="AI23" s="69" t="str">
        <f>IF(AND('Mapa final'!$Y$55="Alta",'Mapa final'!$AA$55="Catastrófico"),CONCATENATE("R8C",'Mapa final'!$O$55),"")</f>
        <v/>
      </c>
      <c r="AJ23" s="69" t="str">
        <f>IF(AND('Mapa final'!$Y$56="Alta",'Mapa final'!$AA$56="Catastrófico"),CONCATENATE("R8C",'Mapa final'!$O$56),"")</f>
        <v/>
      </c>
      <c r="AK23" s="69" t="str">
        <f>IF(AND('Mapa final'!$Y$57="Alta",'Mapa final'!$AA$57="Catastrófico"),CONCATENATE("R8C",'Mapa final'!$O$57),"")</f>
        <v/>
      </c>
      <c r="AL23" s="69" t="str">
        <f>IF(AND('Mapa final'!$Y$58="Alta",'Mapa final'!$AA$58="Catastrófico"),CONCATENATE("R8C",'Mapa final'!$O$58),"")</f>
        <v/>
      </c>
      <c r="AM23" s="70" t="str">
        <f>IF(AND('Mapa final'!$Y$59="Alta",'Mapa final'!$AA$59="Catastrófico"),CONCATENATE("R8C",'Mapa final'!$O$59),"")</f>
        <v/>
      </c>
      <c r="AN23" s="96"/>
      <c r="AO23" s="374"/>
      <c r="AP23" s="375"/>
      <c r="AQ23" s="375"/>
      <c r="AR23" s="375"/>
      <c r="AS23" s="375"/>
      <c r="AT23" s="37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row>
    <row r="24" spans="1:76" ht="15" customHeight="1" x14ac:dyDescent="0.25">
      <c r="A24" s="96"/>
      <c r="B24" s="285"/>
      <c r="C24" s="285"/>
      <c r="D24" s="286"/>
      <c r="E24" s="384"/>
      <c r="F24" s="383"/>
      <c r="G24" s="383"/>
      <c r="H24" s="383"/>
      <c r="I24" s="383"/>
      <c r="J24" s="80" t="str">
        <f ca="1">IF(AND('Mapa final'!$Y$60="Alta",'Mapa final'!$AA$60="Leve"),CONCATENATE("R9C",'Mapa final'!$O$60),"")</f>
        <v/>
      </c>
      <c r="K24" s="81" t="str">
        <f>IF(AND('Mapa final'!$Y$61="Alta",'Mapa final'!$AA$61="Leve"),CONCATENATE("R9C",'Mapa final'!$O$61),"")</f>
        <v/>
      </c>
      <c r="L24" s="81" t="str">
        <f>IF(AND('Mapa final'!$Y$62="Alta",'Mapa final'!$AA$62="Leve"),CONCATENATE("R9C",'Mapa final'!$O$62),"")</f>
        <v/>
      </c>
      <c r="M24" s="81" t="str">
        <f>IF(AND('Mapa final'!$Y$63="Alta",'Mapa final'!$AA$63="Leve"),CONCATENATE("R9C",'Mapa final'!$O$63),"")</f>
        <v/>
      </c>
      <c r="N24" s="81" t="str">
        <f>IF(AND('Mapa final'!$Y$64="Alta",'Mapa final'!$AA$64="Leve"),CONCATENATE("R9C",'Mapa final'!$O$64),"")</f>
        <v/>
      </c>
      <c r="O24" s="82" t="str">
        <f>IF(AND('Mapa final'!$Y$65="Alta",'Mapa final'!$AA$65="Leve"),CONCATENATE("R9C",'Mapa final'!$O$65),"")</f>
        <v/>
      </c>
      <c r="P24" s="81" t="str">
        <f ca="1">IF(AND('Mapa final'!$Y$60="Alta",'Mapa final'!$AA$60="Menor"),CONCATENATE("R9C",'Mapa final'!$O$60),"")</f>
        <v/>
      </c>
      <c r="Q24" s="81" t="str">
        <f>IF(AND('Mapa final'!$Y$61="Alta",'Mapa final'!$AA$61="Menor"),CONCATENATE("R9C",'Mapa final'!$O$61),"")</f>
        <v/>
      </c>
      <c r="R24" s="81" t="str">
        <f>IF(AND('Mapa final'!$Y$62="Alta",'Mapa final'!$AA$62="Menor"),CONCATENATE("R9C",'Mapa final'!$O$62),"")</f>
        <v/>
      </c>
      <c r="S24" s="81" t="str">
        <f>IF(AND('Mapa final'!$Y$63="Alta",'Mapa final'!$AA$63="Menor"),CONCATENATE("R9C",'Mapa final'!$O$63),"")</f>
        <v/>
      </c>
      <c r="T24" s="81" t="str">
        <f>IF(AND('Mapa final'!$Y$64="Alta",'Mapa final'!$AA$64="Menor"),CONCATENATE("R9C",'Mapa final'!$O$64),"")</f>
        <v/>
      </c>
      <c r="U24" s="81" t="str">
        <f>IF(AND('Mapa final'!$Y$65="Alta",'Mapa final'!$AA$65="Menor"),CONCATENATE("R9C",'Mapa final'!$O$65),"")</f>
        <v/>
      </c>
      <c r="V24" s="65" t="str">
        <f ca="1">IF(AND('Mapa final'!$Y$60="Alta",'Mapa final'!$AA$60="Moderado"),CONCATENATE("R9C",'Mapa final'!$O$60),"")</f>
        <v/>
      </c>
      <c r="W24" s="66" t="str">
        <f>IF(AND('Mapa final'!$Y$61="Alta",'Mapa final'!$AA$61="Moderado"),CONCATENATE("R9C",'Mapa final'!$O$61),"")</f>
        <v/>
      </c>
      <c r="X24" s="66" t="str">
        <f>IF(AND('Mapa final'!$Y$62="Alta",'Mapa final'!$AA$62="Moderado"),CONCATENATE("R9C",'Mapa final'!$O$62),"")</f>
        <v/>
      </c>
      <c r="Y24" s="66" t="str">
        <f>IF(AND('Mapa final'!$Y$63="Alta",'Mapa final'!$AA$63="Moderado"),CONCATENATE("R9C",'Mapa final'!$O$63),"")</f>
        <v/>
      </c>
      <c r="Z24" s="66" t="str">
        <f>IF(AND('Mapa final'!$Y$64="Alta",'Mapa final'!$AA$64="Moderado"),CONCATENATE("R9C",'Mapa final'!$O$64),"")</f>
        <v/>
      </c>
      <c r="AA24" s="67" t="str">
        <f>IF(AND('Mapa final'!$Y$65="Alta",'Mapa final'!$AA$65="Moderado"),CONCATENATE("R9C",'Mapa final'!$O$65),"")</f>
        <v/>
      </c>
      <c r="AB24" s="66" t="str">
        <f ca="1">IF(AND('Mapa final'!$Y$60="Alta",'Mapa final'!$AA$60="Mayor"),CONCATENATE("R9C",'Mapa final'!$O$60),"")</f>
        <v/>
      </c>
      <c r="AC24" s="66" t="str">
        <f>IF(AND('Mapa final'!$Y$61="Alta",'Mapa final'!$AA$61="Mayor"),CONCATENATE("R9C",'Mapa final'!$O$61),"")</f>
        <v/>
      </c>
      <c r="AD24" s="66" t="str">
        <f>IF(AND('Mapa final'!$Y$62="Alta",'Mapa final'!$AA$62="Mayor"),CONCATENATE("R9C",'Mapa final'!$O$62),"")</f>
        <v/>
      </c>
      <c r="AE24" s="66" t="str">
        <f>IF(AND('Mapa final'!$Y$63="Alta",'Mapa final'!$AA$63="Mayor"),CONCATENATE("R9C",'Mapa final'!$O$63),"")</f>
        <v/>
      </c>
      <c r="AF24" s="66" t="str">
        <f>IF(AND('Mapa final'!$Y$64="Alta",'Mapa final'!$AA$64="Mayor"),CONCATENATE("R9C",'Mapa final'!$O$64),"")</f>
        <v/>
      </c>
      <c r="AG24" s="66" t="str">
        <f>IF(AND('Mapa final'!$Y$65="Alta",'Mapa final'!$AA$65="Mayor"),CONCATENATE("R9C",'Mapa final'!$O$65),"")</f>
        <v/>
      </c>
      <c r="AH24" s="68" t="str">
        <f ca="1">IF(AND('Mapa final'!$Y$60="Alta",'Mapa final'!$AA$60="Catastrófico"),CONCATENATE("R9C",'Mapa final'!$O$60),"")</f>
        <v/>
      </c>
      <c r="AI24" s="69" t="str">
        <f>IF(AND('Mapa final'!$Y$61="Alta",'Mapa final'!$AA$61="Catastrófico"),CONCATENATE("R9C",'Mapa final'!$O$61),"")</f>
        <v/>
      </c>
      <c r="AJ24" s="69" t="str">
        <f>IF(AND('Mapa final'!$Y$62="Alta",'Mapa final'!$AA$62="Catastrófico"),CONCATENATE("R9C",'Mapa final'!$O$62),"")</f>
        <v/>
      </c>
      <c r="AK24" s="69" t="str">
        <f>IF(AND('Mapa final'!$Y$63="Alta",'Mapa final'!$AA$63="Catastrófico"),CONCATENATE("R9C",'Mapa final'!$O$63),"")</f>
        <v/>
      </c>
      <c r="AL24" s="69" t="str">
        <f>IF(AND('Mapa final'!$Y$64="Alta",'Mapa final'!$AA$64="Catastrófico"),CONCATENATE("R9C",'Mapa final'!$O$64),"")</f>
        <v/>
      </c>
      <c r="AM24" s="70" t="str">
        <f>IF(AND('Mapa final'!$Y$65="Alta",'Mapa final'!$AA$65="Catastrófico"),CONCATENATE("R9C",'Mapa final'!$O$65),"")</f>
        <v/>
      </c>
      <c r="AN24" s="96"/>
      <c r="AO24" s="374"/>
      <c r="AP24" s="375"/>
      <c r="AQ24" s="375"/>
      <c r="AR24" s="375"/>
      <c r="AS24" s="375"/>
      <c r="AT24" s="37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row>
    <row r="25" spans="1:76" ht="15.75" customHeight="1" thickBot="1" x14ac:dyDescent="0.3">
      <c r="A25" s="96"/>
      <c r="B25" s="285"/>
      <c r="C25" s="285"/>
      <c r="D25" s="286"/>
      <c r="E25" s="385"/>
      <c r="F25" s="386"/>
      <c r="G25" s="386"/>
      <c r="H25" s="386"/>
      <c r="I25" s="386"/>
      <c r="J25" s="83" t="str">
        <f ca="1">IF(AND('Mapa final'!$Y$72="Alta",'Mapa final'!$AA$72="Leve"),CONCATENATE("R10C",'Mapa final'!$O$72),"")</f>
        <v/>
      </c>
      <c r="K25" s="84" t="str">
        <f>IF(AND('Mapa final'!$Y$73="Alta",'Mapa final'!$AA$73="Leve"),CONCATENATE("R10C",'Mapa final'!$O$73),"")</f>
        <v/>
      </c>
      <c r="L25" s="84" t="str">
        <f>IF(AND('Mapa final'!$Y$74="Alta",'Mapa final'!$AA$74="Leve"),CONCATENATE("R10C",'Mapa final'!$O$74),"")</f>
        <v/>
      </c>
      <c r="M25" s="84" t="str">
        <f>IF(AND('Mapa final'!$Y$75="Alta",'Mapa final'!$AA$75="Leve"),CONCATENATE("R10C",'Mapa final'!$O$75),"")</f>
        <v/>
      </c>
      <c r="N25" s="84" t="str">
        <f>IF(AND('Mapa final'!$Y$76="Alta",'Mapa final'!$AA$76="Leve"),CONCATENATE("R10C",'Mapa final'!$O$76),"")</f>
        <v/>
      </c>
      <c r="O25" s="85" t="str">
        <f>IF(AND('Mapa final'!$Y$77="Alta",'Mapa final'!$AA$77="Leve"),CONCATENATE("R10C",'Mapa final'!$O$77),"")</f>
        <v/>
      </c>
      <c r="P25" s="84" t="str">
        <f ca="1">IF(AND('Mapa final'!$Y$72="Alta",'Mapa final'!$AA$72="Menor"),CONCATENATE("R10C",'Mapa final'!$O$72),"")</f>
        <v/>
      </c>
      <c r="Q25" s="84" t="str">
        <f>IF(AND('Mapa final'!$Y$73="Alta",'Mapa final'!$AA$73="Menor"),CONCATENATE("R10C",'Mapa final'!$O$73),"")</f>
        <v/>
      </c>
      <c r="R25" s="84" t="str">
        <f>IF(AND('Mapa final'!$Y$74="Alta",'Mapa final'!$AA$74="Menor"),CONCATENATE("R10C",'Mapa final'!$O$74),"")</f>
        <v/>
      </c>
      <c r="S25" s="84" t="str">
        <f>IF(AND('Mapa final'!$Y$75="Alta",'Mapa final'!$AA$75="Menor"),CONCATENATE("R10C",'Mapa final'!$O$75),"")</f>
        <v/>
      </c>
      <c r="T25" s="84" t="str">
        <f>IF(AND('Mapa final'!$Y$76="Alta",'Mapa final'!$AA$76="Menor"),CONCATENATE("R10C",'Mapa final'!$O$76),"")</f>
        <v/>
      </c>
      <c r="U25" s="84" t="str">
        <f>IF(AND('Mapa final'!$Y$77="Alta",'Mapa final'!$AA$77="Menor"),CONCATENATE("R10C",'Mapa final'!$O$77),"")</f>
        <v/>
      </c>
      <c r="V25" s="71" t="str">
        <f ca="1">IF(AND('Mapa final'!$Y$72="Alta",'Mapa final'!$AA$72="Moderado"),CONCATENATE("R10C",'Mapa final'!$O$72),"")</f>
        <v/>
      </c>
      <c r="W25" s="72" t="str">
        <f>IF(AND('Mapa final'!$Y$73="Alta",'Mapa final'!$AA$73="Moderado"),CONCATENATE("R10C",'Mapa final'!$O$73),"")</f>
        <v/>
      </c>
      <c r="X25" s="72" t="str">
        <f>IF(AND('Mapa final'!$Y$74="Alta",'Mapa final'!$AA$74="Moderado"),CONCATENATE("R10C",'Mapa final'!$O$74),"")</f>
        <v/>
      </c>
      <c r="Y25" s="72" t="str">
        <f>IF(AND('Mapa final'!$Y$75="Alta",'Mapa final'!$AA$75="Moderado"),CONCATENATE("R10C",'Mapa final'!$O$75),"")</f>
        <v/>
      </c>
      <c r="Z25" s="72" t="str">
        <f>IF(AND('Mapa final'!$Y$76="Alta",'Mapa final'!$AA$76="Moderado"),CONCATENATE("R10C",'Mapa final'!$O$76),"")</f>
        <v/>
      </c>
      <c r="AA25" s="73" t="str">
        <f>IF(AND('Mapa final'!$Y$77="Alta",'Mapa final'!$AA$77="Moderado"),CONCATENATE("R10C",'Mapa final'!$O$77),"")</f>
        <v/>
      </c>
      <c r="AB25" s="72" t="str">
        <f ca="1">IF(AND('Mapa final'!$Y$72="Alta",'Mapa final'!$AA$72="Mayor"),CONCATENATE("R10C",'Mapa final'!$O$72),"")</f>
        <v/>
      </c>
      <c r="AC25" s="72" t="str">
        <f>IF(AND('Mapa final'!$Y$73="Alta",'Mapa final'!$AA$73="Mayor"),CONCATENATE("R10C",'Mapa final'!$O$73),"")</f>
        <v/>
      </c>
      <c r="AD25" s="72" t="str">
        <f>IF(AND('Mapa final'!$Y$74="Alta",'Mapa final'!$AA$74="Mayor"),CONCATENATE("R10C",'Mapa final'!$O$74),"")</f>
        <v/>
      </c>
      <c r="AE25" s="72" t="str">
        <f>IF(AND('Mapa final'!$Y$75="Alta",'Mapa final'!$AA$75="Mayor"),CONCATENATE("R10C",'Mapa final'!$O$75),"")</f>
        <v/>
      </c>
      <c r="AF25" s="72" t="str">
        <f>IF(AND('Mapa final'!$Y$76="Alta",'Mapa final'!$AA$76="Mayor"),CONCATENATE("R10C",'Mapa final'!$O$76),"")</f>
        <v/>
      </c>
      <c r="AG25" s="72" t="str">
        <f>IF(AND('Mapa final'!$Y$77="Alta",'Mapa final'!$AA$77="Mayor"),CONCATENATE("R10C",'Mapa final'!$O$77),"")</f>
        <v/>
      </c>
      <c r="AH25" s="74" t="str">
        <f ca="1">IF(AND('Mapa final'!$Y$72="Alta",'Mapa final'!$AA$72="Catastrófico"),CONCATENATE("R10C",'Mapa final'!$O$72),"")</f>
        <v/>
      </c>
      <c r="AI25" s="75" t="str">
        <f>IF(AND('Mapa final'!$Y$73="Alta",'Mapa final'!$AA$73="Catastrófico"),CONCATENATE("R10C",'Mapa final'!$O$73),"")</f>
        <v/>
      </c>
      <c r="AJ25" s="75" t="str">
        <f>IF(AND('Mapa final'!$Y$74="Alta",'Mapa final'!$AA$74="Catastrófico"),CONCATENATE("R10C",'Mapa final'!$O$74),"")</f>
        <v/>
      </c>
      <c r="AK25" s="75" t="str">
        <f>IF(AND('Mapa final'!$Y$75="Alta",'Mapa final'!$AA$75="Catastrófico"),CONCATENATE("R10C",'Mapa final'!$O$75),"")</f>
        <v/>
      </c>
      <c r="AL25" s="75" t="str">
        <f>IF(AND('Mapa final'!$Y$76="Alta",'Mapa final'!$AA$76="Catastrófico"),CONCATENATE("R10C",'Mapa final'!$O$76),"")</f>
        <v/>
      </c>
      <c r="AM25" s="76" t="str">
        <f>IF(AND('Mapa final'!$Y$77="Alta",'Mapa final'!$AA$77="Catastrófico"),CONCATENATE("R10C",'Mapa final'!$O$77),"")</f>
        <v/>
      </c>
      <c r="AN25" s="96"/>
      <c r="AO25" s="377"/>
      <c r="AP25" s="378"/>
      <c r="AQ25" s="378"/>
      <c r="AR25" s="378"/>
      <c r="AS25" s="378"/>
      <c r="AT25" s="379"/>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row>
    <row r="26" spans="1:76" ht="15" customHeight="1" x14ac:dyDescent="0.25">
      <c r="A26" s="96"/>
      <c r="B26" s="285"/>
      <c r="C26" s="285"/>
      <c r="D26" s="286"/>
      <c r="E26" s="380" t="s">
        <v>117</v>
      </c>
      <c r="F26" s="381"/>
      <c r="G26" s="381"/>
      <c r="H26" s="381"/>
      <c r="I26" s="381"/>
      <c r="J26" s="77" t="str">
        <f>IF(AND('Mapa final'!$Y$12="Media",'Mapa final'!$AA$12="Leve"),CONCATENATE("R1C",'Mapa final'!$O$12),"")</f>
        <v/>
      </c>
      <c r="K26" s="78" t="str">
        <f>IF(AND('Mapa final'!$Y$13="Media",'Mapa final'!$AA$13="Leve"),CONCATENATE("R1C",'Mapa final'!$O$13),"")</f>
        <v/>
      </c>
      <c r="L26" s="78" t="str">
        <f>IF(AND('Mapa final'!$Y$14="Media",'Mapa final'!$AA$14="Leve"),CONCATENATE("R1C",'Mapa final'!$O$14),"")</f>
        <v/>
      </c>
      <c r="M26" s="78" t="str">
        <f>IF(AND('Mapa final'!$Y$15="Media",'Mapa final'!$AA$15="Leve"),CONCATENATE("R1C",'Mapa final'!$O$15),"")</f>
        <v/>
      </c>
      <c r="N26" s="78" t="str">
        <f>IF(AND('Mapa final'!$Y$16="Media",'Mapa final'!$AA$16="Leve"),CONCATENATE("R1C",'Mapa final'!$O$16),"")</f>
        <v/>
      </c>
      <c r="O26" s="79" t="str">
        <f>IF(AND('Mapa final'!$Y$17="Media",'Mapa final'!$AA$17="Leve"),CONCATENATE("R1C",'Mapa final'!$O$17),"")</f>
        <v/>
      </c>
      <c r="P26" s="78" t="str">
        <f>IF(AND('Mapa final'!$Y$12="Media",'Mapa final'!$AA$12="Menor"),CONCATENATE("R1C",'Mapa final'!$O$12),"")</f>
        <v/>
      </c>
      <c r="Q26" s="78" t="str">
        <f>IF(AND('Mapa final'!$Y$13="Media",'Mapa final'!$AA$13="Menor"),CONCATENATE("R1C",'Mapa final'!$O$13),"")</f>
        <v/>
      </c>
      <c r="R26" s="78" t="str">
        <f>IF(AND('Mapa final'!$Y$14="Media",'Mapa final'!$AA$14="Menor"),CONCATENATE("R1C",'Mapa final'!$O$14),"")</f>
        <v/>
      </c>
      <c r="S26" s="78" t="str">
        <f>IF(AND('Mapa final'!$Y$15="Media",'Mapa final'!$AA$15="Menor"),CONCATENATE("R1C",'Mapa final'!$O$15),"")</f>
        <v/>
      </c>
      <c r="T26" s="78" t="str">
        <f>IF(AND('Mapa final'!$Y$16="Media",'Mapa final'!$AA$16="Menor"),CONCATENATE("R1C",'Mapa final'!$O$16),"")</f>
        <v/>
      </c>
      <c r="U26" s="78" t="str">
        <f>IF(AND('Mapa final'!$Y$17="Media",'Mapa final'!$AA$17="Menor"),CONCATENATE("R1C",'Mapa final'!$O$17),"")</f>
        <v/>
      </c>
      <c r="V26" s="77" t="str">
        <f>IF(AND('Mapa final'!$Y$12="Media",'Mapa final'!$AA$12="Moderado"),CONCATENATE("R1C",'Mapa final'!$O$12),"")</f>
        <v/>
      </c>
      <c r="W26" s="78" t="str">
        <f>IF(AND('Mapa final'!$Y$13="Media",'Mapa final'!$AA$13="Moderado"),CONCATENATE("R1C",'Mapa final'!$O$13),"")</f>
        <v/>
      </c>
      <c r="X26" s="78" t="str">
        <f>IF(AND('Mapa final'!$Y$14="Media",'Mapa final'!$AA$14="Moderado"),CONCATENATE("R1C",'Mapa final'!$O$14),"")</f>
        <v/>
      </c>
      <c r="Y26" s="78" t="str">
        <f>IF(AND('Mapa final'!$Y$15="Media",'Mapa final'!$AA$15="Moderado"),CONCATENATE("R1C",'Mapa final'!$O$15),"")</f>
        <v/>
      </c>
      <c r="Z26" s="78" t="str">
        <f>IF(AND('Mapa final'!$Y$16="Media",'Mapa final'!$AA$16="Moderado"),CONCATENATE("R1C",'Mapa final'!$O$16),"")</f>
        <v/>
      </c>
      <c r="AA26" s="79" t="str">
        <f>IF(AND('Mapa final'!$Y$17="Media",'Mapa final'!$AA$17="Moderado"),CONCATENATE("R1C",'Mapa final'!$O$17),"")</f>
        <v/>
      </c>
      <c r="AB26" s="60" t="str">
        <f>IF(AND('Mapa final'!$Y$12="Media",'Mapa final'!$AA$12="Mayor"),CONCATENATE("R1C",'Mapa final'!$O$12),"")</f>
        <v/>
      </c>
      <c r="AC26" s="60" t="str">
        <f>IF(AND('Mapa final'!$Y$13="Media",'Mapa final'!$AA$13="Mayor"),CONCATENATE("R1C",'Mapa final'!$O$13),"")</f>
        <v/>
      </c>
      <c r="AD26" s="60" t="str">
        <f>IF(AND('Mapa final'!$Y$14="Media",'Mapa final'!$AA$14="Mayor"),CONCATENATE("R1C",'Mapa final'!$O$14),"")</f>
        <v/>
      </c>
      <c r="AE26" s="60" t="str">
        <f>IF(AND('Mapa final'!$Y$15="Media",'Mapa final'!$AA$15="Mayor"),CONCATENATE("R1C",'Mapa final'!$O$15),"")</f>
        <v/>
      </c>
      <c r="AF26" s="60" t="str">
        <f>IF(AND('Mapa final'!$Y$16="Media",'Mapa final'!$AA$16="Mayor"),CONCATENATE("R1C",'Mapa final'!$O$16),"")</f>
        <v/>
      </c>
      <c r="AG26" s="60" t="str">
        <f>IF(AND('Mapa final'!$Y$17="Media",'Mapa final'!$AA$17="Mayor"),CONCATENATE("R1C",'Mapa final'!$O$17),"")</f>
        <v/>
      </c>
      <c r="AH26" s="62" t="str">
        <f>IF(AND('Mapa final'!$Y$12="Media",'Mapa final'!$AA$12="Catastrófico"),CONCATENATE("R1C",'Mapa final'!$O$12),"")</f>
        <v/>
      </c>
      <c r="AI26" s="63" t="str">
        <f>IF(AND('Mapa final'!$Y$13="Media",'Mapa final'!$AA$13="Catastrófico"),CONCATENATE("R1C",'Mapa final'!$O$13),"")</f>
        <v/>
      </c>
      <c r="AJ26" s="63" t="str">
        <f>IF(AND('Mapa final'!$Y$14="Media",'Mapa final'!$AA$14="Catastrófico"),CONCATENATE("R1C",'Mapa final'!$O$14),"")</f>
        <v/>
      </c>
      <c r="AK26" s="63" t="str">
        <f>IF(AND('Mapa final'!$Y$15="Media",'Mapa final'!$AA$15="Catastrófico"),CONCATENATE("R1C",'Mapa final'!$O$15),"")</f>
        <v/>
      </c>
      <c r="AL26" s="63" t="str">
        <f>IF(AND('Mapa final'!$Y$16="Media",'Mapa final'!$AA$16="Catastrófico"),CONCATENATE("R1C",'Mapa final'!$O$16),"")</f>
        <v/>
      </c>
      <c r="AM26" s="64" t="str">
        <f>IF(AND('Mapa final'!$Y$17="Media",'Mapa final'!$AA$17="Catastrófico"),CONCATENATE("R1C",'Mapa final'!$O$17),"")</f>
        <v/>
      </c>
      <c r="AN26" s="96"/>
      <c r="AO26" s="410" t="s">
        <v>81</v>
      </c>
      <c r="AP26" s="411"/>
      <c r="AQ26" s="411"/>
      <c r="AR26" s="411"/>
      <c r="AS26" s="411"/>
      <c r="AT26" s="412"/>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row>
    <row r="27" spans="1:76" ht="15" customHeight="1" x14ac:dyDescent="0.25">
      <c r="A27" s="96"/>
      <c r="B27" s="285"/>
      <c r="C27" s="285"/>
      <c r="D27" s="286"/>
      <c r="E27" s="382"/>
      <c r="F27" s="383"/>
      <c r="G27" s="383"/>
      <c r="H27" s="383"/>
      <c r="I27" s="383"/>
      <c r="J27" s="80" t="str">
        <f ca="1">IF(AND('Mapa final'!$Y$18="Media",'Mapa final'!$AA$18="Leve"),CONCATENATE("R2C",'Mapa final'!$O$18),"")</f>
        <v/>
      </c>
      <c r="K27" s="81" t="str">
        <f>IF(AND('Mapa final'!$Y$19="Media",'Mapa final'!$AA$19="Leve"),CONCATENATE("R2C",'Mapa final'!$O$19),"")</f>
        <v/>
      </c>
      <c r="L27" s="81" t="str">
        <f>IF(AND('Mapa final'!$Y$20="Media",'Mapa final'!$AA$20="Leve"),CONCATENATE("R2C",'Mapa final'!$O$20),"")</f>
        <v/>
      </c>
      <c r="M27" s="81" t="str">
        <f>IF(AND('Mapa final'!$Y$21="Media",'Mapa final'!$AA$21="Leve"),CONCATENATE("R2C",'Mapa final'!$O$21),"")</f>
        <v/>
      </c>
      <c r="N27" s="81" t="str">
        <f>IF(AND('Mapa final'!$Y$22="Media",'Mapa final'!$AA$22="Leve"),CONCATENATE("R2C",'Mapa final'!$O$22),"")</f>
        <v/>
      </c>
      <c r="O27" s="82" t="str">
        <f>IF(AND('Mapa final'!$Y$23="Media",'Mapa final'!$AA$23="Leve"),CONCATENATE("R2C",'Mapa final'!$O$23),"")</f>
        <v/>
      </c>
      <c r="P27" s="81" t="str">
        <f ca="1">IF(AND('Mapa final'!$Y$18="Media",'Mapa final'!$AA$18="Menor"),CONCATENATE("R2C",'Mapa final'!$O$18),"")</f>
        <v/>
      </c>
      <c r="Q27" s="81" t="str">
        <f>IF(AND('Mapa final'!$Y$19="Media",'Mapa final'!$AA$19="Menor"),CONCATENATE("R2C",'Mapa final'!$O$19),"")</f>
        <v/>
      </c>
      <c r="R27" s="81" t="str">
        <f>IF(AND('Mapa final'!$Y$20="Media",'Mapa final'!$AA$20="Menor"),CONCATENATE("R2C",'Mapa final'!$O$20),"")</f>
        <v/>
      </c>
      <c r="S27" s="81" t="str">
        <f>IF(AND('Mapa final'!$Y$21="Media",'Mapa final'!$AA$21="Menor"),CONCATENATE("R2C",'Mapa final'!$O$21),"")</f>
        <v/>
      </c>
      <c r="T27" s="81" t="str">
        <f>IF(AND('Mapa final'!$Y$22="Media",'Mapa final'!$AA$22="Menor"),CONCATENATE("R2C",'Mapa final'!$O$22),"")</f>
        <v/>
      </c>
      <c r="U27" s="81" t="str">
        <f>IF(AND('Mapa final'!$Y$23="Media",'Mapa final'!$AA$23="Menor"),CONCATENATE("R2C",'Mapa final'!$O$23),"")</f>
        <v/>
      </c>
      <c r="V27" s="80" t="str">
        <f ca="1">IF(AND('Mapa final'!$Y$18="Media",'Mapa final'!$AA$18="Moderado"),CONCATENATE("R2C",'Mapa final'!$O$18),"")</f>
        <v/>
      </c>
      <c r="W27" s="81" t="str">
        <f>IF(AND('Mapa final'!$Y$19="Media",'Mapa final'!$AA$19="Moderado"),CONCATENATE("R2C",'Mapa final'!$O$19),"")</f>
        <v/>
      </c>
      <c r="X27" s="81" t="str">
        <f>IF(AND('Mapa final'!$Y$20="Media",'Mapa final'!$AA$20="Moderado"),CONCATENATE("R2C",'Mapa final'!$O$20),"")</f>
        <v/>
      </c>
      <c r="Y27" s="81" t="str">
        <f>IF(AND('Mapa final'!$Y$21="Media",'Mapa final'!$AA$21="Moderado"),CONCATENATE("R2C",'Mapa final'!$O$21),"")</f>
        <v/>
      </c>
      <c r="Z27" s="81" t="str">
        <f>IF(AND('Mapa final'!$Y$22="Media",'Mapa final'!$AA$22="Moderado"),CONCATENATE("R2C",'Mapa final'!$O$22),"")</f>
        <v/>
      </c>
      <c r="AA27" s="82" t="str">
        <f>IF(AND('Mapa final'!$Y$23="Media",'Mapa final'!$AA$23="Moderado"),CONCATENATE("R2C",'Mapa final'!$O$23),"")</f>
        <v/>
      </c>
      <c r="AB27" s="66" t="str">
        <f ca="1">IF(AND('Mapa final'!$Y$18="Media",'Mapa final'!$AA$18="Mayor"),CONCATENATE("R2C",'Mapa final'!$O$18),"")</f>
        <v/>
      </c>
      <c r="AC27" s="66" t="str">
        <f>IF(AND('Mapa final'!$Y$19="Media",'Mapa final'!$AA$19="Mayor"),CONCATENATE("R2C",'Mapa final'!$O$19),"")</f>
        <v/>
      </c>
      <c r="AD27" s="66" t="str">
        <f>IF(AND('Mapa final'!$Y$20="Media",'Mapa final'!$AA$20="Mayor"),CONCATENATE("R2C",'Mapa final'!$O$20),"")</f>
        <v/>
      </c>
      <c r="AE27" s="66" t="str">
        <f>IF(AND('Mapa final'!$Y$21="Media",'Mapa final'!$AA$21="Mayor"),CONCATENATE("R2C",'Mapa final'!$O$21),"")</f>
        <v/>
      </c>
      <c r="AF27" s="66" t="str">
        <f>IF(AND('Mapa final'!$Y$22="Media",'Mapa final'!$AA$22="Mayor"),CONCATENATE("R2C",'Mapa final'!$O$22),"")</f>
        <v/>
      </c>
      <c r="AG27" s="66" t="str">
        <f>IF(AND('Mapa final'!$Y$23="Media",'Mapa final'!$AA$23="Mayor"),CONCATENATE("R2C",'Mapa final'!$O$23),"")</f>
        <v/>
      </c>
      <c r="AH27" s="68" t="str">
        <f ca="1">IF(AND('Mapa final'!$Y$18="Media",'Mapa final'!$AA$18="Catastrófico"),CONCATENATE("R2C",'Mapa final'!$O$18),"")</f>
        <v/>
      </c>
      <c r="AI27" s="69" t="str">
        <f>IF(AND('Mapa final'!$Y$19="Media",'Mapa final'!$AA$19="Catastrófico"),CONCATENATE("R2C",'Mapa final'!$O$19),"")</f>
        <v/>
      </c>
      <c r="AJ27" s="69" t="str">
        <f>IF(AND('Mapa final'!$Y$20="Media",'Mapa final'!$AA$20="Catastrófico"),CONCATENATE("R2C",'Mapa final'!$O$20),"")</f>
        <v/>
      </c>
      <c r="AK27" s="69" t="str">
        <f>IF(AND('Mapa final'!$Y$21="Media",'Mapa final'!$AA$21="Catastrófico"),CONCATENATE("R2C",'Mapa final'!$O$21),"")</f>
        <v/>
      </c>
      <c r="AL27" s="69" t="str">
        <f>IF(AND('Mapa final'!$Y$22="Media",'Mapa final'!$AA$22="Catastrófico"),CONCATENATE("R2C",'Mapa final'!$O$22),"")</f>
        <v/>
      </c>
      <c r="AM27" s="70" t="str">
        <f>IF(AND('Mapa final'!$Y$23="Media",'Mapa final'!$AA$23="Catastrófico"),CONCATENATE("R2C",'Mapa final'!$O$23),"")</f>
        <v/>
      </c>
      <c r="AN27" s="96"/>
      <c r="AO27" s="413"/>
      <c r="AP27" s="414"/>
      <c r="AQ27" s="414"/>
      <c r="AR27" s="414"/>
      <c r="AS27" s="414"/>
      <c r="AT27" s="415"/>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row>
    <row r="28" spans="1:76" ht="15" customHeight="1" x14ac:dyDescent="0.25">
      <c r="A28" s="96"/>
      <c r="B28" s="285"/>
      <c r="C28" s="285"/>
      <c r="D28" s="286"/>
      <c r="E28" s="384"/>
      <c r="F28" s="383"/>
      <c r="G28" s="383"/>
      <c r="H28" s="383"/>
      <c r="I28" s="383"/>
      <c r="J28" s="80" t="str">
        <f ca="1">IF(AND('Mapa final'!$Y$24="Media",'Mapa final'!$AA$24="Leve"),CONCATENATE("R3C",'Mapa final'!$O$24),"")</f>
        <v/>
      </c>
      <c r="K28" s="81" t="str">
        <f>IF(AND('Mapa final'!$Y$25="Media",'Mapa final'!$AA$25="Leve"),CONCATENATE("R3C",'Mapa final'!$O$25),"")</f>
        <v/>
      </c>
      <c r="L28" s="81" t="str">
        <f>IF(AND('Mapa final'!$Y$26="Media",'Mapa final'!$AA$26="Leve"),CONCATENATE("R3C",'Mapa final'!$O$26),"")</f>
        <v/>
      </c>
      <c r="M28" s="81" t="str">
        <f>IF(AND('Mapa final'!$Y$27="Media",'Mapa final'!$AA$27="Leve"),CONCATENATE("R3C",'Mapa final'!$O$27),"")</f>
        <v/>
      </c>
      <c r="N28" s="81" t="str">
        <f>IF(AND('Mapa final'!$Y$28="Media",'Mapa final'!$AA$28="Leve"),CONCATENATE("R3C",'Mapa final'!$O$28),"")</f>
        <v/>
      </c>
      <c r="O28" s="82" t="str">
        <f>IF(AND('Mapa final'!$Y$29="Media",'Mapa final'!$AA$29="Leve"),CONCATENATE("R3C",'Mapa final'!$O$29),"")</f>
        <v/>
      </c>
      <c r="P28" s="81" t="str">
        <f ca="1">IF(AND('Mapa final'!$Y$24="Media",'Mapa final'!$AA$24="Menor"),CONCATENATE("R3C",'Mapa final'!$O$24),"")</f>
        <v/>
      </c>
      <c r="Q28" s="81" t="str">
        <f>IF(AND('Mapa final'!$Y$25="Media",'Mapa final'!$AA$25="Menor"),CONCATENATE("R3C",'Mapa final'!$O$25),"")</f>
        <v/>
      </c>
      <c r="R28" s="81" t="str">
        <f>IF(AND('Mapa final'!$Y$26="Media",'Mapa final'!$AA$26="Menor"),CONCATENATE("R3C",'Mapa final'!$O$26),"")</f>
        <v/>
      </c>
      <c r="S28" s="81" t="str">
        <f>IF(AND('Mapa final'!$Y$27="Media",'Mapa final'!$AA$27="Menor"),CONCATENATE("R3C",'Mapa final'!$O$27),"")</f>
        <v/>
      </c>
      <c r="T28" s="81" t="str">
        <f>IF(AND('Mapa final'!$Y$28="Media",'Mapa final'!$AA$28="Menor"),CONCATENATE("R3C",'Mapa final'!$O$28),"")</f>
        <v/>
      </c>
      <c r="U28" s="81" t="str">
        <f>IF(AND('Mapa final'!$Y$29="Media",'Mapa final'!$AA$29="Menor"),CONCATENATE("R3C",'Mapa final'!$O$29),"")</f>
        <v/>
      </c>
      <c r="V28" s="80" t="str">
        <f ca="1">IF(AND('Mapa final'!$Y$24="Media",'Mapa final'!$AA$24="Moderado"),CONCATENATE("R3C",'Mapa final'!$O$24),"")</f>
        <v/>
      </c>
      <c r="W28" s="81" t="str">
        <f>IF(AND('Mapa final'!$Y$25="Media",'Mapa final'!$AA$25="Moderado"),CONCATENATE("R3C",'Mapa final'!$O$25),"")</f>
        <v/>
      </c>
      <c r="X28" s="81" t="str">
        <f>IF(AND('Mapa final'!$Y$26="Media",'Mapa final'!$AA$26="Moderado"),CONCATENATE("R3C",'Mapa final'!$O$26),"")</f>
        <v/>
      </c>
      <c r="Y28" s="81" t="str">
        <f>IF(AND('Mapa final'!$Y$27="Media",'Mapa final'!$AA$27="Moderado"),CONCATENATE("R3C",'Mapa final'!$O$27),"")</f>
        <v/>
      </c>
      <c r="Z28" s="81" t="str">
        <f>IF(AND('Mapa final'!$Y$28="Media",'Mapa final'!$AA$28="Moderado"),CONCATENATE("R3C",'Mapa final'!$O$28),"")</f>
        <v/>
      </c>
      <c r="AA28" s="82" t="str">
        <f>IF(AND('Mapa final'!$Y$29="Media",'Mapa final'!$AA$29="Moderado"),CONCATENATE("R3C",'Mapa final'!$O$29),"")</f>
        <v/>
      </c>
      <c r="AB28" s="66" t="str">
        <f ca="1">IF(AND('Mapa final'!$Y$24="Media",'Mapa final'!$AA$24="Mayor"),CONCATENATE("R3C",'Mapa final'!$O$24),"")</f>
        <v/>
      </c>
      <c r="AC28" s="66" t="str">
        <f>IF(AND('Mapa final'!$Y$25="Media",'Mapa final'!$AA$25="Mayor"),CONCATENATE("R3C",'Mapa final'!$O$25),"")</f>
        <v/>
      </c>
      <c r="AD28" s="66" t="str">
        <f>IF(AND('Mapa final'!$Y$26="Media",'Mapa final'!$AA$26="Mayor"),CONCATENATE("R3C",'Mapa final'!$O$26),"")</f>
        <v/>
      </c>
      <c r="AE28" s="66" t="str">
        <f>IF(AND('Mapa final'!$Y$27="Media",'Mapa final'!$AA$27="Mayor"),CONCATENATE("R3C",'Mapa final'!$O$27),"")</f>
        <v/>
      </c>
      <c r="AF28" s="66" t="str">
        <f>IF(AND('Mapa final'!$Y$28="Media",'Mapa final'!$AA$28="Mayor"),CONCATENATE("R3C",'Mapa final'!$O$28),"")</f>
        <v/>
      </c>
      <c r="AG28" s="66" t="str">
        <f>IF(AND('Mapa final'!$Y$29="Media",'Mapa final'!$AA$29="Mayor"),CONCATENATE("R3C",'Mapa final'!$O$29),"")</f>
        <v/>
      </c>
      <c r="AH28" s="68" t="str">
        <f ca="1">IF(AND('Mapa final'!$Y$24="Media",'Mapa final'!$AA$24="Catastrófico"),CONCATENATE("R3C",'Mapa final'!$O$24),"")</f>
        <v/>
      </c>
      <c r="AI28" s="69" t="str">
        <f>IF(AND('Mapa final'!$Y$25="Media",'Mapa final'!$AA$25="Catastrófico"),CONCATENATE("R3C",'Mapa final'!$O$25),"")</f>
        <v/>
      </c>
      <c r="AJ28" s="69" t="str">
        <f>IF(AND('Mapa final'!$Y$26="Media",'Mapa final'!$AA$26="Catastrófico"),CONCATENATE("R3C",'Mapa final'!$O$26),"")</f>
        <v/>
      </c>
      <c r="AK28" s="69" t="str">
        <f>IF(AND('Mapa final'!$Y$27="Media",'Mapa final'!$AA$27="Catastrófico"),CONCATENATE("R3C",'Mapa final'!$O$27),"")</f>
        <v/>
      </c>
      <c r="AL28" s="69" t="str">
        <f>IF(AND('Mapa final'!$Y$28="Media",'Mapa final'!$AA$28="Catastrófico"),CONCATENATE("R3C",'Mapa final'!$O$28),"")</f>
        <v/>
      </c>
      <c r="AM28" s="70" t="str">
        <f>IF(AND('Mapa final'!$Y$29="Media",'Mapa final'!$AA$29="Catastrófico"),CONCATENATE("R3C",'Mapa final'!$O$29),"")</f>
        <v/>
      </c>
      <c r="AN28" s="96"/>
      <c r="AO28" s="413"/>
      <c r="AP28" s="414"/>
      <c r="AQ28" s="414"/>
      <c r="AR28" s="414"/>
      <c r="AS28" s="414"/>
      <c r="AT28" s="415"/>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row>
    <row r="29" spans="1:76" ht="15" customHeight="1" x14ac:dyDescent="0.25">
      <c r="A29" s="96"/>
      <c r="B29" s="285"/>
      <c r="C29" s="285"/>
      <c r="D29" s="286"/>
      <c r="E29" s="384"/>
      <c r="F29" s="383"/>
      <c r="G29" s="383"/>
      <c r="H29" s="383"/>
      <c r="I29" s="383"/>
      <c r="J29" s="80" t="str">
        <f ca="1">IF(AND('Mapa final'!$Y$30="Media",'Mapa final'!$AA$30="Leve"),CONCATENATE("R4C",'Mapa final'!$O$30),"")</f>
        <v/>
      </c>
      <c r="K29" s="81" t="str">
        <f>IF(AND('Mapa final'!$Y$31="Media",'Mapa final'!$AA$31="Leve"),CONCATENATE("R4C",'Mapa final'!$O$31),"")</f>
        <v/>
      </c>
      <c r="L29" s="81" t="str">
        <f>IF(AND('Mapa final'!$Y$32="Media",'Mapa final'!$AA$32="Leve"),CONCATENATE("R4C",'Mapa final'!$O$32),"")</f>
        <v/>
      </c>
      <c r="M29" s="81" t="str">
        <f>IF(AND('Mapa final'!$Y$33="Media",'Mapa final'!$AA$33="Leve"),CONCATENATE("R4C",'Mapa final'!$O$33),"")</f>
        <v/>
      </c>
      <c r="N29" s="81" t="str">
        <f>IF(AND('Mapa final'!$Y$34="Media",'Mapa final'!$AA$34="Leve"),CONCATENATE("R4C",'Mapa final'!$O$34),"")</f>
        <v/>
      </c>
      <c r="O29" s="82" t="str">
        <f>IF(AND('Mapa final'!$Y$35="Media",'Mapa final'!$AA$35="Leve"),CONCATENATE("R4C",'Mapa final'!$O$35),"")</f>
        <v/>
      </c>
      <c r="P29" s="81" t="str">
        <f ca="1">IF(AND('Mapa final'!$Y$30="Media",'Mapa final'!$AA$30="Menor"),CONCATENATE("R4C",'Mapa final'!$O$30),"")</f>
        <v/>
      </c>
      <c r="Q29" s="81" t="str">
        <f>IF(AND('Mapa final'!$Y$31="Media",'Mapa final'!$AA$31="Menor"),CONCATENATE("R4C",'Mapa final'!$O$31),"")</f>
        <v/>
      </c>
      <c r="R29" s="81" t="str">
        <f>IF(AND('Mapa final'!$Y$32="Media",'Mapa final'!$AA$32="Menor"),CONCATENATE("R4C",'Mapa final'!$O$32),"")</f>
        <v/>
      </c>
      <c r="S29" s="81" t="str">
        <f>IF(AND('Mapa final'!$Y$33="Media",'Mapa final'!$AA$33="Menor"),CONCATENATE("R4C",'Mapa final'!$O$33),"")</f>
        <v/>
      </c>
      <c r="T29" s="81" t="str">
        <f>IF(AND('Mapa final'!$Y$34="Media",'Mapa final'!$AA$34="Menor"),CONCATENATE("R4C",'Mapa final'!$O$34),"")</f>
        <v/>
      </c>
      <c r="U29" s="81" t="str">
        <f>IF(AND('Mapa final'!$Y$35="Media",'Mapa final'!$AA$35="Menor"),CONCATENATE("R4C",'Mapa final'!$O$35),"")</f>
        <v/>
      </c>
      <c r="V29" s="80" t="str">
        <f ca="1">IF(AND('Mapa final'!$Y$30="Media",'Mapa final'!$AA$30="Moderado"),CONCATENATE("R4C",'Mapa final'!$O$30),"")</f>
        <v/>
      </c>
      <c r="W29" s="81" t="str">
        <f>IF(AND('Mapa final'!$Y$31="Media",'Mapa final'!$AA$31="Moderado"),CONCATENATE("R4C",'Mapa final'!$O$31),"")</f>
        <v/>
      </c>
      <c r="X29" s="81" t="str">
        <f>IF(AND('Mapa final'!$Y$32="Media",'Mapa final'!$AA$32="Moderado"),CONCATENATE("R4C",'Mapa final'!$O$32),"")</f>
        <v/>
      </c>
      <c r="Y29" s="81" t="str">
        <f>IF(AND('Mapa final'!$Y$33="Media",'Mapa final'!$AA$33="Moderado"),CONCATENATE("R4C",'Mapa final'!$O$33),"")</f>
        <v/>
      </c>
      <c r="Z29" s="81" t="str">
        <f>IF(AND('Mapa final'!$Y$34="Media",'Mapa final'!$AA$34="Moderado"),CONCATENATE("R4C",'Mapa final'!$O$34),"")</f>
        <v/>
      </c>
      <c r="AA29" s="82" t="str">
        <f>IF(AND('Mapa final'!$Y$35="Media",'Mapa final'!$AA$35="Moderado"),CONCATENATE("R4C",'Mapa final'!$O$35),"")</f>
        <v/>
      </c>
      <c r="AB29" s="66" t="str">
        <f ca="1">IF(AND('Mapa final'!$Y$30="Media",'Mapa final'!$AA$30="Mayor"),CONCATENATE("R4C",'Mapa final'!$O$30),"")</f>
        <v/>
      </c>
      <c r="AC29" s="66" t="str">
        <f>IF(AND('Mapa final'!$Y$31="Media",'Mapa final'!$AA$31="Mayor"),CONCATENATE("R4C",'Mapa final'!$O$31),"")</f>
        <v/>
      </c>
      <c r="AD29" s="66" t="str">
        <f>IF(AND('Mapa final'!$Y$32="Media",'Mapa final'!$AA$32="Mayor"),CONCATENATE("R4C",'Mapa final'!$O$32),"")</f>
        <v/>
      </c>
      <c r="AE29" s="66" t="str">
        <f>IF(AND('Mapa final'!$Y$33="Media",'Mapa final'!$AA$33="Mayor"),CONCATENATE("R4C",'Mapa final'!$O$33),"")</f>
        <v/>
      </c>
      <c r="AF29" s="66" t="str">
        <f>IF(AND('Mapa final'!$Y$34="Media",'Mapa final'!$AA$34="Mayor"),CONCATENATE("R4C",'Mapa final'!$O$34),"")</f>
        <v/>
      </c>
      <c r="AG29" s="66" t="str">
        <f>IF(AND('Mapa final'!$Y$35="Media",'Mapa final'!$AA$35="Mayor"),CONCATENATE("R4C",'Mapa final'!$O$35),"")</f>
        <v/>
      </c>
      <c r="AH29" s="68" t="str">
        <f ca="1">IF(AND('Mapa final'!$Y$30="Media",'Mapa final'!$AA$30="Catastrófico"),CONCATENATE("R4C",'Mapa final'!$O$30),"")</f>
        <v/>
      </c>
      <c r="AI29" s="69" t="str">
        <f>IF(AND('Mapa final'!$Y$31="Media",'Mapa final'!$AA$31="Catastrófico"),CONCATENATE("R4C",'Mapa final'!$O$31),"")</f>
        <v/>
      </c>
      <c r="AJ29" s="69" t="str">
        <f>IF(AND('Mapa final'!$Y$32="Media",'Mapa final'!$AA$32="Catastrófico"),CONCATENATE("R4C",'Mapa final'!$O$32),"")</f>
        <v/>
      </c>
      <c r="AK29" s="69" t="str">
        <f>IF(AND('Mapa final'!$Y$33="Media",'Mapa final'!$AA$33="Catastrófico"),CONCATENATE("R4C",'Mapa final'!$O$33),"")</f>
        <v/>
      </c>
      <c r="AL29" s="69" t="str">
        <f>IF(AND('Mapa final'!$Y$34="Media",'Mapa final'!$AA$34="Catastrófico"),CONCATENATE("R4C",'Mapa final'!$O$34),"")</f>
        <v/>
      </c>
      <c r="AM29" s="70" t="str">
        <f>IF(AND('Mapa final'!$Y$35="Media",'Mapa final'!$AA$35="Catastrófico"),CONCATENATE("R4C",'Mapa final'!$O$35),"")</f>
        <v/>
      </c>
      <c r="AN29" s="96"/>
      <c r="AO29" s="413"/>
      <c r="AP29" s="414"/>
      <c r="AQ29" s="414"/>
      <c r="AR29" s="414"/>
      <c r="AS29" s="414"/>
      <c r="AT29" s="415"/>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row>
    <row r="30" spans="1:76" ht="15" customHeight="1" x14ac:dyDescent="0.25">
      <c r="A30" s="96"/>
      <c r="B30" s="285"/>
      <c r="C30" s="285"/>
      <c r="D30" s="286"/>
      <c r="E30" s="384"/>
      <c r="F30" s="383"/>
      <c r="G30" s="383"/>
      <c r="H30" s="383"/>
      <c r="I30" s="383"/>
      <c r="J30" s="80" t="str">
        <f>IF(AND('Mapa final'!$Y$36="Media",'Mapa final'!$AA$36="Leve"),CONCATENATE("R5C",'Mapa final'!$O$36),"")</f>
        <v/>
      </c>
      <c r="K30" s="81" t="str">
        <f>IF(AND('Mapa final'!$Y$37="Media",'Mapa final'!$AA$37="Leve"),CONCATENATE("R5C",'Mapa final'!$O$37),"")</f>
        <v/>
      </c>
      <c r="L30" s="81" t="str">
        <f>IF(AND('Mapa final'!$Y$38="Media",'Mapa final'!$AA$38="Leve"),CONCATENATE("R5C",'Mapa final'!$O$38),"")</f>
        <v/>
      </c>
      <c r="M30" s="81" t="str">
        <f>IF(AND('Mapa final'!$Y$39="Media",'Mapa final'!$AA$39="Leve"),CONCATENATE("R5C",'Mapa final'!$O$39),"")</f>
        <v/>
      </c>
      <c r="N30" s="81" t="str">
        <f>IF(AND('Mapa final'!$Y$40="Media",'Mapa final'!$AA$40="Leve"),CONCATENATE("R5C",'Mapa final'!$O$40),"")</f>
        <v/>
      </c>
      <c r="O30" s="82" t="str">
        <f>IF(AND('Mapa final'!$Y$41="Media",'Mapa final'!$AA$41="Leve"),CONCATENATE("R5C",'Mapa final'!$O$41),"")</f>
        <v/>
      </c>
      <c r="P30" s="81" t="str">
        <f>IF(AND('Mapa final'!$Y$36="Media",'Mapa final'!$AA$36="Menor"),CONCATENATE("R5C",'Mapa final'!$O$36),"")</f>
        <v/>
      </c>
      <c r="Q30" s="81" t="str">
        <f>IF(AND('Mapa final'!$Y$37="Media",'Mapa final'!$AA$37="Menor"),CONCATENATE("R5C",'Mapa final'!$O$37),"")</f>
        <v/>
      </c>
      <c r="R30" s="81" t="str">
        <f>IF(AND('Mapa final'!$Y$38="Media",'Mapa final'!$AA$38="Menor"),CONCATENATE("R5C",'Mapa final'!$O$38),"")</f>
        <v/>
      </c>
      <c r="S30" s="81" t="str">
        <f>IF(AND('Mapa final'!$Y$39="Media",'Mapa final'!$AA$39="Menor"),CONCATENATE("R5C",'Mapa final'!$O$39),"")</f>
        <v/>
      </c>
      <c r="T30" s="81" t="str">
        <f>IF(AND('Mapa final'!$Y$40="Media",'Mapa final'!$AA$40="Menor"),CONCATENATE("R5C",'Mapa final'!$O$40),"")</f>
        <v/>
      </c>
      <c r="U30" s="81" t="str">
        <f>IF(AND('Mapa final'!$Y$41="Media",'Mapa final'!$AA$41="Menor"),CONCATENATE("R5C",'Mapa final'!$O$41),"")</f>
        <v/>
      </c>
      <c r="V30" s="80" t="str">
        <f>IF(AND('Mapa final'!$Y$36="Media",'Mapa final'!$AA$36="Moderado"),CONCATENATE("R5C",'Mapa final'!$O$36),"")</f>
        <v/>
      </c>
      <c r="W30" s="81" t="str">
        <f>IF(AND('Mapa final'!$Y$37="Media",'Mapa final'!$AA$37="Moderado"),CONCATENATE("R5C",'Mapa final'!$O$37),"")</f>
        <v/>
      </c>
      <c r="X30" s="81" t="str">
        <f>IF(AND('Mapa final'!$Y$38="Media",'Mapa final'!$AA$38="Moderado"),CONCATENATE("R5C",'Mapa final'!$O$38),"")</f>
        <v/>
      </c>
      <c r="Y30" s="81" t="str">
        <f>IF(AND('Mapa final'!$Y$39="Media",'Mapa final'!$AA$39="Moderado"),CONCATENATE("R5C",'Mapa final'!$O$39),"")</f>
        <v/>
      </c>
      <c r="Z30" s="81" t="str">
        <f>IF(AND('Mapa final'!$Y$40="Media",'Mapa final'!$AA$40="Moderado"),CONCATENATE("R5C",'Mapa final'!$O$40),"")</f>
        <v/>
      </c>
      <c r="AA30" s="82" t="str">
        <f>IF(AND('Mapa final'!$Y$41="Media",'Mapa final'!$AA$41="Moderado"),CONCATENATE("R5C",'Mapa final'!$O$41),"")</f>
        <v/>
      </c>
      <c r="AB30" s="66" t="str">
        <f>IF(AND('Mapa final'!$Y$36="Media",'Mapa final'!$AA$36="Mayor"),CONCATENATE("R5C",'Mapa final'!$O$36),"")</f>
        <v/>
      </c>
      <c r="AC30" s="66" t="str">
        <f>IF(AND('Mapa final'!$Y$37="Media",'Mapa final'!$AA$37="Mayor"),CONCATENATE("R5C",'Mapa final'!$O$37),"")</f>
        <v/>
      </c>
      <c r="AD30" s="66" t="str">
        <f>IF(AND('Mapa final'!$Y$38="Media",'Mapa final'!$AA$38="Mayor"),CONCATENATE("R5C",'Mapa final'!$O$38),"")</f>
        <v/>
      </c>
      <c r="AE30" s="66" t="str">
        <f>IF(AND('Mapa final'!$Y$39="Media",'Mapa final'!$AA$39="Mayor"),CONCATENATE("R5C",'Mapa final'!$O$39),"")</f>
        <v/>
      </c>
      <c r="AF30" s="66" t="str">
        <f>IF(AND('Mapa final'!$Y$40="Media",'Mapa final'!$AA$40="Mayor"),CONCATENATE("R5C",'Mapa final'!$O$40),"")</f>
        <v/>
      </c>
      <c r="AG30" s="66" t="str">
        <f>IF(AND('Mapa final'!$Y$41="Media",'Mapa final'!$AA$41="Mayor"),CONCATENATE("R5C",'Mapa final'!$O$41),"")</f>
        <v/>
      </c>
      <c r="AH30" s="68" t="str">
        <f>IF(AND('Mapa final'!$Y$36="Media",'Mapa final'!$AA$36="Catastrófico"),CONCATENATE("R5C",'Mapa final'!$O$36),"")</f>
        <v/>
      </c>
      <c r="AI30" s="69" t="str">
        <f>IF(AND('Mapa final'!$Y$37="Media",'Mapa final'!$AA$37="Catastrófico"),CONCATENATE("R5C",'Mapa final'!$O$37),"")</f>
        <v/>
      </c>
      <c r="AJ30" s="69" t="str">
        <f>IF(AND('Mapa final'!$Y$38="Media",'Mapa final'!$AA$38="Catastrófico"),CONCATENATE("R5C",'Mapa final'!$O$38),"")</f>
        <v/>
      </c>
      <c r="AK30" s="69" t="str">
        <f>IF(AND('Mapa final'!$Y$39="Media",'Mapa final'!$AA$39="Catastrófico"),CONCATENATE("R5C",'Mapa final'!$O$39),"")</f>
        <v/>
      </c>
      <c r="AL30" s="69" t="str">
        <f>IF(AND('Mapa final'!$Y$40="Media",'Mapa final'!$AA$40="Catastrófico"),CONCATENATE("R5C",'Mapa final'!$O$40),"")</f>
        <v/>
      </c>
      <c r="AM30" s="70" t="str">
        <f>IF(AND('Mapa final'!$Y$41="Media",'Mapa final'!$AA$41="Catastrófico"),CONCATENATE("R5C",'Mapa final'!$O$41),"")</f>
        <v/>
      </c>
      <c r="AN30" s="96"/>
      <c r="AO30" s="413"/>
      <c r="AP30" s="414"/>
      <c r="AQ30" s="414"/>
      <c r="AR30" s="414"/>
      <c r="AS30" s="414"/>
      <c r="AT30" s="415"/>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row>
    <row r="31" spans="1:76" ht="15" customHeight="1" x14ac:dyDescent="0.25">
      <c r="A31" s="96"/>
      <c r="B31" s="285"/>
      <c r="C31" s="285"/>
      <c r="D31" s="286"/>
      <c r="E31" s="384"/>
      <c r="F31" s="383"/>
      <c r="G31" s="383"/>
      <c r="H31" s="383"/>
      <c r="I31" s="383"/>
      <c r="J31" s="80" t="str">
        <f ca="1">IF(AND('Mapa final'!$Y$42="Media",'Mapa final'!$AA$42="Leve"),CONCATENATE("R6C",'Mapa final'!$O$42),"")</f>
        <v/>
      </c>
      <c r="K31" s="81" t="str">
        <f>IF(AND('Mapa final'!$Y$43="Media",'Mapa final'!$AA$43="Leve"),CONCATENATE("R6C",'Mapa final'!$O$43),"")</f>
        <v/>
      </c>
      <c r="L31" s="81" t="str">
        <f>IF(AND('Mapa final'!$Y$44="Media",'Mapa final'!$AA$44="Leve"),CONCATENATE("R6C",'Mapa final'!$O$44),"")</f>
        <v/>
      </c>
      <c r="M31" s="81" t="str">
        <f>IF(AND('Mapa final'!$Y$45="Media",'Mapa final'!$AA$45="Leve"),CONCATENATE("R6C",'Mapa final'!$O$45),"")</f>
        <v/>
      </c>
      <c r="N31" s="81" t="str">
        <f>IF(AND('Mapa final'!$Y$46="Media",'Mapa final'!$AA$46="Leve"),CONCATENATE("R6C",'Mapa final'!$O$46),"")</f>
        <v/>
      </c>
      <c r="O31" s="82" t="str">
        <f>IF(AND('Mapa final'!$Y$47="Media",'Mapa final'!$AA$47="Leve"),CONCATENATE("R6C",'Mapa final'!$O$47),"")</f>
        <v/>
      </c>
      <c r="P31" s="81" t="str">
        <f ca="1">IF(AND('Mapa final'!$Y$42="Media",'Mapa final'!$AA$42="Menor"),CONCATENATE("R6C",'Mapa final'!$O$42),"")</f>
        <v/>
      </c>
      <c r="Q31" s="81" t="str">
        <f>IF(AND('Mapa final'!$Y$43="Media",'Mapa final'!$AA$43="Menor"),CONCATENATE("R6C",'Mapa final'!$O$43),"")</f>
        <v/>
      </c>
      <c r="R31" s="81" t="str">
        <f>IF(AND('Mapa final'!$Y$44="Media",'Mapa final'!$AA$44="Menor"),CONCATENATE("R6C",'Mapa final'!$O$44),"")</f>
        <v/>
      </c>
      <c r="S31" s="81" t="str">
        <f>IF(AND('Mapa final'!$Y$45="Media",'Mapa final'!$AA$45="Menor"),CONCATENATE("R6C",'Mapa final'!$O$45),"")</f>
        <v/>
      </c>
      <c r="T31" s="81" t="str">
        <f>IF(AND('Mapa final'!$Y$46="Media",'Mapa final'!$AA$46="Menor"),CONCATENATE("R6C",'Mapa final'!$O$46),"")</f>
        <v/>
      </c>
      <c r="U31" s="81" t="str">
        <f>IF(AND('Mapa final'!$Y$47="Media",'Mapa final'!$AA$47="Menor"),CONCATENATE("R6C",'Mapa final'!$O$47),"")</f>
        <v/>
      </c>
      <c r="V31" s="80" t="str">
        <f ca="1">IF(AND('Mapa final'!$Y$42="Media",'Mapa final'!$AA$42="Moderado"),CONCATENATE("R6C",'Mapa final'!$O$42),"")</f>
        <v/>
      </c>
      <c r="W31" s="81" t="str">
        <f>IF(AND('Mapa final'!$Y$43="Media",'Mapa final'!$AA$43="Moderado"),CONCATENATE("R6C",'Mapa final'!$O$43),"")</f>
        <v/>
      </c>
      <c r="X31" s="81" t="str">
        <f>IF(AND('Mapa final'!$Y$44="Media",'Mapa final'!$AA$44="Moderado"),CONCATENATE("R6C",'Mapa final'!$O$44),"")</f>
        <v/>
      </c>
      <c r="Y31" s="81" t="str">
        <f>IF(AND('Mapa final'!$Y$45="Media",'Mapa final'!$AA$45="Moderado"),CONCATENATE("R6C",'Mapa final'!$O$45),"")</f>
        <v/>
      </c>
      <c r="Z31" s="81" t="str">
        <f>IF(AND('Mapa final'!$Y$46="Media",'Mapa final'!$AA$46="Moderado"),CONCATENATE("R6C",'Mapa final'!$O$46),"")</f>
        <v/>
      </c>
      <c r="AA31" s="82" t="str">
        <f>IF(AND('Mapa final'!$Y$47="Media",'Mapa final'!$AA$47="Moderado"),CONCATENATE("R6C",'Mapa final'!$O$47),"")</f>
        <v/>
      </c>
      <c r="AB31" s="66" t="str">
        <f ca="1">IF(AND('Mapa final'!$Y$42="Media",'Mapa final'!$AA$42="Mayor"),CONCATENATE("R6C",'Mapa final'!$O$42),"")</f>
        <v/>
      </c>
      <c r="AC31" s="66" t="str">
        <f>IF(AND('Mapa final'!$Y$43="Media",'Mapa final'!$AA$43="Mayor"),CONCATENATE("R6C",'Mapa final'!$O$43),"")</f>
        <v/>
      </c>
      <c r="AD31" s="66" t="str">
        <f>IF(AND('Mapa final'!$Y$44="Media",'Mapa final'!$AA$44="Mayor"),CONCATENATE("R6C",'Mapa final'!$O$44),"")</f>
        <v/>
      </c>
      <c r="AE31" s="66" t="str">
        <f>IF(AND('Mapa final'!$Y$45="Media",'Mapa final'!$AA$45="Mayor"),CONCATENATE("R6C",'Mapa final'!$O$45),"")</f>
        <v/>
      </c>
      <c r="AF31" s="66" t="str">
        <f>IF(AND('Mapa final'!$Y$46="Media",'Mapa final'!$AA$46="Mayor"),CONCATENATE("R6C",'Mapa final'!$O$46),"")</f>
        <v/>
      </c>
      <c r="AG31" s="66" t="str">
        <f>IF(AND('Mapa final'!$Y$47="Media",'Mapa final'!$AA$47="Mayor"),CONCATENATE("R6C",'Mapa final'!$O$47),"")</f>
        <v/>
      </c>
      <c r="AH31" s="68" t="str">
        <f ca="1">IF(AND('Mapa final'!$Y$42="Media",'Mapa final'!$AA$42="Catastrófico"),CONCATENATE("R6C",'Mapa final'!$O$42),"")</f>
        <v/>
      </c>
      <c r="AI31" s="69" t="str">
        <f>IF(AND('Mapa final'!$Y$43="Media",'Mapa final'!$AA$43="Catastrófico"),CONCATENATE("R6C",'Mapa final'!$O$43),"")</f>
        <v/>
      </c>
      <c r="AJ31" s="69" t="str">
        <f>IF(AND('Mapa final'!$Y$44="Media",'Mapa final'!$AA$44="Catastrófico"),CONCATENATE("R6C",'Mapa final'!$O$44),"")</f>
        <v/>
      </c>
      <c r="AK31" s="69" t="str">
        <f>IF(AND('Mapa final'!$Y$45="Media",'Mapa final'!$AA$45="Catastrófico"),CONCATENATE("R6C",'Mapa final'!$O$45),"")</f>
        <v/>
      </c>
      <c r="AL31" s="69" t="str">
        <f>IF(AND('Mapa final'!$Y$46="Media",'Mapa final'!$AA$46="Catastrófico"),CONCATENATE("R6C",'Mapa final'!$O$46),"")</f>
        <v/>
      </c>
      <c r="AM31" s="70" t="str">
        <f>IF(AND('Mapa final'!$Y$47="Media",'Mapa final'!$AA$47="Catastrófico"),CONCATENATE("R6C",'Mapa final'!$O$47),"")</f>
        <v/>
      </c>
      <c r="AN31" s="96"/>
      <c r="AO31" s="413"/>
      <c r="AP31" s="414"/>
      <c r="AQ31" s="414"/>
      <c r="AR31" s="414"/>
      <c r="AS31" s="414"/>
      <c r="AT31" s="415"/>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row>
    <row r="32" spans="1:76" ht="15" customHeight="1" x14ac:dyDescent="0.25">
      <c r="A32" s="96"/>
      <c r="B32" s="285"/>
      <c r="C32" s="285"/>
      <c r="D32" s="286"/>
      <c r="E32" s="384"/>
      <c r="F32" s="383"/>
      <c r="G32" s="383"/>
      <c r="H32" s="383"/>
      <c r="I32" s="383"/>
      <c r="J32" s="80" t="str">
        <f>IF(AND('Mapa final'!$Y$48="Media",'Mapa final'!$AA$48="Leve"),CONCATENATE("R7C",'Mapa final'!$O$48),"")</f>
        <v/>
      </c>
      <c r="K32" s="81" t="str">
        <f>IF(AND('Mapa final'!$Y$49="Media",'Mapa final'!$AA$49="Leve"),CONCATENATE("R7C",'Mapa final'!$O$49),"")</f>
        <v/>
      </c>
      <c r="L32" s="81" t="str">
        <f>IF(AND('Mapa final'!$Y$50="Media",'Mapa final'!$AA$50="Leve"),CONCATENATE("R7C",'Mapa final'!$O$50),"")</f>
        <v/>
      </c>
      <c r="M32" s="81" t="str">
        <f>IF(AND('Mapa final'!$Y$51="Media",'Mapa final'!$AA$51="Leve"),CONCATENATE("R7C",'Mapa final'!$O$51),"")</f>
        <v/>
      </c>
      <c r="N32" s="81" t="str">
        <f>IF(AND('Mapa final'!$Y$52="Media",'Mapa final'!$AA$52="Leve"),CONCATENATE("R7C",'Mapa final'!$O$52),"")</f>
        <v/>
      </c>
      <c r="O32" s="82" t="str">
        <f>IF(AND('Mapa final'!$Y$53="Media",'Mapa final'!$AA$53="Leve"),CONCATENATE("R7C",'Mapa final'!$O$53),"")</f>
        <v/>
      </c>
      <c r="P32" s="81" t="str">
        <f>IF(AND('Mapa final'!$Y$48="Media",'Mapa final'!$AA$48="Menor"),CONCATENATE("R7C",'Mapa final'!$O$48),"")</f>
        <v/>
      </c>
      <c r="Q32" s="81" t="str">
        <f>IF(AND('Mapa final'!$Y$49="Media",'Mapa final'!$AA$49="Menor"),CONCATENATE("R7C",'Mapa final'!$O$49),"")</f>
        <v/>
      </c>
      <c r="R32" s="81" t="str">
        <f>IF(AND('Mapa final'!$Y$50="Media",'Mapa final'!$AA$50="Menor"),CONCATENATE("R7C",'Mapa final'!$O$50),"")</f>
        <v/>
      </c>
      <c r="S32" s="81" t="str">
        <f>IF(AND('Mapa final'!$Y$51="Media",'Mapa final'!$AA$51="Menor"),CONCATENATE("R7C",'Mapa final'!$O$51),"")</f>
        <v/>
      </c>
      <c r="T32" s="81" t="str">
        <f>IF(AND('Mapa final'!$Y$52="Media",'Mapa final'!$AA$52="Menor"),CONCATENATE("R7C",'Mapa final'!$O$52),"")</f>
        <v/>
      </c>
      <c r="U32" s="81" t="str">
        <f>IF(AND('Mapa final'!$Y$53="Media",'Mapa final'!$AA$53="Menor"),CONCATENATE("R7C",'Mapa final'!$O$53),"")</f>
        <v/>
      </c>
      <c r="V32" s="80" t="str">
        <f>IF(AND('Mapa final'!$Y$48="Media",'Mapa final'!$AA$48="Moderado"),CONCATENATE("R7C",'Mapa final'!$O$48),"")</f>
        <v/>
      </c>
      <c r="W32" s="81" t="str">
        <f>IF(AND('Mapa final'!$Y$49="Media",'Mapa final'!$AA$49="Moderado"),CONCATENATE("R7C",'Mapa final'!$O$49),"")</f>
        <v/>
      </c>
      <c r="X32" s="81" t="str">
        <f>IF(AND('Mapa final'!$Y$50="Media",'Mapa final'!$AA$50="Moderado"),CONCATENATE("R7C",'Mapa final'!$O$50),"")</f>
        <v/>
      </c>
      <c r="Y32" s="81" t="str">
        <f>IF(AND('Mapa final'!$Y$51="Media",'Mapa final'!$AA$51="Moderado"),CONCATENATE("R7C",'Mapa final'!$O$51),"")</f>
        <v/>
      </c>
      <c r="Z32" s="81" t="str">
        <f>IF(AND('Mapa final'!$Y$52="Media",'Mapa final'!$AA$52="Moderado"),CONCATENATE("R7C",'Mapa final'!$O$52),"")</f>
        <v/>
      </c>
      <c r="AA32" s="82" t="str">
        <f>IF(AND('Mapa final'!$Y$53="Media",'Mapa final'!$AA$53="Moderado"),CONCATENATE("R7C",'Mapa final'!$O$53),"")</f>
        <v/>
      </c>
      <c r="AB32" s="66" t="str">
        <f>IF(AND('Mapa final'!$Y$48="Media",'Mapa final'!$AA$48="Mayor"),CONCATENATE("R7C",'Mapa final'!$O$48),"")</f>
        <v/>
      </c>
      <c r="AC32" s="66" t="str">
        <f>IF(AND('Mapa final'!$Y$49="Media",'Mapa final'!$AA$49="Mayor"),CONCATENATE("R7C",'Mapa final'!$O$49),"")</f>
        <v/>
      </c>
      <c r="AD32" s="66" t="str">
        <f>IF(AND('Mapa final'!$Y$50="Media",'Mapa final'!$AA$50="Mayor"),CONCATENATE("R7C",'Mapa final'!$O$50),"")</f>
        <v/>
      </c>
      <c r="AE32" s="66" t="str">
        <f>IF(AND('Mapa final'!$Y$51="Media",'Mapa final'!$AA$51="Mayor"),CONCATENATE("R7C",'Mapa final'!$O$51),"")</f>
        <v/>
      </c>
      <c r="AF32" s="66" t="str">
        <f>IF(AND('Mapa final'!$Y$52="Media",'Mapa final'!$AA$52="Mayor"),CONCATENATE("R7C",'Mapa final'!$O$52),"")</f>
        <v/>
      </c>
      <c r="AG32" s="66" t="str">
        <f>IF(AND('Mapa final'!$Y$53="Media",'Mapa final'!$AA$53="Mayor"),CONCATENATE("R7C",'Mapa final'!$O$53),"")</f>
        <v/>
      </c>
      <c r="AH32" s="68" t="str">
        <f>IF(AND('Mapa final'!$Y$48="Media",'Mapa final'!$AA$48="Catastrófico"),CONCATENATE("R7C",'Mapa final'!$O$48),"")</f>
        <v/>
      </c>
      <c r="AI32" s="69" t="str">
        <f>IF(AND('Mapa final'!$Y$49="Media",'Mapa final'!$AA$49="Catastrófico"),CONCATENATE("R7C",'Mapa final'!$O$49),"")</f>
        <v/>
      </c>
      <c r="AJ32" s="69" t="str">
        <f>IF(AND('Mapa final'!$Y$50="Media",'Mapa final'!$AA$50="Catastrófico"),CONCATENATE("R7C",'Mapa final'!$O$50),"")</f>
        <v/>
      </c>
      <c r="AK32" s="69" t="str">
        <f>IF(AND('Mapa final'!$Y$51="Media",'Mapa final'!$AA$51="Catastrófico"),CONCATENATE("R7C",'Mapa final'!$O$51),"")</f>
        <v/>
      </c>
      <c r="AL32" s="69" t="str">
        <f>IF(AND('Mapa final'!$Y$52="Media",'Mapa final'!$AA$52="Catastrófico"),CONCATENATE("R7C",'Mapa final'!$O$52),"")</f>
        <v/>
      </c>
      <c r="AM32" s="70" t="str">
        <f>IF(AND('Mapa final'!$Y$53="Media",'Mapa final'!$AA$53="Catastrófico"),CONCATENATE("R7C",'Mapa final'!$O$53),"")</f>
        <v/>
      </c>
      <c r="AN32" s="96"/>
      <c r="AO32" s="413"/>
      <c r="AP32" s="414"/>
      <c r="AQ32" s="414"/>
      <c r="AR32" s="414"/>
      <c r="AS32" s="414"/>
      <c r="AT32" s="415"/>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row>
    <row r="33" spans="1:80" ht="15" customHeight="1" x14ac:dyDescent="0.25">
      <c r="A33" s="96"/>
      <c r="B33" s="285"/>
      <c r="C33" s="285"/>
      <c r="D33" s="286"/>
      <c r="E33" s="384"/>
      <c r="F33" s="383"/>
      <c r="G33" s="383"/>
      <c r="H33" s="383"/>
      <c r="I33" s="383"/>
      <c r="J33" s="80" t="str">
        <f ca="1">IF(AND('Mapa final'!$Y$54="Media",'Mapa final'!$AA$54="Leve"),CONCATENATE("R8C",'Mapa final'!$O$54),"")</f>
        <v/>
      </c>
      <c r="K33" s="81" t="str">
        <f>IF(AND('Mapa final'!$Y$55="Media",'Mapa final'!$AA$55="Leve"),CONCATENATE("R8C",'Mapa final'!$O$55),"")</f>
        <v/>
      </c>
      <c r="L33" s="81" t="str">
        <f>IF(AND('Mapa final'!$Y$56="Media",'Mapa final'!$AA$56="Leve"),CONCATENATE("R8C",'Mapa final'!$O$56),"")</f>
        <v/>
      </c>
      <c r="M33" s="81" t="str">
        <f>IF(AND('Mapa final'!$Y$57="Media",'Mapa final'!$AA$57="Leve"),CONCATENATE("R8C",'Mapa final'!$O$57),"")</f>
        <v/>
      </c>
      <c r="N33" s="81" t="str">
        <f>IF(AND('Mapa final'!$Y$58="Media",'Mapa final'!$AA$58="Leve"),CONCATENATE("R8C",'Mapa final'!$O$58),"")</f>
        <v/>
      </c>
      <c r="O33" s="82" t="str">
        <f>IF(AND('Mapa final'!$Y$59="Media",'Mapa final'!$AA$59="Leve"),CONCATENATE("R8C",'Mapa final'!$O$59),"")</f>
        <v/>
      </c>
      <c r="P33" s="81" t="str">
        <f ca="1">IF(AND('Mapa final'!$Y$54="Media",'Mapa final'!$AA$54="Menor"),CONCATENATE("R8C",'Mapa final'!$O$54),"")</f>
        <v/>
      </c>
      <c r="Q33" s="81" t="str">
        <f>IF(AND('Mapa final'!$Y$55="Media",'Mapa final'!$AA$55="Menor"),CONCATENATE("R8C",'Mapa final'!$O$55),"")</f>
        <v/>
      </c>
      <c r="R33" s="81" t="str">
        <f>IF(AND('Mapa final'!$Y$56="Media",'Mapa final'!$AA$56="Menor"),CONCATENATE("R8C",'Mapa final'!$O$56),"")</f>
        <v/>
      </c>
      <c r="S33" s="81" t="str">
        <f>IF(AND('Mapa final'!$Y$57="Media",'Mapa final'!$AA$57="Menor"),CONCATENATE("R8C",'Mapa final'!$O$57),"")</f>
        <v/>
      </c>
      <c r="T33" s="81" t="str">
        <f>IF(AND('Mapa final'!$Y$58="Media",'Mapa final'!$AA$58="Menor"),CONCATENATE("R8C",'Mapa final'!$O$58),"")</f>
        <v/>
      </c>
      <c r="U33" s="81" t="str">
        <f>IF(AND('Mapa final'!$Y$59="Media",'Mapa final'!$AA$59="Menor"),CONCATENATE("R8C",'Mapa final'!$O$59),"")</f>
        <v/>
      </c>
      <c r="V33" s="80" t="str">
        <f ca="1">IF(AND('Mapa final'!$Y$54="Media",'Mapa final'!$AA$54="Moderado"),CONCATENATE("R8C",'Mapa final'!$O$54),"")</f>
        <v/>
      </c>
      <c r="W33" s="81" t="str">
        <f>IF(AND('Mapa final'!$Y$55="Media",'Mapa final'!$AA$55="Moderado"),CONCATENATE("R8C",'Mapa final'!$O$55),"")</f>
        <v/>
      </c>
      <c r="X33" s="81" t="str">
        <f>IF(AND('Mapa final'!$Y$56="Media",'Mapa final'!$AA$56="Moderado"),CONCATENATE("R8C",'Mapa final'!$O$56),"")</f>
        <v/>
      </c>
      <c r="Y33" s="81" t="str">
        <f>IF(AND('Mapa final'!$Y$57="Media",'Mapa final'!$AA$57="Moderado"),CONCATENATE("R8C",'Mapa final'!$O$57),"")</f>
        <v/>
      </c>
      <c r="Z33" s="81" t="str">
        <f>IF(AND('Mapa final'!$Y$58="Media",'Mapa final'!$AA$58="Moderado"),CONCATENATE("R8C",'Mapa final'!$O$58),"")</f>
        <v/>
      </c>
      <c r="AA33" s="82" t="str">
        <f>IF(AND('Mapa final'!$Y$59="Media",'Mapa final'!$AA$59="Moderado"),CONCATENATE("R8C",'Mapa final'!$O$59),"")</f>
        <v/>
      </c>
      <c r="AB33" s="66" t="str">
        <f ca="1">IF(AND('Mapa final'!$Y$54="Media",'Mapa final'!$AA$54="Mayor"),CONCATENATE("R8C",'Mapa final'!$O$54),"")</f>
        <v/>
      </c>
      <c r="AC33" s="66" t="str">
        <f>IF(AND('Mapa final'!$Y$55="Media",'Mapa final'!$AA$55="Mayor"),CONCATENATE("R8C",'Mapa final'!$O$55),"")</f>
        <v/>
      </c>
      <c r="AD33" s="66" t="str">
        <f>IF(AND('Mapa final'!$Y$56="Media",'Mapa final'!$AA$56="Mayor"),CONCATENATE("R8C",'Mapa final'!$O$56),"")</f>
        <v/>
      </c>
      <c r="AE33" s="66" t="str">
        <f>IF(AND('Mapa final'!$Y$57="Media",'Mapa final'!$AA$57="Mayor"),CONCATENATE("R8C",'Mapa final'!$O$57),"")</f>
        <v/>
      </c>
      <c r="AF33" s="66" t="str">
        <f>IF(AND('Mapa final'!$Y$58="Media",'Mapa final'!$AA$58="Mayor"),CONCATENATE("R8C",'Mapa final'!$O$58),"")</f>
        <v/>
      </c>
      <c r="AG33" s="66" t="str">
        <f>IF(AND('Mapa final'!$Y$59="Media",'Mapa final'!$AA$59="Mayor"),CONCATENATE("R8C",'Mapa final'!$O$59),"")</f>
        <v/>
      </c>
      <c r="AH33" s="68" t="str">
        <f ca="1">IF(AND('Mapa final'!$Y$54="Media",'Mapa final'!$AA$54="Catastrófico"),CONCATENATE("R8C",'Mapa final'!$O$54),"")</f>
        <v/>
      </c>
      <c r="AI33" s="69" t="str">
        <f>IF(AND('Mapa final'!$Y$55="Media",'Mapa final'!$AA$55="Catastrófico"),CONCATENATE("R8C",'Mapa final'!$O$55),"")</f>
        <v/>
      </c>
      <c r="AJ33" s="69" t="str">
        <f>IF(AND('Mapa final'!$Y$56="Media",'Mapa final'!$AA$56="Catastrófico"),CONCATENATE("R8C",'Mapa final'!$O$56),"")</f>
        <v/>
      </c>
      <c r="AK33" s="69" t="str">
        <f>IF(AND('Mapa final'!$Y$57="Media",'Mapa final'!$AA$57="Catastrófico"),CONCATENATE("R8C",'Mapa final'!$O$57),"")</f>
        <v/>
      </c>
      <c r="AL33" s="69" t="str">
        <f>IF(AND('Mapa final'!$Y$58="Media",'Mapa final'!$AA$58="Catastrófico"),CONCATENATE("R8C",'Mapa final'!$O$58),"")</f>
        <v/>
      </c>
      <c r="AM33" s="70" t="str">
        <f>IF(AND('Mapa final'!$Y$59="Media",'Mapa final'!$AA$59="Catastrófico"),CONCATENATE("R8C",'Mapa final'!$O$59),"")</f>
        <v/>
      </c>
      <c r="AN33" s="96"/>
      <c r="AO33" s="413"/>
      <c r="AP33" s="414"/>
      <c r="AQ33" s="414"/>
      <c r="AR33" s="414"/>
      <c r="AS33" s="414"/>
      <c r="AT33" s="415"/>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row>
    <row r="34" spans="1:80" ht="15" customHeight="1" x14ac:dyDescent="0.25">
      <c r="A34" s="96"/>
      <c r="B34" s="285"/>
      <c r="C34" s="285"/>
      <c r="D34" s="286"/>
      <c r="E34" s="384"/>
      <c r="F34" s="383"/>
      <c r="G34" s="383"/>
      <c r="H34" s="383"/>
      <c r="I34" s="383"/>
      <c r="J34" s="80" t="str">
        <f ca="1">IF(AND('Mapa final'!$Y$60="Media",'Mapa final'!$AA$60="Leve"),CONCATENATE("R9C",'Mapa final'!$O$60),"")</f>
        <v/>
      </c>
      <c r="K34" s="81" t="str">
        <f>IF(AND('Mapa final'!$Y$61="Media",'Mapa final'!$AA$61="Leve"),CONCATENATE("R9C",'Mapa final'!$O$61),"")</f>
        <v/>
      </c>
      <c r="L34" s="81" t="str">
        <f>IF(AND('Mapa final'!$Y$62="Media",'Mapa final'!$AA$62="Leve"),CONCATENATE("R9C",'Mapa final'!$O$62),"")</f>
        <v/>
      </c>
      <c r="M34" s="81" t="str">
        <f>IF(AND('Mapa final'!$Y$63="Media",'Mapa final'!$AA$63="Leve"),CONCATENATE("R9C",'Mapa final'!$O$63),"")</f>
        <v/>
      </c>
      <c r="N34" s="81" t="str">
        <f>IF(AND('Mapa final'!$Y$64="Media",'Mapa final'!$AA$64="Leve"),CONCATENATE("R9C",'Mapa final'!$O$64),"")</f>
        <v/>
      </c>
      <c r="O34" s="82" t="str">
        <f>IF(AND('Mapa final'!$Y$65="Media",'Mapa final'!$AA$65="Leve"),CONCATENATE("R9C",'Mapa final'!$O$65),"")</f>
        <v/>
      </c>
      <c r="P34" s="81" t="str">
        <f ca="1">IF(AND('Mapa final'!$Y$60="Media",'Mapa final'!$AA$60="Menor"),CONCATENATE("R9C",'Mapa final'!$O$60),"")</f>
        <v/>
      </c>
      <c r="Q34" s="81" t="str">
        <f>IF(AND('Mapa final'!$Y$61="Media",'Mapa final'!$AA$61="Menor"),CONCATENATE("R9C",'Mapa final'!$O$61),"")</f>
        <v/>
      </c>
      <c r="R34" s="81" t="str">
        <f>IF(AND('Mapa final'!$Y$62="Media",'Mapa final'!$AA$62="Menor"),CONCATENATE("R9C",'Mapa final'!$O$62),"")</f>
        <v/>
      </c>
      <c r="S34" s="81" t="str">
        <f>IF(AND('Mapa final'!$Y$63="Media",'Mapa final'!$AA$63="Menor"),CONCATENATE("R9C",'Mapa final'!$O$63),"")</f>
        <v/>
      </c>
      <c r="T34" s="81" t="str">
        <f>IF(AND('Mapa final'!$Y$64="Media",'Mapa final'!$AA$64="Menor"),CONCATENATE("R9C",'Mapa final'!$O$64),"")</f>
        <v/>
      </c>
      <c r="U34" s="81" t="str">
        <f>IF(AND('Mapa final'!$Y$65="Media",'Mapa final'!$AA$65="Menor"),CONCATENATE("R9C",'Mapa final'!$O$65),"")</f>
        <v/>
      </c>
      <c r="V34" s="80" t="str">
        <f ca="1">IF(AND('Mapa final'!$Y$60="Media",'Mapa final'!$AA$60="Moderado"),CONCATENATE("R9C",'Mapa final'!$O$60),"")</f>
        <v/>
      </c>
      <c r="W34" s="81" t="str">
        <f>IF(AND('Mapa final'!$Y$61="Media",'Mapa final'!$AA$61="Moderado"),CONCATENATE("R9C",'Mapa final'!$O$61),"")</f>
        <v/>
      </c>
      <c r="X34" s="81" t="str">
        <f>IF(AND('Mapa final'!$Y$62="Media",'Mapa final'!$AA$62="Moderado"),CONCATENATE("R9C",'Mapa final'!$O$62),"")</f>
        <v/>
      </c>
      <c r="Y34" s="81" t="str">
        <f>IF(AND('Mapa final'!$Y$63="Media",'Mapa final'!$AA$63="Moderado"),CONCATENATE("R9C",'Mapa final'!$O$63),"")</f>
        <v/>
      </c>
      <c r="Z34" s="81" t="str">
        <f>IF(AND('Mapa final'!$Y$64="Media",'Mapa final'!$AA$64="Moderado"),CONCATENATE("R9C",'Mapa final'!$O$64),"")</f>
        <v/>
      </c>
      <c r="AA34" s="82" t="str">
        <f>IF(AND('Mapa final'!$Y$65="Media",'Mapa final'!$AA$65="Moderado"),CONCATENATE("R9C",'Mapa final'!$O$65),"")</f>
        <v/>
      </c>
      <c r="AB34" s="66" t="str">
        <f ca="1">IF(AND('Mapa final'!$Y$60="Media",'Mapa final'!$AA$60="Mayor"),CONCATENATE("R9C",'Mapa final'!$O$60),"")</f>
        <v/>
      </c>
      <c r="AC34" s="66" t="str">
        <f>IF(AND('Mapa final'!$Y$61="Media",'Mapa final'!$AA$61="Mayor"),CONCATENATE("R9C",'Mapa final'!$O$61),"")</f>
        <v/>
      </c>
      <c r="AD34" s="66" t="str">
        <f>IF(AND('Mapa final'!$Y$62="Media",'Mapa final'!$AA$62="Mayor"),CONCATENATE("R9C",'Mapa final'!$O$62),"")</f>
        <v/>
      </c>
      <c r="AE34" s="66" t="str">
        <f>IF(AND('Mapa final'!$Y$63="Media",'Mapa final'!$AA$63="Mayor"),CONCATENATE("R9C",'Mapa final'!$O$63),"")</f>
        <v/>
      </c>
      <c r="AF34" s="66" t="str">
        <f>IF(AND('Mapa final'!$Y$64="Media",'Mapa final'!$AA$64="Mayor"),CONCATENATE("R9C",'Mapa final'!$O$64),"")</f>
        <v/>
      </c>
      <c r="AG34" s="66" t="str">
        <f>IF(AND('Mapa final'!$Y$65="Media",'Mapa final'!$AA$65="Mayor"),CONCATENATE("R9C",'Mapa final'!$O$65),"")</f>
        <v/>
      </c>
      <c r="AH34" s="68" t="str">
        <f ca="1">IF(AND('Mapa final'!$Y$60="Media",'Mapa final'!$AA$60="Catastrófico"),CONCATENATE("R9C",'Mapa final'!$O$60),"")</f>
        <v/>
      </c>
      <c r="AI34" s="69" t="str">
        <f>IF(AND('Mapa final'!$Y$61="Media",'Mapa final'!$AA$61="Catastrófico"),CONCATENATE("R9C",'Mapa final'!$O$61),"")</f>
        <v/>
      </c>
      <c r="AJ34" s="69" t="str">
        <f>IF(AND('Mapa final'!$Y$62="Media",'Mapa final'!$AA$62="Catastrófico"),CONCATENATE("R9C",'Mapa final'!$O$62),"")</f>
        <v/>
      </c>
      <c r="AK34" s="69" t="str">
        <f>IF(AND('Mapa final'!$Y$63="Media",'Mapa final'!$AA$63="Catastrófico"),CONCATENATE("R9C",'Mapa final'!$O$63),"")</f>
        <v/>
      </c>
      <c r="AL34" s="69" t="str">
        <f>IF(AND('Mapa final'!$Y$64="Media",'Mapa final'!$AA$64="Catastrófico"),CONCATENATE("R9C",'Mapa final'!$O$64),"")</f>
        <v/>
      </c>
      <c r="AM34" s="70" t="str">
        <f>IF(AND('Mapa final'!$Y$65="Media",'Mapa final'!$AA$65="Catastrófico"),CONCATENATE("R9C",'Mapa final'!$O$65),"")</f>
        <v/>
      </c>
      <c r="AN34" s="96"/>
      <c r="AO34" s="413"/>
      <c r="AP34" s="414"/>
      <c r="AQ34" s="414"/>
      <c r="AR34" s="414"/>
      <c r="AS34" s="414"/>
      <c r="AT34" s="415"/>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row>
    <row r="35" spans="1:80" ht="15" customHeight="1" x14ac:dyDescent="0.25">
      <c r="A35" s="96"/>
      <c r="B35" s="285"/>
      <c r="C35" s="285"/>
      <c r="D35" s="286"/>
      <c r="E35" s="384"/>
      <c r="F35" s="383"/>
      <c r="G35" s="383"/>
      <c r="H35" s="383"/>
      <c r="I35" s="383"/>
      <c r="J35" s="80"/>
      <c r="K35" s="81"/>
      <c r="L35" s="81"/>
      <c r="M35" s="81"/>
      <c r="N35" s="81"/>
      <c r="O35" s="82"/>
      <c r="P35" s="81"/>
      <c r="Q35" s="81"/>
      <c r="R35" s="81"/>
      <c r="S35" s="81"/>
      <c r="T35" s="81"/>
      <c r="U35" s="81"/>
      <c r="V35" s="80"/>
      <c r="W35" s="81"/>
      <c r="X35" s="81"/>
      <c r="Y35" s="81"/>
      <c r="Z35" s="81"/>
      <c r="AA35" s="82"/>
      <c r="AB35" s="66" t="str">
        <f ca="1">IF(AND('Mapa final'!$Y$66="Media",'Mapa final'!$AA$66="Mayor"),CONCATENATE("R10C",'Mapa final'!$O$66),"")</f>
        <v/>
      </c>
      <c r="AC35" s="66" t="str">
        <f>IF(AND('Mapa final'!$Y$67="Media",'Mapa final'!$AA$67="Mayor"),CONCATENATE("R10C",'Mapa final'!$O$67),"")</f>
        <v/>
      </c>
      <c r="AD35" s="66" t="str">
        <f>IF(AND('Mapa final'!$Y$68="Media",'Mapa final'!$AA$68="Mayor"),CONCATENATE("R10C",'Mapa final'!$O$68),"")</f>
        <v/>
      </c>
      <c r="AE35" s="66" t="str">
        <f>IF(AND('Mapa final'!$Y$69="Media",'Mapa final'!$AA$69="Mayor"),CONCATENATE("R10C",'Mapa final'!$O$69),"")</f>
        <v/>
      </c>
      <c r="AF35" s="66" t="str">
        <f>IF(AND('Mapa final'!$Y$70="Media",'Mapa final'!$AA$70="Mayor"),CONCATENATE("R10C",'Mapa final'!$O$70),"")</f>
        <v/>
      </c>
      <c r="AG35" s="66" t="str">
        <f>IF(AND('Mapa final'!$Y$71="Media",'Mapa final'!$AA$71="Mayor"),CONCATENATE("R10C",'Mapa final'!$O$71),"")</f>
        <v/>
      </c>
      <c r="AH35" s="68"/>
      <c r="AI35" s="69"/>
      <c r="AJ35" s="69"/>
      <c r="AK35" s="69"/>
      <c r="AL35" s="69"/>
      <c r="AM35" s="70"/>
      <c r="AN35" s="96"/>
      <c r="AO35" s="413"/>
      <c r="AP35" s="414"/>
      <c r="AQ35" s="414"/>
      <c r="AR35" s="414"/>
      <c r="AS35" s="414"/>
      <c r="AT35" s="415"/>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row>
    <row r="36" spans="1:80" ht="15.75" customHeight="1" thickBot="1" x14ac:dyDescent="0.3">
      <c r="A36" s="96"/>
      <c r="B36" s="285"/>
      <c r="C36" s="285"/>
      <c r="D36" s="286"/>
      <c r="E36" s="385"/>
      <c r="F36" s="386"/>
      <c r="G36" s="386"/>
      <c r="H36" s="386"/>
      <c r="I36" s="386"/>
      <c r="J36" s="83" t="str">
        <f ca="1">IF(AND('Mapa final'!$Y$72="Media",'Mapa final'!$AA$72="Leve"),CONCATENATE("R10C",'Mapa final'!$O$72),"")</f>
        <v/>
      </c>
      <c r="K36" s="84" t="str">
        <f>IF(AND('Mapa final'!$Y$73="Media",'Mapa final'!$AA$73="Leve"),CONCATENATE("R10C",'Mapa final'!$O$73),"")</f>
        <v/>
      </c>
      <c r="L36" s="84" t="str">
        <f>IF(AND('Mapa final'!$Y$74="Media",'Mapa final'!$AA$74="Leve"),CONCATENATE("R10C",'Mapa final'!$O$74),"")</f>
        <v/>
      </c>
      <c r="M36" s="84" t="str">
        <f>IF(AND('Mapa final'!$Y$75="Media",'Mapa final'!$AA$75="Leve"),CONCATENATE("R10C",'Mapa final'!$O$75),"")</f>
        <v/>
      </c>
      <c r="N36" s="84" t="str">
        <f>IF(AND('Mapa final'!$Y$76="Media",'Mapa final'!$AA$76="Leve"),CONCATENATE("R10C",'Mapa final'!$O$76),"")</f>
        <v/>
      </c>
      <c r="O36" s="85" t="str">
        <f>IF(AND('Mapa final'!$Y$77="Media",'Mapa final'!$AA$77="Leve"),CONCATENATE("R10C",'Mapa final'!$O$77),"")</f>
        <v/>
      </c>
      <c r="P36" s="81" t="str">
        <f ca="1">IF(AND('Mapa final'!$Y$72="Media",'Mapa final'!$AA$72="Menor"),CONCATENATE("R10C",'Mapa final'!$O$72),"")</f>
        <v/>
      </c>
      <c r="Q36" s="81" t="str">
        <f>IF(AND('Mapa final'!$Y$73="Media",'Mapa final'!$AA$73="Menor"),CONCATENATE("R10C",'Mapa final'!$O$73),"")</f>
        <v/>
      </c>
      <c r="R36" s="81" t="str">
        <f>IF(AND('Mapa final'!$Y$74="Media",'Mapa final'!$AA$74="Menor"),CONCATENATE("R10C",'Mapa final'!$O$74),"")</f>
        <v/>
      </c>
      <c r="S36" s="81" t="str">
        <f>IF(AND('Mapa final'!$Y$75="Media",'Mapa final'!$AA$75="Menor"),CONCATENATE("R10C",'Mapa final'!$O$75),"")</f>
        <v/>
      </c>
      <c r="T36" s="81" t="str">
        <f>IF(AND('Mapa final'!$Y$76="Media",'Mapa final'!$AA$76="Menor"),CONCATENATE("R10C",'Mapa final'!$O$76),"")</f>
        <v/>
      </c>
      <c r="U36" s="81" t="str">
        <f>IF(AND('Mapa final'!$Y$77="Media",'Mapa final'!$AA$77="Menor"),CONCATENATE("R10C",'Mapa final'!$O$77),"")</f>
        <v/>
      </c>
      <c r="V36" s="83" t="str">
        <f ca="1">IF(AND('Mapa final'!$Y$72="Media",'Mapa final'!$AA$72="Moderado"),CONCATENATE("R10C",'Mapa final'!$O$72),"")</f>
        <v/>
      </c>
      <c r="W36" s="84" t="str">
        <f>IF(AND('Mapa final'!$Y$73="Media",'Mapa final'!$AA$73="Moderado"),CONCATENATE("R10C",'Mapa final'!$O$73),"")</f>
        <v/>
      </c>
      <c r="X36" s="84" t="str">
        <f>IF(AND('Mapa final'!$Y$74="Media",'Mapa final'!$AA$74="Moderado"),CONCATENATE("R10C",'Mapa final'!$O$74),"")</f>
        <v/>
      </c>
      <c r="Y36" s="84" t="str">
        <f>IF(AND('Mapa final'!$Y$75="Media",'Mapa final'!$AA$75="Moderado"),CONCATENATE("R10C",'Mapa final'!$O$75),"")</f>
        <v/>
      </c>
      <c r="Z36" s="84" t="str">
        <f>IF(AND('Mapa final'!$Y$76="Media",'Mapa final'!$AA$76="Moderado"),CONCATENATE("R10C",'Mapa final'!$O$76),"")</f>
        <v/>
      </c>
      <c r="AA36" s="85" t="str">
        <f>IF(AND('Mapa final'!$Y$77="Media",'Mapa final'!$AA$77="Moderado"),CONCATENATE("R10C",'Mapa final'!$O$77),"")</f>
        <v/>
      </c>
      <c r="AB36" s="72" t="str">
        <f ca="1">IF(AND('Mapa final'!$Y$72="Media",'Mapa final'!$AA$72="Mayor"),CONCATENATE("R10C",'Mapa final'!$O$72),"")</f>
        <v/>
      </c>
      <c r="AC36" s="72" t="str">
        <f>IF(AND('Mapa final'!$Y$73="Media",'Mapa final'!$AA$73="Mayor"),CONCATENATE("R10C",'Mapa final'!$O$73),"")</f>
        <v/>
      </c>
      <c r="AD36" s="72" t="str">
        <f>IF(AND('Mapa final'!$Y$74="Media",'Mapa final'!$AA$74="Mayor"),CONCATENATE("R10C",'Mapa final'!$O$74),"")</f>
        <v/>
      </c>
      <c r="AE36" s="72" t="str">
        <f>IF(AND('Mapa final'!$Y$75="Media",'Mapa final'!$AA$75="Mayor"),CONCATENATE("R10C",'Mapa final'!$O$75),"")</f>
        <v/>
      </c>
      <c r="AF36" s="72" t="str">
        <f>IF(AND('Mapa final'!$Y$76="Media",'Mapa final'!$AA$76="Mayor"),CONCATENATE("R10C",'Mapa final'!$O$76),"")</f>
        <v/>
      </c>
      <c r="AG36" s="72" t="str">
        <f>IF(AND('Mapa final'!$Y$77="Media",'Mapa final'!$AA$77="Mayor"),CONCATENATE("R10C",'Mapa final'!$O$77),"")</f>
        <v/>
      </c>
      <c r="AH36" s="74" t="str">
        <f ca="1">IF(AND('Mapa final'!$Y$72="Media",'Mapa final'!$AA$72="Catastrófico"),CONCATENATE("R10C",'Mapa final'!$O$72),"")</f>
        <v/>
      </c>
      <c r="AI36" s="75" t="str">
        <f>IF(AND('Mapa final'!$Y$73="Media",'Mapa final'!$AA$73="Catastrófico"),CONCATENATE("R10C",'Mapa final'!$O$73),"")</f>
        <v/>
      </c>
      <c r="AJ36" s="75" t="str">
        <f>IF(AND('Mapa final'!$Y$74="Media",'Mapa final'!$AA$74="Catastrófico"),CONCATENATE("R10C",'Mapa final'!$O$74),"")</f>
        <v/>
      </c>
      <c r="AK36" s="75" t="str">
        <f>IF(AND('Mapa final'!$Y$75="Media",'Mapa final'!$AA$75="Catastrófico"),CONCATENATE("R10C",'Mapa final'!$O$75),"")</f>
        <v/>
      </c>
      <c r="AL36" s="75" t="str">
        <f>IF(AND('Mapa final'!$Y$76="Media",'Mapa final'!$AA$76="Catastrófico"),CONCATENATE("R10C",'Mapa final'!$O$76),"")</f>
        <v/>
      </c>
      <c r="AM36" s="76" t="str">
        <f>IF(AND('Mapa final'!$Y$77="Media",'Mapa final'!$AA$77="Catastrófico"),CONCATENATE("R10C",'Mapa final'!$O$77),"")</f>
        <v/>
      </c>
      <c r="AN36" s="96"/>
      <c r="AO36" s="416"/>
      <c r="AP36" s="417"/>
      <c r="AQ36" s="417"/>
      <c r="AR36" s="417"/>
      <c r="AS36" s="417"/>
      <c r="AT36" s="418"/>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row>
    <row r="37" spans="1:80" ht="15" customHeight="1" x14ac:dyDescent="0.25">
      <c r="A37" s="96"/>
      <c r="B37" s="285"/>
      <c r="C37" s="285"/>
      <c r="D37" s="286"/>
      <c r="E37" s="380" t="s">
        <v>114</v>
      </c>
      <c r="F37" s="381"/>
      <c r="G37" s="381"/>
      <c r="H37" s="381"/>
      <c r="I37" s="381"/>
      <c r="J37" s="86" t="str">
        <f>IF(AND('Mapa final'!$Y$12="Baja",'Mapa final'!$AA$12="Leve"),CONCATENATE("R1C",'Mapa final'!$O$12),"")</f>
        <v/>
      </c>
      <c r="K37" s="87" t="str">
        <f>IF(AND('Mapa final'!$Y$13="Baja",'Mapa final'!$AA$13="Leve"),CONCATENATE("R1C",'Mapa final'!$O$13),"")</f>
        <v/>
      </c>
      <c r="L37" s="87" t="str">
        <f>IF(AND('Mapa final'!$Y$14="Baja",'Mapa final'!$AA$14="Leve"),CONCATENATE("R1C",'Mapa final'!$O$14),"")</f>
        <v/>
      </c>
      <c r="M37" s="87" t="str">
        <f>IF(AND('Mapa final'!$Y$15="Baja",'Mapa final'!$AA$15="Leve"),CONCATENATE("R1C",'Mapa final'!$O$15),"")</f>
        <v/>
      </c>
      <c r="N37" s="87" t="str">
        <f>IF(AND('Mapa final'!$Y$16="Baja",'Mapa final'!$AA$16="Leve"),CONCATENATE("R1C",'Mapa final'!$O$16),"")</f>
        <v/>
      </c>
      <c r="O37" s="88" t="str">
        <f>IF(AND('Mapa final'!$Y$17="Baja",'Mapa final'!$AA$17="Leve"),CONCATENATE("R1C",'Mapa final'!$O$17),"")</f>
        <v/>
      </c>
      <c r="P37" s="78" t="str">
        <f>IF(AND('Mapa final'!$Y$12="Baja",'Mapa final'!$AA$12="Menor"),CONCATENATE("R1C",'Mapa final'!$O$12),"")</f>
        <v/>
      </c>
      <c r="Q37" s="78" t="str">
        <f>IF(AND('Mapa final'!$Y$13="Baja",'Mapa final'!$AA$13="Menor"),CONCATENATE("R1C",'Mapa final'!$O$13),"")</f>
        <v/>
      </c>
      <c r="R37" s="78" t="str">
        <f>IF(AND('Mapa final'!$Y$14="Baja",'Mapa final'!$AA$14="Menor"),CONCATENATE("R1C",'Mapa final'!$O$14),"")</f>
        <v/>
      </c>
      <c r="S37" s="78" t="str">
        <f>IF(AND('Mapa final'!$Y$15="Baja",'Mapa final'!$AA$15="Menor"),CONCATENATE("R1C",'Mapa final'!$O$15),"")</f>
        <v/>
      </c>
      <c r="T37" s="78" t="str">
        <f>IF(AND('Mapa final'!$Y$16="Baja",'Mapa final'!$AA$16="Menor"),CONCATENATE("R1C",'Mapa final'!$O$16),"")</f>
        <v/>
      </c>
      <c r="U37" s="78" t="str">
        <f>IF(AND('Mapa final'!$Y$17="Baja",'Mapa final'!$AA$17="Menor"),CONCATENATE("R1C",'Mapa final'!$O$17),"")</f>
        <v/>
      </c>
      <c r="V37" s="77" t="str">
        <f>IF(AND('Mapa final'!$Y$12="Baja",'Mapa final'!$AA$12="Moderado"),CONCATENATE("R1C",'Mapa final'!$O$12),"")</f>
        <v/>
      </c>
      <c r="W37" s="78" t="str">
        <f>IF(AND('Mapa final'!$Y$13="Baja",'Mapa final'!$AA$13="Moderado"),CONCATENATE("R1C",'Mapa final'!$O$13),"")</f>
        <v/>
      </c>
      <c r="X37" s="78" t="str">
        <f>IF(AND('Mapa final'!$Y$14="Baja",'Mapa final'!$AA$14="Moderado"),CONCATENATE("R1C",'Mapa final'!$O$14),"")</f>
        <v/>
      </c>
      <c r="Y37" s="78" t="str">
        <f>IF(AND('Mapa final'!$Y$15="Baja",'Mapa final'!$AA$15="Moderado"),CONCATENATE("R1C",'Mapa final'!$O$15),"")</f>
        <v/>
      </c>
      <c r="Z37" s="78" t="str">
        <f>IF(AND('Mapa final'!$Y$16="Baja",'Mapa final'!$AA$16="Moderado"),CONCATENATE("R1C",'Mapa final'!$O$16),"")</f>
        <v/>
      </c>
      <c r="AA37" s="79" t="str">
        <f>IF(AND('Mapa final'!$Y$17="Baja",'Mapa final'!$AA$17="Moderado"),CONCATENATE("R1C",'Mapa final'!$O$17),"")</f>
        <v/>
      </c>
      <c r="AB37" s="60" t="str">
        <f>IF(AND('Mapa final'!$Y$12="Baja",'Mapa final'!$AA$12="Mayor"),CONCATENATE("R1C",'Mapa final'!$O$12),"")</f>
        <v/>
      </c>
      <c r="AC37" s="60" t="str">
        <f>IF(AND('Mapa final'!$Y$13="Baja",'Mapa final'!$AA$13="Mayor"),CONCATENATE("R1C",'Mapa final'!$O$13),"")</f>
        <v/>
      </c>
      <c r="AD37" s="60" t="str">
        <f>IF(AND('Mapa final'!$Y$14="Baja",'Mapa final'!$AA$14="Mayor"),CONCATENATE("R1C",'Mapa final'!$O$14),"")</f>
        <v/>
      </c>
      <c r="AE37" s="60" t="str">
        <f>IF(AND('Mapa final'!$Y$15="Baja",'Mapa final'!$AA$15="Mayor"),CONCATENATE("R1C",'Mapa final'!$O$15),"")</f>
        <v/>
      </c>
      <c r="AF37" s="60" t="str">
        <f>IF(AND('Mapa final'!$Y$16="Baja",'Mapa final'!$AA$16="Mayor"),CONCATENATE("R1C",'Mapa final'!$O$16),"")</f>
        <v/>
      </c>
      <c r="AG37" s="60" t="str">
        <f>IF(AND('Mapa final'!$Y$17="Baja",'Mapa final'!$AA$17="Mayor"),CONCATENATE("R1C",'Mapa final'!$O$17),"")</f>
        <v/>
      </c>
      <c r="AH37" s="62" t="str">
        <f>IF(AND('Mapa final'!$Y$12="Baja",'Mapa final'!$AA$12="Catastrófico"),CONCATENATE("R1C",'Mapa final'!$O$12),"")</f>
        <v/>
      </c>
      <c r="AI37" s="63" t="str">
        <f>IF(AND('Mapa final'!$Y$13="Baja",'Mapa final'!$AA$13="Catastrófico"),CONCATENATE("R1C",'Mapa final'!$O$13),"")</f>
        <v/>
      </c>
      <c r="AJ37" s="63" t="str">
        <f>IF(AND('Mapa final'!$Y$14="Baja",'Mapa final'!$AA$14="Catastrófico"),CONCATENATE("R1C",'Mapa final'!$O$14),"")</f>
        <v/>
      </c>
      <c r="AK37" s="63" t="str">
        <f>IF(AND('Mapa final'!$Y$15="Baja",'Mapa final'!$AA$15="Catastrófico"),CONCATENATE("R1C",'Mapa final'!$O$15),"")</f>
        <v/>
      </c>
      <c r="AL37" s="63" t="str">
        <f>IF(AND('Mapa final'!$Y$16="Baja",'Mapa final'!$AA$16="Catastrófico"),CONCATENATE("R1C",'Mapa final'!$O$16),"")</f>
        <v/>
      </c>
      <c r="AM37" s="64" t="str">
        <f>IF(AND('Mapa final'!$Y$17="Baja",'Mapa final'!$AA$17="Catastrófico"),CONCATENATE("R1C",'Mapa final'!$O$17),"")</f>
        <v/>
      </c>
      <c r="AN37" s="96"/>
      <c r="AO37" s="401" t="s">
        <v>82</v>
      </c>
      <c r="AP37" s="402"/>
      <c r="AQ37" s="402"/>
      <c r="AR37" s="402"/>
      <c r="AS37" s="402"/>
      <c r="AT37" s="403"/>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row>
    <row r="38" spans="1:80" ht="15" customHeight="1" x14ac:dyDescent="0.25">
      <c r="A38" s="96"/>
      <c r="B38" s="285"/>
      <c r="C38" s="285"/>
      <c r="D38" s="286"/>
      <c r="E38" s="382"/>
      <c r="F38" s="383"/>
      <c r="G38" s="383"/>
      <c r="H38" s="383"/>
      <c r="I38" s="383"/>
      <c r="J38" s="89" t="str">
        <f ca="1">IF(AND('Mapa final'!$Y$18="Baja",'Mapa final'!$AA$18="Leve"),CONCATENATE("R2C",'Mapa final'!$O$18),"")</f>
        <v/>
      </c>
      <c r="K38" s="90" t="str">
        <f>IF(AND('Mapa final'!$Y$19="Baja",'Mapa final'!$AA$19="Leve"),CONCATENATE("R2C",'Mapa final'!$O$19),"")</f>
        <v/>
      </c>
      <c r="L38" s="90" t="str">
        <f>IF(AND('Mapa final'!$Y$20="Baja",'Mapa final'!$AA$20="Leve"),CONCATENATE("R2C",'Mapa final'!$O$20),"")</f>
        <v/>
      </c>
      <c r="M38" s="90" t="str">
        <f>IF(AND('Mapa final'!$Y$21="Baja",'Mapa final'!$AA$21="Leve"),CONCATENATE("R2C",'Mapa final'!$O$21),"")</f>
        <v/>
      </c>
      <c r="N38" s="90" t="str">
        <f>IF(AND('Mapa final'!$Y$22="Baja",'Mapa final'!$AA$22="Leve"),CONCATENATE("R2C",'Mapa final'!$O$22),"")</f>
        <v/>
      </c>
      <c r="O38" s="91" t="str">
        <f>IF(AND('Mapa final'!$Y$23="Baja",'Mapa final'!$AA$23="Leve"),CONCATENATE("R2C",'Mapa final'!$O$23),"")</f>
        <v/>
      </c>
      <c r="P38" s="81" t="str">
        <f ca="1">IF(AND('Mapa final'!$Y$18="Baja",'Mapa final'!$AA$18="Menor"),CONCATENATE("R2C",'Mapa final'!$O$18),"")</f>
        <v/>
      </c>
      <c r="Q38" s="81" t="str">
        <f>IF(AND('Mapa final'!$Y$19="Baja",'Mapa final'!$AA$19="Menor"),CONCATENATE("R2C",'Mapa final'!$O$19),"")</f>
        <v/>
      </c>
      <c r="R38" s="81" t="str">
        <f>IF(AND('Mapa final'!$Y$20="Baja",'Mapa final'!$AA$20="Menor"),CONCATENATE("R2C",'Mapa final'!$O$20),"")</f>
        <v/>
      </c>
      <c r="S38" s="81" t="str">
        <f>IF(AND('Mapa final'!$Y$21="Baja",'Mapa final'!$AA$21="Menor"),CONCATENATE("R2C",'Mapa final'!$O$21),"")</f>
        <v/>
      </c>
      <c r="T38" s="81" t="str">
        <f>IF(AND('Mapa final'!$Y$22="Baja",'Mapa final'!$AA$22="Menor"),CONCATENATE("R2C",'Mapa final'!$O$22),"")</f>
        <v/>
      </c>
      <c r="U38" s="81" t="str">
        <f>IF(AND('Mapa final'!$Y$23="Baja",'Mapa final'!$AA$23="Menor"),CONCATENATE("R2C",'Mapa final'!$O$23),"")</f>
        <v/>
      </c>
      <c r="V38" s="80" t="str">
        <f ca="1">IF(AND('Mapa final'!$Y$18="Baja",'Mapa final'!$AA$18="Moderado"),CONCATENATE("R2C",'Mapa final'!$O$18),"")</f>
        <v/>
      </c>
      <c r="W38" s="81" t="str">
        <f>IF(AND('Mapa final'!$Y$19="Baja",'Mapa final'!$AA$19="Moderado"),CONCATENATE("R2C",'Mapa final'!$O$19),"")</f>
        <v/>
      </c>
      <c r="X38" s="81" t="str">
        <f>IF(AND('Mapa final'!$Y$20="Baja",'Mapa final'!$AA$20="Moderado"),CONCATENATE("R2C",'Mapa final'!$O$20),"")</f>
        <v/>
      </c>
      <c r="Y38" s="81" t="str">
        <f>IF(AND('Mapa final'!$Y$21="Baja",'Mapa final'!$AA$21="Moderado"),CONCATENATE("R2C",'Mapa final'!$O$21),"")</f>
        <v/>
      </c>
      <c r="Z38" s="81" t="str">
        <f>IF(AND('Mapa final'!$Y$22="Baja",'Mapa final'!$AA$22="Moderado"),CONCATENATE("R2C",'Mapa final'!$O$22),"")</f>
        <v/>
      </c>
      <c r="AA38" s="82" t="str">
        <f>IF(AND('Mapa final'!$Y$23="Baja",'Mapa final'!$AA$23="Moderado"),CONCATENATE("R2C",'Mapa final'!$O$23),"")</f>
        <v/>
      </c>
      <c r="AB38" s="66" t="str">
        <f ca="1">IF(AND('Mapa final'!$Y$18="Baja",'Mapa final'!$AA$18="Mayor"),CONCATENATE("R2C",'Mapa final'!$O$18),"")</f>
        <v/>
      </c>
      <c r="AC38" s="66" t="str">
        <f>IF(AND('Mapa final'!$Y$19="Baja",'Mapa final'!$AA$19="Mayor"),CONCATENATE("R2C",'Mapa final'!$O$19),"")</f>
        <v/>
      </c>
      <c r="AD38" s="66" t="str">
        <f>IF(AND('Mapa final'!$Y$20="Baja",'Mapa final'!$AA$20="Mayor"),CONCATENATE("R2C",'Mapa final'!$O$20),"")</f>
        <v/>
      </c>
      <c r="AE38" s="66" t="str">
        <f>IF(AND('Mapa final'!$Y$21="Baja",'Mapa final'!$AA$21="Mayor"),CONCATENATE("R2C",'Mapa final'!$O$21),"")</f>
        <v/>
      </c>
      <c r="AF38" s="66" t="str">
        <f>IF(AND('Mapa final'!$Y$22="Baja",'Mapa final'!$AA$22="Mayor"),CONCATENATE("R2C",'Mapa final'!$O$22),"")</f>
        <v/>
      </c>
      <c r="AG38" s="66" t="str">
        <f>IF(AND('Mapa final'!$Y$23="Baja",'Mapa final'!$AA$23="Mayor"),CONCATENATE("R2C",'Mapa final'!$O$23),"")</f>
        <v/>
      </c>
      <c r="AH38" s="68" t="str">
        <f ca="1">IF(AND('Mapa final'!$Y$18="Baja",'Mapa final'!$AA$18="Catastrófico"),CONCATENATE("R2C",'Mapa final'!$O$18),"")</f>
        <v/>
      </c>
      <c r="AI38" s="69" t="str">
        <f>IF(AND('Mapa final'!$Y$19="Baja",'Mapa final'!$AA$19="Catastrófico"),CONCATENATE("R2C",'Mapa final'!$O$19),"")</f>
        <v/>
      </c>
      <c r="AJ38" s="69" t="str">
        <f>IF(AND('Mapa final'!$Y$20="Baja",'Mapa final'!$AA$20="Catastrófico"),CONCATENATE("R2C",'Mapa final'!$O$20),"")</f>
        <v/>
      </c>
      <c r="AK38" s="69" t="str">
        <f>IF(AND('Mapa final'!$Y$21="Baja",'Mapa final'!$AA$21="Catastrófico"),CONCATENATE("R2C",'Mapa final'!$O$21),"")</f>
        <v/>
      </c>
      <c r="AL38" s="69" t="str">
        <f>IF(AND('Mapa final'!$Y$22="Baja",'Mapa final'!$AA$22="Catastrófico"),CONCATENATE("R2C",'Mapa final'!$O$22),"")</f>
        <v/>
      </c>
      <c r="AM38" s="70" t="str">
        <f>IF(AND('Mapa final'!$Y$23="Baja",'Mapa final'!$AA$23="Catastrófico"),CONCATENATE("R2C",'Mapa final'!$O$23),"")</f>
        <v/>
      </c>
      <c r="AN38" s="96"/>
      <c r="AO38" s="404"/>
      <c r="AP38" s="405"/>
      <c r="AQ38" s="405"/>
      <c r="AR38" s="405"/>
      <c r="AS38" s="405"/>
      <c r="AT38" s="40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row>
    <row r="39" spans="1:80" ht="15" customHeight="1" x14ac:dyDescent="0.25">
      <c r="A39" s="96"/>
      <c r="B39" s="285"/>
      <c r="C39" s="285"/>
      <c r="D39" s="286"/>
      <c r="E39" s="384"/>
      <c r="F39" s="383"/>
      <c r="G39" s="383"/>
      <c r="H39" s="383"/>
      <c r="I39" s="383"/>
      <c r="J39" s="89" t="str">
        <f ca="1">IF(AND('Mapa final'!$Y$24="Baja",'Mapa final'!$AA$24="Leve"),CONCATENATE("R3C",'Mapa final'!$O$24),"")</f>
        <v/>
      </c>
      <c r="K39" s="90" t="str">
        <f>IF(AND('Mapa final'!$Y$25="Baja",'Mapa final'!$AA$25="Leve"),CONCATENATE("R3C",'Mapa final'!$O$25),"")</f>
        <v/>
      </c>
      <c r="L39" s="90" t="str">
        <f>IF(AND('Mapa final'!$Y$26="Baja",'Mapa final'!$AA$26="Leve"),CONCATENATE("R3C",'Mapa final'!$O$26),"")</f>
        <v/>
      </c>
      <c r="M39" s="90" t="str">
        <f>IF(AND('Mapa final'!$Y$27="Baja",'Mapa final'!$AA$27="Leve"),CONCATENATE("R3C",'Mapa final'!$O$27),"")</f>
        <v/>
      </c>
      <c r="N39" s="90" t="str">
        <f>IF(AND('Mapa final'!$Y$28="Baja",'Mapa final'!$AA$28="Leve"),CONCATENATE("R3C",'Mapa final'!$O$28),"")</f>
        <v/>
      </c>
      <c r="O39" s="91" t="str">
        <f>IF(AND('Mapa final'!$Y$29="Baja",'Mapa final'!$AA$29="Leve"),CONCATENATE("R3C",'Mapa final'!$O$29),"")</f>
        <v/>
      </c>
      <c r="P39" s="81" t="str">
        <f ca="1">IF(AND('Mapa final'!$Y$24="Baja",'Mapa final'!$AA$24="Menor"),CONCATENATE("R3C",'Mapa final'!$O$24),"")</f>
        <v/>
      </c>
      <c r="Q39" s="81" t="str">
        <f>IF(AND('Mapa final'!$Y$25="Baja",'Mapa final'!$AA$25="Menor"),CONCATENATE("R3C",'Mapa final'!$O$25),"")</f>
        <v/>
      </c>
      <c r="R39" s="81" t="str">
        <f>IF(AND('Mapa final'!$Y$26="Baja",'Mapa final'!$AA$26="Menor"),CONCATENATE("R3C",'Mapa final'!$O$26),"")</f>
        <v/>
      </c>
      <c r="S39" s="81" t="str">
        <f>IF(AND('Mapa final'!$Y$27="Baja",'Mapa final'!$AA$27="Menor"),CONCATENATE("R3C",'Mapa final'!$O$27),"")</f>
        <v/>
      </c>
      <c r="T39" s="81" t="str">
        <f>IF(AND('Mapa final'!$Y$28="Baja",'Mapa final'!$AA$28="Menor"),CONCATENATE("R3C",'Mapa final'!$O$28),"")</f>
        <v/>
      </c>
      <c r="U39" s="81" t="str">
        <f>IF(AND('Mapa final'!$Y$29="Baja",'Mapa final'!$AA$29="Menor"),CONCATENATE("R3C",'Mapa final'!$O$29),"")</f>
        <v/>
      </c>
      <c r="V39" s="80" t="str">
        <f ca="1">IF(AND('Mapa final'!$Y$24="Baja",'Mapa final'!$AA$24="Moderado"),CONCATENATE("R3C",'Mapa final'!$O$24),"")</f>
        <v>R3C1</v>
      </c>
      <c r="W39" s="81" t="str">
        <f>IF(AND('Mapa final'!$Y$25="Baja",'Mapa final'!$AA$25="Moderado"),CONCATENATE("R3C",'Mapa final'!$O$25),"")</f>
        <v/>
      </c>
      <c r="X39" s="81" t="str">
        <f>IF(AND('Mapa final'!$Y$26="Baja",'Mapa final'!$AA$26="Moderado"),CONCATENATE("R3C",'Mapa final'!$O$26),"")</f>
        <v/>
      </c>
      <c r="Y39" s="81" t="str">
        <f>IF(AND('Mapa final'!$Y$27="Baja",'Mapa final'!$AA$27="Moderado"),CONCATENATE("R3C",'Mapa final'!$O$27),"")</f>
        <v/>
      </c>
      <c r="Z39" s="81" t="str">
        <f>IF(AND('Mapa final'!$Y$28="Baja",'Mapa final'!$AA$28="Moderado"),CONCATENATE("R3C",'Mapa final'!$O$28),"")</f>
        <v/>
      </c>
      <c r="AA39" s="82" t="str">
        <f>IF(AND('Mapa final'!$Y$29="Baja",'Mapa final'!$AA$29="Moderado"),CONCATENATE("R3C",'Mapa final'!$O$29),"")</f>
        <v/>
      </c>
      <c r="AB39" s="66" t="str">
        <f ca="1">IF(AND('Mapa final'!$Y$24="Baja",'Mapa final'!$AA$24="Mayor"),CONCATENATE("R3C",'Mapa final'!$O$24),"")</f>
        <v/>
      </c>
      <c r="AC39" s="66" t="str">
        <f>IF(AND('Mapa final'!$Y$25="Baja",'Mapa final'!$AA$25="Mayor"),CONCATENATE("R3C",'Mapa final'!$O$25),"")</f>
        <v/>
      </c>
      <c r="AD39" s="66" t="str">
        <f>IF(AND('Mapa final'!$Y$26="Baja",'Mapa final'!$AA$26="Mayor"),CONCATENATE("R3C",'Mapa final'!$O$26),"")</f>
        <v/>
      </c>
      <c r="AE39" s="66" t="str">
        <f>IF(AND('Mapa final'!$Y$27="Baja",'Mapa final'!$AA$27="Mayor"),CONCATENATE("R3C",'Mapa final'!$O$27),"")</f>
        <v/>
      </c>
      <c r="AF39" s="66" t="str">
        <f>IF(AND('Mapa final'!$Y$28="Baja",'Mapa final'!$AA$28="Mayor"),CONCATENATE("R3C",'Mapa final'!$O$28),"")</f>
        <v/>
      </c>
      <c r="AG39" s="66" t="str">
        <f>IF(AND('Mapa final'!$Y$29="Baja",'Mapa final'!$AA$29="Mayor"),CONCATENATE("R3C",'Mapa final'!$O$29),"")</f>
        <v/>
      </c>
      <c r="AH39" s="68" t="str">
        <f ca="1">IF(AND('Mapa final'!$Y$24="Baja",'Mapa final'!$AA$24="Catastrófico"),CONCATENATE("R3C",'Mapa final'!$O$24),"")</f>
        <v/>
      </c>
      <c r="AI39" s="69" t="str">
        <f>IF(AND('Mapa final'!$Y$25="Baja",'Mapa final'!$AA$25="Catastrófico"),CONCATENATE("R3C",'Mapa final'!$O$25),"")</f>
        <v/>
      </c>
      <c r="AJ39" s="69" t="str">
        <f>IF(AND('Mapa final'!$Y$26="Baja",'Mapa final'!$AA$26="Catastrófico"),CONCATENATE("R3C",'Mapa final'!$O$26),"")</f>
        <v/>
      </c>
      <c r="AK39" s="69" t="str">
        <f>IF(AND('Mapa final'!$Y$27="Baja",'Mapa final'!$AA$27="Catastrófico"),CONCATENATE("R3C",'Mapa final'!$O$27),"")</f>
        <v/>
      </c>
      <c r="AL39" s="69" t="str">
        <f>IF(AND('Mapa final'!$Y$28="Baja",'Mapa final'!$AA$28="Catastrófico"),CONCATENATE("R3C",'Mapa final'!$O$28),"")</f>
        <v/>
      </c>
      <c r="AM39" s="70" t="str">
        <f>IF(AND('Mapa final'!$Y$29="Baja",'Mapa final'!$AA$29="Catastrófico"),CONCATENATE("R3C",'Mapa final'!$O$29),"")</f>
        <v/>
      </c>
      <c r="AN39" s="96"/>
      <c r="AO39" s="404"/>
      <c r="AP39" s="405"/>
      <c r="AQ39" s="405"/>
      <c r="AR39" s="405"/>
      <c r="AS39" s="405"/>
      <c r="AT39" s="40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row>
    <row r="40" spans="1:80" ht="15" customHeight="1" x14ac:dyDescent="0.25">
      <c r="A40" s="96"/>
      <c r="B40" s="285"/>
      <c r="C40" s="285"/>
      <c r="D40" s="286"/>
      <c r="E40" s="384"/>
      <c r="F40" s="383"/>
      <c r="G40" s="383"/>
      <c r="H40" s="383"/>
      <c r="I40" s="383"/>
      <c r="J40" s="89" t="str">
        <f ca="1">IF(AND('Mapa final'!$Y$30="Baja",'Mapa final'!$AA$30="Leve"),CONCATENATE("R4C",'Mapa final'!$O$30),"")</f>
        <v/>
      </c>
      <c r="K40" s="90" t="str">
        <f>IF(AND('Mapa final'!$Y$31="Baja",'Mapa final'!$AA$31="Leve"),CONCATENATE("R4C",'Mapa final'!$O$31),"")</f>
        <v/>
      </c>
      <c r="L40" s="90" t="str">
        <f>IF(AND('Mapa final'!$Y$32="Baja",'Mapa final'!$AA$32="Leve"),CONCATENATE("R4C",'Mapa final'!$O$32),"")</f>
        <v/>
      </c>
      <c r="M40" s="90" t="str">
        <f>IF(AND('Mapa final'!$Y$33="Baja",'Mapa final'!$AA$33="Leve"),CONCATENATE("R4C",'Mapa final'!$O$33),"")</f>
        <v/>
      </c>
      <c r="N40" s="90" t="str">
        <f>IF(AND('Mapa final'!$Y$34="Baja",'Mapa final'!$AA$34="Leve"),CONCATENATE("R4C",'Mapa final'!$O$34),"")</f>
        <v/>
      </c>
      <c r="O40" s="91" t="str">
        <f>IF(AND('Mapa final'!$Y$35="Baja",'Mapa final'!$AA$35="Leve"),CONCATENATE("R4C",'Mapa final'!$O$35),"")</f>
        <v/>
      </c>
      <c r="P40" s="81" t="str">
        <f ca="1">IF(AND('Mapa final'!$Y$30="Baja",'Mapa final'!$AA$30="Menor"),CONCATENATE("R4C",'Mapa final'!$O$30),"")</f>
        <v/>
      </c>
      <c r="Q40" s="81" t="str">
        <f>IF(AND('Mapa final'!$Y$31="Baja",'Mapa final'!$AA$31="Menor"),CONCATENATE("R4C",'Mapa final'!$O$31),"")</f>
        <v/>
      </c>
      <c r="R40" s="81" t="str">
        <f>IF(AND('Mapa final'!$Y$32="Baja",'Mapa final'!$AA$32="Menor"),CONCATENATE("R4C",'Mapa final'!$O$32),"")</f>
        <v/>
      </c>
      <c r="S40" s="81" t="str">
        <f>IF(AND('Mapa final'!$Y$33="Baja",'Mapa final'!$AA$33="Menor"),CONCATENATE("R4C",'Mapa final'!$O$33),"")</f>
        <v/>
      </c>
      <c r="T40" s="81" t="str">
        <f>IF(AND('Mapa final'!$Y$34="Baja",'Mapa final'!$AA$34="Menor"),CONCATENATE("R4C",'Mapa final'!$O$34),"")</f>
        <v/>
      </c>
      <c r="U40" s="81" t="str">
        <f>IF(AND('Mapa final'!$Y$35="Baja",'Mapa final'!$AA$35="Menor"),CONCATENATE("R4C",'Mapa final'!$O$35),"")</f>
        <v/>
      </c>
      <c r="V40" s="80" t="str">
        <f ca="1">IF(AND('Mapa final'!$Y$30="Baja",'Mapa final'!$AA$30="Moderado"),CONCATENATE("R4C",'Mapa final'!$O$30),"")</f>
        <v>R4C1</v>
      </c>
      <c r="W40" s="81" t="str">
        <f>IF(AND('Mapa final'!$Y$31="Baja",'Mapa final'!$AA$31="Moderado"),CONCATENATE("R4C",'Mapa final'!$O$31),"")</f>
        <v/>
      </c>
      <c r="X40" s="81" t="str">
        <f>IF(AND('Mapa final'!$Y$32="Baja",'Mapa final'!$AA$32="Moderado"),CONCATENATE("R4C",'Mapa final'!$O$32),"")</f>
        <v/>
      </c>
      <c r="Y40" s="81" t="str">
        <f>IF(AND('Mapa final'!$Y$33="Baja",'Mapa final'!$AA$33="Moderado"),CONCATENATE("R4C",'Mapa final'!$O$33),"")</f>
        <v/>
      </c>
      <c r="Z40" s="81" t="str">
        <f>IF(AND('Mapa final'!$Y$34="Baja",'Mapa final'!$AA$34="Moderado"),CONCATENATE("R4C",'Mapa final'!$O$34),"")</f>
        <v/>
      </c>
      <c r="AA40" s="82" t="str">
        <f>IF(AND('Mapa final'!$Y$35="Baja",'Mapa final'!$AA$35="Moderado"),CONCATENATE("R4C",'Mapa final'!$O$35),"")</f>
        <v/>
      </c>
      <c r="AB40" s="66" t="str">
        <f ca="1">IF(AND('Mapa final'!$Y$30="Baja",'Mapa final'!$AA$30="Mayor"),CONCATENATE("R4C",'Mapa final'!$O$30),"")</f>
        <v/>
      </c>
      <c r="AC40" s="66" t="str">
        <f>IF(AND('Mapa final'!$Y$31="Baja",'Mapa final'!$AA$31="Mayor"),CONCATENATE("R4C",'Mapa final'!$O$31),"")</f>
        <v/>
      </c>
      <c r="AD40" s="66" t="str">
        <f>IF(AND('Mapa final'!$Y$32="Baja",'Mapa final'!$AA$32="Mayor"),CONCATENATE("R4C",'Mapa final'!$O$32),"")</f>
        <v/>
      </c>
      <c r="AE40" s="66" t="str">
        <f>IF(AND('Mapa final'!$Y$33="Baja",'Mapa final'!$AA$33="Mayor"),CONCATENATE("R4C",'Mapa final'!$O$33),"")</f>
        <v/>
      </c>
      <c r="AF40" s="66" t="str">
        <f>IF(AND('Mapa final'!$Y$34="Baja",'Mapa final'!$AA$34="Mayor"),CONCATENATE("R4C",'Mapa final'!$O$34),"")</f>
        <v/>
      </c>
      <c r="AG40" s="66" t="str">
        <f>IF(AND('Mapa final'!$Y$35="Baja",'Mapa final'!$AA$35="Mayor"),CONCATENATE("R4C",'Mapa final'!$O$35),"")</f>
        <v/>
      </c>
      <c r="AH40" s="68" t="str">
        <f ca="1">IF(AND('Mapa final'!$Y$30="Baja",'Mapa final'!$AA$30="Catastrófico"),CONCATENATE("R4C",'Mapa final'!$O$30),"")</f>
        <v/>
      </c>
      <c r="AI40" s="69" t="str">
        <f>IF(AND('Mapa final'!$Y$31="Baja",'Mapa final'!$AA$31="Catastrófico"),CONCATENATE("R4C",'Mapa final'!$O$31),"")</f>
        <v/>
      </c>
      <c r="AJ40" s="69" t="str">
        <f>IF(AND('Mapa final'!$Y$32="Baja",'Mapa final'!$AA$32="Catastrófico"),CONCATENATE("R4C",'Mapa final'!$O$32),"")</f>
        <v/>
      </c>
      <c r="AK40" s="69" t="str">
        <f>IF(AND('Mapa final'!$Y$33="Baja",'Mapa final'!$AA$33="Catastrófico"),CONCATENATE("R4C",'Mapa final'!$O$33),"")</f>
        <v/>
      </c>
      <c r="AL40" s="69" t="str">
        <f>IF(AND('Mapa final'!$Y$34="Baja",'Mapa final'!$AA$34="Catastrófico"),CONCATENATE("R4C",'Mapa final'!$O$34),"")</f>
        <v/>
      </c>
      <c r="AM40" s="70" t="str">
        <f>IF(AND('Mapa final'!$Y$35="Baja",'Mapa final'!$AA$35="Catastrófico"),CONCATENATE("R4C",'Mapa final'!$O$35),"")</f>
        <v/>
      </c>
      <c r="AN40" s="96"/>
      <c r="AO40" s="404"/>
      <c r="AP40" s="405"/>
      <c r="AQ40" s="405"/>
      <c r="AR40" s="405"/>
      <c r="AS40" s="405"/>
      <c r="AT40" s="40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row>
    <row r="41" spans="1:80" ht="15" customHeight="1" x14ac:dyDescent="0.25">
      <c r="A41" s="96"/>
      <c r="B41" s="285"/>
      <c r="C41" s="285"/>
      <c r="D41" s="286"/>
      <c r="E41" s="384"/>
      <c r="F41" s="383"/>
      <c r="G41" s="383"/>
      <c r="H41" s="383"/>
      <c r="I41" s="383"/>
      <c r="J41" s="89" t="str">
        <f>IF(AND('Mapa final'!$Y$36="Baja",'Mapa final'!$AA$36="Leve"),CONCATENATE("R5C",'Mapa final'!$O$36),"")</f>
        <v/>
      </c>
      <c r="K41" s="90" t="str">
        <f>IF(AND('Mapa final'!$Y$37="Baja",'Mapa final'!$AA$37="Leve"),CONCATENATE("R5C",'Mapa final'!$O$37),"")</f>
        <v/>
      </c>
      <c r="L41" s="90" t="str">
        <f>IF(AND('Mapa final'!$Y$38="Baja",'Mapa final'!$AA$38="Leve"),CONCATENATE("R5C",'Mapa final'!$O$38),"")</f>
        <v/>
      </c>
      <c r="M41" s="90" t="str">
        <f>IF(AND('Mapa final'!$Y$39="Baja",'Mapa final'!$AA$39="Leve"),CONCATENATE("R5C",'Mapa final'!$O$39),"")</f>
        <v/>
      </c>
      <c r="N41" s="90" t="str">
        <f>IF(AND('Mapa final'!$Y$40="Baja",'Mapa final'!$AA$40="Leve"),CONCATENATE("R5C",'Mapa final'!$O$40),"")</f>
        <v/>
      </c>
      <c r="O41" s="91" t="str">
        <f>IF(AND('Mapa final'!$Y$41="Baja",'Mapa final'!$AA$41="Leve"),CONCATENATE("R5C",'Mapa final'!$O$41),"")</f>
        <v/>
      </c>
      <c r="P41" s="81" t="str">
        <f>IF(AND('Mapa final'!$Y$36="Baja",'Mapa final'!$AA$36="Menor"),CONCATENATE("R5C",'Mapa final'!$O$36),"")</f>
        <v/>
      </c>
      <c r="Q41" s="81" t="str">
        <f>IF(AND('Mapa final'!$Y$37="Baja",'Mapa final'!$AA$37="Menor"),CONCATENATE("R5C",'Mapa final'!$O$37),"")</f>
        <v/>
      </c>
      <c r="R41" s="81" t="str">
        <f>IF(AND('Mapa final'!$Y$38="Baja",'Mapa final'!$AA$38="Menor"),CONCATENATE("R5C",'Mapa final'!$O$38),"")</f>
        <v/>
      </c>
      <c r="S41" s="81" t="str">
        <f>IF(AND('Mapa final'!$Y$39="Baja",'Mapa final'!$AA$39="Menor"),CONCATENATE("R5C",'Mapa final'!$O$39),"")</f>
        <v/>
      </c>
      <c r="T41" s="81" t="str">
        <f>IF(AND('Mapa final'!$Y$40="Baja",'Mapa final'!$AA$40="Menor"),CONCATENATE("R5C",'Mapa final'!$O$40),"")</f>
        <v/>
      </c>
      <c r="U41" s="81" t="str">
        <f>IF(AND('Mapa final'!$Y$41="Baja",'Mapa final'!$AA$41="Menor"),CONCATENATE("R5C",'Mapa final'!$O$41),"")</f>
        <v/>
      </c>
      <c r="V41" s="80" t="str">
        <f>IF(AND('Mapa final'!$Y$36="Baja",'Mapa final'!$AA$36="Moderado"),CONCATENATE("R5C",'Mapa final'!$O$36),"")</f>
        <v/>
      </c>
      <c r="W41" s="81" t="str">
        <f>IF(AND('Mapa final'!$Y$37="Baja",'Mapa final'!$AA$37="Moderado"),CONCATENATE("R5C",'Mapa final'!$O$37),"")</f>
        <v/>
      </c>
      <c r="X41" s="81" t="str">
        <f>IF(AND('Mapa final'!$Y$38="Baja",'Mapa final'!$AA$38="Moderado"),CONCATENATE("R5C",'Mapa final'!$O$38),"")</f>
        <v/>
      </c>
      <c r="Y41" s="81" t="str">
        <f>IF(AND('Mapa final'!$Y$39="Baja",'Mapa final'!$AA$39="Moderado"),CONCATENATE("R5C",'Mapa final'!$O$39),"")</f>
        <v/>
      </c>
      <c r="Z41" s="81" t="str">
        <f>IF(AND('Mapa final'!$Y$40="Baja",'Mapa final'!$AA$40="Moderado"),CONCATENATE("R5C",'Mapa final'!$O$40),"")</f>
        <v/>
      </c>
      <c r="AA41" s="82" t="str">
        <f>IF(AND('Mapa final'!$Y$41="Baja",'Mapa final'!$AA$41="Moderado"),CONCATENATE("R5C",'Mapa final'!$O$41),"")</f>
        <v/>
      </c>
      <c r="AB41" s="66" t="str">
        <f>IF(AND('Mapa final'!$Y$36="Baja",'Mapa final'!$AA$36="Mayor"),CONCATENATE("R5C",'Mapa final'!$O$36),"")</f>
        <v/>
      </c>
      <c r="AC41" s="66" t="str">
        <f>IF(AND('Mapa final'!$Y$37="Baja",'Mapa final'!$AA$37="Mayor"),CONCATENATE("R5C",'Mapa final'!$O$37),"")</f>
        <v/>
      </c>
      <c r="AD41" s="66" t="str">
        <f>IF(AND('Mapa final'!$Y$38="Baja",'Mapa final'!$AA$38="Mayor"),CONCATENATE("R5C",'Mapa final'!$O$38),"")</f>
        <v/>
      </c>
      <c r="AE41" s="66" t="str">
        <f>IF(AND('Mapa final'!$Y$39="Baja",'Mapa final'!$AA$39="Mayor"),CONCATENATE("R5C",'Mapa final'!$O$39),"")</f>
        <v/>
      </c>
      <c r="AF41" s="66" t="str">
        <f>IF(AND('Mapa final'!$Y$40="Baja",'Mapa final'!$AA$40="Mayor"),CONCATENATE("R5C",'Mapa final'!$O$40),"")</f>
        <v/>
      </c>
      <c r="AG41" s="66" t="str">
        <f>IF(AND('Mapa final'!$Y$41="Baja",'Mapa final'!$AA$41="Mayor"),CONCATENATE("R5C",'Mapa final'!$O$41),"")</f>
        <v/>
      </c>
      <c r="AH41" s="68" t="str">
        <f>IF(AND('Mapa final'!$Y$36="Baja",'Mapa final'!$AA$36="Catastrófico"),CONCATENATE("R5C",'Mapa final'!$O$36),"")</f>
        <v/>
      </c>
      <c r="AI41" s="69" t="str">
        <f>IF(AND('Mapa final'!$Y$37="Baja",'Mapa final'!$AA$37="Catastrófico"),CONCATENATE("R5C",'Mapa final'!$O$37),"")</f>
        <v/>
      </c>
      <c r="AJ41" s="69" t="str">
        <f>IF(AND('Mapa final'!$Y$38="Baja",'Mapa final'!$AA$38="Catastrófico"),CONCATENATE("R5C",'Mapa final'!$O$38),"")</f>
        <v/>
      </c>
      <c r="AK41" s="69" t="str">
        <f>IF(AND('Mapa final'!$Y$39="Baja",'Mapa final'!$AA$39="Catastrófico"),CONCATENATE("R5C",'Mapa final'!$O$39),"")</f>
        <v/>
      </c>
      <c r="AL41" s="69" t="str">
        <f>IF(AND('Mapa final'!$Y$40="Baja",'Mapa final'!$AA$40="Catastrófico"),CONCATENATE("R5C",'Mapa final'!$O$40),"")</f>
        <v/>
      </c>
      <c r="AM41" s="70" t="str">
        <f>IF(AND('Mapa final'!$Y$41="Baja",'Mapa final'!$AA$41="Catastrófico"),CONCATENATE("R5C",'Mapa final'!$O$41),"")</f>
        <v/>
      </c>
      <c r="AN41" s="96"/>
      <c r="AO41" s="404"/>
      <c r="AP41" s="405"/>
      <c r="AQ41" s="405"/>
      <c r="AR41" s="405"/>
      <c r="AS41" s="405"/>
      <c r="AT41" s="40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row>
    <row r="42" spans="1:80" ht="15" customHeight="1" x14ac:dyDescent="0.25">
      <c r="A42" s="96"/>
      <c r="B42" s="285"/>
      <c r="C42" s="285"/>
      <c r="D42" s="286"/>
      <c r="E42" s="384"/>
      <c r="F42" s="383"/>
      <c r="G42" s="383"/>
      <c r="H42" s="383"/>
      <c r="I42" s="383"/>
      <c r="J42" s="89" t="str">
        <f ca="1">IF(AND('Mapa final'!$Y$42="Baja",'Mapa final'!$AA$42="Leve"),CONCATENATE("R6C",'Mapa final'!$O$42),"")</f>
        <v/>
      </c>
      <c r="K42" s="90" t="str">
        <f>IF(AND('Mapa final'!$Y$43="Baja",'Mapa final'!$AA$43="Leve"),CONCATENATE("R6C",'Mapa final'!$O$43),"")</f>
        <v/>
      </c>
      <c r="L42" s="90" t="str">
        <f>IF(AND('Mapa final'!$Y$44="Baja",'Mapa final'!$AA$44="Leve"),CONCATENATE("R6C",'Mapa final'!$O$44),"")</f>
        <v/>
      </c>
      <c r="M42" s="90" t="str">
        <f>IF(AND('Mapa final'!$Y$45="Baja",'Mapa final'!$AA$45="Leve"),CONCATENATE("R6C",'Mapa final'!$O$45),"")</f>
        <v/>
      </c>
      <c r="N42" s="90" t="str">
        <f>IF(AND('Mapa final'!$Y$46="Baja",'Mapa final'!$AA$46="Leve"),CONCATENATE("R6C",'Mapa final'!$O$46),"")</f>
        <v/>
      </c>
      <c r="O42" s="91" t="str">
        <f>IF(AND('Mapa final'!$Y$47="Baja",'Mapa final'!$AA$47="Leve"),CONCATENATE("R6C",'Mapa final'!$O$47),"")</f>
        <v/>
      </c>
      <c r="P42" s="81" t="str">
        <f ca="1">IF(AND('Mapa final'!$Y$42="Baja",'Mapa final'!$AA$42="Menor"),CONCATENATE("R6C",'Mapa final'!$O$42),"")</f>
        <v/>
      </c>
      <c r="Q42" s="81" t="str">
        <f>IF(AND('Mapa final'!$Y$43="Baja",'Mapa final'!$AA$43="Menor"),CONCATENATE("R6C",'Mapa final'!$O$43),"")</f>
        <v/>
      </c>
      <c r="R42" s="81" t="str">
        <f>IF(AND('Mapa final'!$Y$44="Baja",'Mapa final'!$AA$44="Menor"),CONCATENATE("R6C",'Mapa final'!$O$44),"")</f>
        <v/>
      </c>
      <c r="S42" s="81" t="str">
        <f>IF(AND('Mapa final'!$Y$45="Baja",'Mapa final'!$AA$45="Menor"),CONCATENATE("R6C",'Mapa final'!$O$45),"")</f>
        <v/>
      </c>
      <c r="T42" s="81" t="str">
        <f>IF(AND('Mapa final'!$Y$46="Baja",'Mapa final'!$AA$46="Menor"),CONCATENATE("R6C",'Mapa final'!$O$46),"")</f>
        <v/>
      </c>
      <c r="U42" s="81" t="str">
        <f>IF(AND('Mapa final'!$Y$47="Baja",'Mapa final'!$AA$47="Menor"),CONCATENATE("R6C",'Mapa final'!$O$47),"")</f>
        <v/>
      </c>
      <c r="V42" s="80" t="str">
        <f ca="1">IF(AND('Mapa final'!$Y$42="Baja",'Mapa final'!$AA$42="Moderado"),CONCATENATE("R6C",'Mapa final'!$O$42),"")</f>
        <v/>
      </c>
      <c r="W42" s="81" t="str">
        <f>IF(AND('Mapa final'!$Y$43="Baja",'Mapa final'!$AA$43="Moderado"),CONCATENATE("R6C",'Mapa final'!$O$43),"")</f>
        <v/>
      </c>
      <c r="X42" s="81" t="str">
        <f>IF(AND('Mapa final'!$Y$44="Baja",'Mapa final'!$AA$44="Moderado"),CONCATENATE("R6C",'Mapa final'!$O$44),"")</f>
        <v/>
      </c>
      <c r="Y42" s="81" t="str">
        <f>IF(AND('Mapa final'!$Y$45="Baja",'Mapa final'!$AA$45="Moderado"),CONCATENATE("R6C",'Mapa final'!$O$45),"")</f>
        <v/>
      </c>
      <c r="Z42" s="81" t="str">
        <f>IF(AND('Mapa final'!$Y$46="Baja",'Mapa final'!$AA$46="Moderado"),CONCATENATE("R6C",'Mapa final'!$O$46),"")</f>
        <v/>
      </c>
      <c r="AA42" s="82" t="str">
        <f>IF(AND('Mapa final'!$Y$47="Baja",'Mapa final'!$AA$47="Moderado"),CONCATENATE("R6C",'Mapa final'!$O$47),"")</f>
        <v/>
      </c>
      <c r="AB42" s="66" t="str">
        <f ca="1">IF(AND('Mapa final'!$Y$42="Baja",'Mapa final'!$AA$42="Mayor"),CONCATENATE("R6C",'Mapa final'!$O$42),"")</f>
        <v/>
      </c>
      <c r="AC42" s="66" t="str">
        <f>IF(AND('Mapa final'!$Y$43="Baja",'Mapa final'!$AA$43="Mayor"),CONCATENATE("R6C",'Mapa final'!$O$43),"")</f>
        <v/>
      </c>
      <c r="AD42" s="66" t="str">
        <f>IF(AND('Mapa final'!$Y$44="Baja",'Mapa final'!$AA$44="Mayor"),CONCATENATE("R6C",'Mapa final'!$O$44),"")</f>
        <v/>
      </c>
      <c r="AE42" s="66" t="str">
        <f>IF(AND('Mapa final'!$Y$45="Baja",'Mapa final'!$AA$45="Mayor"),CONCATENATE("R6C",'Mapa final'!$O$45),"")</f>
        <v/>
      </c>
      <c r="AF42" s="66" t="str">
        <f>IF(AND('Mapa final'!$Y$46="Baja",'Mapa final'!$AA$46="Mayor"),CONCATENATE("R6C",'Mapa final'!$O$46),"")</f>
        <v/>
      </c>
      <c r="AG42" s="66" t="str">
        <f>IF(AND('Mapa final'!$Y$47="Baja",'Mapa final'!$AA$47="Mayor"),CONCATENATE("R6C",'Mapa final'!$O$47),"")</f>
        <v/>
      </c>
      <c r="AH42" s="68" t="str">
        <f ca="1">IF(AND('Mapa final'!$Y$42="Baja",'Mapa final'!$AA$42="Catastrófico"),CONCATENATE("R6C",'Mapa final'!$O$42),"")</f>
        <v/>
      </c>
      <c r="AI42" s="69" t="str">
        <f>IF(AND('Mapa final'!$Y$43="Baja",'Mapa final'!$AA$43="Catastrófico"),CONCATENATE("R6C",'Mapa final'!$O$43),"")</f>
        <v/>
      </c>
      <c r="AJ42" s="69" t="str">
        <f>IF(AND('Mapa final'!$Y$44="Baja",'Mapa final'!$AA$44="Catastrófico"),CONCATENATE("R6C",'Mapa final'!$O$44),"")</f>
        <v/>
      </c>
      <c r="AK42" s="69" t="str">
        <f>IF(AND('Mapa final'!$Y$45="Baja",'Mapa final'!$AA$45="Catastrófico"),CONCATENATE("R6C",'Mapa final'!$O$45),"")</f>
        <v/>
      </c>
      <c r="AL42" s="69" t="str">
        <f>IF(AND('Mapa final'!$Y$46="Baja",'Mapa final'!$AA$46="Catastrófico"),CONCATENATE("R6C",'Mapa final'!$O$46),"")</f>
        <v/>
      </c>
      <c r="AM42" s="70" t="str">
        <f>IF(AND('Mapa final'!$Y$47="Baja",'Mapa final'!$AA$47="Catastrófico"),CONCATENATE("R6C",'Mapa final'!$O$47),"")</f>
        <v/>
      </c>
      <c r="AN42" s="96"/>
      <c r="AO42" s="404"/>
      <c r="AP42" s="405"/>
      <c r="AQ42" s="405"/>
      <c r="AR42" s="405"/>
      <c r="AS42" s="405"/>
      <c r="AT42" s="40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row>
    <row r="43" spans="1:80" ht="15" customHeight="1" x14ac:dyDescent="0.25">
      <c r="A43" s="96"/>
      <c r="B43" s="285"/>
      <c r="C43" s="285"/>
      <c r="D43" s="286"/>
      <c r="E43" s="384"/>
      <c r="F43" s="383"/>
      <c r="G43" s="383"/>
      <c r="H43" s="383"/>
      <c r="I43" s="383"/>
      <c r="J43" s="89" t="str">
        <f>IF(AND('Mapa final'!$Y$48="Baja",'Mapa final'!$AA$48="Leve"),CONCATENATE("R7C",'Mapa final'!$O$48),"")</f>
        <v/>
      </c>
      <c r="K43" s="90" t="str">
        <f>IF(AND('Mapa final'!$Y$49="Baja",'Mapa final'!$AA$49="Leve"),CONCATENATE("R7C",'Mapa final'!$O$49),"")</f>
        <v/>
      </c>
      <c r="L43" s="90" t="str">
        <f>IF(AND('Mapa final'!$Y$50="Baja",'Mapa final'!$AA$50="Leve"),CONCATENATE("R7C",'Mapa final'!$O$50),"")</f>
        <v/>
      </c>
      <c r="M43" s="90" t="str">
        <f>IF(AND('Mapa final'!$Y$51="Baja",'Mapa final'!$AA$51="Leve"),CONCATENATE("R7C",'Mapa final'!$O$51),"")</f>
        <v/>
      </c>
      <c r="N43" s="90" t="str">
        <f>IF(AND('Mapa final'!$Y$52="Baja",'Mapa final'!$AA$52="Leve"),CONCATENATE("R7C",'Mapa final'!$O$52),"")</f>
        <v/>
      </c>
      <c r="O43" s="91" t="str">
        <f>IF(AND('Mapa final'!$Y$53="Baja",'Mapa final'!$AA$53="Leve"),CONCATENATE("R7C",'Mapa final'!$O$53),"")</f>
        <v/>
      </c>
      <c r="P43" s="81" t="str">
        <f>IF(AND('Mapa final'!$Y$48="Baja",'Mapa final'!$AA$48="Menor"),CONCATENATE("R7C",'Mapa final'!$O$48),"")</f>
        <v/>
      </c>
      <c r="Q43" s="81" t="str">
        <f>IF(AND('Mapa final'!$Y$49="Baja",'Mapa final'!$AA$49="Menor"),CONCATENATE("R7C",'Mapa final'!$O$49),"")</f>
        <v/>
      </c>
      <c r="R43" s="81" t="str">
        <f>IF(AND('Mapa final'!$Y$50="Baja",'Mapa final'!$AA$50="Menor"),CONCATENATE("R7C",'Mapa final'!$O$50),"")</f>
        <v/>
      </c>
      <c r="S43" s="81" t="str">
        <f>IF(AND('Mapa final'!$Y$51="Baja",'Mapa final'!$AA$51="Menor"),CONCATENATE("R7C",'Mapa final'!$O$51),"")</f>
        <v/>
      </c>
      <c r="T43" s="81" t="str">
        <f>IF(AND('Mapa final'!$Y$52="Baja",'Mapa final'!$AA$52="Menor"),CONCATENATE("R7C",'Mapa final'!$O$52),"")</f>
        <v/>
      </c>
      <c r="U43" s="81" t="str">
        <f>IF(AND('Mapa final'!$Y$53="Baja",'Mapa final'!$AA$53="Menor"),CONCATENATE("R7C",'Mapa final'!$O$53),"")</f>
        <v/>
      </c>
      <c r="V43" s="80" t="str">
        <f>IF(AND('Mapa final'!$Y$48="Baja",'Mapa final'!$AA$48="Moderado"),CONCATENATE("R7C",'Mapa final'!$O$48),"")</f>
        <v/>
      </c>
      <c r="W43" s="81" t="str">
        <f>IF(AND('Mapa final'!$Y$49="Baja",'Mapa final'!$AA$49="Moderado"),CONCATENATE("R7C",'Mapa final'!$O$49),"")</f>
        <v/>
      </c>
      <c r="X43" s="81" t="str">
        <f>IF(AND('Mapa final'!$Y$50="Baja",'Mapa final'!$AA$50="Moderado"),CONCATENATE("R7C",'Mapa final'!$O$50),"")</f>
        <v/>
      </c>
      <c r="Y43" s="81" t="str">
        <f>IF(AND('Mapa final'!$Y$51="Baja",'Mapa final'!$AA$51="Moderado"),CONCATENATE("R7C",'Mapa final'!$O$51),"")</f>
        <v/>
      </c>
      <c r="Z43" s="81" t="str">
        <f>IF(AND('Mapa final'!$Y$52="Baja",'Mapa final'!$AA$52="Moderado"),CONCATENATE("R7C",'Mapa final'!$O$52),"")</f>
        <v/>
      </c>
      <c r="AA43" s="82" t="str">
        <f>IF(AND('Mapa final'!$Y$53="Baja",'Mapa final'!$AA$53="Moderado"),CONCATENATE("R7C",'Mapa final'!$O$53),"")</f>
        <v/>
      </c>
      <c r="AB43" s="66" t="str">
        <f>IF(AND('Mapa final'!$Y$48="Baja",'Mapa final'!$AA$48="Mayor"),CONCATENATE("R7C",'Mapa final'!$O$48),"")</f>
        <v/>
      </c>
      <c r="AC43" s="66" t="str">
        <f>IF(AND('Mapa final'!$Y$49="Baja",'Mapa final'!$AA$49="Mayor"),CONCATENATE("R7C",'Mapa final'!$O$49),"")</f>
        <v/>
      </c>
      <c r="AD43" s="66" t="str">
        <f>IF(AND('Mapa final'!$Y$50="Baja",'Mapa final'!$AA$50="Mayor"),CONCATENATE("R7C",'Mapa final'!$O$50),"")</f>
        <v/>
      </c>
      <c r="AE43" s="66" t="str">
        <f>IF(AND('Mapa final'!$Y$51="Baja",'Mapa final'!$AA$51="Mayor"),CONCATENATE("R7C",'Mapa final'!$O$51),"")</f>
        <v/>
      </c>
      <c r="AF43" s="66" t="str">
        <f>IF(AND('Mapa final'!$Y$52="Baja",'Mapa final'!$AA$52="Mayor"),CONCATENATE("R7C",'Mapa final'!$O$52),"")</f>
        <v/>
      </c>
      <c r="AG43" s="66" t="str">
        <f>IF(AND('Mapa final'!$Y$53="Baja",'Mapa final'!$AA$53="Mayor"),CONCATENATE("R7C",'Mapa final'!$O$53),"")</f>
        <v/>
      </c>
      <c r="AH43" s="68" t="str">
        <f>IF(AND('Mapa final'!$Y$48="Baja",'Mapa final'!$AA$48="Catastrófico"),CONCATENATE("R7C",'Mapa final'!$O$48),"")</f>
        <v/>
      </c>
      <c r="AI43" s="69" t="str">
        <f>IF(AND('Mapa final'!$Y$49="Baja",'Mapa final'!$AA$49="Catastrófico"),CONCATENATE("R7C",'Mapa final'!$O$49),"")</f>
        <v/>
      </c>
      <c r="AJ43" s="69" t="str">
        <f>IF(AND('Mapa final'!$Y$50="Baja",'Mapa final'!$AA$50="Catastrófico"),CONCATENATE("R7C",'Mapa final'!$O$50),"")</f>
        <v/>
      </c>
      <c r="AK43" s="69" t="str">
        <f>IF(AND('Mapa final'!$Y$51="Baja",'Mapa final'!$AA$51="Catastrófico"),CONCATENATE("R7C",'Mapa final'!$O$51),"")</f>
        <v/>
      </c>
      <c r="AL43" s="69" t="str">
        <f>IF(AND('Mapa final'!$Y$52="Baja",'Mapa final'!$AA$52="Catastrófico"),CONCATENATE("R7C",'Mapa final'!$O$52),"")</f>
        <v/>
      </c>
      <c r="AM43" s="70" t="str">
        <f>IF(AND('Mapa final'!$Y$53="Baja",'Mapa final'!$AA$53="Catastrófico"),CONCATENATE("R7C",'Mapa final'!$O$53),"")</f>
        <v/>
      </c>
      <c r="AN43" s="96"/>
      <c r="AO43" s="404"/>
      <c r="AP43" s="405"/>
      <c r="AQ43" s="405"/>
      <c r="AR43" s="405"/>
      <c r="AS43" s="405"/>
      <c r="AT43" s="40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row>
    <row r="44" spans="1:80" ht="15" customHeight="1" x14ac:dyDescent="0.25">
      <c r="A44" s="96"/>
      <c r="B44" s="285"/>
      <c r="C44" s="285"/>
      <c r="D44" s="286"/>
      <c r="E44" s="384"/>
      <c r="F44" s="383"/>
      <c r="G44" s="383"/>
      <c r="H44" s="383"/>
      <c r="I44" s="383"/>
      <c r="J44" s="89" t="str">
        <f ca="1">IF(AND('Mapa final'!$Y$54="Baja",'Mapa final'!$AA$54="Leve"),CONCATENATE("R8C",'Mapa final'!$O$54),"")</f>
        <v/>
      </c>
      <c r="K44" s="90" t="str">
        <f>IF(AND('Mapa final'!$Y$55="Baja",'Mapa final'!$AA$55="Leve"),CONCATENATE("R8C",'Mapa final'!$O$55),"")</f>
        <v/>
      </c>
      <c r="L44" s="90" t="str">
        <f>IF(AND('Mapa final'!$Y$56="Baja",'Mapa final'!$AA$56="Leve"),CONCATENATE("R8C",'Mapa final'!$O$56),"")</f>
        <v/>
      </c>
      <c r="M44" s="90" t="str">
        <f>IF(AND('Mapa final'!$Y$57="Baja",'Mapa final'!$AA$57="Leve"),CONCATENATE("R8C",'Mapa final'!$O$57),"")</f>
        <v/>
      </c>
      <c r="N44" s="90" t="str">
        <f>IF(AND('Mapa final'!$Y$58="Baja",'Mapa final'!$AA$58="Leve"),CONCATENATE("R8C",'Mapa final'!$O$58),"")</f>
        <v/>
      </c>
      <c r="O44" s="91" t="str">
        <f>IF(AND('Mapa final'!$Y$59="Baja",'Mapa final'!$AA$59="Leve"),CONCATENATE("R8C",'Mapa final'!$O$59),"")</f>
        <v/>
      </c>
      <c r="P44" s="81" t="str">
        <f ca="1">IF(AND('Mapa final'!$Y$54="Baja",'Mapa final'!$AA$54="Menor"),CONCATENATE("R8C",'Mapa final'!$O$54),"")</f>
        <v/>
      </c>
      <c r="Q44" s="81" t="str">
        <f>IF(AND('Mapa final'!$Y$55="Baja",'Mapa final'!$AA$55="Menor"),CONCATENATE("R8C",'Mapa final'!$O$55),"")</f>
        <v/>
      </c>
      <c r="R44" s="81" t="str">
        <f>IF(AND('Mapa final'!$Y$56="Baja",'Mapa final'!$AA$56="Menor"),CONCATENATE("R8C",'Mapa final'!$O$56),"")</f>
        <v/>
      </c>
      <c r="S44" s="81" t="str">
        <f>IF(AND('Mapa final'!$Y$57="Baja",'Mapa final'!$AA$57="Menor"),CONCATENATE("R8C",'Mapa final'!$O$57),"")</f>
        <v/>
      </c>
      <c r="T44" s="81" t="str">
        <f>IF(AND('Mapa final'!$Y$58="Baja",'Mapa final'!$AA$58="Menor"),CONCATENATE("R8C",'Mapa final'!$O$58),"")</f>
        <v/>
      </c>
      <c r="U44" s="81" t="str">
        <f>IF(AND('Mapa final'!$Y$59="Baja",'Mapa final'!$AA$59="Menor"),CONCATENATE("R8C",'Mapa final'!$O$59),"")</f>
        <v/>
      </c>
      <c r="V44" s="80" t="str">
        <f ca="1">IF(AND('Mapa final'!$Y$54="Baja",'Mapa final'!$AA$54="Moderado"),CONCATENATE("R8C",'Mapa final'!$O$54),"")</f>
        <v>R8C1</v>
      </c>
      <c r="W44" s="81" t="str">
        <f>IF(AND('Mapa final'!$Y$55="Baja",'Mapa final'!$AA$55="Moderado"),CONCATENATE("R8C",'Mapa final'!$O$55),"")</f>
        <v/>
      </c>
      <c r="X44" s="81" t="str">
        <f>IF(AND('Mapa final'!$Y$56="Baja",'Mapa final'!$AA$56="Moderado"),CONCATENATE("R8C",'Mapa final'!$O$56),"")</f>
        <v/>
      </c>
      <c r="Y44" s="81" t="str">
        <f>IF(AND('Mapa final'!$Y$57="Baja",'Mapa final'!$AA$57="Moderado"),CONCATENATE("R8C",'Mapa final'!$O$57),"")</f>
        <v/>
      </c>
      <c r="Z44" s="81" t="str">
        <f>IF(AND('Mapa final'!$Y$58="Baja",'Mapa final'!$AA$58="Moderado"),CONCATENATE("R8C",'Mapa final'!$O$58),"")</f>
        <v/>
      </c>
      <c r="AA44" s="82" t="str">
        <f>IF(AND('Mapa final'!$Y$59="Baja",'Mapa final'!$AA$59="Moderado"),CONCATENATE("R8C",'Mapa final'!$O$59),"")</f>
        <v/>
      </c>
      <c r="AB44" s="66" t="str">
        <f ca="1">IF(AND('Mapa final'!$Y$54="Baja",'Mapa final'!$AA$54="Mayor"),CONCATENATE("R8C",'Mapa final'!$O$54),"")</f>
        <v/>
      </c>
      <c r="AC44" s="66" t="str">
        <f>IF(AND('Mapa final'!$Y$55="Baja",'Mapa final'!$AA$55="Mayor"),CONCATENATE("R8C",'Mapa final'!$O$55),"")</f>
        <v/>
      </c>
      <c r="AD44" s="66" t="str">
        <f>IF(AND('Mapa final'!$Y$56="Baja",'Mapa final'!$AA$56="Mayor"),CONCATENATE("R8C",'Mapa final'!$O$56),"")</f>
        <v/>
      </c>
      <c r="AE44" s="66" t="str">
        <f>IF(AND('Mapa final'!$Y$57="Baja",'Mapa final'!$AA$57="Mayor"),CONCATENATE("R8C",'Mapa final'!$O$57),"")</f>
        <v/>
      </c>
      <c r="AF44" s="66" t="str">
        <f>IF(AND('Mapa final'!$Y$58="Baja",'Mapa final'!$AA$58="Mayor"),CONCATENATE("R8C",'Mapa final'!$O$58),"")</f>
        <v/>
      </c>
      <c r="AG44" s="66" t="str">
        <f>IF(AND('Mapa final'!$Y$59="Baja",'Mapa final'!$AA$59="Mayor"),CONCATENATE("R8C",'Mapa final'!$O$59),"")</f>
        <v/>
      </c>
      <c r="AH44" s="68" t="str">
        <f ca="1">IF(AND('Mapa final'!$Y$54="Baja",'Mapa final'!$AA$54="Catastrófico"),CONCATENATE("R8C",'Mapa final'!$O$54),"")</f>
        <v/>
      </c>
      <c r="AI44" s="69" t="str">
        <f>IF(AND('Mapa final'!$Y$55="Baja",'Mapa final'!$AA$55="Catastrófico"),CONCATENATE("R8C",'Mapa final'!$O$55),"")</f>
        <v/>
      </c>
      <c r="AJ44" s="69" t="str">
        <f>IF(AND('Mapa final'!$Y$56="Baja",'Mapa final'!$AA$56="Catastrófico"),CONCATENATE("R8C",'Mapa final'!$O$56),"")</f>
        <v/>
      </c>
      <c r="AK44" s="69" t="str">
        <f>IF(AND('Mapa final'!$Y$57="Baja",'Mapa final'!$AA$57="Catastrófico"),CONCATENATE("R8C",'Mapa final'!$O$57),"")</f>
        <v/>
      </c>
      <c r="AL44" s="69" t="str">
        <f>IF(AND('Mapa final'!$Y$58="Baja",'Mapa final'!$AA$58="Catastrófico"),CONCATENATE("R8C",'Mapa final'!$O$58),"")</f>
        <v/>
      </c>
      <c r="AM44" s="70" t="str">
        <f>IF(AND('Mapa final'!$Y$59="Baja",'Mapa final'!$AA$59="Catastrófico"),CONCATENATE("R8C",'Mapa final'!$O$59),"")</f>
        <v/>
      </c>
      <c r="AN44" s="96"/>
      <c r="AO44" s="404"/>
      <c r="AP44" s="405"/>
      <c r="AQ44" s="405"/>
      <c r="AR44" s="405"/>
      <c r="AS44" s="405"/>
      <c r="AT44" s="40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row>
    <row r="45" spans="1:80" ht="15" customHeight="1" x14ac:dyDescent="0.25">
      <c r="A45" s="96"/>
      <c r="B45" s="285"/>
      <c r="C45" s="285"/>
      <c r="D45" s="286"/>
      <c r="E45" s="384"/>
      <c r="F45" s="383"/>
      <c r="G45" s="383"/>
      <c r="H45" s="383"/>
      <c r="I45" s="383"/>
      <c r="J45" s="89" t="str">
        <f ca="1">IF(AND('Mapa final'!$Y$60="Baja",'Mapa final'!$AA$60="Leve"),CONCATENATE("R9C",'Mapa final'!$O$60),"")</f>
        <v/>
      </c>
      <c r="K45" s="90" t="str">
        <f>IF(AND('Mapa final'!$Y$61="Baja",'Mapa final'!$AA$61="Leve"),CONCATENATE("R9C",'Mapa final'!$O$61),"")</f>
        <v/>
      </c>
      <c r="L45" s="90" t="str">
        <f>IF(AND('Mapa final'!$Y$62="Baja",'Mapa final'!$AA$62="Leve"),CONCATENATE("R9C",'Mapa final'!$O$62),"")</f>
        <v/>
      </c>
      <c r="M45" s="90" t="str">
        <f>IF(AND('Mapa final'!$Y$63="Baja",'Mapa final'!$AA$63="Leve"),CONCATENATE("R9C",'Mapa final'!$O$63),"")</f>
        <v/>
      </c>
      <c r="N45" s="90" t="str">
        <f>IF(AND('Mapa final'!$Y$64="Baja",'Mapa final'!$AA$64="Leve"),CONCATENATE("R9C",'Mapa final'!$O$64),"")</f>
        <v/>
      </c>
      <c r="O45" s="91" t="str">
        <f>IF(AND('Mapa final'!$Y$65="Baja",'Mapa final'!$AA$65="Leve"),CONCATENATE("R9C",'Mapa final'!$O$65),"")</f>
        <v/>
      </c>
      <c r="P45" s="81" t="str">
        <f ca="1">IF(AND('Mapa final'!$Y$60="Baja",'Mapa final'!$AA$60="Menor"),CONCATENATE("R9C",'Mapa final'!$O$60),"")</f>
        <v/>
      </c>
      <c r="Q45" s="81" t="str">
        <f>IF(AND('Mapa final'!$Y$61="Baja",'Mapa final'!$AA$61="Menor"),CONCATENATE("R9C",'Mapa final'!$O$61),"")</f>
        <v/>
      </c>
      <c r="R45" s="81" t="str">
        <f>IF(AND('Mapa final'!$Y$62="Baja",'Mapa final'!$AA$62="Menor"),CONCATENATE("R9C",'Mapa final'!$O$62),"")</f>
        <v/>
      </c>
      <c r="S45" s="81" t="str">
        <f>IF(AND('Mapa final'!$Y$63="Baja",'Mapa final'!$AA$63="Menor"),CONCATENATE("R9C",'Mapa final'!$O$63),"")</f>
        <v/>
      </c>
      <c r="T45" s="81" t="str">
        <f>IF(AND('Mapa final'!$Y$64="Baja",'Mapa final'!$AA$64="Menor"),CONCATENATE("R9C",'Mapa final'!$O$64),"")</f>
        <v/>
      </c>
      <c r="U45" s="81" t="str">
        <f>IF(AND('Mapa final'!$Y$65="Baja",'Mapa final'!$AA$65="Menor"),CONCATENATE("R9C",'Mapa final'!$O$65),"")</f>
        <v/>
      </c>
      <c r="V45" s="80" t="str">
        <f ca="1">IF(AND('Mapa final'!$Y$60="Baja",'Mapa final'!$AA$60="Moderado"),CONCATENATE("R9C",'Mapa final'!$O$60),"")</f>
        <v>R9C1</v>
      </c>
      <c r="W45" s="81" t="str">
        <f>IF(AND('Mapa final'!$Y$61="Baja",'Mapa final'!$AA$61="Moderado"),CONCATENATE("R9C",'Mapa final'!$O$61),"")</f>
        <v/>
      </c>
      <c r="X45" s="81" t="str">
        <f>IF(AND('Mapa final'!$Y$62="Baja",'Mapa final'!$AA$62="Moderado"),CONCATENATE("R9C",'Mapa final'!$O$62),"")</f>
        <v/>
      </c>
      <c r="Y45" s="81" t="str">
        <f>IF(AND('Mapa final'!$Y$63="Baja",'Mapa final'!$AA$63="Moderado"),CONCATENATE("R9C",'Mapa final'!$O$63),"")</f>
        <v/>
      </c>
      <c r="Z45" s="81" t="str">
        <f>IF(AND('Mapa final'!$Y$64="Baja",'Mapa final'!$AA$64="Moderado"),CONCATENATE("R9C",'Mapa final'!$O$64),"")</f>
        <v/>
      </c>
      <c r="AA45" s="82" t="str">
        <f>IF(AND('Mapa final'!$Y$65="Baja",'Mapa final'!$AA$65="Moderado"),CONCATENATE("R9C",'Mapa final'!$O$65),"")</f>
        <v/>
      </c>
      <c r="AB45" s="66" t="str">
        <f ca="1">IF(AND('Mapa final'!$Y$60="Baja",'Mapa final'!$AA$60="Mayor"),CONCATENATE("R9C",'Mapa final'!$O$60),"")</f>
        <v/>
      </c>
      <c r="AC45" s="66" t="str">
        <f>IF(AND('Mapa final'!$Y$61="Baja",'Mapa final'!$AA$61="Mayor"),CONCATENATE("R9C",'Mapa final'!$O$61),"")</f>
        <v/>
      </c>
      <c r="AD45" s="66" t="str">
        <f>IF(AND('Mapa final'!$Y$62="Baja",'Mapa final'!$AA$62="Mayor"),CONCATENATE("R9C",'Mapa final'!$O$62),"")</f>
        <v/>
      </c>
      <c r="AE45" s="66" t="str">
        <f>IF(AND('Mapa final'!$Y$63="Baja",'Mapa final'!$AA$63="Mayor"),CONCATENATE("R9C",'Mapa final'!$O$63),"")</f>
        <v/>
      </c>
      <c r="AF45" s="66" t="str">
        <f>IF(AND('Mapa final'!$Y$64="Baja",'Mapa final'!$AA$64="Mayor"),CONCATENATE("R9C",'Mapa final'!$O$64),"")</f>
        <v/>
      </c>
      <c r="AG45" s="66" t="str">
        <f>IF(AND('Mapa final'!$Y$65="Baja",'Mapa final'!$AA$65="Mayor"),CONCATENATE("R9C",'Mapa final'!$O$65),"")</f>
        <v/>
      </c>
      <c r="AH45" s="68" t="str">
        <f ca="1">IF(AND('Mapa final'!$Y$60="Baja",'Mapa final'!$AA$60="Catastrófico"),CONCATENATE("R9C",'Mapa final'!$O$60),"")</f>
        <v/>
      </c>
      <c r="AI45" s="69" t="str">
        <f>IF(AND('Mapa final'!$Y$61="Baja",'Mapa final'!$AA$61="Catastrófico"),CONCATENATE("R9C",'Mapa final'!$O$61),"")</f>
        <v/>
      </c>
      <c r="AJ45" s="69" t="str">
        <f>IF(AND('Mapa final'!$Y$62="Baja",'Mapa final'!$AA$62="Catastrófico"),CONCATENATE("R9C",'Mapa final'!$O$62),"")</f>
        <v/>
      </c>
      <c r="AK45" s="69" t="str">
        <f>IF(AND('Mapa final'!$Y$63="Baja",'Mapa final'!$AA$63="Catastrófico"),CONCATENATE("R9C",'Mapa final'!$O$63),"")</f>
        <v/>
      </c>
      <c r="AL45" s="69" t="str">
        <f>IF(AND('Mapa final'!$Y$64="Baja",'Mapa final'!$AA$64="Catastrófico"),CONCATENATE("R9C",'Mapa final'!$O$64),"")</f>
        <v/>
      </c>
      <c r="AM45" s="70" t="str">
        <f>IF(AND('Mapa final'!$Y$65="Baja",'Mapa final'!$AA$65="Catastrófico"),CONCATENATE("R9C",'Mapa final'!$O$65),"")</f>
        <v/>
      </c>
      <c r="AN45" s="96"/>
      <c r="AO45" s="404"/>
      <c r="AP45" s="405"/>
      <c r="AQ45" s="405"/>
      <c r="AR45" s="405"/>
      <c r="AS45" s="405"/>
      <c r="AT45" s="40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row>
    <row r="46" spans="1:80" ht="15" customHeight="1" x14ac:dyDescent="0.25">
      <c r="A46" s="96"/>
      <c r="B46" s="285"/>
      <c r="C46" s="285"/>
      <c r="D46" s="286"/>
      <c r="E46" s="384"/>
      <c r="F46" s="383"/>
      <c r="G46" s="383"/>
      <c r="H46" s="383"/>
      <c r="I46" s="383"/>
      <c r="J46" s="89" t="str">
        <f ca="1">IF(AND('Mapa final'!$Y$66="Baja",'Mapa final'!$AA$66="Leve"),CONCATENATE("R10C",'Mapa final'!$O$66),"")</f>
        <v/>
      </c>
      <c r="K46" s="90" t="str">
        <f>IF(AND('Mapa final'!$Y$67="Baja",'Mapa final'!$AA$67="Leve"),CONCATENATE("R10C",'Mapa final'!$O$67),"")</f>
        <v/>
      </c>
      <c r="L46" s="90" t="str">
        <f>IF(AND('Mapa final'!$Y$68="Baja",'Mapa final'!$AA$68="Leve"),CONCATENATE("R10C",'Mapa final'!$O$68),"")</f>
        <v/>
      </c>
      <c r="M46" s="90" t="str">
        <f>IF(AND('Mapa final'!$Y$69="Baja",'Mapa final'!$AA$69="Leve"),CONCATENATE("R10C",'Mapa final'!$O$69),"")</f>
        <v/>
      </c>
      <c r="N46" s="90" t="str">
        <f>IF(AND('Mapa final'!$Y$70="Baja",'Mapa final'!$AA$70="Leve"),CONCATENATE("R10C",'Mapa final'!$O$70),"")</f>
        <v/>
      </c>
      <c r="O46" s="91" t="str">
        <f>IF(AND('Mapa final'!$Y$71="Baja",'Mapa final'!$AA$71="Leve"),CONCATENATE("R10C",'Mapa final'!$O$71),"")</f>
        <v/>
      </c>
      <c r="P46" s="81" t="str">
        <f ca="1">IF(AND('Mapa final'!$Y$66="Baja",'Mapa final'!$AA$66="Menor"),CONCATENATE("R10C",'Mapa final'!$O$66),"")</f>
        <v/>
      </c>
      <c r="Q46" s="81" t="str">
        <f>IF(AND('Mapa final'!$Y$67="Baja",'Mapa final'!$AA$67="Menor"),CONCATENATE("R10C",'Mapa final'!$O$67),"")</f>
        <v/>
      </c>
      <c r="R46" s="81" t="str">
        <f>IF(AND('Mapa final'!$Y$68="Baja",'Mapa final'!$AA$68="Menor"),CONCATENATE("R10C",'Mapa final'!$O$68),"")</f>
        <v/>
      </c>
      <c r="S46" s="81" t="str">
        <f>IF(AND('Mapa final'!$Y$69="Baja",'Mapa final'!$AA$70="Menor"),CONCATENATE("R10C",'Mapa final'!$O$70),"")</f>
        <v/>
      </c>
      <c r="T46" s="81" t="str">
        <f>IF(AND('Mapa final'!$Y$70="Baja",'Mapa final'!$AA$70="Menor"),CONCATENATE("R10C",'Mapa final'!$O$70),"")</f>
        <v/>
      </c>
      <c r="U46" s="81" t="str">
        <f>IF(AND('Mapa final'!$Y$71="Baja",'Mapa final'!$AA$71="Menor"),CONCATENATE("R10C",'Mapa final'!$O$71),"")</f>
        <v/>
      </c>
      <c r="V46" s="80" t="str">
        <f ca="1">IF(AND('Mapa final'!$Y$66="Baja",'Mapa final'!$AA$66="Moderado"),CONCATENATE("R10C",'Mapa final'!$O$66),"")</f>
        <v/>
      </c>
      <c r="W46" s="81" t="str">
        <f>IF(AND('Mapa final'!$Y$67="Baja",'Mapa final'!$AA$67="Moderado"),CONCATENATE("R10C",'Mapa final'!$O$67),"")</f>
        <v/>
      </c>
      <c r="X46" s="81" t="str">
        <f>IF(AND('Mapa final'!$Y$68="Baja",'Mapa final'!$AA$68="Moderado"),CONCATENATE("R10C",'Mapa final'!$O$68),"")</f>
        <v/>
      </c>
      <c r="Y46" s="81" t="str">
        <f>IF(AND('Mapa final'!$Y$69="Baja",'Mapa final'!$AA$69="Moderado"),CONCATENATE("R10C",'Mapa final'!$O$69),"")</f>
        <v/>
      </c>
      <c r="Z46" s="81" t="str">
        <f>IF(AND('Mapa final'!$Y$70="Baja",'Mapa final'!$AA$70="Moderado"),CONCATENATE("R10C",'Mapa final'!$O$70),"")</f>
        <v/>
      </c>
      <c r="AA46" s="82" t="str">
        <f>IF(AND('Mapa final'!$Y$71="Baja",'Mapa final'!$AA$71="Moderado"),CONCATENATE("R10C",'Mapa final'!$O$71),"")</f>
        <v/>
      </c>
      <c r="AB46" s="66" t="str">
        <f ca="1">IF(AND('Mapa final'!$Y$66="Baja",'Mapa final'!$AA$66="Mayor"),CONCATENATE("R10C",'Mapa final'!$O$66),"")</f>
        <v>R10C1</v>
      </c>
      <c r="AC46" s="66" t="str">
        <f>IF(AND('Mapa final'!$Y$67="Baja",'Mapa final'!$AA$67="Mayor"),CONCATENATE("R10C",'Mapa final'!$O$67),"")</f>
        <v/>
      </c>
      <c r="AD46" s="66" t="str">
        <f>IF(AND('Mapa final'!$Y$68="Baja",'Mapa final'!$AA$68="Mayor"),CONCATENATE("R10C",'Mapa final'!$O$68),"")</f>
        <v/>
      </c>
      <c r="AE46" s="66" t="str">
        <f>IF(AND('Mapa final'!$Y$69="Baja",'Mapa final'!$AA$69="Mayor"),CONCATENATE("R10C",'Mapa final'!$O$69),"")</f>
        <v/>
      </c>
      <c r="AF46" s="66" t="str">
        <f>IF(AND('Mapa final'!$Y$70="Baja",'Mapa final'!$AA$70="Mayor"),CONCATENATE("R10C",'Mapa final'!$O$70),"")</f>
        <v/>
      </c>
      <c r="AG46" s="66" t="str">
        <f>IF(AND('Mapa final'!$Y$71="Baja",'Mapa final'!$AA$71="Mayor"),CONCATENATE("R10C",'Mapa final'!$O$71),"")</f>
        <v/>
      </c>
      <c r="AH46" s="68"/>
      <c r="AI46" s="69"/>
      <c r="AJ46" s="69"/>
      <c r="AK46" s="69"/>
      <c r="AL46" s="69"/>
      <c r="AM46" s="70"/>
      <c r="AN46" s="96"/>
      <c r="AO46" s="404"/>
      <c r="AP46" s="405"/>
      <c r="AQ46" s="405"/>
      <c r="AR46" s="405"/>
      <c r="AS46" s="405"/>
      <c r="AT46" s="40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row>
    <row r="47" spans="1:80" ht="15.75" customHeight="1" thickBot="1" x14ac:dyDescent="0.3">
      <c r="A47" s="96"/>
      <c r="B47" s="285"/>
      <c r="C47" s="285"/>
      <c r="D47" s="286"/>
      <c r="E47" s="385"/>
      <c r="F47" s="386"/>
      <c r="G47" s="386"/>
      <c r="H47" s="386"/>
      <c r="I47" s="386"/>
      <c r="J47" s="92" t="str">
        <f ca="1">IF(AND('Mapa final'!$Y$72="Baja",'Mapa final'!$AA$72="Leve"),CONCATENATE("R11C",'Mapa final'!$O$72),"")</f>
        <v/>
      </c>
      <c r="K47" s="93" t="str">
        <f>IF(AND('Mapa final'!$Y$73="Baja",'Mapa final'!$AA$73="Leve"),CONCATENATE("R11C",'Mapa final'!$O$73),"")</f>
        <v/>
      </c>
      <c r="L47" s="93" t="str">
        <f>IF(AND('Mapa final'!$Y$74="Baja",'Mapa final'!$AA$74="Leve"),CONCATENATE("R11C",'Mapa final'!$O$74),"")</f>
        <v/>
      </c>
      <c r="M47" s="93" t="str">
        <f>IF(AND('Mapa final'!$Y$75="Baja",'Mapa final'!$AA$75="Leve"),CONCATENATE("R11C",'Mapa final'!$O$75),"")</f>
        <v/>
      </c>
      <c r="N47" s="93" t="str">
        <f>IF(AND('Mapa final'!$Y$76="Baja",'Mapa final'!$AA$76="Leve"),CONCATENATE("R11C",'Mapa final'!$O$76),"")</f>
        <v/>
      </c>
      <c r="O47" s="94" t="str">
        <f>IF(AND('Mapa final'!$Y$77="Baja",'Mapa final'!$AA$77="Leve"),CONCATENATE("R11C",'Mapa final'!$O$77),"")</f>
        <v/>
      </c>
      <c r="P47" s="81" t="str">
        <f ca="1">IF(AND('Mapa final'!$Y$72="Baja",'Mapa final'!$AA$72="Menor"),CONCATENATE("R11C",'Mapa final'!$O$72),"")</f>
        <v/>
      </c>
      <c r="Q47" s="81" t="str">
        <f>IF(AND('Mapa final'!$Y$73="Baja",'Mapa final'!$AA$73="Menor"),CONCATENATE("R11C",'Mapa final'!$O$73),"")</f>
        <v/>
      </c>
      <c r="R47" s="81" t="str">
        <f>IF(AND('Mapa final'!$Y$74="Baja",'Mapa final'!$AA$74="Menor"),CONCATENATE("R11C",'Mapa final'!$O$74),"")</f>
        <v/>
      </c>
      <c r="S47" s="81" t="str">
        <f>IF(AND('Mapa final'!$Y$75="Baja",'Mapa final'!$AA$75="Menor"),CONCATENATE("R11C",'Mapa final'!$O$75),"")</f>
        <v/>
      </c>
      <c r="T47" s="81" t="str">
        <f>IF(AND('Mapa final'!$Y$76="Baja",'Mapa final'!$AA$76="Menor"),CONCATENATE("R11C",'Mapa final'!$O$76),"")</f>
        <v/>
      </c>
      <c r="U47" s="81" t="str">
        <f>IF(AND('Mapa final'!$Y$77="Baja",'Mapa final'!$AA$77="Menor"),CONCATENATE("R11C",'Mapa final'!$O$77),"")</f>
        <v/>
      </c>
      <c r="V47" s="83" t="str">
        <f ca="1">IF(AND('Mapa final'!$Y$72="Baja",'Mapa final'!$AA$72="Moderado"),CONCATENATE("R11C",'Mapa final'!$O$72),"")</f>
        <v/>
      </c>
      <c r="W47" s="84" t="str">
        <f>IF(AND('Mapa final'!$Y$73="Baja",'Mapa final'!$AA$73="Moderado"),CONCATENATE("R11C",'Mapa final'!$O$73),"")</f>
        <v/>
      </c>
      <c r="X47" s="84" t="str">
        <f>IF(AND('Mapa final'!$Y$74="Baja",'Mapa final'!$AA$74="Moderado"),CONCATENATE("R11C",'Mapa final'!$O$74),"")</f>
        <v/>
      </c>
      <c r="Y47" s="84" t="str">
        <f>IF(AND('Mapa final'!$Y$75="Baja",'Mapa final'!$AA$75="Moderado"),CONCATENATE("R11C",'Mapa final'!$O$75),"")</f>
        <v/>
      </c>
      <c r="Z47" s="84" t="str">
        <f>IF(AND('Mapa final'!$Y$76="Baja",'Mapa final'!$AA$76="Moderado"),CONCATENATE("R11C",'Mapa final'!$O$76),"")</f>
        <v/>
      </c>
      <c r="AA47" s="85" t="str">
        <f>IF(AND('Mapa final'!$Y$77="Baja",'Mapa final'!$AA$77="Moderado"),CONCATENATE("R11C",'Mapa final'!$O$77),"")</f>
        <v/>
      </c>
      <c r="AB47" s="72" t="str">
        <f ca="1">IF(AND('Mapa final'!$Y$72="Baja",'Mapa final'!$AA$72="Mayor"),CONCATENATE("R10C",'Mapa final'!$O$72),"")</f>
        <v>R10C1</v>
      </c>
      <c r="AC47" s="72" t="str">
        <f>IF(AND('Mapa final'!$Y$73="Baja",'Mapa final'!$AA$73="Mayor"),CONCATENATE("R11C",'Mapa final'!$O$73),"")</f>
        <v/>
      </c>
      <c r="AD47" s="72" t="str">
        <f>IF(AND('Mapa final'!$Y$74="Baja",'Mapa final'!$AA$74="Mayor"),CONCATENATE("R11C",'Mapa final'!$O$74),"")</f>
        <v/>
      </c>
      <c r="AE47" s="72" t="str">
        <f>IF(AND('Mapa final'!$Y$75="Baja",'Mapa final'!$AA$75="Mayor"),CONCATENATE("R11C",'Mapa final'!$O$75),"")</f>
        <v/>
      </c>
      <c r="AF47" s="72" t="str">
        <f>IF(AND('Mapa final'!$Y$76="Baja",'Mapa final'!$AA$76="Mayor"),CONCATENATE("R11C",'Mapa final'!$O$76),"")</f>
        <v/>
      </c>
      <c r="AG47" s="72" t="str">
        <f>IF(AND('Mapa final'!$Y$77="Baja",'Mapa final'!$AA$77="Mayor"),CONCATENATE("R11C",'Mapa final'!$O$77),"")</f>
        <v/>
      </c>
      <c r="AH47" s="74" t="str">
        <f ca="1">IF(AND('Mapa final'!$Y$72="Baja",'Mapa final'!$AA$72="Catastrófico"),CONCATENATE("R10C",'Mapa final'!$O$72),"")</f>
        <v/>
      </c>
      <c r="AI47" s="75" t="str">
        <f>IF(AND('Mapa final'!$Y$73="Baja",'Mapa final'!$AA$73="Catastrófico"),CONCATENATE("R10C",'Mapa final'!$O$73),"")</f>
        <v/>
      </c>
      <c r="AJ47" s="75" t="str">
        <f>IF(AND('Mapa final'!$Y$74="Baja",'Mapa final'!$AA$74="Catastrófico"),CONCATENATE("R10C",'Mapa final'!$O$74),"")</f>
        <v/>
      </c>
      <c r="AK47" s="75" t="str">
        <f>IF(AND('Mapa final'!$Y$75="Baja",'Mapa final'!$AA$75="Catastrófico"),CONCATENATE("R10C",'Mapa final'!$O$75),"")</f>
        <v/>
      </c>
      <c r="AL47" s="75" t="str">
        <f>IF(AND('Mapa final'!$Y$76="Baja",'Mapa final'!$AA$76="Catastrófico"),CONCATENATE("R10C",'Mapa final'!$O$76),"")</f>
        <v/>
      </c>
      <c r="AM47" s="76" t="str">
        <f>IF(AND('Mapa final'!$Y$77="Baja",'Mapa final'!$AA$77="Catastrófico"),CONCATENATE("R10C",'Mapa final'!$O$77),"")</f>
        <v/>
      </c>
      <c r="AN47" s="96"/>
      <c r="AO47" s="407"/>
      <c r="AP47" s="408"/>
      <c r="AQ47" s="408"/>
      <c r="AR47" s="408"/>
      <c r="AS47" s="408"/>
      <c r="AT47" s="409"/>
    </row>
    <row r="48" spans="1:80" ht="46.5" customHeight="1" x14ac:dyDescent="0.35">
      <c r="A48" s="96"/>
      <c r="B48" s="285"/>
      <c r="C48" s="285"/>
      <c r="D48" s="286"/>
      <c r="E48" s="380" t="s">
        <v>113</v>
      </c>
      <c r="F48" s="381"/>
      <c r="G48" s="381"/>
      <c r="H48" s="381"/>
      <c r="I48" s="381"/>
      <c r="J48" s="86" t="str">
        <f>IF(AND('Mapa final'!$Y$12="Muy Baja",'Mapa final'!$AA$12="Leve"),CONCATENATE("R1C",'Mapa final'!$O$12),"")</f>
        <v/>
      </c>
      <c r="K48" s="87" t="str">
        <f>IF(AND('Mapa final'!$Y$13="Muy Baja",'Mapa final'!$AA$13="Leve"),CONCATENATE("R1C",'Mapa final'!$O$13),"")</f>
        <v/>
      </c>
      <c r="L48" s="87" t="str">
        <f>IF(AND('Mapa final'!$Y$14="Muy Baja",'Mapa final'!$AA$14="Leve"),CONCATENATE("R1C",'Mapa final'!$O$14),"")</f>
        <v/>
      </c>
      <c r="M48" s="87" t="str">
        <f>IF(AND('Mapa final'!$Y$15="Muy Baja",'Mapa final'!$AA$15="Leve"),CONCATENATE("R1C",'Mapa final'!$O$15),"")</f>
        <v/>
      </c>
      <c r="N48" s="87" t="str">
        <f>IF(AND('Mapa final'!$Y$16="Muy Baja",'Mapa final'!$AA$16="Leve"),CONCATENATE("R1C",'Mapa final'!$O$16),"")</f>
        <v/>
      </c>
      <c r="O48" s="88" t="str">
        <f>IF(AND('Mapa final'!$Y$17="Muy Baja",'Mapa final'!$AA$17="Leve"),CONCATENATE("R1C",'Mapa final'!$O$17),"")</f>
        <v/>
      </c>
      <c r="P48" s="87" t="str">
        <f>IF(AND('Mapa final'!$Y$12="Muy Baja",'Mapa final'!$AA$12="Menor"),CONCATENATE("R1C",'Mapa final'!$O$12),"")</f>
        <v>R1C1</v>
      </c>
      <c r="Q48" s="87" t="str">
        <f>IF(AND('Mapa final'!$Y$13="Muy Baja",'Mapa final'!$AA$13="Menor"),CONCATENATE("R1C",'Mapa final'!$O$13),"")</f>
        <v/>
      </c>
      <c r="R48" s="87" t="str">
        <f>IF(AND('Mapa final'!$Y$14="Muy Baja",'Mapa final'!$AA$14="Menor"),CONCATENATE("R1C",'Mapa final'!$O$14),"")</f>
        <v/>
      </c>
      <c r="S48" s="87" t="str">
        <f>IF(AND('Mapa final'!$Y$15="Muy Baja",'Mapa final'!$AA$15="Menor"),CONCATENATE("R1C",'Mapa final'!$O$15),"")</f>
        <v/>
      </c>
      <c r="T48" s="87" t="str">
        <f>IF(AND('Mapa final'!$Y$16="Muy Baja",'Mapa final'!$AA$16="Menor"),CONCATENATE("R1C",'Mapa final'!$O$16),"")</f>
        <v/>
      </c>
      <c r="U48" s="87" t="str">
        <f>IF(AND('Mapa final'!$Y$17="Muy Baja",'Mapa final'!$AA$17="Menor"),CONCATENATE("R1C",'Mapa final'!$O$17),"")</f>
        <v/>
      </c>
      <c r="V48" s="77" t="str">
        <f>IF(AND('Mapa final'!$Y$12="Muy Baja",'Mapa final'!$AA$12="Moderado"),CONCATENATE("R1C",'Mapa final'!$O$12),"")</f>
        <v/>
      </c>
      <c r="W48" s="95" t="str">
        <f>IF(AND('Mapa final'!$Y$13="Muy Baja",'Mapa final'!$AA$13="Moderado"),CONCATENATE("R1C",'Mapa final'!$O$13),"")</f>
        <v/>
      </c>
      <c r="X48" s="78" t="str">
        <f>IF(AND('Mapa final'!$Y$14="Muy Baja",'Mapa final'!$AA$14="Moderado"),CONCATENATE("R1C",'Mapa final'!$O$14),"")</f>
        <v/>
      </c>
      <c r="Y48" s="78" t="str">
        <f>IF(AND('Mapa final'!$Y$15="Muy Baja",'Mapa final'!$AA$15="Moderado"),CONCATENATE("R1C",'Mapa final'!$O$15),"")</f>
        <v/>
      </c>
      <c r="Z48" s="78" t="str">
        <f>IF(AND('Mapa final'!$Y$16="Muy Baja",'Mapa final'!$AA$16="Moderado"),CONCATENATE("R1C",'Mapa final'!$O$16),"")</f>
        <v/>
      </c>
      <c r="AA48" s="79" t="str">
        <f>IF(AND('Mapa final'!$Y$17="Muy Baja",'Mapa final'!$AA$17="Moderado"),CONCATENATE("R1C",'Mapa final'!$O$17),"")</f>
        <v/>
      </c>
      <c r="AB48" s="60" t="str">
        <f>IF(AND('Mapa final'!$Y$12="Muy Baja",'Mapa final'!$AA$12="Mayor"),CONCATENATE("R1C",'Mapa final'!$O$12),"")</f>
        <v/>
      </c>
      <c r="AC48" s="60" t="str">
        <f>IF(AND('Mapa final'!$Y$13="Muy Baja",'Mapa final'!$AA$13="Mayor"),CONCATENATE("R1C",'Mapa final'!$O$13),"")</f>
        <v/>
      </c>
      <c r="AD48" s="60" t="str">
        <f>IF(AND('Mapa final'!$Y$14="Muy Baja",'Mapa final'!$AA$14="Mayor"),CONCATENATE("R1C",'Mapa final'!$O$14),"")</f>
        <v/>
      </c>
      <c r="AE48" s="60" t="str">
        <f>IF(AND('Mapa final'!$Y$15="Muy Baja",'Mapa final'!$AA$15="Mayor"),CONCATENATE("R1C",'Mapa final'!$O$15),"")</f>
        <v/>
      </c>
      <c r="AF48" s="60" t="str">
        <f>IF(AND('Mapa final'!$Y$16="Muy Baja",'Mapa final'!$AA$16="Mayor"),CONCATENATE("R1C",'Mapa final'!$O$16),"")</f>
        <v/>
      </c>
      <c r="AG48" s="61" t="str">
        <f>IF(AND('Mapa final'!$Y$17="Muy Baja",'Mapa final'!$AA$17="Mayor"),CONCATENATE("R1C",'Mapa final'!$O$17),"")</f>
        <v/>
      </c>
      <c r="AH48" s="62" t="str">
        <f>IF(AND('Mapa final'!$Y$12="Muy Baja",'Mapa final'!$AA$12="Catastrófico"),CONCATENATE("R1C",'Mapa final'!$O$12),"")</f>
        <v/>
      </c>
      <c r="AI48" s="63" t="str">
        <f>IF(AND('Mapa final'!$Y$13="Muy Baja",'Mapa final'!$AA$13="Catastrófico"),CONCATENATE("R1C",'Mapa final'!$O$13),"")</f>
        <v/>
      </c>
      <c r="AJ48" s="63" t="str">
        <f>IF(AND('Mapa final'!$Y$14="Muy Baja",'Mapa final'!$AA$14="Catastrófico"),CONCATENATE("R1C",'Mapa final'!$O$14),"")</f>
        <v/>
      </c>
      <c r="AK48" s="63" t="str">
        <f>IF(AND('Mapa final'!$Y$15="Muy Baja",'Mapa final'!$AA$15="Catastrófico"),CONCATENATE("R1C",'Mapa final'!$O$15),"")</f>
        <v/>
      </c>
      <c r="AL48" s="63" t="str">
        <f>IF(AND('Mapa final'!$Y$16="Muy Baja",'Mapa final'!$AA$16="Catastrófico"),CONCATENATE("R1C",'Mapa final'!$O$16),"")</f>
        <v/>
      </c>
      <c r="AM48" s="64" t="str">
        <f>IF(AND('Mapa final'!$Y$17="Muy Baja",'Mapa final'!$AA$17="Catastrófico"),CONCATENATE("R1C",'Mapa final'!$O$17),"")</f>
        <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row>
    <row r="49" spans="1:80" ht="46.5" customHeight="1" x14ac:dyDescent="0.25">
      <c r="A49" s="96"/>
      <c r="B49" s="285"/>
      <c r="C49" s="285"/>
      <c r="D49" s="286"/>
      <c r="E49" s="382"/>
      <c r="F49" s="383"/>
      <c r="G49" s="383"/>
      <c r="H49" s="383"/>
      <c r="I49" s="383"/>
      <c r="J49" s="89" t="str">
        <f ca="1">IF(AND('Mapa final'!$Y$18="Muy Baja",'Mapa final'!$AA$18="Leve"),CONCATENATE("R2C",'Mapa final'!$O$18),"")</f>
        <v/>
      </c>
      <c r="K49" s="90" t="str">
        <f>IF(AND('Mapa final'!$Y$19="Muy Baja",'Mapa final'!$AA$19="Leve"),CONCATENATE("R2C",'Mapa final'!$O$19),"")</f>
        <v/>
      </c>
      <c r="L49" s="90" t="str">
        <f>IF(AND('Mapa final'!$Y$20="Muy Baja",'Mapa final'!$AA$20="Leve"),CONCATENATE("R2C",'Mapa final'!$O$20),"")</f>
        <v/>
      </c>
      <c r="M49" s="90" t="str">
        <f>IF(AND('Mapa final'!$Y$21="Muy Baja",'Mapa final'!$AA$21="Leve"),CONCATENATE("R2C",'Mapa final'!$O$21),"")</f>
        <v/>
      </c>
      <c r="N49" s="90" t="str">
        <f>IF(AND('Mapa final'!$Y$22="Muy Baja",'Mapa final'!$AA$22="Leve"),CONCATENATE("R2C",'Mapa final'!$O$22),"")</f>
        <v/>
      </c>
      <c r="O49" s="91" t="str">
        <f>IF(AND('Mapa final'!$Y$23="Muy Baja",'Mapa final'!$AA$23="Leve"),CONCATENATE("R2C",'Mapa final'!$O$23),"")</f>
        <v/>
      </c>
      <c r="P49" s="90" t="str">
        <f ca="1">IF(AND('Mapa final'!$Y$18="Muy Baja",'Mapa final'!$AA$18="Menor"),CONCATENATE("R2C",'Mapa final'!$O$18),"")</f>
        <v/>
      </c>
      <c r="Q49" s="90" t="str">
        <f>IF(AND('Mapa final'!$Y$19="Muy Baja",'Mapa final'!$AA$19="Menor"),CONCATENATE("R2C",'Mapa final'!$O$19),"")</f>
        <v/>
      </c>
      <c r="R49" s="90" t="str">
        <f>IF(AND('Mapa final'!$Y$20="Muy Baja",'Mapa final'!$AA$20="Menor"),CONCATENATE("R2C",'Mapa final'!$O$20),"")</f>
        <v/>
      </c>
      <c r="S49" s="90" t="str">
        <f>IF(AND('Mapa final'!$Y$21="Muy Baja",'Mapa final'!$AA$21="Menor"),CONCATENATE("R2C",'Mapa final'!$O$21),"")</f>
        <v/>
      </c>
      <c r="T49" s="90" t="str">
        <f>IF(AND('Mapa final'!$Y$22="Muy Baja",'Mapa final'!$AA$22="Menor"),CONCATENATE("R2C",'Mapa final'!$O$22),"")</f>
        <v/>
      </c>
      <c r="U49" s="90" t="str">
        <f>IF(AND('Mapa final'!$Y$23="Muy Baja",'Mapa final'!$AA$23="Menor"),CONCATENATE("R2C",'Mapa final'!$O$23),"")</f>
        <v/>
      </c>
      <c r="V49" s="80" t="str">
        <f ca="1">IF(AND('Mapa final'!$Y$18="Muy Baja",'Mapa final'!$AA$18="Moderado"),CONCATENATE("R2C",'Mapa final'!$O$18),"")</f>
        <v>R2C1</v>
      </c>
      <c r="W49" s="81" t="str">
        <f>IF(AND('Mapa final'!$Y$19="Muy Baja",'Mapa final'!$AA$19="Moderado"),CONCATENATE("R2C",'Mapa final'!$O$19),"")</f>
        <v/>
      </c>
      <c r="X49" s="81" t="str">
        <f>IF(AND('Mapa final'!$Y$20="Muy Baja",'Mapa final'!$AA$20="Moderado"),CONCATENATE("R2C",'Mapa final'!$O$20),"")</f>
        <v/>
      </c>
      <c r="Y49" s="81" t="str">
        <f>IF(AND('Mapa final'!$Y$21="Muy Baja",'Mapa final'!$AA$21="Moderado"),CONCATENATE("R2C",'Mapa final'!$O$21),"")</f>
        <v/>
      </c>
      <c r="Z49" s="81" t="str">
        <f>IF(AND('Mapa final'!$Y$22="Muy Baja",'Mapa final'!$AA$22="Moderado"),CONCATENATE("R2C",'Mapa final'!$O$22),"")</f>
        <v/>
      </c>
      <c r="AA49" s="82" t="str">
        <f>IF(AND('Mapa final'!$Y$23="Muy Baja",'Mapa final'!$AA$23="Moderado"),CONCATENATE("R2C",'Mapa final'!$O$23),"")</f>
        <v/>
      </c>
      <c r="AB49" s="66" t="str">
        <f ca="1">IF(AND('Mapa final'!$Y$18="Muy Baja",'Mapa final'!$AA$18="Mayor"),CONCATENATE("R2C",'Mapa final'!$O$18),"")</f>
        <v/>
      </c>
      <c r="AC49" s="66" t="str">
        <f>IF(AND('Mapa final'!$Y$19="Muy Baja",'Mapa final'!$AA$19="Mayor"),CONCATENATE("R2C",'Mapa final'!$O$19),"")</f>
        <v/>
      </c>
      <c r="AD49" s="66" t="str">
        <f>IF(AND('Mapa final'!$Y$20="Muy Baja",'Mapa final'!$AA$20="Mayor"),CONCATENATE("R2C",'Mapa final'!$O$20),"")</f>
        <v/>
      </c>
      <c r="AE49" s="66" t="str">
        <f>IF(AND('Mapa final'!$Y$21="Muy Baja",'Mapa final'!$AA$21="Mayor"),CONCATENATE("R2C",'Mapa final'!$O$21),"")</f>
        <v/>
      </c>
      <c r="AF49" s="66" t="str">
        <f>IF(AND('Mapa final'!$Y$22="Muy Baja",'Mapa final'!$AA$22="Mayor"),CONCATENATE("R2C",'Mapa final'!$O$22),"")</f>
        <v/>
      </c>
      <c r="AG49" s="67" t="str">
        <f>IF(AND('Mapa final'!$Y$23="Muy Baja",'Mapa final'!$AA$23="Mayor"),CONCATENATE("R2C",'Mapa final'!$O$23),"")</f>
        <v/>
      </c>
      <c r="AH49" s="68" t="str">
        <f ca="1">IF(AND('Mapa final'!$Y$18="Muy Baja",'Mapa final'!$AA$18="Catastrófico"),CONCATENATE("R2C",'Mapa final'!$O$18),"")</f>
        <v/>
      </c>
      <c r="AI49" s="69" t="str">
        <f>IF(AND('Mapa final'!$Y$19="Muy Baja",'Mapa final'!$AA$19="Catastrófico"),CONCATENATE("R2C",'Mapa final'!$O$19),"")</f>
        <v/>
      </c>
      <c r="AJ49" s="69" t="str">
        <f>IF(AND('Mapa final'!$Y$20="Muy Baja",'Mapa final'!$AA$20="Catastrófico"),CONCATENATE("R2C",'Mapa final'!$O$20),"")</f>
        <v/>
      </c>
      <c r="AK49" s="69" t="str">
        <f>IF(AND('Mapa final'!$Y$21="Muy Baja",'Mapa final'!$AA$21="Catastrófico"),CONCATENATE("R2C",'Mapa final'!$O$21),"")</f>
        <v/>
      </c>
      <c r="AL49" s="69" t="str">
        <f>IF(AND('Mapa final'!$Y$22="Muy Baja",'Mapa final'!$AA$22="Catastrófico"),CONCATENATE("R2C",'Mapa final'!$O$22),"")</f>
        <v/>
      </c>
      <c r="AM49" s="70" t="str">
        <f>IF(AND('Mapa final'!$Y$23="Muy Baja",'Mapa final'!$AA$23="Catastrófico"),CONCATENATE("R2C",'Mapa final'!$O$23),"")</f>
        <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row>
    <row r="50" spans="1:80" ht="15" customHeight="1" x14ac:dyDescent="0.25">
      <c r="A50" s="96"/>
      <c r="B50" s="285"/>
      <c r="C50" s="285"/>
      <c r="D50" s="286"/>
      <c r="E50" s="382"/>
      <c r="F50" s="383"/>
      <c r="G50" s="383"/>
      <c r="H50" s="383"/>
      <c r="I50" s="383"/>
      <c r="J50" s="89" t="str">
        <f ca="1">IF(AND('Mapa final'!$Y$24="Muy Baja",'Mapa final'!$AA$24="Leve"),CONCATENATE("R3C",'Mapa final'!$O$24),"")</f>
        <v/>
      </c>
      <c r="K50" s="90" t="str">
        <f>IF(AND('Mapa final'!$Y$25="Muy Baja",'Mapa final'!$AA$25="Leve"),CONCATENATE("R3C",'Mapa final'!$O$25),"")</f>
        <v/>
      </c>
      <c r="L50" s="90" t="str">
        <f>IF(AND('Mapa final'!$Y$26="Muy Baja",'Mapa final'!$AA$26="Leve"),CONCATENATE("R3C",'Mapa final'!$O$26),"")</f>
        <v/>
      </c>
      <c r="M50" s="90" t="str">
        <f>IF(AND('Mapa final'!$Y$27="Muy Baja",'Mapa final'!$AA$27="Leve"),CONCATENATE("R3C",'Mapa final'!$O$27),"")</f>
        <v/>
      </c>
      <c r="N50" s="90" t="str">
        <f>IF(AND('Mapa final'!$Y$28="Muy Baja",'Mapa final'!$AA$28="Leve"),CONCATENATE("R3C",'Mapa final'!$O$28),"")</f>
        <v/>
      </c>
      <c r="O50" s="91" t="str">
        <f>IF(AND('Mapa final'!$Y$29="Muy Baja",'Mapa final'!$AA$29="Leve"),CONCATENATE("R3C",'Mapa final'!$O$29),"")</f>
        <v/>
      </c>
      <c r="P50" s="90" t="str">
        <f ca="1">IF(AND('Mapa final'!$Y$24="Muy Baja",'Mapa final'!$AA$24="Menor"),CONCATENATE("R3C",'Mapa final'!$O$24),"")</f>
        <v/>
      </c>
      <c r="Q50" s="90" t="str">
        <f>IF(AND('Mapa final'!$Y$25="Muy Baja",'Mapa final'!$AA$25="Menor"),CONCATENATE("R3C",'Mapa final'!$O$25),"")</f>
        <v/>
      </c>
      <c r="R50" s="90" t="str">
        <f>IF(AND('Mapa final'!$Y$26="Muy Baja",'Mapa final'!$AA$26="Menor"),CONCATENATE("R3C",'Mapa final'!$O$26),"")</f>
        <v/>
      </c>
      <c r="S50" s="90" t="str">
        <f>IF(AND('Mapa final'!$Y$27="Muy Baja",'Mapa final'!$AA$27="Menor"),CONCATENATE("R3C",'Mapa final'!$O$27),"")</f>
        <v/>
      </c>
      <c r="T50" s="90" t="str">
        <f>IF(AND('Mapa final'!$Y$28="Muy Baja",'Mapa final'!$AA$28="Menor"),CONCATENATE("R3C",'Mapa final'!$O$28),"")</f>
        <v/>
      </c>
      <c r="U50" s="90" t="str">
        <f>IF(AND('Mapa final'!$Y$29="Muy Baja",'Mapa final'!$AA$29="Menor"),CONCATENATE("R3C",'Mapa final'!$O$29),"")</f>
        <v/>
      </c>
      <c r="V50" s="80" t="str">
        <f ca="1">IF(AND('Mapa final'!$Y$24="Muy Baja",'Mapa final'!$AA$24="Moderado"),CONCATENATE("R3C",'Mapa final'!$O$24),"")</f>
        <v/>
      </c>
      <c r="W50" s="81" t="str">
        <f>IF(AND('Mapa final'!$Y$25="Muy Baja",'Mapa final'!$AA$25="Moderado"),CONCATENATE("R3C",'Mapa final'!$O$25),"")</f>
        <v/>
      </c>
      <c r="X50" s="81" t="str">
        <f>IF(AND('Mapa final'!$Y$26="Muy Baja",'Mapa final'!$AA$26="Moderado"),CONCATENATE("R3C",'Mapa final'!$O$26),"")</f>
        <v/>
      </c>
      <c r="Y50" s="81" t="str">
        <f>IF(AND('Mapa final'!$Y$27="Muy Baja",'Mapa final'!$AA$27="Moderado"),CONCATENATE("R3C",'Mapa final'!$O$27),"")</f>
        <v/>
      </c>
      <c r="Z50" s="81" t="str">
        <f>IF(AND('Mapa final'!$Y$28="Muy Baja",'Mapa final'!$AA$28="Moderado"),CONCATENATE("R3C",'Mapa final'!$O$28),"")</f>
        <v/>
      </c>
      <c r="AA50" s="82" t="str">
        <f>IF(AND('Mapa final'!$Y$29="Muy Baja",'Mapa final'!$AA$29="Moderado"),CONCATENATE("R3C",'Mapa final'!$O$29),"")</f>
        <v/>
      </c>
      <c r="AB50" s="66" t="str">
        <f ca="1">IF(AND('Mapa final'!$Y$24="Muy Baja",'Mapa final'!$AA$24="Mayor"),CONCATENATE("R3C",'Mapa final'!$O$24),"")</f>
        <v/>
      </c>
      <c r="AC50" s="66" t="str">
        <f>IF(AND('Mapa final'!$Y$25="Muy Baja",'Mapa final'!$AA$25="Mayor"),CONCATENATE("R3C",'Mapa final'!$O$25),"")</f>
        <v/>
      </c>
      <c r="AD50" s="66" t="str">
        <f>IF(AND('Mapa final'!$Y$26="Muy Baja",'Mapa final'!$AA$26="Mayor"),CONCATENATE("R3C",'Mapa final'!$O$26),"")</f>
        <v/>
      </c>
      <c r="AE50" s="66" t="str">
        <f>IF(AND('Mapa final'!$Y$27="Muy Baja",'Mapa final'!$AA$27="Mayor"),CONCATENATE("R3C",'Mapa final'!$O$27),"")</f>
        <v/>
      </c>
      <c r="AF50" s="66" t="str">
        <f>IF(AND('Mapa final'!$Y$28="Muy Baja",'Mapa final'!$AA$28="Mayor"),CONCATENATE("R3C",'Mapa final'!$O$28),"")</f>
        <v/>
      </c>
      <c r="AG50" s="67" t="str">
        <f>IF(AND('Mapa final'!$Y$29="Muy Baja",'Mapa final'!$AA$29="Mayor"),CONCATENATE("R3C",'Mapa final'!$O$29),"")</f>
        <v/>
      </c>
      <c r="AH50" s="68" t="str">
        <f ca="1">IF(AND('Mapa final'!$Y$24="Muy Baja",'Mapa final'!$AA$24="Catastrófico"),CONCATENATE("R3C",'Mapa final'!$O$24),"")</f>
        <v/>
      </c>
      <c r="AI50" s="69" t="str">
        <f>IF(AND('Mapa final'!$Y$25="Muy Baja",'Mapa final'!$AA$25="Catastrófico"),CONCATENATE("R3C",'Mapa final'!$O$25),"")</f>
        <v/>
      </c>
      <c r="AJ50" s="69" t="str">
        <f>IF(AND('Mapa final'!$Y$26="Muy Baja",'Mapa final'!$AA$26="Catastrófico"),CONCATENATE("R3C",'Mapa final'!$O$26),"")</f>
        <v/>
      </c>
      <c r="AK50" s="69" t="str">
        <f>IF(AND('Mapa final'!$Y$27="Muy Baja",'Mapa final'!$AA$27="Catastrófico"),CONCATENATE("R3C",'Mapa final'!$O$27),"")</f>
        <v/>
      </c>
      <c r="AL50" s="69" t="str">
        <f>IF(AND('Mapa final'!$Y$28="Muy Baja",'Mapa final'!$AA$28="Catastrófico"),CONCATENATE("R3C",'Mapa final'!$O$28),"")</f>
        <v/>
      </c>
      <c r="AM50" s="70" t="str">
        <f>IF(AND('Mapa final'!$Y$29="Muy Baja",'Mapa final'!$AA$29="Catastrófico"),CONCATENATE("R3C",'Mapa final'!$O$29),"")</f>
        <v/>
      </c>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row>
    <row r="51" spans="1:80" ht="15" customHeight="1" x14ac:dyDescent="0.25">
      <c r="A51" s="96"/>
      <c r="B51" s="285"/>
      <c r="C51" s="285"/>
      <c r="D51" s="286"/>
      <c r="E51" s="384"/>
      <c r="F51" s="383"/>
      <c r="G51" s="383"/>
      <c r="H51" s="383"/>
      <c r="I51" s="383"/>
      <c r="J51" s="89" t="str">
        <f ca="1">IF(AND('Mapa final'!$Y$30="Muy Baja",'Mapa final'!$AA$30="Leve"),CONCATENATE("R4C",'Mapa final'!$O$30),"")</f>
        <v/>
      </c>
      <c r="K51" s="90" t="str">
        <f>IF(AND('Mapa final'!$Y$31="Muy Baja",'Mapa final'!$AA$31="Leve"),CONCATENATE("R4C",'Mapa final'!$O$31),"")</f>
        <v/>
      </c>
      <c r="L51" s="90" t="str">
        <f>IF(AND('Mapa final'!$Y$32="Muy Baja",'Mapa final'!$AA$32="Leve"),CONCATENATE("R4C",'Mapa final'!$O$32),"")</f>
        <v/>
      </c>
      <c r="M51" s="90" t="str">
        <f>IF(AND('Mapa final'!$Y$33="Muy Baja",'Mapa final'!$AA$33="Leve"),CONCATENATE("R4C",'Mapa final'!$O$33),"")</f>
        <v/>
      </c>
      <c r="N51" s="90" t="str">
        <f>IF(AND('Mapa final'!$Y$34="Muy Baja",'Mapa final'!$AA$34="Leve"),CONCATENATE("R4C",'Mapa final'!$O$34),"")</f>
        <v/>
      </c>
      <c r="O51" s="91" t="str">
        <f>IF(AND('Mapa final'!$Y$35="Muy Baja",'Mapa final'!$AA$35="Leve"),CONCATENATE("R4C",'Mapa final'!$O$35),"")</f>
        <v/>
      </c>
      <c r="P51" s="90" t="str">
        <f ca="1">IF(AND('Mapa final'!$Y$30="Muy Baja",'Mapa final'!$AA$30="Menor"),CONCATENATE("R4C",'Mapa final'!$O$30),"")</f>
        <v/>
      </c>
      <c r="Q51" s="90" t="str">
        <f>IF(AND('Mapa final'!$Y$31="Muy Baja",'Mapa final'!$AA$31="Menor"),CONCATENATE("R4C",'Mapa final'!$O$31),"")</f>
        <v/>
      </c>
      <c r="R51" s="90" t="str">
        <f>IF(AND('Mapa final'!$Y$32="Muy Baja",'Mapa final'!$AA$32="Menor"),CONCATENATE("R4C",'Mapa final'!$O$32),"")</f>
        <v/>
      </c>
      <c r="S51" s="90" t="str">
        <f>IF(AND('Mapa final'!$Y$33="Muy Baja",'Mapa final'!$AA$33="Menor"),CONCATENATE("R4C",'Mapa final'!$O$33),"")</f>
        <v/>
      </c>
      <c r="T51" s="90" t="str">
        <f>IF(AND('Mapa final'!$Y$34="Muy Baja",'Mapa final'!$AA$34="Menor"),CONCATENATE("R4C",'Mapa final'!$O$34),"")</f>
        <v/>
      </c>
      <c r="U51" s="90" t="str">
        <f>IF(AND('Mapa final'!$Y$35="Muy Baja",'Mapa final'!$AA$35="Menor"),CONCATENATE("R4C",'Mapa final'!$O$35),"")</f>
        <v/>
      </c>
      <c r="V51" s="80" t="str">
        <f ca="1">IF(AND('Mapa final'!$Y$30="Muy Baja",'Mapa final'!$AA$30="Moderado"),CONCATENATE("R4C",'Mapa final'!$O$30),"")</f>
        <v/>
      </c>
      <c r="W51" s="81" t="str">
        <f>IF(AND('Mapa final'!$Y$31="Muy Baja",'Mapa final'!$AA$31="Moderado"),CONCATENATE("R4C",'Mapa final'!$O$31),"")</f>
        <v/>
      </c>
      <c r="X51" s="81" t="str">
        <f>IF(AND('Mapa final'!$Y$32="Muy Baja",'Mapa final'!$AA$32="Moderado"),CONCATENATE("R4C",'Mapa final'!$O$32),"")</f>
        <v/>
      </c>
      <c r="Y51" s="81" t="str">
        <f>IF(AND('Mapa final'!$Y$33="Muy Baja",'Mapa final'!$AA$33="Moderado"),CONCATENATE("R4C",'Mapa final'!$O$33),"")</f>
        <v/>
      </c>
      <c r="Z51" s="81" t="str">
        <f>IF(AND('Mapa final'!$Y$34="Muy Baja",'Mapa final'!$AA$34="Moderado"),CONCATENATE("R4C",'Mapa final'!$O$34),"")</f>
        <v/>
      </c>
      <c r="AA51" s="82" t="str">
        <f>IF(AND('Mapa final'!$Y$35="Muy Baja",'Mapa final'!$AA$35="Moderado"),CONCATENATE("R4C",'Mapa final'!$O$35),"")</f>
        <v/>
      </c>
      <c r="AB51" s="66" t="str">
        <f ca="1">IF(AND('Mapa final'!$Y$30="Muy Baja",'Mapa final'!$AA$30="Mayor"),CONCATENATE("R4C",'Mapa final'!$O$30),"")</f>
        <v/>
      </c>
      <c r="AC51" s="66" t="str">
        <f>IF(AND('Mapa final'!$Y$31="Muy Baja",'Mapa final'!$AA$31="Mayor"),CONCATENATE("R4C",'Mapa final'!$O$31),"")</f>
        <v/>
      </c>
      <c r="AD51" s="66" t="str">
        <f>IF(AND('Mapa final'!$Y$32="Muy Baja",'Mapa final'!$AA$32="Mayor"),CONCATENATE("R4C",'Mapa final'!$O$32),"")</f>
        <v/>
      </c>
      <c r="AE51" s="66" t="str">
        <f>IF(AND('Mapa final'!$Y$33="Muy Baja",'Mapa final'!$AA$33="Mayor"),CONCATENATE("R4C",'Mapa final'!$O$33),"")</f>
        <v/>
      </c>
      <c r="AF51" s="66" t="str">
        <f>IF(AND('Mapa final'!$Y$34="Muy Baja",'Mapa final'!$AA$34="Mayor"),CONCATENATE("R4C",'Mapa final'!$O$34),"")</f>
        <v/>
      </c>
      <c r="AG51" s="67" t="str">
        <f>IF(AND('Mapa final'!$Y$35="Muy Baja",'Mapa final'!$AA$35="Mayor"),CONCATENATE("R4C",'Mapa final'!$O$35),"")</f>
        <v/>
      </c>
      <c r="AH51" s="68" t="str">
        <f ca="1">IF(AND('Mapa final'!$Y$30="Muy Baja",'Mapa final'!$AA$30="Catastrófico"),CONCATENATE("R4C",'Mapa final'!$O$30),"")</f>
        <v/>
      </c>
      <c r="AI51" s="69" t="str">
        <f>IF(AND('Mapa final'!$Y$31="Muy Baja",'Mapa final'!$AA$31="Catastrófico"),CONCATENATE("R4C",'Mapa final'!$O$31),"")</f>
        <v/>
      </c>
      <c r="AJ51" s="69" t="str">
        <f>IF(AND('Mapa final'!$Y$32="Muy Baja",'Mapa final'!$AA$32="Catastrófico"),CONCATENATE("R4C",'Mapa final'!$O$32),"")</f>
        <v/>
      </c>
      <c r="AK51" s="69" t="str">
        <f>IF(AND('Mapa final'!$Y$33="Muy Baja",'Mapa final'!$AA$33="Catastrófico"),CONCATENATE("R4C",'Mapa final'!$O$33),"")</f>
        <v/>
      </c>
      <c r="AL51" s="69" t="str">
        <f>IF(AND('Mapa final'!$Y$34="Muy Baja",'Mapa final'!$AA$34="Catastrófico"),CONCATENATE("R4C",'Mapa final'!$O$34),"")</f>
        <v/>
      </c>
      <c r="AM51" s="70" t="str">
        <f>IF(AND('Mapa final'!$Y$35="Muy Baja",'Mapa final'!$AA$35="Catastrófico"),CONCATENATE("R4C",'Mapa final'!$O$35),"")</f>
        <v/>
      </c>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row>
    <row r="52" spans="1:80" ht="15" customHeight="1" x14ac:dyDescent="0.25">
      <c r="A52" s="96"/>
      <c r="B52" s="285"/>
      <c r="C52" s="285"/>
      <c r="D52" s="286"/>
      <c r="E52" s="384"/>
      <c r="F52" s="383"/>
      <c r="G52" s="383"/>
      <c r="H52" s="383"/>
      <c r="I52" s="383"/>
      <c r="J52" s="89" t="str">
        <f>IF(AND('Mapa final'!$Y$36="Muy Baja",'Mapa final'!$AA$36="Leve"),CONCATENATE("R5C",'Mapa final'!$O$36),"")</f>
        <v/>
      </c>
      <c r="K52" s="90" t="str">
        <f>IF(AND('Mapa final'!$Y$37="Muy Baja",'Mapa final'!$AA$37="Leve"),CONCATENATE("R5C",'Mapa final'!$O$37),"")</f>
        <v/>
      </c>
      <c r="L52" s="90" t="str">
        <f>IF(AND('Mapa final'!$Y$38="Muy Baja",'Mapa final'!$AA$38="Leve"),CONCATENATE("R5C",'Mapa final'!$O$38),"")</f>
        <v/>
      </c>
      <c r="M52" s="90" t="str">
        <f>IF(AND('Mapa final'!$Y$39="Muy Baja",'Mapa final'!$AA$39="Leve"),CONCATENATE("R5C",'Mapa final'!$O$39),"")</f>
        <v/>
      </c>
      <c r="N52" s="90" t="str">
        <f>IF(AND('Mapa final'!$Y$40="Muy Baja",'Mapa final'!$AA$40="Leve"),CONCATENATE("R5C",'Mapa final'!$O$40),"")</f>
        <v/>
      </c>
      <c r="O52" s="91" t="str">
        <f>IF(AND('Mapa final'!$Y$41="Muy Baja",'Mapa final'!$AA$41="Leve"),CONCATENATE("R5C",'Mapa final'!$O$41),"")</f>
        <v/>
      </c>
      <c r="P52" s="90" t="str">
        <f>IF(AND('Mapa final'!$Y$36="Muy Baja",'Mapa final'!$AA$36="Menor"),CONCATENATE("R5C",'Mapa final'!$O$36),"")</f>
        <v/>
      </c>
      <c r="Q52" s="90" t="str">
        <f>IF(AND('Mapa final'!$Y$37="Muy Baja",'Mapa final'!$AA$37="Menor"),CONCATENATE("R5C",'Mapa final'!$O$37),"")</f>
        <v/>
      </c>
      <c r="R52" s="90" t="str">
        <f>IF(AND('Mapa final'!$Y$38="Muy Baja",'Mapa final'!$AA$38="Menor"),CONCATENATE("R5C",'Mapa final'!$O$38),"")</f>
        <v/>
      </c>
      <c r="S52" s="90" t="str">
        <f>IF(AND('Mapa final'!$Y$39="Muy Baja",'Mapa final'!$AA$39="Menor"),CONCATENATE("R5C",'Mapa final'!$O$39),"")</f>
        <v/>
      </c>
      <c r="T52" s="90" t="str">
        <f>IF(AND('Mapa final'!$Y$40="Muy Baja",'Mapa final'!$AA$40="Menor"),CONCATENATE("R5C",'Mapa final'!$O$40),"")</f>
        <v/>
      </c>
      <c r="U52" s="90" t="str">
        <f>IF(AND('Mapa final'!$Y$41="Muy Baja",'Mapa final'!$AA$41="Menor"),CONCATENATE("R5C",'Mapa final'!$O$41),"")</f>
        <v/>
      </c>
      <c r="V52" s="80" t="str">
        <f>IF(AND('Mapa final'!$Y$36="Muy Baja",'Mapa final'!$AA$36="Moderado"),CONCATENATE("R5C",'Mapa final'!$O$36),"")</f>
        <v/>
      </c>
      <c r="W52" s="81" t="str">
        <f>IF(AND('Mapa final'!$Y$37="Muy Baja",'Mapa final'!$AA$37="Moderado"),CONCATENATE("R5C",'Mapa final'!$O$37),"")</f>
        <v/>
      </c>
      <c r="X52" s="81" t="str">
        <f>IF(AND('Mapa final'!$Y$38="Muy Baja",'Mapa final'!$AA$38="Moderado"),CONCATENATE("R5C",'Mapa final'!$O$38),"")</f>
        <v/>
      </c>
      <c r="Y52" s="81" t="str">
        <f>IF(AND('Mapa final'!$Y$39="Muy Baja",'Mapa final'!$AA$39="Moderado"),CONCATENATE("R5C",'Mapa final'!$O$39),"")</f>
        <v/>
      </c>
      <c r="Z52" s="81" t="str">
        <f>IF(AND('Mapa final'!$Y$40="Muy Baja",'Mapa final'!$AA$40="Moderado"),CONCATENATE("R5C",'Mapa final'!$O$40),"")</f>
        <v/>
      </c>
      <c r="AA52" s="82" t="str">
        <f>IF(AND('Mapa final'!$Y$41="Muy Baja",'Mapa final'!$AA$41="Moderado"),CONCATENATE("R5C",'Mapa final'!$O$41),"")</f>
        <v/>
      </c>
      <c r="AB52" s="66" t="str">
        <f>IF(AND('Mapa final'!$Y$36="Muy Baja",'Mapa final'!$AA$36="Mayor"),CONCATENATE("R5C",'Mapa final'!$O$36),"")</f>
        <v/>
      </c>
      <c r="AC52" s="66" t="str">
        <f>IF(AND('Mapa final'!$Y$37="Muy Baja",'Mapa final'!$AA$37="Mayor"),CONCATENATE("R5C",'Mapa final'!$O$37),"")</f>
        <v/>
      </c>
      <c r="AD52" s="66" t="str">
        <f>IF(AND('Mapa final'!$Y$38="Muy Baja",'Mapa final'!$AA$38="Mayor"),CONCATENATE("R5C",'Mapa final'!$O$38),"")</f>
        <v/>
      </c>
      <c r="AE52" s="66" t="str">
        <f>IF(AND('Mapa final'!$Y$39="Muy Baja",'Mapa final'!$AA$39="Mayor"),CONCATENATE("R5C",'Mapa final'!$O$39),"")</f>
        <v/>
      </c>
      <c r="AF52" s="66" t="str">
        <f>IF(AND('Mapa final'!$Y$40="Muy Baja",'Mapa final'!$AA$40="Mayor"),CONCATENATE("R5C",'Mapa final'!$O$40),"")</f>
        <v/>
      </c>
      <c r="AG52" s="67" t="str">
        <f>IF(AND('Mapa final'!$Y$41="Muy Baja",'Mapa final'!$AA$41="Mayor"),CONCATENATE("R5C",'Mapa final'!$O$41),"")</f>
        <v/>
      </c>
      <c r="AH52" s="68" t="str">
        <f>IF(AND('Mapa final'!$Y$36="Muy Baja",'Mapa final'!$AA$36="Catastrófico"),CONCATENATE("R5C",'Mapa final'!$O$36),"")</f>
        <v/>
      </c>
      <c r="AI52" s="69" t="str">
        <f>IF(AND('Mapa final'!$Y$37="Muy Baja",'Mapa final'!$AA$37="Catastrófico"),CONCATENATE("R5C",'Mapa final'!$O$37),"")</f>
        <v/>
      </c>
      <c r="AJ52" s="69" t="str">
        <f>IF(AND('Mapa final'!$Y$38="Muy Baja",'Mapa final'!$AA$38="Catastrófico"),CONCATENATE("R5C",'Mapa final'!$O$38),"")</f>
        <v/>
      </c>
      <c r="AK52" s="69" t="str">
        <f>IF(AND('Mapa final'!$Y$39="Muy Baja",'Mapa final'!$AA$39="Catastrófico"),CONCATENATE("R5C",'Mapa final'!$O$39),"")</f>
        <v/>
      </c>
      <c r="AL52" s="69" t="str">
        <f>IF(AND('Mapa final'!$Y$40="Muy Baja",'Mapa final'!$AA$40="Catastrófico"),CONCATENATE("R5C",'Mapa final'!$O$40),"")</f>
        <v/>
      </c>
      <c r="AM52" s="70" t="str">
        <f>IF(AND('Mapa final'!$Y$41="Muy Baja",'Mapa final'!$AA$41="Catastrófico"),CONCATENATE("R5C",'Mapa final'!$O$41),"")</f>
        <v/>
      </c>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row>
    <row r="53" spans="1:80" ht="15" customHeight="1" x14ac:dyDescent="0.25">
      <c r="A53" s="96"/>
      <c r="B53" s="285"/>
      <c r="C53" s="285"/>
      <c r="D53" s="286"/>
      <c r="E53" s="384"/>
      <c r="F53" s="383"/>
      <c r="G53" s="383"/>
      <c r="H53" s="383"/>
      <c r="I53" s="383"/>
      <c r="J53" s="89" t="str">
        <f ca="1">IF(AND('Mapa final'!$Y$42="Muy Baja",'Mapa final'!$AA$42="Leve"),CONCATENATE("R6C",'Mapa final'!$O$42),"")</f>
        <v/>
      </c>
      <c r="K53" s="90" t="str">
        <f>IF(AND('Mapa final'!$Y$43="Muy Baja",'Mapa final'!$AA$43="Leve"),CONCATENATE("R6C",'Mapa final'!$O$43),"")</f>
        <v/>
      </c>
      <c r="L53" s="90" t="str">
        <f>IF(AND('Mapa final'!$Y$44="Muy Baja",'Mapa final'!$AA$44="Leve"),CONCATENATE("R6C",'Mapa final'!$O$44),"")</f>
        <v/>
      </c>
      <c r="M53" s="90" t="str">
        <f>IF(AND('Mapa final'!$Y$45="Muy Baja",'Mapa final'!$AA$45="Leve"),CONCATENATE("R6C",'Mapa final'!$O$45),"")</f>
        <v/>
      </c>
      <c r="N53" s="90" t="str">
        <f>IF(AND('Mapa final'!$Y$46="Muy Baja",'Mapa final'!$AA$46="Leve"),CONCATENATE("R6C",'Mapa final'!$O$46),"")</f>
        <v/>
      </c>
      <c r="O53" s="91" t="str">
        <f>IF(AND('Mapa final'!$Y$47="Muy Baja",'Mapa final'!$AA$47="Leve"),CONCATENATE("R6C",'Mapa final'!$O$47),"")</f>
        <v/>
      </c>
      <c r="P53" s="90" t="str">
        <f ca="1">IF(AND('Mapa final'!$Y$42="Muy Baja",'Mapa final'!$AA$42="Menor"),CONCATENATE("R6C",'Mapa final'!$O$42),"")</f>
        <v/>
      </c>
      <c r="Q53" s="90" t="str">
        <f>IF(AND('Mapa final'!$Y$43="Muy Baja",'Mapa final'!$AA$43="Menor"),CONCATENATE("R6C",'Mapa final'!$O$43),"")</f>
        <v/>
      </c>
      <c r="R53" s="90" t="str">
        <f>IF(AND('Mapa final'!$Y$44="Muy Baja",'Mapa final'!$AA$44="Menor"),CONCATENATE("R6C",'Mapa final'!$O$44),"")</f>
        <v/>
      </c>
      <c r="S53" s="90" t="str">
        <f>IF(AND('Mapa final'!$Y$45="Muy Baja",'Mapa final'!$AA$45="Menor"),CONCATENATE("R6C",'Mapa final'!$O$45),"")</f>
        <v/>
      </c>
      <c r="T53" s="90" t="str">
        <f>IF(AND('Mapa final'!$Y$46="Muy Baja",'Mapa final'!$AA$46="Menor"),CONCATENATE("R6C",'Mapa final'!$O$46),"")</f>
        <v/>
      </c>
      <c r="U53" s="90" t="str">
        <f>IF(AND('Mapa final'!$Y$47="Muy Baja",'Mapa final'!$AA$47="Menor"),CONCATENATE("R6C",'Mapa final'!$O$47),"")</f>
        <v/>
      </c>
      <c r="V53" s="80" t="str">
        <f ca="1">IF(AND('Mapa final'!$Y$42="Muy Baja",'Mapa final'!$AA$42="Moderado"),CONCATENATE("R6C",'Mapa final'!$O$42),"")</f>
        <v>R6C1</v>
      </c>
      <c r="W53" s="81" t="str">
        <f>IF(AND('Mapa final'!$Y$43="Muy Baja",'Mapa final'!$AA$43="Moderado"),CONCATENATE("R6C",'Mapa final'!$O$43),"")</f>
        <v/>
      </c>
      <c r="X53" s="81" t="str">
        <f>IF(AND('Mapa final'!$Y$44="Muy Baja",'Mapa final'!$AA$44="Moderado"),CONCATENATE("R6C",'Mapa final'!$O$44),"")</f>
        <v/>
      </c>
      <c r="Y53" s="81" t="str">
        <f>IF(AND('Mapa final'!$Y$45="Muy Baja",'Mapa final'!$AA$45="Moderado"),CONCATENATE("R6C",'Mapa final'!$O$45),"")</f>
        <v/>
      </c>
      <c r="Z53" s="81" t="str">
        <f>IF(AND('Mapa final'!$Y$46="Muy Baja",'Mapa final'!$AA$46="Moderado"),CONCATENATE("R6C",'Mapa final'!$O$46),"")</f>
        <v/>
      </c>
      <c r="AA53" s="82" t="str">
        <f>IF(AND('Mapa final'!$Y$47="Muy Baja",'Mapa final'!$AA$47="Moderado"),CONCATENATE("R6C",'Mapa final'!$O$47),"")</f>
        <v/>
      </c>
      <c r="AB53" s="66" t="str">
        <f ca="1">IF(AND('Mapa final'!$Y$42="Muy Baja",'Mapa final'!$AA$42="Mayor"),CONCATENATE("R6C",'Mapa final'!$O$42),"")</f>
        <v/>
      </c>
      <c r="AC53" s="66" t="str">
        <f>IF(AND('Mapa final'!$Y$43="Muy Baja",'Mapa final'!$AA$43="Mayor"),CONCATENATE("R6C",'Mapa final'!$O$43),"")</f>
        <v/>
      </c>
      <c r="AD53" s="66" t="str">
        <f>IF(AND('Mapa final'!$Y$44="Muy Baja",'Mapa final'!$AA$44="Mayor"),CONCATENATE("R6C",'Mapa final'!$O$44),"")</f>
        <v/>
      </c>
      <c r="AE53" s="66" t="str">
        <f>IF(AND('Mapa final'!$Y$45="Muy Baja",'Mapa final'!$AA$45="Mayor"),CONCATENATE("R6C",'Mapa final'!$O$45),"")</f>
        <v/>
      </c>
      <c r="AF53" s="66" t="str">
        <f>IF(AND('Mapa final'!$Y$46="Muy Baja",'Mapa final'!$AA$46="Mayor"),CONCATENATE("R6C",'Mapa final'!$O$46),"")</f>
        <v/>
      </c>
      <c r="AG53" s="67" t="str">
        <f>IF(AND('Mapa final'!$Y$47="Muy Baja",'Mapa final'!$AA$47="Mayor"),CONCATENATE("R6C",'Mapa final'!$O$47),"")</f>
        <v/>
      </c>
      <c r="AH53" s="68" t="str">
        <f ca="1">IF(AND('Mapa final'!$Y$42="Muy Baja",'Mapa final'!$AA$42="Catastrófico"),CONCATENATE("R6C",'Mapa final'!$O$42),"")</f>
        <v/>
      </c>
      <c r="AI53" s="69" t="str">
        <f>IF(AND('Mapa final'!$Y$43="Muy Baja",'Mapa final'!$AA$43="Catastrófico"),CONCATENATE("R6C",'Mapa final'!$O$43),"")</f>
        <v/>
      </c>
      <c r="AJ53" s="69" t="str">
        <f>IF(AND('Mapa final'!$Y$44="Muy Baja",'Mapa final'!$AA$44="Catastrófico"),CONCATENATE("R6C",'Mapa final'!$O$44),"")</f>
        <v/>
      </c>
      <c r="AK53" s="69" t="str">
        <f>IF(AND('Mapa final'!$Y$45="Muy Baja",'Mapa final'!$AA$45="Catastrófico"),CONCATENATE("R6C",'Mapa final'!$O$45),"")</f>
        <v/>
      </c>
      <c r="AL53" s="69" t="str">
        <f>IF(AND('Mapa final'!$Y$46="Muy Baja",'Mapa final'!$AA$46="Catastrófico"),CONCATENATE("R6C",'Mapa final'!$O$46),"")</f>
        <v/>
      </c>
      <c r="AM53" s="70" t="str">
        <f>IF(AND('Mapa final'!$Y$47="Muy Baja",'Mapa final'!$AA$47="Catastrófico"),CONCATENATE("R6C",'Mapa final'!$O$47),"")</f>
        <v/>
      </c>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row>
    <row r="54" spans="1:80" ht="15" customHeight="1" x14ac:dyDescent="0.25">
      <c r="A54" s="96"/>
      <c r="B54" s="285"/>
      <c r="C54" s="285"/>
      <c r="D54" s="286"/>
      <c r="E54" s="384"/>
      <c r="F54" s="383"/>
      <c r="G54" s="383"/>
      <c r="H54" s="383"/>
      <c r="I54" s="383"/>
      <c r="J54" s="89" t="str">
        <f>IF(AND('Mapa final'!$Y$48="Muy Baja",'Mapa final'!$AA$48="Leve"),CONCATENATE("R7C",'Mapa final'!$O$48),"")</f>
        <v/>
      </c>
      <c r="K54" s="90" t="str">
        <f>IF(AND('Mapa final'!$Y$49="Muy Baja",'Mapa final'!$AA$49="Leve"),CONCATENATE("R7C",'Mapa final'!$O$49),"")</f>
        <v/>
      </c>
      <c r="L54" s="90" t="str">
        <f>IF(AND('Mapa final'!$Y$50="Muy Baja",'Mapa final'!$AA$50="Leve"),CONCATENATE("R7C",'Mapa final'!$O$50),"")</f>
        <v/>
      </c>
      <c r="M54" s="90" t="str">
        <f>IF(AND('Mapa final'!$Y$51="Muy Baja",'Mapa final'!$AA$51="Leve"),CONCATENATE("R7C",'Mapa final'!$O$51),"")</f>
        <v/>
      </c>
      <c r="N54" s="90" t="str">
        <f>IF(AND('Mapa final'!$Y$52="Muy Baja",'Mapa final'!$AA$52="Leve"),CONCATENATE("R7C",'Mapa final'!$O$52),"")</f>
        <v/>
      </c>
      <c r="O54" s="91" t="str">
        <f>IF(AND('Mapa final'!$Y$53="Muy Baja",'Mapa final'!$AA$53="Leve"),CONCATENATE("R7C",'Mapa final'!$O$53),"")</f>
        <v/>
      </c>
      <c r="P54" s="90" t="str">
        <f>IF(AND('Mapa final'!$Y$48="Muy Baja",'Mapa final'!$AA$48="Menor"),CONCATENATE("R7C",'Mapa final'!$O$48),"")</f>
        <v/>
      </c>
      <c r="Q54" s="90" t="str">
        <f>IF(AND('Mapa final'!$Y$49="Muy Baja",'Mapa final'!$AA$49="Menor"),CONCATENATE("R7C",'Mapa final'!$O$49),"")</f>
        <v/>
      </c>
      <c r="R54" s="90" t="str">
        <f>IF(AND('Mapa final'!$Y$50="Muy Baja",'Mapa final'!$AA$50="Menor"),CONCATENATE("R7C",'Mapa final'!$O$50),"")</f>
        <v/>
      </c>
      <c r="S54" s="90" t="str">
        <f>IF(AND('Mapa final'!$Y$51="Muy Baja",'Mapa final'!$AA$51="Menor"),CONCATENATE("R7C",'Mapa final'!$O$51),"")</f>
        <v/>
      </c>
      <c r="T54" s="90" t="str">
        <f>IF(AND('Mapa final'!$Y$52="Muy Baja",'Mapa final'!$AA$52="Menor"),CONCATENATE("R7C",'Mapa final'!$O$52),"")</f>
        <v/>
      </c>
      <c r="U54" s="90" t="str">
        <f>IF(AND('Mapa final'!$Y$53="Muy Baja",'Mapa final'!$AA$53="Menor"),CONCATENATE("R7C",'Mapa final'!$O$53),"")</f>
        <v/>
      </c>
      <c r="V54" s="80" t="str">
        <f>IF(AND('Mapa final'!$Y$48="Muy Baja",'Mapa final'!$AA$48="Moderado"),CONCATENATE("R7C",'Mapa final'!$O$48),"")</f>
        <v/>
      </c>
      <c r="W54" s="81" t="str">
        <f>IF(AND('Mapa final'!$Y$49="Muy Baja",'Mapa final'!$AA$49="Moderado"),CONCATENATE("R7C",'Mapa final'!$O$49),"")</f>
        <v/>
      </c>
      <c r="X54" s="81" t="str">
        <f>IF(AND('Mapa final'!$Y$50="Muy Baja",'Mapa final'!$AA$50="Moderado"),CONCATENATE("R7C",'Mapa final'!$O$50),"")</f>
        <v/>
      </c>
      <c r="Y54" s="81" t="str">
        <f>IF(AND('Mapa final'!$Y$51="Muy Baja",'Mapa final'!$AA$51="Moderado"),CONCATENATE("R7C",'Mapa final'!$O$51),"")</f>
        <v/>
      </c>
      <c r="Z54" s="81" t="str">
        <f>IF(AND('Mapa final'!$Y$52="Muy Baja",'Mapa final'!$AA$52="Moderado"),CONCATENATE("R7C",'Mapa final'!$O$52),"")</f>
        <v/>
      </c>
      <c r="AA54" s="82" t="str">
        <f>IF(AND('Mapa final'!$Y$53="Muy Baja",'Mapa final'!$AA$53="Moderado"),CONCATENATE("R7C",'Mapa final'!$O$53),"")</f>
        <v/>
      </c>
      <c r="AB54" s="66" t="str">
        <f>IF(AND('Mapa final'!$Y$48="Muy Baja",'Mapa final'!$AA$48="Mayor"),CONCATENATE("R7C",'Mapa final'!$O$48),"")</f>
        <v/>
      </c>
      <c r="AC54" s="66" t="str">
        <f>IF(AND('Mapa final'!$Y$49="Muy Baja",'Mapa final'!$AA$49="Mayor"),CONCATENATE("R7C",'Mapa final'!$O$49),"")</f>
        <v/>
      </c>
      <c r="AD54" s="66" t="str">
        <f>IF(AND('Mapa final'!$Y$50="Muy Baja",'Mapa final'!$AA$50="Mayor"),CONCATENATE("R7C",'Mapa final'!$O$50),"")</f>
        <v/>
      </c>
      <c r="AE54" s="66" t="str">
        <f>IF(AND('Mapa final'!$Y$51="Muy Baja",'Mapa final'!$AA$51="Mayor"),CONCATENATE("R7C",'Mapa final'!$O$51),"")</f>
        <v/>
      </c>
      <c r="AF54" s="66" t="str">
        <f>IF(AND('Mapa final'!$Y$52="Muy Baja",'Mapa final'!$AA$52="Mayor"),CONCATENATE("R7C",'Mapa final'!$O$52),"")</f>
        <v/>
      </c>
      <c r="AG54" s="67" t="str">
        <f>IF(AND('Mapa final'!$Y$53="Muy Baja",'Mapa final'!$AA$53="Mayor"),CONCATENATE("R7C",'Mapa final'!$O$53),"")</f>
        <v/>
      </c>
      <c r="AH54" s="68" t="str">
        <f>IF(AND('Mapa final'!$Y$48="Muy Baja",'Mapa final'!$AA$48="Catastrófico"),CONCATENATE("R7C",'Mapa final'!$O$48),"")</f>
        <v/>
      </c>
      <c r="AI54" s="69" t="str">
        <f>IF(AND('Mapa final'!$Y$49="Muy Baja",'Mapa final'!$AA$49="Catastrófico"),CONCATENATE("R7C",'Mapa final'!$O$49),"")</f>
        <v/>
      </c>
      <c r="AJ54" s="69" t="str">
        <f>IF(AND('Mapa final'!$Y$50="Muy Baja",'Mapa final'!$AA$50="Catastrófico"),CONCATENATE("R7C",'Mapa final'!$O$50),"")</f>
        <v/>
      </c>
      <c r="AK54" s="69" t="str">
        <f>IF(AND('Mapa final'!$Y$51="Muy Baja",'Mapa final'!$AA$51="Catastrófico"),CONCATENATE("R7C",'Mapa final'!$O$51),"")</f>
        <v/>
      </c>
      <c r="AL54" s="69" t="str">
        <f>IF(AND('Mapa final'!$Y$52="Muy Baja",'Mapa final'!$AA$52="Catastrófico"),CONCATENATE("R7C",'Mapa final'!$O$52),"")</f>
        <v/>
      </c>
      <c r="AM54" s="70" t="str">
        <f>IF(AND('Mapa final'!$Y$53="Muy Baja",'Mapa final'!$AA$53="Catastrófico"),CONCATENATE("R7C",'Mapa final'!$O$53),"")</f>
        <v/>
      </c>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row>
    <row r="55" spans="1:80" ht="15" customHeight="1" x14ac:dyDescent="0.25">
      <c r="A55" s="96"/>
      <c r="B55" s="285"/>
      <c r="C55" s="285"/>
      <c r="D55" s="286"/>
      <c r="E55" s="384"/>
      <c r="F55" s="383"/>
      <c r="G55" s="383"/>
      <c r="H55" s="383"/>
      <c r="I55" s="383"/>
      <c r="J55" s="89" t="str">
        <f ca="1">IF(AND('Mapa final'!$Y$54="Muy Baja",'Mapa final'!$AA$54="Leve"),CONCATENATE("R8C",'Mapa final'!$O$54),"")</f>
        <v/>
      </c>
      <c r="K55" s="90" t="str">
        <f>IF(AND('Mapa final'!$Y$55="Muy Baja",'Mapa final'!$AA$55="Leve"),CONCATENATE("R8C",'Mapa final'!$O$55),"")</f>
        <v/>
      </c>
      <c r="L55" s="90" t="str">
        <f>IF(AND('Mapa final'!$Y$56="Muy Baja",'Mapa final'!$AA$56="Leve"),CONCATENATE("R8C",'Mapa final'!$O$56),"")</f>
        <v/>
      </c>
      <c r="M55" s="90" t="str">
        <f>IF(AND('Mapa final'!$Y$57="Muy Baja",'Mapa final'!$AA$57="Leve"),CONCATENATE("R8C",'Mapa final'!$O$57),"")</f>
        <v/>
      </c>
      <c r="N55" s="90" t="str">
        <f>IF(AND('Mapa final'!$Y$58="Muy Baja",'Mapa final'!$AA$58="Leve"),CONCATENATE("R8C",'Mapa final'!$O$58),"")</f>
        <v/>
      </c>
      <c r="O55" s="91" t="str">
        <f>IF(AND('Mapa final'!$Y$59="Muy Baja",'Mapa final'!$AA$59="Leve"),CONCATENATE("R8C",'Mapa final'!$O$59),"")</f>
        <v/>
      </c>
      <c r="P55" s="90" t="str">
        <f ca="1">IF(AND('Mapa final'!$Y$54="Muy Baja",'Mapa final'!$AA$54="Menor"),CONCATENATE("R8C",'Mapa final'!$O$54),"")</f>
        <v/>
      </c>
      <c r="Q55" s="90" t="str">
        <f>IF(AND('Mapa final'!$Y$55="Muy Baja",'Mapa final'!$AA$55="Menor"),CONCATENATE("R8C",'Mapa final'!$O$55),"")</f>
        <v/>
      </c>
      <c r="R55" s="90" t="str">
        <f>IF(AND('Mapa final'!$Y$56="Muy Baja",'Mapa final'!$AA$56="Menor"),CONCATENATE("R8C",'Mapa final'!$O$56),"")</f>
        <v/>
      </c>
      <c r="S55" s="90" t="str">
        <f>IF(AND('Mapa final'!$Y$57="Muy Baja",'Mapa final'!$AA$57="Menor"),CONCATENATE("R8C",'Mapa final'!$O$57),"")</f>
        <v/>
      </c>
      <c r="T55" s="90" t="str">
        <f>IF(AND('Mapa final'!$Y$58="Muy Baja",'Mapa final'!$AA$58="Menor"),CONCATENATE("R8C",'Mapa final'!$O$58),"")</f>
        <v/>
      </c>
      <c r="U55" s="90" t="str">
        <f>IF(AND('Mapa final'!$Y$59="Muy Baja",'Mapa final'!$AA$59="Menor"),CONCATENATE("R8C",'Mapa final'!$O$59),"")</f>
        <v/>
      </c>
      <c r="V55" s="80" t="str">
        <f ca="1">IF(AND('Mapa final'!$Y$54="Muy Baja",'Mapa final'!$AA$54="Moderado"),CONCATENATE("R8C",'Mapa final'!$O$54),"")</f>
        <v/>
      </c>
      <c r="W55" s="81" t="str">
        <f>IF(AND('Mapa final'!$Y$55="Muy Baja",'Mapa final'!$AA$55="Moderado"),CONCATENATE("R8C",'Mapa final'!$O$55),"")</f>
        <v/>
      </c>
      <c r="X55" s="81" t="str">
        <f>IF(AND('Mapa final'!$Y$56="Muy Baja",'Mapa final'!$AA$56="Moderado"),CONCATENATE("R8C",'Mapa final'!$O$56),"")</f>
        <v/>
      </c>
      <c r="Y55" s="81" t="str">
        <f>IF(AND('Mapa final'!$Y$57="Muy Baja",'Mapa final'!$AA$57="Moderado"),CONCATENATE("R8C",'Mapa final'!$O$57),"")</f>
        <v/>
      </c>
      <c r="Z55" s="81" t="str">
        <f>IF(AND('Mapa final'!$Y$58="Muy Baja",'Mapa final'!$AA$58="Moderado"),CONCATENATE("R8C",'Mapa final'!$O$58),"")</f>
        <v/>
      </c>
      <c r="AA55" s="82" t="str">
        <f>IF(AND('Mapa final'!$Y$59="Muy Baja",'Mapa final'!$AA$59="Moderado"),CONCATENATE("R8C",'Mapa final'!$O$59),"")</f>
        <v/>
      </c>
      <c r="AB55" s="66" t="str">
        <f ca="1">IF(AND('Mapa final'!$Y$54="Muy Baja",'Mapa final'!$AA$54="Mayor"),CONCATENATE("R8C",'Mapa final'!$O$54),"")</f>
        <v/>
      </c>
      <c r="AC55" s="66" t="str">
        <f>IF(AND('Mapa final'!$Y$55="Muy Baja",'Mapa final'!$AA$55="Mayor"),CONCATENATE("R8C",'Mapa final'!$O$55),"")</f>
        <v/>
      </c>
      <c r="AD55" s="66" t="str">
        <f>IF(AND('Mapa final'!$Y$56="Muy Baja",'Mapa final'!$AA$56="Mayor"),CONCATENATE("R8C",'Mapa final'!$O$56),"")</f>
        <v/>
      </c>
      <c r="AE55" s="66" t="str">
        <f>IF(AND('Mapa final'!$Y$57="Muy Baja",'Mapa final'!$AA$57="Mayor"),CONCATENATE("R8C",'Mapa final'!$O$57),"")</f>
        <v/>
      </c>
      <c r="AF55" s="66" t="str">
        <f>IF(AND('Mapa final'!$Y$58="Muy Baja",'Mapa final'!$AA$58="Mayor"),CONCATENATE("R8C",'Mapa final'!$O$58),"")</f>
        <v/>
      </c>
      <c r="AG55" s="67" t="str">
        <f>IF(AND('Mapa final'!$Y$59="Muy Baja",'Mapa final'!$AA$59="Mayor"),CONCATENATE("R8C",'Mapa final'!$O$59),"")</f>
        <v/>
      </c>
      <c r="AH55" s="68" t="str">
        <f ca="1">IF(AND('Mapa final'!$Y$54="Muy Baja",'Mapa final'!$AA$54="Catastrófico"),CONCATENATE("R8C",'Mapa final'!$O$54),"")</f>
        <v/>
      </c>
      <c r="AI55" s="69" t="str">
        <f>IF(AND('Mapa final'!$Y$55="Muy Baja",'Mapa final'!$AA$55="Catastrófico"),CONCATENATE("R8C",'Mapa final'!$O$55),"")</f>
        <v/>
      </c>
      <c r="AJ55" s="69" t="str">
        <f>IF(AND('Mapa final'!$Y$56="Muy Baja",'Mapa final'!$AA$56="Catastrófico"),CONCATENATE("R8C",'Mapa final'!$O$56),"")</f>
        <v/>
      </c>
      <c r="AK55" s="69" t="str">
        <f>IF(AND('Mapa final'!$Y$57="Muy Baja",'Mapa final'!$AA$57="Catastrófico"),CONCATENATE("R8C",'Mapa final'!$O$57),"")</f>
        <v/>
      </c>
      <c r="AL55" s="69" t="str">
        <f>IF(AND('Mapa final'!$Y$58="Muy Baja",'Mapa final'!$AA$58="Catastrófico"),CONCATENATE("R8C",'Mapa final'!$O$58),"")</f>
        <v/>
      </c>
      <c r="AM55" s="70" t="str">
        <f>IF(AND('Mapa final'!$Y$59="Muy Baja",'Mapa final'!$AA$59="Catastrófico"),CONCATENATE("R8C",'Mapa final'!$O$59),"")</f>
        <v/>
      </c>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row>
    <row r="56" spans="1:80" ht="15" customHeight="1" x14ac:dyDescent="0.25">
      <c r="A56" s="96"/>
      <c r="B56" s="285"/>
      <c r="C56" s="285"/>
      <c r="D56" s="286"/>
      <c r="E56" s="384"/>
      <c r="F56" s="383"/>
      <c r="G56" s="383"/>
      <c r="H56" s="383"/>
      <c r="I56" s="383"/>
      <c r="J56" s="89" t="str">
        <f ca="1">IF(AND('Mapa final'!$Y$60="Muy Baja",'Mapa final'!$AA$60="Leve"),CONCATENATE("R9C",'Mapa final'!$O$60),"")</f>
        <v/>
      </c>
      <c r="K56" s="90" t="str">
        <f>IF(AND('Mapa final'!$Y$61="Muy Baja",'Mapa final'!$AA$61="Leve"),CONCATENATE("R9C",'Mapa final'!$O$61),"")</f>
        <v/>
      </c>
      <c r="L56" s="90" t="str">
        <f>IF(AND('Mapa final'!$Y$62="Muy Baja",'Mapa final'!$AA$62="Leve"),CONCATENATE("R9C",'Mapa final'!$O$62),"")</f>
        <v/>
      </c>
      <c r="M56" s="90" t="str">
        <f>IF(AND('Mapa final'!$Y$63="Muy Baja",'Mapa final'!$AA$63="Leve"),CONCATENATE("R9C",'Mapa final'!$O$63),"")</f>
        <v/>
      </c>
      <c r="N56" s="90" t="str">
        <f>IF(AND('Mapa final'!$Y$64="Muy Baja",'Mapa final'!$AA$64="Leve"),CONCATENATE("R9C",'Mapa final'!$O$64),"")</f>
        <v/>
      </c>
      <c r="O56" s="91" t="str">
        <f>IF(AND('Mapa final'!$Y$65="Muy Baja",'Mapa final'!$AA$65="Leve"),CONCATENATE("R9C",'Mapa final'!$O$65),"")</f>
        <v/>
      </c>
      <c r="P56" s="90" t="str">
        <f ca="1">IF(AND('Mapa final'!$Y$60="Muy Baja",'Mapa final'!$AA$60="Menor"),CONCATENATE("R9C",'Mapa final'!$O$60),"")</f>
        <v/>
      </c>
      <c r="Q56" s="90" t="str">
        <f>IF(AND('Mapa final'!$Y$61="Muy Baja",'Mapa final'!$AA$61="Menor"),CONCATENATE("R9C",'Mapa final'!$O$61),"")</f>
        <v/>
      </c>
      <c r="R56" s="90" t="str">
        <f>IF(AND('Mapa final'!$Y$62="Muy Baja",'Mapa final'!$AA$62="Menor"),CONCATENATE("R9C",'Mapa final'!$O$62),"")</f>
        <v/>
      </c>
      <c r="S56" s="90" t="str">
        <f>IF(AND('Mapa final'!$Y$63="Muy Baja",'Mapa final'!$AA$63="Menor"),CONCATENATE("R9C",'Mapa final'!$O$63),"")</f>
        <v/>
      </c>
      <c r="T56" s="90" t="str">
        <f>IF(AND('Mapa final'!$Y$64="Muy Baja",'Mapa final'!$AA$64="Menor"),CONCATENATE("R9C",'Mapa final'!$O$64),"")</f>
        <v/>
      </c>
      <c r="U56" s="90" t="str">
        <f>IF(AND('Mapa final'!$Y$65="Muy Baja",'Mapa final'!$AA$65="Menor"),CONCATENATE("R9C",'Mapa final'!$O$65),"")</f>
        <v/>
      </c>
      <c r="V56" s="80" t="str">
        <f ca="1">IF(AND('Mapa final'!$Y$60="Muy Baja",'Mapa final'!$AA$60="Moderado"),CONCATENATE("R9C",'Mapa final'!$O$60),"")</f>
        <v/>
      </c>
      <c r="W56" s="81" t="str">
        <f>IF(AND('Mapa final'!$Y$61="Muy Baja",'Mapa final'!$AA$61="Moderado"),CONCATENATE("R9C",'Mapa final'!$O$61),"")</f>
        <v/>
      </c>
      <c r="X56" s="81" t="str">
        <f>IF(AND('Mapa final'!$Y$62="Muy Baja",'Mapa final'!$AA$62="Moderado"),CONCATENATE("R9C",'Mapa final'!$O$62),"")</f>
        <v/>
      </c>
      <c r="Y56" s="81" t="str">
        <f>IF(AND('Mapa final'!$Y$63="Muy Baja",'Mapa final'!$AA$63="Moderado"),CONCATENATE("R9C",'Mapa final'!$O$63),"")</f>
        <v/>
      </c>
      <c r="Z56" s="81" t="str">
        <f>IF(AND('Mapa final'!$Y$64="Muy Baja",'Mapa final'!$AA$64="Moderado"),CONCATENATE("R9C",'Mapa final'!$O$64),"")</f>
        <v/>
      </c>
      <c r="AA56" s="82" t="str">
        <f>IF(AND('Mapa final'!$Y$65="Muy Baja",'Mapa final'!$AA$65="Moderado"),CONCATENATE("R9C",'Mapa final'!$O$65),"")</f>
        <v/>
      </c>
      <c r="AB56" s="66" t="str">
        <f ca="1">IF(AND('Mapa final'!$Y$60="Muy Baja",'Mapa final'!$AA$60="Mayor"),CONCATENATE("R9C",'Mapa final'!$O$60),"")</f>
        <v/>
      </c>
      <c r="AC56" s="66" t="str">
        <f>IF(AND('Mapa final'!$Y$61="Muy Baja",'Mapa final'!$AA$61="Mayor"),CONCATENATE("R9C",'Mapa final'!$O$61),"")</f>
        <v/>
      </c>
      <c r="AD56" s="66" t="str">
        <f>IF(AND('Mapa final'!$Y$62="Muy Baja",'Mapa final'!$AA$62="Mayor"),CONCATENATE("R9C",'Mapa final'!$O$62),"")</f>
        <v/>
      </c>
      <c r="AE56" s="66" t="str">
        <f>IF(AND('Mapa final'!$Y$63="Muy Baja",'Mapa final'!$AA$63="Mayor"),CONCATENATE("R9C",'Mapa final'!$O$63),"")</f>
        <v/>
      </c>
      <c r="AF56" s="66" t="str">
        <f>IF(AND('Mapa final'!$Y$64="Muy Baja",'Mapa final'!$AA$64="Mayor"),CONCATENATE("R9C",'Mapa final'!$O$64),"")</f>
        <v/>
      </c>
      <c r="AG56" s="66" t="str">
        <f>IF(AND('Mapa final'!$Y$65="Muy Baja",'Mapa final'!$AA$65="Mayor"),CONCATENATE("R9C",'Mapa final'!$O$65),"")</f>
        <v/>
      </c>
      <c r="AH56" s="69" t="str">
        <f ca="1">IF(AND('Mapa final'!$Y$60="Muy Baja",'Mapa final'!$AA$60="Catastrófico"),CONCATENATE("R9C",'Mapa final'!$O$60),"")</f>
        <v/>
      </c>
      <c r="AI56" s="69" t="str">
        <f>IF(AND('Mapa final'!$Y$61="Muy Baja",'Mapa final'!$AA$61="Catastrófico"),CONCATENATE("R9C",'Mapa final'!$O$61),"")</f>
        <v/>
      </c>
      <c r="AJ56" s="69" t="str">
        <f>IF(AND('Mapa final'!$Y$62="Muy Baja",'Mapa final'!$AA$62="Catastrófico"),CONCATENATE("R9C",'Mapa final'!$O$62),"")</f>
        <v/>
      </c>
      <c r="AK56" s="69" t="str">
        <f>IF(AND('Mapa final'!$Y$63="Muy Baja",'Mapa final'!$AA$63="Catastrófico"),CONCATENATE("R9C",'Mapa final'!$O$63),"")</f>
        <v/>
      </c>
      <c r="AL56" s="69" t="str">
        <f>IF(AND('Mapa final'!$Y$64="Muy Baja",'Mapa final'!$AA$64="Catastrófico"),CONCATENATE("R9C",'Mapa final'!$O$64),"")</f>
        <v/>
      </c>
      <c r="AM56" s="69" t="str">
        <f>IF(AND('Mapa final'!$Y$65="Muy Baja",'Mapa final'!$AA$65="Catastrófico"),CONCATENATE("R9C",'Mapa final'!$O$65),"")</f>
        <v/>
      </c>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row>
    <row r="57" spans="1:80" ht="15" customHeight="1" x14ac:dyDescent="0.25">
      <c r="A57" s="96"/>
      <c r="B57" s="285"/>
      <c r="C57" s="285"/>
      <c r="D57" s="286"/>
      <c r="E57" s="384"/>
      <c r="F57" s="383"/>
      <c r="G57" s="383"/>
      <c r="H57" s="383"/>
      <c r="I57" s="383"/>
      <c r="J57" s="89" t="str">
        <f ca="1">IF(AND('Mapa final'!$Y$66="Muy Baja",'Mapa final'!$AA$66="Leve"),CONCATENATE("R10C",'Mapa final'!$O$66),"")</f>
        <v/>
      </c>
      <c r="K57" s="90" t="str">
        <f>IF(AND('Mapa final'!$Y$67="Muy Baja",'Mapa final'!$AA$67="Leve"),CONCATENATE("R10C",'Mapa final'!$O$67),"")</f>
        <v/>
      </c>
      <c r="L57" s="90" t="str">
        <f>IF(AND('Mapa final'!$Y$68="Muy Baja",'Mapa final'!$AA$68="Leve"),CONCATENATE("R10C",'Mapa final'!$O$68),"")</f>
        <v/>
      </c>
      <c r="M57" s="90" t="str">
        <f>IF(AND('Mapa final'!$Y$69="Muy Baja",'Mapa final'!$AA$69="Leve"),CONCATENATE("R10C",'Mapa final'!$O$69),"")</f>
        <v/>
      </c>
      <c r="N57" s="90" t="str">
        <f>IF(AND('Mapa final'!$Y$70="Muy Baja",'Mapa final'!$AA$70="Leve"),CONCATENATE("R10C",'Mapa final'!$O$70),"")</f>
        <v/>
      </c>
      <c r="O57" s="91" t="str">
        <f>IF(AND('Mapa final'!$Y$71="Muy Baja",'Mapa final'!$AA$71="Leve"),CONCATENATE("R10C",'Mapa final'!$O$71),"")</f>
        <v/>
      </c>
      <c r="P57" s="90" t="str">
        <f ca="1">IF(AND('Mapa final'!$Y$66="Muy Baja",'Mapa final'!$AA$66="Menor"),CONCATENATE("R10C",'Mapa final'!$O$66),"")</f>
        <v/>
      </c>
      <c r="Q57" s="90" t="str">
        <f>IF(AND('Mapa final'!$Y$67="Muy Baja",'Mapa final'!$AA$67="Menor"),CONCATENATE("R10C",'Mapa final'!$O$67),"")</f>
        <v/>
      </c>
      <c r="R57" s="90" t="str">
        <f>IF(AND('Mapa final'!$Y$68="Muy Baja",'Mapa final'!$AA$68="Menor"),CONCATENATE("R10C",'Mapa final'!$O$68),"")</f>
        <v/>
      </c>
      <c r="S57" s="90" t="str">
        <f>IF(AND('Mapa final'!$Y$69="Muy Baja",'Mapa final'!$AA$69="Menor"),CONCATENATE("R10C",'Mapa final'!$O$69),"")</f>
        <v/>
      </c>
      <c r="T57" s="90" t="str">
        <f>IF(AND('Mapa final'!$Y$70="Muy Baja",'Mapa final'!$AA$70="Menor"),CONCATENATE("R10C",'Mapa final'!$O$70),"")</f>
        <v/>
      </c>
      <c r="U57" s="90" t="str">
        <f>IF(AND('Mapa final'!$Y$71="Muy Baja",'Mapa final'!$AA$71="Menor"),CONCATENATE("R10C",'Mapa final'!$O$71),"")</f>
        <v/>
      </c>
      <c r="V57" s="80" t="str">
        <f ca="1">IF(AND('Mapa final'!$Y$66="Muy Baja",'Mapa final'!$AA$66="Moderado"),CONCATENATE("R10C",'Mapa final'!$O$66),"")</f>
        <v/>
      </c>
      <c r="W57" s="81" t="str">
        <f>IF(AND('Mapa final'!$Y$67="Muy Baja",'Mapa final'!$AA$67="Moderado"),CONCATENATE("R10C",'Mapa final'!$O$67),"")</f>
        <v/>
      </c>
      <c r="X57" s="81" t="str">
        <f>IF(AND('Mapa final'!$Y$68="Muy Baja",'Mapa final'!$AA$68="Moderado"),CONCATENATE("R10C",'Mapa final'!$O$68),"")</f>
        <v/>
      </c>
      <c r="Y57" s="81" t="str">
        <f>IF(AND('Mapa final'!$Y$69="Muy Baja",'Mapa final'!$AA$69="Moderado"),CONCATENATE("R10C",'Mapa final'!$O$69),"")</f>
        <v/>
      </c>
      <c r="Z57" s="81" t="str">
        <f>IF(AND('Mapa final'!$Y$70="Muy Baja",'Mapa final'!$AA$70="Moderado"),CONCATENATE("R10C",'Mapa final'!$O$70),"")</f>
        <v/>
      </c>
      <c r="AA57" s="82" t="str">
        <f>IF(AND('Mapa final'!$Y$71="Muy Baja",'Mapa final'!$AA$71="Moderado"),CONCATENATE("R10C",'Mapa final'!$O$71),"")</f>
        <v/>
      </c>
      <c r="AB57" s="66" t="str">
        <f ca="1">IF(AND('Mapa final'!$Y$66="Muy Baja",'Mapa final'!$AA$66="Mayor"),CONCATENATE("R10C",'Mapa final'!$O$66),"")</f>
        <v/>
      </c>
      <c r="AC57" s="66" t="str">
        <f>IF(AND('Mapa final'!$Y$67="Muy Baja",'Mapa final'!$AA$67="Mayor"),CONCATENATE("R10C",'Mapa final'!$O$67),"")</f>
        <v/>
      </c>
      <c r="AD57" s="66" t="str">
        <f>IF(AND('Mapa final'!$Y$68="Muy Baja",'Mapa final'!$AA$68="Mayor"),CONCATENATE("R10C",'Mapa final'!$O$68),"")</f>
        <v/>
      </c>
      <c r="AE57" s="66" t="str">
        <f>IF(AND('Mapa final'!$Y$69="Muy Baja",'Mapa final'!$AA$69="Mayor"),CONCATENATE("R10C",'Mapa final'!$O$69),"")</f>
        <v/>
      </c>
      <c r="AF57" s="66" t="str">
        <f>IF(AND('Mapa final'!$Y$70="Muy Baja",'Mapa final'!$AA$70="Mayor"),CONCATENATE("R10C",'Mapa final'!$O$70),"")</f>
        <v/>
      </c>
      <c r="AG57" s="66" t="str">
        <f>IF(AND('Mapa final'!$Y$71="Muy Baja",'Mapa final'!$AA$71="Mayor"),CONCATENATE("R10C",'Mapa final'!$O$71),"")</f>
        <v/>
      </c>
      <c r="AH57" s="68"/>
      <c r="AI57" s="69"/>
      <c r="AJ57" s="69"/>
      <c r="AK57" s="69"/>
      <c r="AL57" s="69"/>
      <c r="AM57" s="70"/>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row>
    <row r="58" spans="1:80" ht="15.75" customHeight="1" thickBot="1" x14ac:dyDescent="0.3">
      <c r="A58" s="96"/>
      <c r="B58" s="285"/>
      <c r="C58" s="285"/>
      <c r="D58" s="286"/>
      <c r="E58" s="385"/>
      <c r="F58" s="386"/>
      <c r="G58" s="386"/>
      <c r="H58" s="386"/>
      <c r="I58" s="386"/>
      <c r="J58" s="92" t="str">
        <f ca="1">IF(AND('Mapa final'!$Y$72="Muy Baja",'Mapa final'!$AA$72="Leve"),CONCATENATE("R11C",'Mapa final'!$O$72),"")</f>
        <v/>
      </c>
      <c r="K58" s="93" t="str">
        <f>IF(AND('Mapa final'!$Y$73="Muy Baja",'Mapa final'!$AA$73="Leve"),CONCATENATE("R11C",'Mapa final'!$O$73),"")</f>
        <v/>
      </c>
      <c r="L58" s="93" t="str">
        <f>IF(AND('Mapa final'!$Y$74="Muy Baja",'Mapa final'!$AA$74="Leve"),CONCATENATE("R11C",'Mapa final'!$O$74),"")</f>
        <v/>
      </c>
      <c r="M58" s="93" t="str">
        <f>IF(AND('Mapa final'!$Y$75="Muy Baja",'Mapa final'!$AA$75="Leve"),CONCATENATE("R11C",'Mapa final'!$O$75),"")</f>
        <v/>
      </c>
      <c r="N58" s="93" t="str">
        <f>IF(AND('Mapa final'!$Y$76="Muy Baja",'Mapa final'!$AA$76="Leve"),CONCATENATE("R11C",'Mapa final'!$O$76),"")</f>
        <v/>
      </c>
      <c r="O58" s="94" t="str">
        <f>IF(AND('Mapa final'!$Y$77="Muy Baja",'Mapa final'!$AA$77="Leve"),CONCATENATE("R11C",'Mapa final'!$O$77),"")</f>
        <v/>
      </c>
      <c r="P58" s="93" t="str">
        <f ca="1">IF(AND('Mapa final'!$Y$72="Muy Baja",'Mapa final'!$AA$72="Menor"),CONCATENATE("R10C",'Mapa final'!$O$72),"")</f>
        <v/>
      </c>
      <c r="Q58" s="93" t="str">
        <f>IF(AND('Mapa final'!$Y$73="Muy Baja",'Mapa final'!$AA$73="Menor"),CONCATENATE("R10C",'Mapa final'!$O$73),"")</f>
        <v/>
      </c>
      <c r="R58" s="93" t="str">
        <f>IF(AND('Mapa final'!$Y$74="Muy Baja",'Mapa final'!$AA$74="Menor"),CONCATENATE("R10C",'Mapa final'!$O$74),"")</f>
        <v/>
      </c>
      <c r="S58" s="93" t="str">
        <f>IF(AND('Mapa final'!$Y$75="Muy Baja",'Mapa final'!$AA$75="Menor"),CONCATENATE("R10C",'Mapa final'!$O$75),"")</f>
        <v/>
      </c>
      <c r="T58" s="93" t="str">
        <f>IF(AND('Mapa final'!$Y$76="Muy Baja",'Mapa final'!$AA$76="Menor"),CONCATENATE("R10C",'Mapa final'!$O$76),"")</f>
        <v/>
      </c>
      <c r="U58" s="93" t="str">
        <f>IF(AND('Mapa final'!$Y$77="Muy Baja",'Mapa final'!$AA$77="Menor"),CONCATENATE("R10C",'Mapa final'!$O$77),"")</f>
        <v/>
      </c>
      <c r="V58" s="83" t="str">
        <f ca="1">IF(AND('Mapa final'!$Y$72="Muy Baja",'Mapa final'!$AA$72="Moderado"),CONCATENATE("R10C",'Mapa final'!$O$72),"")</f>
        <v/>
      </c>
      <c r="W58" s="84" t="str">
        <f>IF(AND('Mapa final'!$Y$73="Muy Baja",'Mapa final'!$AA$73="Moderado"),CONCATENATE("R10C",'Mapa final'!$O$73),"")</f>
        <v/>
      </c>
      <c r="X58" s="84" t="str">
        <f>IF(AND('Mapa final'!$Y$74="Muy Baja",'Mapa final'!$AA$74="Moderado"),CONCATENATE("R10C",'Mapa final'!$O$74),"")</f>
        <v/>
      </c>
      <c r="Y58" s="84" t="str">
        <f>IF(AND('Mapa final'!$Y$75="Muy Baja",'Mapa final'!$AA$75="Moderado"),CONCATENATE("R10C",'Mapa final'!$O$75),"")</f>
        <v/>
      </c>
      <c r="Z58" s="84" t="str">
        <f>IF(AND('Mapa final'!$Y$76="Muy Baja",'Mapa final'!$AA$76="Moderado"),CONCATENATE("R10C",'Mapa final'!$O$76),"")</f>
        <v/>
      </c>
      <c r="AA58" s="85" t="str">
        <f>IF(AND('Mapa final'!$Y$77="Muy Baja",'Mapa final'!$AA$77="Moderado"),CONCATENATE("R10C",'Mapa final'!$O$77),"")</f>
        <v/>
      </c>
      <c r="AB58" s="72" t="str">
        <f ca="1">IF(AND('Mapa final'!$Y$72="Muy Baja",'Mapa final'!$AA$72="Mayor"),CONCATENATE("R10C",'Mapa final'!$O$72),"")</f>
        <v/>
      </c>
      <c r="AC58" s="72" t="str">
        <f>IF(AND('Mapa final'!$Y$73="Muy Baja",'Mapa final'!$AA$73="Mayor"),CONCATENATE("R10C",'Mapa final'!$O$73),"")</f>
        <v/>
      </c>
      <c r="AD58" s="72" t="str">
        <f>IF(AND('Mapa final'!$Y$74="Muy Baja",'Mapa final'!$AA$74="Mayor"),CONCATENATE("R10C",'Mapa final'!$O$74),"")</f>
        <v/>
      </c>
      <c r="AE58" s="72" t="str">
        <f>IF(AND('Mapa final'!$Y$75="Muy Baja",'Mapa final'!$AA$75="Mayor"),CONCATENATE("R10C",'Mapa final'!$O$75),"")</f>
        <v/>
      </c>
      <c r="AF58" s="72" t="str">
        <f>IF(AND('Mapa final'!$Y$76="Muy Baja",'Mapa final'!$AA$76="Mayor"),CONCATENATE("R10C",'Mapa final'!$O$76),"")</f>
        <v/>
      </c>
      <c r="AG58" s="73" t="str">
        <f>IF(AND('Mapa final'!$Y$77="Muy Baja",'Mapa final'!$AA$77="Mayor"),CONCATENATE("R10C",'Mapa final'!$O$77),"")</f>
        <v/>
      </c>
      <c r="AH58" s="74" t="str">
        <f ca="1">IF(AND('Mapa final'!$Y$72="Muy Baja",'Mapa final'!$AA$72="Catastrófico"),CONCATENATE("R10C",'Mapa final'!$O$72),"")</f>
        <v/>
      </c>
      <c r="AI58" s="75" t="str">
        <f>IF(AND('Mapa final'!$Y$73="Muy Baja",'Mapa final'!$AA$73="Catastrófico"),CONCATENATE("R10C",'Mapa final'!$O$73),"")</f>
        <v/>
      </c>
      <c r="AJ58" s="75" t="str">
        <f>IF(AND('Mapa final'!$Y$74="Muy Baja",'Mapa final'!$AA$74="Catastrófico"),CONCATENATE("R10C",'Mapa final'!$O$74),"")</f>
        <v/>
      </c>
      <c r="AK58" s="75" t="str">
        <f>IF(AND('Mapa final'!$Y$75="Muy Baja",'Mapa final'!$AA$75="Catastrófico"),CONCATENATE("R10C",'Mapa final'!$O$75),"")</f>
        <v/>
      </c>
      <c r="AL58" s="75" t="str">
        <f>IF(AND('Mapa final'!$Y$76="Muy Baja",'Mapa final'!$AA$76="Catastrófico"),CONCATENATE("R10C",'Mapa final'!$O$76),"")</f>
        <v/>
      </c>
      <c r="AM58" s="76" t="str">
        <f>IF(AND('Mapa final'!$Y$77="Muy Baja",'Mapa final'!$AA$77="Catastrófico"),CONCATENATE("R10C",'Mapa final'!$O$77),"")</f>
        <v/>
      </c>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row>
    <row r="59" spans="1:80" x14ac:dyDescent="0.25">
      <c r="A59" s="96"/>
      <c r="B59" s="96"/>
      <c r="C59" s="96"/>
      <c r="D59" s="96"/>
      <c r="E59" s="96"/>
      <c r="F59" s="96"/>
      <c r="G59" s="96"/>
      <c r="H59" s="96"/>
      <c r="I59" s="96"/>
      <c r="J59" s="380" t="s">
        <v>112</v>
      </c>
      <c r="K59" s="381"/>
      <c r="L59" s="381"/>
      <c r="M59" s="381"/>
      <c r="N59" s="381"/>
      <c r="O59" s="398"/>
      <c r="P59" s="380" t="s">
        <v>111</v>
      </c>
      <c r="Q59" s="381"/>
      <c r="R59" s="381"/>
      <c r="S59" s="381"/>
      <c r="T59" s="381"/>
      <c r="U59" s="398"/>
      <c r="V59" s="380" t="s">
        <v>110</v>
      </c>
      <c r="W59" s="381"/>
      <c r="X59" s="381"/>
      <c r="Y59" s="381"/>
      <c r="Z59" s="381"/>
      <c r="AA59" s="398"/>
      <c r="AB59" s="380" t="s">
        <v>109</v>
      </c>
      <c r="AC59" s="419"/>
      <c r="AD59" s="381"/>
      <c r="AE59" s="381"/>
      <c r="AF59" s="381"/>
      <c r="AG59" s="398"/>
      <c r="AH59" s="380" t="s">
        <v>108</v>
      </c>
      <c r="AI59" s="381"/>
      <c r="AJ59" s="381"/>
      <c r="AK59" s="381"/>
      <c r="AL59" s="381"/>
      <c r="AM59" s="398"/>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row>
    <row r="60" spans="1:80" x14ac:dyDescent="0.25">
      <c r="A60" s="96"/>
      <c r="B60" s="96"/>
      <c r="C60" s="96"/>
      <c r="D60" s="96"/>
      <c r="E60" s="96"/>
      <c r="F60" s="96"/>
      <c r="G60" s="96"/>
      <c r="H60" s="96"/>
      <c r="I60" s="96"/>
      <c r="J60" s="384"/>
      <c r="K60" s="383"/>
      <c r="L60" s="383"/>
      <c r="M60" s="383"/>
      <c r="N60" s="383"/>
      <c r="O60" s="399"/>
      <c r="P60" s="384"/>
      <c r="Q60" s="383"/>
      <c r="R60" s="383"/>
      <c r="S60" s="383"/>
      <c r="T60" s="383"/>
      <c r="U60" s="399"/>
      <c r="V60" s="384"/>
      <c r="W60" s="383"/>
      <c r="X60" s="383"/>
      <c r="Y60" s="383"/>
      <c r="Z60" s="383"/>
      <c r="AA60" s="399"/>
      <c r="AB60" s="384"/>
      <c r="AC60" s="383"/>
      <c r="AD60" s="383"/>
      <c r="AE60" s="383"/>
      <c r="AF60" s="383"/>
      <c r="AG60" s="399"/>
      <c r="AH60" s="384"/>
      <c r="AI60" s="383"/>
      <c r="AJ60" s="383"/>
      <c r="AK60" s="383"/>
      <c r="AL60" s="383"/>
      <c r="AM60" s="399"/>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row>
    <row r="61" spans="1:80" x14ac:dyDescent="0.25">
      <c r="A61" s="96"/>
      <c r="B61" s="96"/>
      <c r="C61" s="96"/>
      <c r="D61" s="96"/>
      <c r="E61" s="96"/>
      <c r="F61" s="96"/>
      <c r="G61" s="96"/>
      <c r="H61" s="96"/>
      <c r="I61" s="96"/>
      <c r="J61" s="384"/>
      <c r="K61" s="383"/>
      <c r="L61" s="383"/>
      <c r="M61" s="383"/>
      <c r="N61" s="383"/>
      <c r="O61" s="399"/>
      <c r="P61" s="384"/>
      <c r="Q61" s="383"/>
      <c r="R61" s="383"/>
      <c r="S61" s="383"/>
      <c r="T61" s="383"/>
      <c r="U61" s="399"/>
      <c r="V61" s="384"/>
      <c r="W61" s="383"/>
      <c r="X61" s="383"/>
      <c r="Y61" s="383"/>
      <c r="Z61" s="383"/>
      <c r="AA61" s="399"/>
      <c r="AB61" s="384"/>
      <c r="AC61" s="383"/>
      <c r="AD61" s="383"/>
      <c r="AE61" s="383"/>
      <c r="AF61" s="383"/>
      <c r="AG61" s="399"/>
      <c r="AH61" s="384"/>
      <c r="AI61" s="383"/>
      <c r="AJ61" s="383"/>
      <c r="AK61" s="383"/>
      <c r="AL61" s="383"/>
      <c r="AM61" s="399"/>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row>
    <row r="62" spans="1:80" x14ac:dyDescent="0.25">
      <c r="A62" s="96"/>
      <c r="B62" s="96"/>
      <c r="C62" s="96"/>
      <c r="D62" s="96"/>
      <c r="E62" s="96"/>
      <c r="F62" s="96"/>
      <c r="G62" s="96"/>
      <c r="H62" s="96"/>
      <c r="I62" s="96"/>
      <c r="J62" s="384"/>
      <c r="K62" s="383"/>
      <c r="L62" s="383"/>
      <c r="M62" s="383"/>
      <c r="N62" s="383"/>
      <c r="O62" s="399"/>
      <c r="P62" s="384"/>
      <c r="Q62" s="383"/>
      <c r="R62" s="383"/>
      <c r="S62" s="383"/>
      <c r="T62" s="383"/>
      <c r="U62" s="399"/>
      <c r="V62" s="384"/>
      <c r="W62" s="383"/>
      <c r="X62" s="383"/>
      <c r="Y62" s="383"/>
      <c r="Z62" s="383"/>
      <c r="AA62" s="399"/>
      <c r="AB62" s="384"/>
      <c r="AC62" s="383"/>
      <c r="AD62" s="383"/>
      <c r="AE62" s="383"/>
      <c r="AF62" s="383"/>
      <c r="AG62" s="399"/>
      <c r="AH62" s="384"/>
      <c r="AI62" s="383"/>
      <c r="AJ62" s="383"/>
      <c r="AK62" s="383"/>
      <c r="AL62" s="383"/>
      <c r="AM62" s="399"/>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row>
    <row r="63" spans="1:80" x14ac:dyDescent="0.25">
      <c r="A63" s="96"/>
      <c r="B63" s="96"/>
      <c r="C63" s="96"/>
      <c r="D63" s="96"/>
      <c r="E63" s="96"/>
      <c r="F63" s="96"/>
      <c r="G63" s="96"/>
      <c r="H63" s="96"/>
      <c r="I63" s="96"/>
      <c r="J63" s="384"/>
      <c r="K63" s="383"/>
      <c r="L63" s="383"/>
      <c r="M63" s="383"/>
      <c r="N63" s="383"/>
      <c r="O63" s="399"/>
      <c r="P63" s="384"/>
      <c r="Q63" s="383"/>
      <c r="R63" s="383"/>
      <c r="S63" s="383"/>
      <c r="T63" s="383"/>
      <c r="U63" s="399"/>
      <c r="V63" s="384"/>
      <c r="W63" s="383"/>
      <c r="X63" s="383"/>
      <c r="Y63" s="383"/>
      <c r="Z63" s="383"/>
      <c r="AA63" s="399"/>
      <c r="AB63" s="384"/>
      <c r="AC63" s="383"/>
      <c r="AD63" s="383"/>
      <c r="AE63" s="383"/>
      <c r="AF63" s="383"/>
      <c r="AG63" s="399"/>
      <c r="AH63" s="384"/>
      <c r="AI63" s="383"/>
      <c r="AJ63" s="383"/>
      <c r="AK63" s="383"/>
      <c r="AL63" s="383"/>
      <c r="AM63" s="399"/>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row>
    <row r="64" spans="1:80" ht="15.75" thickBot="1" x14ac:dyDescent="0.3">
      <c r="A64" s="96"/>
      <c r="B64" s="96"/>
      <c r="C64" s="96"/>
      <c r="D64" s="96"/>
      <c r="E64" s="96"/>
      <c r="F64" s="96"/>
      <c r="G64" s="96"/>
      <c r="H64" s="96"/>
      <c r="I64" s="96"/>
      <c r="J64" s="385"/>
      <c r="K64" s="386"/>
      <c r="L64" s="386"/>
      <c r="M64" s="386"/>
      <c r="N64" s="386"/>
      <c r="O64" s="400"/>
      <c r="P64" s="385"/>
      <c r="Q64" s="386"/>
      <c r="R64" s="386"/>
      <c r="S64" s="386"/>
      <c r="T64" s="386"/>
      <c r="U64" s="400"/>
      <c r="V64" s="385"/>
      <c r="W64" s="386"/>
      <c r="X64" s="386"/>
      <c r="Y64" s="386"/>
      <c r="Z64" s="386"/>
      <c r="AA64" s="400"/>
      <c r="AB64" s="385"/>
      <c r="AC64" s="386"/>
      <c r="AD64" s="386"/>
      <c r="AE64" s="386"/>
      <c r="AF64" s="386"/>
      <c r="AG64" s="400"/>
      <c r="AH64" s="385"/>
      <c r="AI64" s="386"/>
      <c r="AJ64" s="386"/>
      <c r="AK64" s="386"/>
      <c r="AL64" s="386"/>
      <c r="AM64" s="400"/>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row>
    <row r="65" spans="1:60" x14ac:dyDescent="0.2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row>
    <row r="66" spans="1:60" ht="15" customHeight="1" x14ac:dyDescent="0.25">
      <c r="A66" s="96"/>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96"/>
      <c r="AV66" s="96"/>
      <c r="AW66" s="96"/>
      <c r="AX66" s="96"/>
      <c r="AY66" s="96"/>
      <c r="AZ66" s="96"/>
      <c r="BA66" s="96"/>
      <c r="BB66" s="96"/>
      <c r="BC66" s="96"/>
      <c r="BD66" s="96"/>
      <c r="BE66" s="96"/>
      <c r="BF66" s="96"/>
      <c r="BG66" s="96"/>
      <c r="BH66" s="96"/>
    </row>
    <row r="67" spans="1:60" ht="15" customHeight="1" x14ac:dyDescent="0.25">
      <c r="A67" s="96"/>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96"/>
      <c r="AV67" s="96"/>
      <c r="AW67" s="96"/>
      <c r="AX67" s="96"/>
      <c r="AY67" s="96"/>
      <c r="AZ67" s="96"/>
      <c r="BA67" s="96"/>
      <c r="BB67" s="96"/>
      <c r="BC67" s="96"/>
      <c r="BD67" s="96"/>
      <c r="BE67" s="96"/>
      <c r="BF67" s="96"/>
      <c r="BG67" s="96"/>
      <c r="BH67" s="96"/>
    </row>
    <row r="68" spans="1:60" x14ac:dyDescent="0.2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row>
    <row r="69" spans="1:60" x14ac:dyDescent="0.2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row>
    <row r="70" spans="1:60" x14ac:dyDescent="0.2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row>
    <row r="71" spans="1:60" x14ac:dyDescent="0.2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row>
    <row r="72" spans="1:60" x14ac:dyDescent="0.2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row>
    <row r="73" spans="1:60" x14ac:dyDescent="0.2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row>
    <row r="74" spans="1:60" x14ac:dyDescent="0.2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row>
    <row r="75" spans="1:60" x14ac:dyDescent="0.2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row>
    <row r="76" spans="1:60" x14ac:dyDescent="0.2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row>
    <row r="77" spans="1:60" x14ac:dyDescent="0.2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row>
    <row r="78" spans="1:60" x14ac:dyDescent="0.2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row>
    <row r="79" spans="1:60" x14ac:dyDescent="0.2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row>
    <row r="80" spans="1:60" x14ac:dyDescent="0.2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row>
    <row r="81" spans="1:60" x14ac:dyDescent="0.2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row>
    <row r="82" spans="1:60" x14ac:dyDescent="0.2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row>
    <row r="83" spans="1:60" x14ac:dyDescent="0.2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row>
    <row r="84" spans="1:60" x14ac:dyDescent="0.2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row>
    <row r="85" spans="1:60" x14ac:dyDescent="0.2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row>
    <row r="86" spans="1:60" x14ac:dyDescent="0.2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row>
    <row r="87" spans="1:60" x14ac:dyDescent="0.2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row>
    <row r="88" spans="1:60" x14ac:dyDescent="0.2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row>
    <row r="89" spans="1:60" x14ac:dyDescent="0.2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row>
    <row r="90" spans="1:60" x14ac:dyDescent="0.2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row>
    <row r="91" spans="1:60" x14ac:dyDescent="0.2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row>
    <row r="92" spans="1:60" x14ac:dyDescent="0.2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row>
    <row r="93" spans="1:60" x14ac:dyDescent="0.2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row>
    <row r="94" spans="1:60" x14ac:dyDescent="0.2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row>
    <row r="95" spans="1:60" x14ac:dyDescent="0.2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row>
    <row r="96" spans="1:60" x14ac:dyDescent="0.2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row>
    <row r="97" spans="1:60" x14ac:dyDescent="0.2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row>
    <row r="98" spans="1:60" x14ac:dyDescent="0.2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row>
    <row r="99" spans="1:60" x14ac:dyDescent="0.2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row>
    <row r="100" spans="1:60" x14ac:dyDescent="0.2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row>
    <row r="101" spans="1:60" x14ac:dyDescent="0.2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row>
    <row r="102" spans="1:60" x14ac:dyDescent="0.2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row>
    <row r="103" spans="1:60" x14ac:dyDescent="0.2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row>
    <row r="104" spans="1:60" x14ac:dyDescent="0.2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row>
    <row r="105" spans="1:60" x14ac:dyDescent="0.2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row>
    <row r="106" spans="1:60" x14ac:dyDescent="0.2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row>
    <row r="107" spans="1:60" x14ac:dyDescent="0.2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row>
    <row r="108" spans="1:60" x14ac:dyDescent="0.2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row>
    <row r="109" spans="1:60" x14ac:dyDescent="0.2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row>
    <row r="110" spans="1:60" x14ac:dyDescent="0.2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row>
    <row r="111" spans="1:60" x14ac:dyDescent="0.2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row>
    <row r="112" spans="1:60" x14ac:dyDescent="0.2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row>
    <row r="113" spans="1:60" x14ac:dyDescent="0.2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row>
    <row r="114" spans="1:60" x14ac:dyDescent="0.2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row>
    <row r="115" spans="1:60" x14ac:dyDescent="0.2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row>
    <row r="116" spans="1:60" x14ac:dyDescent="0.2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row>
    <row r="117" spans="1:60" x14ac:dyDescent="0.2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row>
    <row r="118" spans="1:60" x14ac:dyDescent="0.2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row>
    <row r="119" spans="1:60" x14ac:dyDescent="0.2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row>
    <row r="120" spans="1:60" x14ac:dyDescent="0.2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row>
    <row r="121" spans="1:60" x14ac:dyDescent="0.2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row>
    <row r="122" spans="1:60" x14ac:dyDescent="0.2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row>
    <row r="123" spans="1:60" x14ac:dyDescent="0.2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row>
    <row r="124" spans="1:60" x14ac:dyDescent="0.2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row>
    <row r="125" spans="1:60" x14ac:dyDescent="0.2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row>
    <row r="126" spans="1:60" x14ac:dyDescent="0.2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row>
    <row r="127" spans="1:60" x14ac:dyDescent="0.2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row>
    <row r="128" spans="1:60" x14ac:dyDescent="0.2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row>
    <row r="129" spans="1:60" x14ac:dyDescent="0.2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row>
    <row r="130" spans="1:60" x14ac:dyDescent="0.2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row>
    <row r="131" spans="1:60" x14ac:dyDescent="0.2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row>
    <row r="132" spans="1:60" x14ac:dyDescent="0.2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row>
    <row r="133" spans="1:60" x14ac:dyDescent="0.2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row>
    <row r="134" spans="1:60" x14ac:dyDescent="0.2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row>
    <row r="135" spans="1:60" x14ac:dyDescent="0.2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row>
    <row r="136" spans="1:60" x14ac:dyDescent="0.2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row>
    <row r="137" spans="1:60" x14ac:dyDescent="0.2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row>
    <row r="138" spans="1:60" x14ac:dyDescent="0.2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row>
    <row r="139" spans="1:60" x14ac:dyDescent="0.2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row>
    <row r="140" spans="1:60" x14ac:dyDescent="0.2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row>
    <row r="141" spans="1:60" x14ac:dyDescent="0.2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row>
    <row r="142" spans="1:60" x14ac:dyDescent="0.2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row>
    <row r="143" spans="1:60" x14ac:dyDescent="0.2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row>
    <row r="144" spans="1:60" x14ac:dyDescent="0.2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row>
    <row r="145" spans="1:60" x14ac:dyDescent="0.2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row>
    <row r="146" spans="1:60" x14ac:dyDescent="0.2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row>
    <row r="147" spans="1:60" x14ac:dyDescent="0.2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row>
    <row r="148" spans="1:60" x14ac:dyDescent="0.2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row>
    <row r="149" spans="1:60" x14ac:dyDescent="0.2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row>
    <row r="150" spans="1:60" x14ac:dyDescent="0.2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row>
    <row r="151" spans="1:60" x14ac:dyDescent="0.2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row>
    <row r="152" spans="1:60" x14ac:dyDescent="0.2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row>
    <row r="153" spans="1:60" x14ac:dyDescent="0.2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row>
    <row r="154" spans="1:60" x14ac:dyDescent="0.2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row>
    <row r="155" spans="1:60" x14ac:dyDescent="0.2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row>
    <row r="156" spans="1:60" x14ac:dyDescent="0.2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row>
    <row r="157" spans="1:60" x14ac:dyDescent="0.2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row>
    <row r="158" spans="1:60" x14ac:dyDescent="0.2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row>
    <row r="159" spans="1:60" x14ac:dyDescent="0.2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row>
    <row r="160" spans="1:60" x14ac:dyDescent="0.2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row>
    <row r="161" spans="1:60" x14ac:dyDescent="0.2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row>
    <row r="162" spans="1:60" x14ac:dyDescent="0.2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row>
    <row r="163" spans="1:60" x14ac:dyDescent="0.2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row>
    <row r="164" spans="1:60" x14ac:dyDescent="0.2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row>
    <row r="165" spans="1:60" x14ac:dyDescent="0.2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row>
    <row r="166" spans="1:60" x14ac:dyDescent="0.2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row>
    <row r="167" spans="1:60" x14ac:dyDescent="0.2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row>
    <row r="168" spans="1:60" x14ac:dyDescent="0.2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row>
    <row r="169" spans="1:60" x14ac:dyDescent="0.2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row>
    <row r="170" spans="1:60" x14ac:dyDescent="0.2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row>
    <row r="171" spans="1:60" x14ac:dyDescent="0.2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row>
    <row r="172" spans="1:60" x14ac:dyDescent="0.2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row>
    <row r="173" spans="1:60" x14ac:dyDescent="0.2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row>
    <row r="174" spans="1:60" x14ac:dyDescent="0.2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row>
    <row r="175" spans="1:60" x14ac:dyDescent="0.2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row>
    <row r="176" spans="1:60" x14ac:dyDescent="0.2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row>
    <row r="177" spans="1:60" x14ac:dyDescent="0.2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row>
    <row r="178" spans="1:60" x14ac:dyDescent="0.2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row>
    <row r="179" spans="1:60" x14ac:dyDescent="0.2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row>
    <row r="180" spans="1:60" x14ac:dyDescent="0.2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row>
    <row r="181" spans="1:60" x14ac:dyDescent="0.2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row>
    <row r="182" spans="1:60" x14ac:dyDescent="0.2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row>
    <row r="183" spans="1:60" x14ac:dyDescent="0.2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row>
    <row r="184" spans="1:60" x14ac:dyDescent="0.2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row>
    <row r="185" spans="1:60" x14ac:dyDescent="0.2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row>
    <row r="186" spans="1:60" x14ac:dyDescent="0.2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row>
    <row r="187" spans="1:60" x14ac:dyDescent="0.2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row>
    <row r="188" spans="1:60" x14ac:dyDescent="0.2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row>
    <row r="189" spans="1:60" x14ac:dyDescent="0.2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row>
    <row r="190" spans="1:60" x14ac:dyDescent="0.2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row>
    <row r="191" spans="1:60" x14ac:dyDescent="0.2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row>
    <row r="192" spans="1:60" x14ac:dyDescent="0.2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row>
    <row r="193" spans="1:60" x14ac:dyDescent="0.2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row>
    <row r="194" spans="1:60" x14ac:dyDescent="0.25">
      <c r="A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row>
    <row r="195" spans="1:60" x14ac:dyDescent="0.25">
      <c r="A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row>
    <row r="196" spans="1:60" x14ac:dyDescent="0.25">
      <c r="A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row>
    <row r="197" spans="1:60" x14ac:dyDescent="0.25">
      <c r="A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row>
    <row r="198" spans="1:60" x14ac:dyDescent="0.25">
      <c r="A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row>
    <row r="199" spans="1:60" x14ac:dyDescent="0.25">
      <c r="A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row>
    <row r="200" spans="1:60" x14ac:dyDescent="0.25">
      <c r="A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row>
    <row r="201" spans="1:60" x14ac:dyDescent="0.25">
      <c r="A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row>
    <row r="202" spans="1:60" x14ac:dyDescent="0.25">
      <c r="A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row>
    <row r="203" spans="1:60" x14ac:dyDescent="0.25">
      <c r="A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row>
    <row r="204" spans="1:60" x14ac:dyDescent="0.25">
      <c r="A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row>
    <row r="205" spans="1:60" x14ac:dyDescent="0.25">
      <c r="A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row>
    <row r="206" spans="1:60" x14ac:dyDescent="0.25">
      <c r="A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row>
    <row r="207" spans="1:60" x14ac:dyDescent="0.25">
      <c r="A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row>
    <row r="208" spans="1:60" x14ac:dyDescent="0.25">
      <c r="A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row>
    <row r="209" spans="1:60" x14ac:dyDescent="0.25">
      <c r="A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row>
    <row r="210" spans="1:60" x14ac:dyDescent="0.25">
      <c r="A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row>
    <row r="211" spans="1:60" x14ac:dyDescent="0.25">
      <c r="A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row>
    <row r="212" spans="1:60" x14ac:dyDescent="0.25">
      <c r="A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row>
    <row r="213" spans="1:60" x14ac:dyDescent="0.25">
      <c r="A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row>
    <row r="214" spans="1:60" x14ac:dyDescent="0.25">
      <c r="A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row>
    <row r="215" spans="1:60" x14ac:dyDescent="0.25">
      <c r="A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row>
    <row r="216" spans="1:60" x14ac:dyDescent="0.25">
      <c r="A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row>
    <row r="217" spans="1:60" x14ac:dyDescent="0.25">
      <c r="A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row>
    <row r="218" spans="1:60" x14ac:dyDescent="0.25">
      <c r="A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row>
    <row r="219" spans="1:60" x14ac:dyDescent="0.25">
      <c r="A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row>
    <row r="220" spans="1:60" x14ac:dyDescent="0.25">
      <c r="A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row>
    <row r="221" spans="1:60" x14ac:dyDescent="0.25">
      <c r="A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row>
    <row r="222" spans="1:60" x14ac:dyDescent="0.25">
      <c r="A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row>
    <row r="223" spans="1:60" x14ac:dyDescent="0.25">
      <c r="A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row>
    <row r="224" spans="1:60" x14ac:dyDescent="0.25">
      <c r="A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row>
    <row r="225" spans="1:60" x14ac:dyDescent="0.25">
      <c r="A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row>
    <row r="226" spans="1:60" x14ac:dyDescent="0.25">
      <c r="A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row>
    <row r="227" spans="1:60" x14ac:dyDescent="0.25">
      <c r="A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row>
    <row r="228" spans="1:60" x14ac:dyDescent="0.25">
      <c r="A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row>
    <row r="229" spans="1:60" x14ac:dyDescent="0.25">
      <c r="A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row>
    <row r="230" spans="1:60" x14ac:dyDescent="0.25">
      <c r="A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row>
    <row r="231" spans="1:60" x14ac:dyDescent="0.25">
      <c r="A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row>
    <row r="232" spans="1:60" x14ac:dyDescent="0.25">
      <c r="A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row>
    <row r="233" spans="1:60" x14ac:dyDescent="0.25">
      <c r="A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row>
    <row r="234" spans="1:60" x14ac:dyDescent="0.25">
      <c r="A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row>
    <row r="235" spans="1:60" x14ac:dyDescent="0.25">
      <c r="A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row>
    <row r="236" spans="1:60" x14ac:dyDescent="0.25">
      <c r="A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row>
    <row r="237" spans="1:60" x14ac:dyDescent="0.25">
      <c r="A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row>
    <row r="238" spans="1:60" x14ac:dyDescent="0.25">
      <c r="A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row>
    <row r="239" spans="1:60" x14ac:dyDescent="0.25">
      <c r="A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row>
    <row r="240" spans="1:60" x14ac:dyDescent="0.25">
      <c r="A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row>
    <row r="241" spans="1:60" x14ac:dyDescent="0.25">
      <c r="A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row>
    <row r="242" spans="1:60" x14ac:dyDescent="0.25">
      <c r="A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row>
    <row r="243" spans="1:60" x14ac:dyDescent="0.25">
      <c r="A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row>
    <row r="244" spans="1:60" x14ac:dyDescent="0.25">
      <c r="A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row>
    <row r="245" spans="1:60" x14ac:dyDescent="0.25">
      <c r="A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row>
    <row r="246" spans="1:60" x14ac:dyDescent="0.25">
      <c r="A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row>
    <row r="247" spans="1:60" x14ac:dyDescent="0.25">
      <c r="A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row>
    <row r="248" spans="1:60" x14ac:dyDescent="0.25">
      <c r="A248" s="96"/>
    </row>
    <row r="249" spans="1:60" x14ac:dyDescent="0.25">
      <c r="A249" s="96"/>
    </row>
    <row r="250" spans="1:60" x14ac:dyDescent="0.25">
      <c r="A250" s="96"/>
    </row>
    <row r="251" spans="1:60" x14ac:dyDescent="0.25">
      <c r="A251" s="96"/>
    </row>
  </sheetData>
  <mergeCells count="17">
    <mergeCell ref="J59:O64"/>
    <mergeCell ref="P59:U64"/>
    <mergeCell ref="V59:AA64"/>
    <mergeCell ref="AB59:AG64"/>
    <mergeCell ref="AH59:AM64"/>
    <mergeCell ref="AO16:AT25"/>
    <mergeCell ref="E16:I25"/>
    <mergeCell ref="AO6:AT15"/>
    <mergeCell ref="B2:I4"/>
    <mergeCell ref="J2:AM4"/>
    <mergeCell ref="B6:D58"/>
    <mergeCell ref="E6:I15"/>
    <mergeCell ref="E48:I58"/>
    <mergeCell ref="AO37:AT47"/>
    <mergeCell ref="E37:I47"/>
    <mergeCell ref="AO26:AT36"/>
    <mergeCell ref="E26:I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B7" sqref="B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96"/>
      <c r="B1" s="420" t="s">
        <v>55</v>
      </c>
      <c r="C1" s="420"/>
      <c r="D1" s="420"/>
      <c r="E1" s="96"/>
      <c r="F1" s="96"/>
      <c r="G1" s="96"/>
      <c r="H1" s="96"/>
      <c r="I1" s="96"/>
      <c r="J1" s="96"/>
      <c r="K1" s="96"/>
      <c r="L1" s="96"/>
      <c r="M1" s="96"/>
      <c r="N1" s="96"/>
      <c r="O1" s="96"/>
      <c r="P1" s="96"/>
      <c r="Q1" s="96"/>
      <c r="R1" s="96"/>
      <c r="S1" s="96"/>
      <c r="T1" s="96"/>
      <c r="U1" s="96"/>
      <c r="V1" s="96"/>
      <c r="W1" s="96"/>
      <c r="X1" s="96"/>
      <c r="Y1" s="96"/>
      <c r="Z1" s="96"/>
      <c r="AA1" s="96"/>
      <c r="AB1" s="96"/>
      <c r="AC1" s="96"/>
      <c r="AD1" s="96"/>
      <c r="AE1" s="96"/>
    </row>
    <row r="2" spans="1:37" x14ac:dyDescent="0.25">
      <c r="A2" s="96"/>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row>
    <row r="3" spans="1:37" ht="25.5" x14ac:dyDescent="0.25">
      <c r="A3" s="96"/>
      <c r="B3" s="11"/>
      <c r="C3" s="12" t="s">
        <v>52</v>
      </c>
      <c r="D3" s="12" t="s">
        <v>4</v>
      </c>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7" ht="51" x14ac:dyDescent="0.25">
      <c r="A4" s="96"/>
      <c r="B4" s="13" t="s">
        <v>51</v>
      </c>
      <c r="C4" s="14" t="s">
        <v>102</v>
      </c>
      <c r="D4" s="15">
        <v>0.2</v>
      </c>
      <c r="E4" s="96"/>
      <c r="F4" s="96"/>
      <c r="G4" s="96"/>
      <c r="H4" s="96"/>
      <c r="I4" s="96"/>
      <c r="J4" s="96"/>
      <c r="K4" s="96"/>
      <c r="L4" s="96"/>
      <c r="M4" s="96"/>
      <c r="N4" s="96"/>
      <c r="O4" s="96"/>
      <c r="P4" s="96"/>
      <c r="Q4" s="96"/>
      <c r="R4" s="96"/>
      <c r="S4" s="96"/>
      <c r="T4" s="96"/>
      <c r="U4" s="96"/>
      <c r="V4" s="96"/>
      <c r="W4" s="96"/>
      <c r="X4" s="96"/>
      <c r="Y4" s="96"/>
      <c r="Z4" s="96"/>
      <c r="AA4" s="96"/>
      <c r="AB4" s="96"/>
      <c r="AC4" s="96"/>
      <c r="AD4" s="96"/>
      <c r="AE4" s="96"/>
    </row>
    <row r="5" spans="1:37" ht="51" x14ac:dyDescent="0.25">
      <c r="A5" s="96"/>
      <c r="B5" s="16" t="s">
        <v>53</v>
      </c>
      <c r="C5" s="17" t="s">
        <v>103</v>
      </c>
      <c r="D5" s="18">
        <v>0.4</v>
      </c>
      <c r="E5" s="96"/>
      <c r="F5" s="96"/>
      <c r="G5" s="96"/>
      <c r="H5" s="96"/>
      <c r="I5" s="96"/>
      <c r="J5" s="96"/>
      <c r="K5" s="96"/>
      <c r="L5" s="96"/>
      <c r="M5" s="96"/>
      <c r="N5" s="96"/>
      <c r="O5" s="96"/>
      <c r="P5" s="96"/>
      <c r="Q5" s="96"/>
      <c r="R5" s="96"/>
      <c r="S5" s="96"/>
      <c r="T5" s="96"/>
      <c r="U5" s="96"/>
      <c r="V5" s="96"/>
      <c r="W5" s="96"/>
      <c r="X5" s="96"/>
      <c r="Y5" s="96"/>
      <c r="Z5" s="96"/>
      <c r="AA5" s="96"/>
      <c r="AB5" s="96"/>
      <c r="AC5" s="96"/>
      <c r="AD5" s="96"/>
      <c r="AE5" s="96"/>
    </row>
    <row r="6" spans="1:37" ht="51" x14ac:dyDescent="0.25">
      <c r="A6" s="96"/>
      <c r="B6" s="19" t="s">
        <v>107</v>
      </c>
      <c r="C6" s="17" t="s">
        <v>104</v>
      </c>
      <c r="D6" s="18">
        <v>0.6</v>
      </c>
      <c r="E6" s="96"/>
      <c r="F6" s="96"/>
      <c r="G6" s="96"/>
      <c r="H6" s="96"/>
      <c r="I6" s="96"/>
      <c r="J6" s="96"/>
      <c r="K6" s="96"/>
      <c r="L6" s="96"/>
      <c r="M6" s="96"/>
      <c r="N6" s="96"/>
      <c r="O6" s="96"/>
      <c r="P6" s="96"/>
      <c r="Q6" s="96"/>
      <c r="R6" s="96"/>
      <c r="S6" s="96"/>
      <c r="T6" s="96"/>
      <c r="U6" s="96"/>
      <c r="V6" s="96"/>
      <c r="W6" s="96"/>
      <c r="X6" s="96"/>
      <c r="Y6" s="96"/>
      <c r="Z6" s="96"/>
      <c r="AA6" s="96"/>
      <c r="AB6" s="96"/>
      <c r="AC6" s="96"/>
      <c r="AD6" s="96"/>
      <c r="AE6" s="96"/>
    </row>
    <row r="7" spans="1:37" ht="76.5" x14ac:dyDescent="0.25">
      <c r="A7" s="96"/>
      <c r="B7" s="20" t="s">
        <v>6</v>
      </c>
      <c r="C7" s="17" t="s">
        <v>105</v>
      </c>
      <c r="D7" s="18">
        <v>0.8</v>
      </c>
      <c r="E7" s="96"/>
      <c r="F7" s="96"/>
      <c r="G7" s="96"/>
      <c r="H7" s="96"/>
      <c r="I7" s="96"/>
      <c r="J7" s="96"/>
      <c r="K7" s="96"/>
      <c r="L7" s="96"/>
      <c r="M7" s="96"/>
      <c r="N7" s="96"/>
      <c r="O7" s="96"/>
      <c r="P7" s="96"/>
      <c r="Q7" s="96"/>
      <c r="R7" s="96"/>
      <c r="S7" s="96"/>
      <c r="T7" s="96"/>
      <c r="U7" s="96"/>
      <c r="V7" s="96"/>
      <c r="W7" s="96"/>
      <c r="X7" s="96"/>
      <c r="Y7" s="96"/>
      <c r="Z7" s="96"/>
      <c r="AA7" s="96"/>
      <c r="AB7" s="96"/>
      <c r="AC7" s="96"/>
      <c r="AD7" s="96"/>
      <c r="AE7" s="96"/>
    </row>
    <row r="8" spans="1:37" ht="51" x14ac:dyDescent="0.25">
      <c r="A8" s="96"/>
      <c r="B8" s="21" t="s">
        <v>54</v>
      </c>
      <c r="C8" s="17" t="s">
        <v>106</v>
      </c>
      <c r="D8" s="18">
        <v>1</v>
      </c>
      <c r="E8" s="96"/>
      <c r="F8" s="96"/>
      <c r="G8" s="96"/>
      <c r="H8" s="96"/>
      <c r="I8" s="96"/>
      <c r="J8" s="96"/>
      <c r="K8" s="96"/>
      <c r="L8" s="96"/>
      <c r="M8" s="96"/>
      <c r="N8" s="96"/>
      <c r="O8" s="96"/>
      <c r="P8" s="96"/>
      <c r="Q8" s="96"/>
      <c r="R8" s="96"/>
      <c r="S8" s="96"/>
      <c r="T8" s="96"/>
      <c r="U8" s="96"/>
      <c r="V8" s="96"/>
      <c r="W8" s="96"/>
      <c r="X8" s="96"/>
      <c r="Y8" s="96"/>
      <c r="Z8" s="96"/>
      <c r="AA8" s="96"/>
      <c r="AB8" s="96"/>
      <c r="AC8" s="96"/>
      <c r="AD8" s="96"/>
      <c r="AE8" s="96"/>
    </row>
    <row r="9" spans="1:37" x14ac:dyDescent="0.25">
      <c r="A9" s="96"/>
      <c r="B9" s="120"/>
      <c r="C9" s="120"/>
      <c r="D9" s="120"/>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row>
    <row r="10" spans="1:37" ht="16.5" x14ac:dyDescent="0.25">
      <c r="A10" s="96"/>
      <c r="B10" s="121"/>
      <c r="C10" s="120"/>
      <c r="D10" s="120"/>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row>
    <row r="11" spans="1:37" x14ac:dyDescent="0.25">
      <c r="A11" s="96"/>
      <c r="B11" s="120"/>
      <c r="C11" s="120"/>
      <c r="D11" s="120"/>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row>
    <row r="12" spans="1:37" x14ac:dyDescent="0.25">
      <c r="A12" s="96"/>
      <c r="B12" s="120"/>
      <c r="C12" s="120"/>
      <c r="D12" s="120"/>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row>
    <row r="13" spans="1:37" x14ac:dyDescent="0.25">
      <c r="A13" s="96"/>
      <c r="B13" s="120"/>
      <c r="C13" s="120"/>
      <c r="D13" s="120"/>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row>
    <row r="14" spans="1:37" x14ac:dyDescent="0.25">
      <c r="A14" s="96"/>
      <c r="B14" s="120"/>
      <c r="C14" s="120"/>
      <c r="D14" s="120"/>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row>
    <row r="15" spans="1:37" x14ac:dyDescent="0.25">
      <c r="A15" s="96"/>
      <c r="B15" s="120"/>
      <c r="C15" s="120"/>
      <c r="D15" s="120"/>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row>
    <row r="16" spans="1:37" x14ac:dyDescent="0.25">
      <c r="A16" s="96"/>
      <c r="B16" s="120"/>
      <c r="C16" s="120"/>
      <c r="D16" s="120"/>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row>
    <row r="17" spans="1:37" x14ac:dyDescent="0.25">
      <c r="A17" s="96"/>
      <c r="B17" s="120"/>
      <c r="C17" s="120"/>
      <c r="D17" s="120"/>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row>
    <row r="18" spans="1:37" x14ac:dyDescent="0.25">
      <c r="A18" s="96"/>
      <c r="B18" s="120"/>
      <c r="C18" s="120"/>
      <c r="D18" s="120"/>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row>
    <row r="19" spans="1:37" x14ac:dyDescent="0.2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row>
    <row r="20" spans="1:37" x14ac:dyDescent="0.2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row>
    <row r="21" spans="1:37" x14ac:dyDescent="0.2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row>
    <row r="22" spans="1:37" x14ac:dyDescent="0.25">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row>
    <row r="23" spans="1:37" x14ac:dyDescent="0.25">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row>
    <row r="24" spans="1:37" x14ac:dyDescent="0.2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row>
    <row r="25" spans="1:37" x14ac:dyDescent="0.2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row>
    <row r="26" spans="1:37" x14ac:dyDescent="0.2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row>
    <row r="27" spans="1:37" x14ac:dyDescent="0.2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row>
    <row r="28" spans="1:37" x14ac:dyDescent="0.2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row>
    <row r="29" spans="1:37" x14ac:dyDescent="0.25">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row>
    <row r="30" spans="1:37" x14ac:dyDescent="0.2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row>
    <row r="31" spans="1:37" x14ac:dyDescent="0.2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row>
    <row r="32" spans="1:37" x14ac:dyDescent="0.2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row>
    <row r="33" spans="1:31" x14ac:dyDescent="0.25">
      <c r="A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row>
    <row r="34" spans="1:31" x14ac:dyDescent="0.25">
      <c r="A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x14ac:dyDescent="0.25">
      <c r="A35" s="96"/>
    </row>
    <row r="36" spans="1:31" x14ac:dyDescent="0.25">
      <c r="A36" s="96"/>
    </row>
    <row r="37" spans="1:31" x14ac:dyDescent="0.25">
      <c r="A37" s="96"/>
    </row>
    <row r="38" spans="1:31" x14ac:dyDescent="0.25">
      <c r="A38" s="96"/>
    </row>
    <row r="39" spans="1:31" x14ac:dyDescent="0.25">
      <c r="A39" s="96"/>
    </row>
    <row r="40" spans="1:31" x14ac:dyDescent="0.25">
      <c r="A40" s="96"/>
    </row>
    <row r="41" spans="1:31" x14ac:dyDescent="0.25">
      <c r="A41" s="96"/>
    </row>
    <row r="42" spans="1:31" x14ac:dyDescent="0.25">
      <c r="A42" s="96"/>
    </row>
    <row r="43" spans="1:31" x14ac:dyDescent="0.25">
      <c r="A43" s="96"/>
    </row>
    <row r="44" spans="1:31" x14ac:dyDescent="0.25">
      <c r="A44" s="96"/>
    </row>
    <row r="45" spans="1:31" x14ac:dyDescent="0.25">
      <c r="A45" s="96"/>
    </row>
    <row r="46" spans="1:31" x14ac:dyDescent="0.25">
      <c r="A46" s="96"/>
    </row>
    <row r="47" spans="1:31" x14ac:dyDescent="0.25">
      <c r="A47" s="96"/>
    </row>
    <row r="48" spans="1:31" x14ac:dyDescent="0.25">
      <c r="A48" s="96"/>
    </row>
    <row r="49" spans="1:1" x14ac:dyDescent="0.25">
      <c r="A49" s="96"/>
    </row>
    <row r="50" spans="1:1" x14ac:dyDescent="0.25">
      <c r="A50" s="96"/>
    </row>
    <row r="51" spans="1:1" x14ac:dyDescent="0.25">
      <c r="A51" s="96"/>
    </row>
    <row r="52" spans="1:1" x14ac:dyDescent="0.25">
      <c r="A52" s="96"/>
    </row>
    <row r="53" spans="1:1" x14ac:dyDescent="0.25">
      <c r="A53" s="96"/>
    </row>
    <row r="54" spans="1:1" x14ac:dyDescent="0.25">
      <c r="A54" s="96"/>
    </row>
    <row r="55" spans="1:1" x14ac:dyDescent="0.25">
      <c r="A55" s="9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25" sqref="D2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96"/>
      <c r="B1" s="421" t="s">
        <v>63</v>
      </c>
      <c r="C1" s="421"/>
      <c r="D1" s="421"/>
      <c r="E1" s="96"/>
      <c r="F1" s="96"/>
      <c r="G1" s="96"/>
      <c r="H1" s="96"/>
      <c r="I1" s="96"/>
      <c r="J1" s="96"/>
      <c r="K1" s="96"/>
      <c r="L1" s="96"/>
      <c r="M1" s="96"/>
      <c r="N1" s="96"/>
      <c r="O1" s="96"/>
      <c r="P1" s="96"/>
      <c r="Q1" s="96"/>
      <c r="R1" s="96"/>
      <c r="S1" s="96"/>
      <c r="T1" s="96"/>
      <c r="U1" s="96"/>
    </row>
    <row r="2" spans="1:21" x14ac:dyDescent="0.25">
      <c r="A2" s="96"/>
      <c r="B2" s="96"/>
      <c r="C2" s="96"/>
      <c r="D2" s="96"/>
      <c r="E2" s="96"/>
      <c r="F2" s="96"/>
      <c r="G2" s="96"/>
      <c r="H2" s="96"/>
      <c r="I2" s="96"/>
      <c r="J2" s="96"/>
      <c r="K2" s="96"/>
      <c r="L2" s="96"/>
      <c r="M2" s="96"/>
      <c r="N2" s="96"/>
      <c r="O2" s="96"/>
      <c r="P2" s="96"/>
      <c r="Q2" s="96"/>
      <c r="R2" s="96"/>
      <c r="S2" s="96"/>
      <c r="T2" s="96"/>
      <c r="U2" s="96"/>
    </row>
    <row r="3" spans="1:21" ht="30" x14ac:dyDescent="0.25">
      <c r="A3" s="96"/>
      <c r="B3" s="117"/>
      <c r="C3" s="38" t="s">
        <v>56</v>
      </c>
      <c r="D3" s="38" t="s">
        <v>57</v>
      </c>
      <c r="E3" s="96"/>
      <c r="F3" s="96"/>
      <c r="G3" s="96"/>
      <c r="H3" s="96"/>
      <c r="I3" s="96"/>
      <c r="J3" s="96"/>
      <c r="K3" s="96"/>
      <c r="L3" s="96"/>
      <c r="M3" s="96"/>
      <c r="N3" s="96"/>
      <c r="O3" s="96"/>
      <c r="P3" s="96"/>
      <c r="Q3" s="96"/>
      <c r="R3" s="96"/>
      <c r="S3" s="96"/>
      <c r="T3" s="96"/>
      <c r="U3" s="96"/>
    </row>
    <row r="4" spans="1:21" ht="33.75" x14ac:dyDescent="0.25">
      <c r="A4" s="116" t="s">
        <v>83</v>
      </c>
      <c r="B4" s="41" t="s">
        <v>101</v>
      </c>
      <c r="C4" s="46" t="s">
        <v>156</v>
      </c>
      <c r="D4" s="39" t="s">
        <v>97</v>
      </c>
      <c r="E4" s="96"/>
      <c r="F4" s="96"/>
      <c r="G4" s="96"/>
      <c r="H4" s="96"/>
      <c r="I4" s="96"/>
      <c r="J4" s="96"/>
      <c r="K4" s="96"/>
      <c r="L4" s="96"/>
      <c r="M4" s="96"/>
      <c r="N4" s="96"/>
      <c r="O4" s="96"/>
      <c r="P4" s="96"/>
      <c r="Q4" s="96"/>
      <c r="R4" s="96"/>
      <c r="S4" s="96"/>
      <c r="T4" s="96"/>
      <c r="U4" s="96"/>
    </row>
    <row r="5" spans="1:21" ht="67.5" x14ac:dyDescent="0.25">
      <c r="A5" s="116" t="s">
        <v>84</v>
      </c>
      <c r="B5" s="42" t="s">
        <v>59</v>
      </c>
      <c r="C5" s="47" t="s">
        <v>93</v>
      </c>
      <c r="D5" s="40" t="s">
        <v>98</v>
      </c>
      <c r="E5" s="96"/>
      <c r="F5" s="96"/>
      <c r="G5" s="96"/>
      <c r="H5" s="96"/>
      <c r="I5" s="96"/>
      <c r="J5" s="96"/>
      <c r="K5" s="96"/>
      <c r="L5" s="96"/>
      <c r="M5" s="96"/>
      <c r="N5" s="96"/>
      <c r="O5" s="96"/>
      <c r="P5" s="96"/>
      <c r="Q5" s="96"/>
      <c r="R5" s="96"/>
      <c r="S5" s="96"/>
      <c r="T5" s="96"/>
      <c r="U5" s="96"/>
    </row>
    <row r="6" spans="1:21" ht="67.5" x14ac:dyDescent="0.25">
      <c r="A6" s="116" t="s">
        <v>81</v>
      </c>
      <c r="B6" s="43" t="s">
        <v>60</v>
      </c>
      <c r="C6" s="47" t="s">
        <v>94</v>
      </c>
      <c r="D6" s="40" t="s">
        <v>100</v>
      </c>
      <c r="E6" s="96"/>
      <c r="F6" s="96"/>
      <c r="G6" s="96"/>
      <c r="H6" s="96"/>
      <c r="I6" s="96"/>
      <c r="J6" s="96"/>
      <c r="K6" s="96"/>
      <c r="L6" s="96"/>
      <c r="M6" s="96"/>
      <c r="N6" s="96"/>
      <c r="O6" s="96"/>
      <c r="P6" s="96"/>
      <c r="Q6" s="96"/>
      <c r="R6" s="96"/>
      <c r="S6" s="96"/>
      <c r="T6" s="96"/>
      <c r="U6" s="96"/>
    </row>
    <row r="7" spans="1:21" ht="101.25" x14ac:dyDescent="0.25">
      <c r="A7" s="116" t="s">
        <v>7</v>
      </c>
      <c r="B7" s="44" t="s">
        <v>61</v>
      </c>
      <c r="C7" s="47" t="s">
        <v>95</v>
      </c>
      <c r="D7" s="40" t="s">
        <v>99</v>
      </c>
      <c r="E7" s="96"/>
      <c r="F7" s="96"/>
      <c r="G7" s="96"/>
      <c r="H7" s="96"/>
      <c r="I7" s="96"/>
      <c r="J7" s="96"/>
      <c r="K7" s="96"/>
      <c r="L7" s="96"/>
      <c r="M7" s="96"/>
      <c r="N7" s="96"/>
      <c r="O7" s="96"/>
      <c r="P7" s="96"/>
      <c r="Q7" s="96"/>
      <c r="R7" s="96"/>
      <c r="S7" s="96"/>
      <c r="T7" s="96"/>
      <c r="U7" s="96"/>
    </row>
    <row r="8" spans="1:21" ht="67.5" x14ac:dyDescent="0.25">
      <c r="A8" s="116" t="s">
        <v>85</v>
      </c>
      <c r="B8" s="45" t="s">
        <v>62</v>
      </c>
      <c r="C8" s="47" t="s">
        <v>96</v>
      </c>
      <c r="D8" s="40" t="s">
        <v>118</v>
      </c>
      <c r="E8" s="96"/>
      <c r="F8" s="96"/>
      <c r="G8" s="96"/>
      <c r="H8" s="96"/>
      <c r="I8" s="96"/>
      <c r="J8" s="96"/>
      <c r="K8" s="96"/>
      <c r="L8" s="96"/>
      <c r="M8" s="96"/>
      <c r="N8" s="96"/>
      <c r="O8" s="96"/>
      <c r="P8" s="96"/>
      <c r="Q8" s="96"/>
      <c r="R8" s="96"/>
      <c r="S8" s="96"/>
      <c r="T8" s="96"/>
      <c r="U8" s="96"/>
    </row>
    <row r="9" spans="1:21" ht="20.25" x14ac:dyDescent="0.25">
      <c r="A9" s="116"/>
      <c r="B9" s="116"/>
      <c r="C9" s="118"/>
      <c r="D9" s="118"/>
      <c r="E9" s="96"/>
      <c r="F9" s="96"/>
      <c r="G9" s="96"/>
      <c r="H9" s="96"/>
      <c r="I9" s="96"/>
      <c r="J9" s="96"/>
      <c r="K9" s="96"/>
      <c r="L9" s="96"/>
      <c r="M9" s="96"/>
      <c r="N9" s="96"/>
      <c r="O9" s="96"/>
      <c r="P9" s="96"/>
      <c r="Q9" s="96"/>
      <c r="R9" s="96"/>
      <c r="S9" s="96"/>
      <c r="T9" s="96"/>
      <c r="U9" s="96"/>
    </row>
    <row r="10" spans="1:21" ht="16.5" x14ac:dyDescent="0.25">
      <c r="A10" s="116"/>
      <c r="B10" s="119"/>
      <c r="C10" s="119"/>
      <c r="D10" s="119"/>
      <c r="E10" s="96"/>
      <c r="F10" s="96"/>
      <c r="G10" s="96"/>
      <c r="H10" s="96"/>
      <c r="I10" s="96"/>
      <c r="J10" s="96"/>
      <c r="K10" s="96"/>
      <c r="L10" s="96"/>
      <c r="M10" s="96"/>
      <c r="N10" s="96"/>
      <c r="O10" s="96"/>
      <c r="P10" s="96"/>
      <c r="Q10" s="96"/>
      <c r="R10" s="96"/>
      <c r="S10" s="96"/>
      <c r="T10" s="96"/>
      <c r="U10" s="96"/>
    </row>
    <row r="11" spans="1:21" x14ac:dyDescent="0.25">
      <c r="A11" s="116"/>
      <c r="B11" s="116" t="s">
        <v>91</v>
      </c>
      <c r="C11" s="116" t="s">
        <v>144</v>
      </c>
      <c r="D11" s="116" t="s">
        <v>151</v>
      </c>
      <c r="E11" s="96"/>
      <c r="F11" s="96"/>
      <c r="G11" s="96"/>
      <c r="H11" s="96"/>
      <c r="I11" s="96"/>
      <c r="J11" s="96"/>
      <c r="K11" s="96"/>
      <c r="L11" s="96"/>
      <c r="M11" s="96"/>
      <c r="N11" s="96"/>
      <c r="O11" s="96"/>
      <c r="P11" s="96"/>
      <c r="Q11" s="96"/>
      <c r="R11" s="96"/>
      <c r="S11" s="96"/>
      <c r="T11" s="96"/>
      <c r="U11" s="96"/>
    </row>
    <row r="12" spans="1:21" x14ac:dyDescent="0.25">
      <c r="A12" s="116"/>
      <c r="B12" s="116" t="s">
        <v>89</v>
      </c>
      <c r="C12" s="116" t="s">
        <v>148</v>
      </c>
      <c r="D12" s="116" t="s">
        <v>152</v>
      </c>
      <c r="E12" s="96"/>
      <c r="F12" s="96"/>
      <c r="G12" s="96"/>
      <c r="H12" s="96"/>
      <c r="I12" s="96"/>
      <c r="J12" s="96"/>
      <c r="K12" s="96"/>
      <c r="L12" s="96"/>
      <c r="M12" s="96"/>
      <c r="N12" s="96"/>
      <c r="O12" s="96"/>
      <c r="P12" s="96"/>
      <c r="Q12" s="96"/>
      <c r="R12" s="96"/>
      <c r="S12" s="96"/>
      <c r="T12" s="96"/>
      <c r="U12" s="96"/>
    </row>
    <row r="13" spans="1:21" x14ac:dyDescent="0.25">
      <c r="A13" s="116"/>
      <c r="B13" s="116"/>
      <c r="C13" s="116" t="s">
        <v>147</v>
      </c>
      <c r="D13" s="116" t="s">
        <v>153</v>
      </c>
      <c r="E13" s="96"/>
      <c r="F13" s="96"/>
      <c r="G13" s="96"/>
      <c r="H13" s="96"/>
      <c r="I13" s="96"/>
      <c r="J13" s="96"/>
      <c r="K13" s="96"/>
      <c r="L13" s="96"/>
      <c r="M13" s="96"/>
      <c r="N13" s="96"/>
      <c r="O13" s="96"/>
      <c r="P13" s="96"/>
      <c r="Q13" s="96"/>
      <c r="R13" s="96"/>
      <c r="S13" s="96"/>
      <c r="T13" s="96"/>
      <c r="U13" s="96"/>
    </row>
    <row r="14" spans="1:21" x14ac:dyDescent="0.25">
      <c r="A14" s="116"/>
      <c r="B14" s="116"/>
      <c r="C14" s="116" t="s">
        <v>149</v>
      </c>
      <c r="D14" s="116" t="s">
        <v>154</v>
      </c>
      <c r="E14" s="96"/>
      <c r="F14" s="96"/>
      <c r="G14" s="96"/>
      <c r="H14" s="96"/>
      <c r="I14" s="96"/>
      <c r="J14" s="96"/>
      <c r="K14" s="96"/>
      <c r="L14" s="96"/>
      <c r="M14" s="96"/>
      <c r="N14" s="96"/>
      <c r="O14" s="96"/>
      <c r="P14" s="96"/>
      <c r="Q14" s="96"/>
      <c r="R14" s="96"/>
      <c r="S14" s="96"/>
      <c r="T14" s="96"/>
      <c r="U14" s="96"/>
    </row>
    <row r="15" spans="1:21" x14ac:dyDescent="0.25">
      <c r="A15" s="116"/>
      <c r="B15" s="116"/>
      <c r="C15" s="116" t="s">
        <v>150</v>
      </c>
      <c r="D15" s="116" t="s">
        <v>155</v>
      </c>
      <c r="E15" s="96"/>
      <c r="F15" s="96"/>
      <c r="G15" s="96"/>
      <c r="H15" s="96"/>
      <c r="I15" s="96"/>
      <c r="J15" s="96"/>
      <c r="K15" s="96"/>
      <c r="L15" s="96"/>
      <c r="M15" s="96"/>
      <c r="N15" s="96"/>
      <c r="O15" s="96"/>
      <c r="P15" s="96"/>
      <c r="Q15" s="96"/>
      <c r="R15" s="96"/>
      <c r="S15" s="96"/>
      <c r="T15" s="96"/>
      <c r="U15" s="96"/>
    </row>
    <row r="16" spans="1:21" x14ac:dyDescent="0.25">
      <c r="A16" s="116"/>
      <c r="B16" s="116"/>
      <c r="C16" s="116"/>
      <c r="D16" s="116"/>
      <c r="E16" s="96"/>
      <c r="F16" s="96"/>
      <c r="G16" s="96"/>
      <c r="H16" s="96"/>
      <c r="I16" s="96"/>
      <c r="J16" s="96"/>
      <c r="K16" s="96"/>
      <c r="L16" s="96"/>
      <c r="M16" s="96"/>
      <c r="N16" s="96"/>
      <c r="O16" s="96"/>
    </row>
    <row r="17" spans="1:15" x14ac:dyDescent="0.25">
      <c r="A17" s="116"/>
      <c r="B17" s="116"/>
      <c r="C17" s="116"/>
      <c r="D17" s="116"/>
      <c r="E17" s="96"/>
      <c r="F17" s="96"/>
      <c r="G17" s="96"/>
      <c r="H17" s="96"/>
      <c r="I17" s="96"/>
      <c r="J17" s="96"/>
      <c r="K17" s="96"/>
      <c r="L17" s="96"/>
      <c r="M17" s="96"/>
      <c r="N17" s="96"/>
      <c r="O17" s="96"/>
    </row>
    <row r="18" spans="1:15" x14ac:dyDescent="0.25">
      <c r="A18" s="116"/>
      <c r="B18" s="120"/>
      <c r="C18" s="120"/>
      <c r="D18" s="120"/>
      <c r="E18" s="96"/>
      <c r="F18" s="96"/>
      <c r="G18" s="96"/>
      <c r="H18" s="96"/>
      <c r="I18" s="96"/>
      <c r="J18" s="96"/>
      <c r="K18" s="96"/>
      <c r="L18" s="96"/>
      <c r="M18" s="96"/>
      <c r="N18" s="96"/>
      <c r="O18" s="96"/>
    </row>
    <row r="19" spans="1:15" x14ac:dyDescent="0.25">
      <c r="A19" s="116"/>
      <c r="B19" s="120"/>
      <c r="C19" s="120"/>
      <c r="D19" s="120"/>
      <c r="E19" s="96"/>
      <c r="F19" s="96"/>
      <c r="G19" s="96"/>
      <c r="H19" s="96"/>
      <c r="I19" s="96"/>
      <c r="J19" s="96"/>
      <c r="K19" s="96"/>
      <c r="L19" s="96"/>
      <c r="M19" s="96"/>
      <c r="N19" s="96"/>
      <c r="O19" s="96"/>
    </row>
    <row r="20" spans="1:15" x14ac:dyDescent="0.25">
      <c r="A20" s="116"/>
      <c r="B20" s="120"/>
      <c r="C20" s="120"/>
      <c r="D20" s="120"/>
      <c r="E20" s="96"/>
      <c r="F20" s="96"/>
      <c r="G20" s="96"/>
      <c r="H20" s="96"/>
      <c r="I20" s="96"/>
      <c r="J20" s="96"/>
      <c r="K20" s="96"/>
      <c r="L20" s="96"/>
      <c r="M20" s="96"/>
      <c r="N20" s="96"/>
      <c r="O20" s="96"/>
    </row>
    <row r="21" spans="1:15" x14ac:dyDescent="0.25">
      <c r="A21" s="116"/>
      <c r="B21" s="120"/>
      <c r="C21" s="120"/>
      <c r="D21" s="120"/>
      <c r="E21" s="96"/>
      <c r="F21" s="96"/>
      <c r="G21" s="96"/>
      <c r="H21" s="96"/>
      <c r="I21" s="96"/>
      <c r="J21" s="96"/>
      <c r="K21" s="96"/>
      <c r="L21" s="96"/>
      <c r="M21" s="96"/>
      <c r="N21" s="96"/>
      <c r="O21" s="96"/>
    </row>
    <row r="22" spans="1:15" ht="20.25" x14ac:dyDescent="0.25">
      <c r="A22" s="116"/>
      <c r="B22" s="116"/>
      <c r="C22" s="118"/>
      <c r="D22" s="118"/>
      <c r="E22" s="96"/>
      <c r="F22" s="96"/>
      <c r="G22" s="96"/>
      <c r="H22" s="96"/>
      <c r="I22" s="96"/>
      <c r="J22" s="96"/>
      <c r="K22" s="96"/>
      <c r="L22" s="96"/>
      <c r="M22" s="96"/>
      <c r="N22" s="96"/>
      <c r="O22" s="96"/>
    </row>
    <row r="23" spans="1:15" ht="20.25" x14ac:dyDescent="0.25">
      <c r="A23" s="116"/>
      <c r="B23" s="116"/>
      <c r="C23" s="118"/>
      <c r="D23" s="118"/>
      <c r="E23" s="96"/>
      <c r="F23" s="96"/>
      <c r="G23" s="96"/>
      <c r="H23" s="96"/>
      <c r="I23" s="96"/>
      <c r="J23" s="96"/>
      <c r="K23" s="96"/>
      <c r="L23" s="96"/>
      <c r="M23" s="96"/>
      <c r="N23" s="96"/>
      <c r="O23" s="96"/>
    </row>
    <row r="24" spans="1:15" ht="20.25" x14ac:dyDescent="0.25">
      <c r="A24" s="116"/>
      <c r="B24" s="116"/>
      <c r="C24" s="118"/>
      <c r="D24" s="118"/>
      <c r="E24" s="96"/>
      <c r="F24" s="96"/>
      <c r="G24" s="96"/>
      <c r="H24" s="96"/>
      <c r="I24" s="96"/>
      <c r="J24" s="96"/>
      <c r="K24" s="96"/>
      <c r="L24" s="96"/>
      <c r="M24" s="96"/>
      <c r="N24" s="96"/>
      <c r="O24" s="96"/>
    </row>
    <row r="25" spans="1:15" ht="20.25" x14ac:dyDescent="0.25">
      <c r="A25" s="116"/>
      <c r="B25" s="116"/>
      <c r="C25" s="118"/>
      <c r="D25" s="118"/>
      <c r="E25" s="96"/>
      <c r="F25" s="96"/>
      <c r="G25" s="96"/>
      <c r="H25" s="96"/>
      <c r="I25" s="96"/>
      <c r="J25" s="96"/>
      <c r="K25" s="96"/>
      <c r="L25" s="96"/>
      <c r="M25" s="96"/>
      <c r="N25" s="96"/>
      <c r="O25" s="96"/>
    </row>
    <row r="26" spans="1:15" ht="20.25" x14ac:dyDescent="0.25">
      <c r="A26" s="116"/>
      <c r="B26" s="116"/>
      <c r="C26" s="118"/>
      <c r="D26" s="118"/>
      <c r="E26" s="96"/>
      <c r="F26" s="96"/>
      <c r="G26" s="96"/>
      <c r="H26" s="96"/>
      <c r="I26" s="96"/>
      <c r="J26" s="96"/>
      <c r="K26" s="96"/>
      <c r="L26" s="96"/>
      <c r="M26" s="96"/>
      <c r="N26" s="96"/>
      <c r="O26" s="96"/>
    </row>
    <row r="27" spans="1:15" ht="20.25" x14ac:dyDescent="0.25">
      <c r="A27" s="116"/>
      <c r="B27" s="116"/>
      <c r="C27" s="118"/>
      <c r="D27" s="118"/>
      <c r="E27" s="96"/>
      <c r="F27" s="96"/>
      <c r="G27" s="96"/>
      <c r="H27" s="96"/>
      <c r="I27" s="96"/>
      <c r="J27" s="96"/>
      <c r="K27" s="96"/>
      <c r="L27" s="96"/>
      <c r="M27" s="96"/>
      <c r="N27" s="96"/>
      <c r="O27" s="96"/>
    </row>
    <row r="28" spans="1:15" ht="20.25" x14ac:dyDescent="0.25">
      <c r="A28" s="116"/>
      <c r="B28" s="116"/>
      <c r="C28" s="118"/>
      <c r="D28" s="118"/>
      <c r="E28" s="96"/>
      <c r="F28" s="96"/>
      <c r="G28" s="96"/>
      <c r="H28" s="96"/>
      <c r="I28" s="96"/>
      <c r="J28" s="96"/>
      <c r="K28" s="96"/>
      <c r="L28" s="96"/>
      <c r="M28" s="96"/>
      <c r="N28" s="96"/>
      <c r="O28" s="96"/>
    </row>
    <row r="29" spans="1:15" ht="20.25" x14ac:dyDescent="0.25">
      <c r="A29" s="116"/>
      <c r="B29" s="116"/>
      <c r="C29" s="118"/>
      <c r="D29" s="118"/>
      <c r="E29" s="96"/>
      <c r="F29" s="96"/>
      <c r="G29" s="96"/>
      <c r="H29" s="96"/>
      <c r="I29" s="96"/>
      <c r="J29" s="96"/>
      <c r="K29" s="96"/>
      <c r="L29" s="96"/>
      <c r="M29" s="96"/>
      <c r="N29" s="96"/>
      <c r="O29" s="96"/>
    </row>
    <row r="30" spans="1:15" ht="20.25" x14ac:dyDescent="0.25">
      <c r="A30" s="116"/>
      <c r="B30" s="116"/>
      <c r="C30" s="118"/>
      <c r="D30" s="118"/>
      <c r="E30" s="96"/>
      <c r="F30" s="96"/>
      <c r="G30" s="96"/>
      <c r="H30" s="96"/>
      <c r="I30" s="96"/>
      <c r="J30" s="96"/>
      <c r="K30" s="96"/>
      <c r="L30" s="96"/>
      <c r="M30" s="96"/>
      <c r="N30" s="96"/>
      <c r="O30" s="96"/>
    </row>
    <row r="31" spans="1:15" ht="20.25" x14ac:dyDescent="0.25">
      <c r="A31" s="116"/>
      <c r="B31" s="116"/>
      <c r="C31" s="118"/>
      <c r="D31" s="118"/>
      <c r="E31" s="96"/>
      <c r="F31" s="96"/>
      <c r="G31" s="96"/>
      <c r="H31" s="96"/>
      <c r="I31" s="96"/>
      <c r="J31" s="96"/>
      <c r="K31" s="96"/>
      <c r="L31" s="96"/>
      <c r="M31" s="96"/>
      <c r="N31" s="96"/>
      <c r="O31" s="96"/>
    </row>
    <row r="32" spans="1:15" ht="20.25" x14ac:dyDescent="0.25">
      <c r="A32" s="116"/>
      <c r="B32" s="116"/>
      <c r="C32" s="118"/>
      <c r="D32" s="118"/>
      <c r="E32" s="96"/>
      <c r="F32" s="96"/>
      <c r="G32" s="96"/>
      <c r="H32" s="96"/>
      <c r="I32" s="96"/>
      <c r="J32" s="96"/>
      <c r="K32" s="96"/>
      <c r="L32" s="96"/>
      <c r="M32" s="96"/>
      <c r="N32" s="96"/>
      <c r="O32" s="96"/>
    </row>
    <row r="33" spans="1:15" ht="20.25" x14ac:dyDescent="0.25">
      <c r="A33" s="116"/>
      <c r="B33" s="116"/>
      <c r="C33" s="118"/>
      <c r="D33" s="118"/>
      <c r="E33" s="96"/>
      <c r="F33" s="96"/>
      <c r="G33" s="96"/>
      <c r="H33" s="96"/>
      <c r="I33" s="96"/>
      <c r="J33" s="96"/>
      <c r="K33" s="96"/>
      <c r="L33" s="96"/>
      <c r="M33" s="96"/>
      <c r="N33" s="96"/>
      <c r="O33" s="96"/>
    </row>
    <row r="34" spans="1:15" ht="20.25" x14ac:dyDescent="0.25">
      <c r="A34" s="116"/>
      <c r="B34" s="116"/>
      <c r="C34" s="118"/>
      <c r="D34" s="118"/>
      <c r="E34" s="96"/>
      <c r="F34" s="96"/>
      <c r="G34" s="96"/>
      <c r="H34" s="96"/>
      <c r="I34" s="96"/>
      <c r="J34" s="96"/>
      <c r="K34" s="96"/>
      <c r="L34" s="96"/>
      <c r="M34" s="96"/>
      <c r="N34" s="96"/>
      <c r="O34" s="96"/>
    </row>
    <row r="35" spans="1:15" ht="20.25" x14ac:dyDescent="0.25">
      <c r="A35" s="116"/>
      <c r="B35" s="116"/>
      <c r="C35" s="118"/>
      <c r="D35" s="118"/>
      <c r="E35" s="96"/>
      <c r="F35" s="96"/>
      <c r="G35" s="96"/>
      <c r="H35" s="96"/>
      <c r="I35" s="96"/>
      <c r="J35" s="96"/>
      <c r="K35" s="96"/>
      <c r="L35" s="96"/>
      <c r="M35" s="96"/>
      <c r="N35" s="96"/>
      <c r="O35" s="96"/>
    </row>
    <row r="36" spans="1:15" ht="20.25" x14ac:dyDescent="0.25">
      <c r="A36" s="116"/>
      <c r="B36" s="116"/>
      <c r="C36" s="118"/>
      <c r="D36" s="118"/>
      <c r="E36" s="96"/>
      <c r="F36" s="96"/>
      <c r="G36" s="96"/>
      <c r="H36" s="96"/>
      <c r="I36" s="96"/>
      <c r="J36" s="96"/>
      <c r="K36" s="96"/>
      <c r="L36" s="96"/>
      <c r="M36" s="96"/>
      <c r="N36" s="96"/>
      <c r="O36" s="96"/>
    </row>
    <row r="37" spans="1:15" ht="20.25" x14ac:dyDescent="0.25">
      <c r="A37" s="116"/>
      <c r="B37" s="116"/>
      <c r="C37" s="118"/>
      <c r="D37" s="118"/>
      <c r="E37" s="96"/>
      <c r="F37" s="96"/>
      <c r="G37" s="96"/>
      <c r="H37" s="96"/>
      <c r="I37" s="96"/>
      <c r="J37" s="96"/>
      <c r="K37" s="96"/>
      <c r="L37" s="96"/>
      <c r="M37" s="96"/>
      <c r="N37" s="96"/>
      <c r="O37" s="96"/>
    </row>
    <row r="38" spans="1:15" ht="20.25" x14ac:dyDescent="0.25">
      <c r="A38" s="116"/>
      <c r="B38" s="116"/>
      <c r="C38" s="118"/>
      <c r="D38" s="118"/>
      <c r="E38" s="96"/>
      <c r="F38" s="96"/>
      <c r="G38" s="96"/>
      <c r="H38" s="96"/>
      <c r="I38" s="96"/>
      <c r="J38" s="96"/>
      <c r="K38" s="96"/>
      <c r="L38" s="96"/>
      <c r="M38" s="96"/>
      <c r="N38" s="96"/>
      <c r="O38" s="96"/>
    </row>
    <row r="39" spans="1:15" ht="20.25" x14ac:dyDescent="0.25">
      <c r="A39" s="116"/>
      <c r="B39" s="116"/>
      <c r="C39" s="118"/>
      <c r="D39" s="118"/>
      <c r="E39" s="96"/>
      <c r="F39" s="96"/>
      <c r="G39" s="96"/>
      <c r="H39" s="96"/>
      <c r="I39" s="96"/>
      <c r="J39" s="96"/>
      <c r="K39" s="96"/>
      <c r="L39" s="96"/>
      <c r="M39" s="96"/>
      <c r="N39" s="96"/>
      <c r="O39" s="96"/>
    </row>
    <row r="40" spans="1:15" ht="20.25" x14ac:dyDescent="0.25">
      <c r="A40" s="116"/>
      <c r="B40" s="116"/>
      <c r="C40" s="118"/>
      <c r="D40" s="118"/>
      <c r="E40" s="96"/>
      <c r="F40" s="96"/>
      <c r="G40" s="96"/>
      <c r="H40" s="96"/>
      <c r="I40" s="96"/>
      <c r="J40" s="96"/>
      <c r="K40" s="96"/>
      <c r="L40" s="96"/>
      <c r="M40" s="96"/>
      <c r="N40" s="96"/>
      <c r="O40" s="96"/>
    </row>
    <row r="41" spans="1:15" ht="20.25" x14ac:dyDescent="0.25">
      <c r="A41" s="116"/>
      <c r="B41" s="116"/>
      <c r="C41" s="118"/>
      <c r="D41" s="118"/>
      <c r="E41" s="96"/>
      <c r="F41" s="96"/>
      <c r="G41" s="96"/>
      <c r="H41" s="96"/>
      <c r="I41" s="96"/>
      <c r="J41" s="96"/>
      <c r="K41" s="96"/>
      <c r="L41" s="96"/>
      <c r="M41" s="96"/>
      <c r="N41" s="96"/>
      <c r="O41" s="96"/>
    </row>
    <row r="42" spans="1:15" ht="20.25" x14ac:dyDescent="0.25">
      <c r="A42" s="116"/>
      <c r="B42" s="116"/>
      <c r="C42" s="118"/>
      <c r="D42" s="118"/>
      <c r="E42" s="96"/>
      <c r="F42" s="96"/>
      <c r="G42" s="96"/>
      <c r="H42" s="96"/>
      <c r="I42" s="96"/>
      <c r="J42" s="96"/>
      <c r="K42" s="96"/>
      <c r="L42" s="96"/>
      <c r="M42" s="96"/>
      <c r="N42" s="96"/>
      <c r="O42" s="96"/>
    </row>
    <row r="43" spans="1:15" ht="20.25" x14ac:dyDescent="0.25">
      <c r="A43" s="116"/>
      <c r="B43" s="116"/>
      <c r="C43" s="118"/>
      <c r="D43" s="118"/>
      <c r="E43" s="96"/>
      <c r="F43" s="96"/>
      <c r="G43" s="96"/>
      <c r="H43" s="96"/>
      <c r="I43" s="96"/>
      <c r="J43" s="96"/>
      <c r="K43" s="96"/>
      <c r="L43" s="96"/>
      <c r="M43" s="96"/>
      <c r="N43" s="96"/>
      <c r="O43" s="96"/>
    </row>
    <row r="44" spans="1:15" ht="20.25" x14ac:dyDescent="0.25">
      <c r="A44" s="116"/>
      <c r="B44" s="116"/>
      <c r="C44" s="118"/>
      <c r="D44" s="118"/>
      <c r="E44" s="96"/>
      <c r="F44" s="96"/>
      <c r="G44" s="96"/>
      <c r="H44" s="96"/>
      <c r="I44" s="96"/>
      <c r="J44" s="96"/>
      <c r="K44" s="96"/>
      <c r="L44" s="96"/>
      <c r="M44" s="96"/>
      <c r="N44" s="96"/>
      <c r="O44" s="96"/>
    </row>
    <row r="45" spans="1:15" ht="20.25" x14ac:dyDescent="0.25">
      <c r="A45" s="116"/>
      <c r="B45" s="116"/>
      <c r="C45" s="118"/>
      <c r="D45" s="118"/>
      <c r="E45" s="96"/>
      <c r="F45" s="96"/>
      <c r="G45" s="96"/>
      <c r="H45" s="96"/>
      <c r="I45" s="96"/>
      <c r="J45" s="96"/>
      <c r="K45" s="96"/>
      <c r="L45" s="96"/>
      <c r="M45" s="96"/>
      <c r="N45" s="96"/>
      <c r="O45" s="96"/>
    </row>
    <row r="46" spans="1:15" ht="20.25" x14ac:dyDescent="0.25">
      <c r="A46" s="116"/>
      <c r="B46" s="116"/>
      <c r="C46" s="118"/>
      <c r="D46" s="118"/>
      <c r="E46" s="96"/>
      <c r="F46" s="96"/>
      <c r="G46" s="96"/>
      <c r="H46" s="96"/>
      <c r="I46" s="96"/>
      <c r="J46" s="96"/>
      <c r="K46" s="96"/>
      <c r="L46" s="96"/>
      <c r="M46" s="96"/>
      <c r="N46" s="96"/>
      <c r="O46" s="96"/>
    </row>
    <row r="47" spans="1:15" ht="20.25" x14ac:dyDescent="0.25">
      <c r="A47" s="116"/>
      <c r="B47" s="116"/>
      <c r="C47" s="118"/>
      <c r="D47" s="118"/>
      <c r="E47" s="96"/>
      <c r="F47" s="96"/>
      <c r="G47" s="96"/>
      <c r="H47" s="96"/>
      <c r="I47" s="96"/>
      <c r="J47" s="96"/>
      <c r="K47" s="96"/>
      <c r="L47" s="96"/>
      <c r="M47" s="96"/>
      <c r="N47" s="96"/>
      <c r="O47" s="96"/>
    </row>
    <row r="48" spans="1:15" ht="20.25" x14ac:dyDescent="0.25">
      <c r="A48" s="116"/>
      <c r="B48" s="116"/>
      <c r="C48" s="118"/>
      <c r="D48" s="118"/>
      <c r="E48" s="96"/>
      <c r="F48" s="96"/>
      <c r="G48" s="96"/>
      <c r="H48" s="96"/>
      <c r="I48" s="96"/>
      <c r="J48" s="96"/>
      <c r="K48" s="96"/>
      <c r="L48" s="96"/>
      <c r="M48" s="96"/>
      <c r="N48" s="96"/>
      <c r="O48" s="96"/>
    </row>
    <row r="49" spans="1:15" ht="20.25" x14ac:dyDescent="0.25">
      <c r="A49" s="116"/>
      <c r="B49" s="116"/>
      <c r="C49" s="118"/>
      <c r="D49" s="118"/>
      <c r="E49" s="96"/>
      <c r="F49" s="96"/>
      <c r="G49" s="96"/>
      <c r="H49" s="96"/>
      <c r="I49" s="96"/>
      <c r="J49" s="96"/>
      <c r="K49" s="96"/>
      <c r="L49" s="96"/>
      <c r="M49" s="96"/>
      <c r="N49" s="96"/>
      <c r="O49" s="96"/>
    </row>
    <row r="50" spans="1:15" ht="20.25" x14ac:dyDescent="0.25">
      <c r="A50" s="116"/>
      <c r="B50" s="116"/>
      <c r="C50" s="118"/>
      <c r="D50" s="118"/>
      <c r="E50" s="96"/>
      <c r="F50" s="96"/>
      <c r="G50" s="96"/>
      <c r="H50" s="96"/>
      <c r="I50" s="96"/>
      <c r="J50" s="96"/>
      <c r="K50" s="96"/>
      <c r="L50" s="96"/>
      <c r="M50" s="96"/>
      <c r="N50" s="96"/>
      <c r="O50" s="96"/>
    </row>
    <row r="51" spans="1:15" ht="20.25" x14ac:dyDescent="0.25">
      <c r="A51" s="116"/>
      <c r="B51" s="116"/>
      <c r="C51" s="118"/>
      <c r="D51" s="118"/>
      <c r="E51" s="96"/>
      <c r="F51" s="96"/>
      <c r="G51" s="96"/>
      <c r="H51" s="96"/>
      <c r="I51" s="96"/>
      <c r="J51" s="96"/>
      <c r="K51" s="96"/>
      <c r="L51" s="96"/>
      <c r="M51" s="96"/>
      <c r="N51" s="96"/>
      <c r="O51" s="96"/>
    </row>
    <row r="52" spans="1:15" ht="20.25" x14ac:dyDescent="0.25">
      <c r="A52" s="116"/>
      <c r="B52" s="23"/>
      <c r="C52" s="36"/>
      <c r="D52" s="36"/>
    </row>
    <row r="53" spans="1:15" ht="20.25" x14ac:dyDescent="0.25">
      <c r="A53" s="116"/>
      <c r="B53" s="23"/>
      <c r="C53" s="36"/>
      <c r="D53" s="36"/>
    </row>
    <row r="54" spans="1:15" ht="20.25" x14ac:dyDescent="0.25">
      <c r="A54" s="116"/>
      <c r="B54" s="23"/>
      <c r="C54" s="36"/>
      <c r="D54" s="36"/>
    </row>
    <row r="55" spans="1:15" ht="20.25" x14ac:dyDescent="0.25">
      <c r="A55" s="116"/>
      <c r="B55" s="23"/>
      <c r="C55" s="36"/>
      <c r="D55" s="36"/>
    </row>
    <row r="56" spans="1:15" ht="20.25" x14ac:dyDescent="0.25">
      <c r="A56" s="116"/>
      <c r="B56" s="23"/>
      <c r="C56" s="36"/>
      <c r="D56" s="36"/>
    </row>
    <row r="57" spans="1:15" ht="20.25" x14ac:dyDescent="0.25">
      <c r="A57" s="116"/>
      <c r="B57" s="23"/>
      <c r="C57" s="36"/>
      <c r="D57" s="36"/>
    </row>
    <row r="58" spans="1:15" ht="20.25" x14ac:dyDescent="0.25">
      <c r="A58" s="116"/>
      <c r="B58" s="23"/>
      <c r="C58" s="36"/>
      <c r="D58" s="36"/>
    </row>
    <row r="59" spans="1:15" ht="20.25" x14ac:dyDescent="0.25">
      <c r="A59" s="116"/>
      <c r="B59" s="23"/>
      <c r="C59" s="36"/>
      <c r="D59" s="36"/>
    </row>
    <row r="60" spans="1:15" ht="20.25" x14ac:dyDescent="0.25">
      <c r="A60" s="116"/>
      <c r="B60" s="23"/>
      <c r="C60" s="36"/>
      <c r="D60" s="36"/>
    </row>
    <row r="61" spans="1:15" ht="20.25" x14ac:dyDescent="0.25">
      <c r="A61" s="116"/>
      <c r="B61" s="23"/>
      <c r="C61" s="36"/>
      <c r="D61" s="36"/>
    </row>
    <row r="62" spans="1:15" ht="20.25" x14ac:dyDescent="0.25">
      <c r="A62" s="116"/>
      <c r="B62" s="23"/>
      <c r="C62" s="36"/>
      <c r="D62" s="36"/>
    </row>
    <row r="63" spans="1:15" ht="20.25" x14ac:dyDescent="0.25">
      <c r="A63" s="116"/>
      <c r="B63" s="23"/>
      <c r="C63" s="36"/>
      <c r="D63" s="36"/>
    </row>
    <row r="64" spans="1:15" ht="20.25" x14ac:dyDescent="0.25">
      <c r="A64" s="116"/>
      <c r="B64" s="23"/>
      <c r="C64" s="36"/>
      <c r="D64" s="36"/>
    </row>
    <row r="65" spans="1:4" ht="20.25" x14ac:dyDescent="0.25">
      <c r="A65" s="116"/>
      <c r="B65" s="23"/>
      <c r="C65" s="36"/>
      <c r="D65" s="36"/>
    </row>
    <row r="66" spans="1:4" ht="20.25" x14ac:dyDescent="0.25">
      <c r="A66" s="116"/>
      <c r="B66" s="23"/>
      <c r="C66" s="36"/>
      <c r="D66" s="36"/>
    </row>
    <row r="67" spans="1:4" ht="20.25" x14ac:dyDescent="0.25">
      <c r="A67" s="116"/>
      <c r="B67" s="23"/>
      <c r="C67" s="36"/>
      <c r="D67" s="36"/>
    </row>
    <row r="68" spans="1:4" ht="20.25" x14ac:dyDescent="0.25">
      <c r="A68" s="116"/>
      <c r="B68" s="23"/>
      <c r="C68" s="36"/>
      <c r="D68" s="36"/>
    </row>
    <row r="69" spans="1:4" ht="20.25" x14ac:dyDescent="0.25">
      <c r="A69" s="116"/>
      <c r="B69" s="23"/>
      <c r="C69" s="36"/>
      <c r="D69" s="36"/>
    </row>
    <row r="70" spans="1:4" ht="20.25" x14ac:dyDescent="0.25">
      <c r="A70" s="116"/>
      <c r="B70" s="23"/>
      <c r="C70" s="36"/>
      <c r="D70" s="36"/>
    </row>
    <row r="71" spans="1:4" ht="20.25" x14ac:dyDescent="0.25">
      <c r="A71" s="116"/>
      <c r="B71" s="23"/>
      <c r="C71" s="36"/>
      <c r="D71" s="36"/>
    </row>
    <row r="72" spans="1:4" ht="20.25" x14ac:dyDescent="0.25">
      <c r="A72" s="116"/>
      <c r="B72" s="23"/>
      <c r="C72" s="36"/>
      <c r="D72" s="36"/>
    </row>
    <row r="73" spans="1:4" ht="20.25" x14ac:dyDescent="0.25">
      <c r="A73" s="116"/>
      <c r="B73" s="23"/>
      <c r="C73" s="36"/>
      <c r="D73" s="36"/>
    </row>
    <row r="74" spans="1:4" ht="20.25" x14ac:dyDescent="0.25">
      <c r="A74" s="116"/>
      <c r="B74" s="23"/>
      <c r="C74" s="36"/>
      <c r="D74" s="36"/>
    </row>
    <row r="75" spans="1:4" ht="20.25" x14ac:dyDescent="0.25">
      <c r="A75" s="116"/>
      <c r="B75" s="23"/>
      <c r="C75" s="36"/>
      <c r="D75" s="36"/>
    </row>
    <row r="76" spans="1:4" ht="20.25" x14ac:dyDescent="0.25">
      <c r="A76" s="116"/>
      <c r="B76" s="23"/>
      <c r="C76" s="36"/>
      <c r="D76" s="36"/>
    </row>
    <row r="77" spans="1:4" ht="20.25" x14ac:dyDescent="0.25">
      <c r="A77" s="116"/>
      <c r="B77" s="23"/>
      <c r="C77" s="36"/>
      <c r="D77" s="36"/>
    </row>
    <row r="78" spans="1:4" ht="20.25" x14ac:dyDescent="0.25">
      <c r="A78" s="116"/>
      <c r="B78" s="23"/>
      <c r="C78" s="36"/>
      <c r="D78" s="36"/>
    </row>
    <row r="79" spans="1:4" ht="20.25" x14ac:dyDescent="0.25">
      <c r="A79" s="116"/>
      <c r="B79" s="23"/>
      <c r="C79" s="36"/>
      <c r="D79" s="36"/>
    </row>
    <row r="80" spans="1:4" ht="20.25" x14ac:dyDescent="0.25">
      <c r="A80" s="116"/>
      <c r="B80" s="23"/>
      <c r="C80" s="36"/>
      <c r="D80" s="36"/>
    </row>
    <row r="81" spans="1:4" ht="20.25" x14ac:dyDescent="0.25">
      <c r="A81" s="116"/>
      <c r="B81" s="23"/>
      <c r="C81" s="36"/>
      <c r="D81" s="36"/>
    </row>
    <row r="82" spans="1:4" ht="20.25" x14ac:dyDescent="0.25">
      <c r="A82" s="116"/>
      <c r="B82" s="23"/>
      <c r="C82" s="36"/>
      <c r="D82" s="36"/>
    </row>
    <row r="83" spans="1:4" ht="20.25" x14ac:dyDescent="0.25">
      <c r="A83" s="116"/>
      <c r="B83" s="23"/>
      <c r="C83" s="36"/>
      <c r="D83" s="36"/>
    </row>
    <row r="84" spans="1:4" ht="20.25" x14ac:dyDescent="0.25">
      <c r="A84" s="116"/>
      <c r="B84" s="23"/>
      <c r="C84" s="36"/>
      <c r="D84" s="36"/>
    </row>
    <row r="85" spans="1:4" ht="20.25" x14ac:dyDescent="0.25">
      <c r="A85" s="116"/>
      <c r="B85" s="23"/>
      <c r="C85" s="36"/>
      <c r="D85" s="36"/>
    </row>
    <row r="86" spans="1:4" ht="20.25" x14ac:dyDescent="0.25">
      <c r="A86" s="116"/>
      <c r="B86" s="23"/>
      <c r="C86" s="36"/>
      <c r="D86" s="36"/>
    </row>
    <row r="87" spans="1:4" ht="20.25" x14ac:dyDescent="0.25">
      <c r="A87" s="116"/>
      <c r="B87" s="23"/>
      <c r="C87" s="36"/>
      <c r="D87" s="36"/>
    </row>
    <row r="88" spans="1:4" ht="20.25" x14ac:dyDescent="0.25">
      <c r="A88" s="116"/>
      <c r="B88" s="23"/>
      <c r="C88" s="36"/>
      <c r="D88" s="36"/>
    </row>
    <row r="89" spans="1:4" ht="20.25" x14ac:dyDescent="0.25">
      <c r="A89" s="116"/>
      <c r="B89" s="23"/>
      <c r="C89" s="36"/>
      <c r="D89" s="36"/>
    </row>
    <row r="90" spans="1:4" ht="20.25" x14ac:dyDescent="0.25">
      <c r="A90" s="116"/>
      <c r="B90" s="23"/>
      <c r="C90" s="36"/>
      <c r="D90" s="36"/>
    </row>
    <row r="91" spans="1:4" ht="20.25" x14ac:dyDescent="0.25">
      <c r="A91" s="116"/>
      <c r="B91" s="23"/>
      <c r="C91" s="36"/>
      <c r="D91" s="36"/>
    </row>
    <row r="92" spans="1:4" ht="20.25" x14ac:dyDescent="0.25">
      <c r="A92" s="116"/>
      <c r="B92" s="23"/>
      <c r="C92" s="36"/>
      <c r="D92" s="36"/>
    </row>
    <row r="93" spans="1:4" ht="20.25" x14ac:dyDescent="0.25">
      <c r="A93" s="116"/>
      <c r="B93" s="23"/>
      <c r="C93" s="36"/>
      <c r="D93" s="36"/>
    </row>
    <row r="94" spans="1:4" ht="20.25" x14ac:dyDescent="0.25">
      <c r="A94" s="116"/>
      <c r="B94" s="23"/>
      <c r="C94" s="36"/>
      <c r="D94" s="36"/>
    </row>
    <row r="95" spans="1:4" ht="20.25" x14ac:dyDescent="0.25">
      <c r="A95" s="116"/>
      <c r="B95" s="23"/>
      <c r="C95" s="36"/>
      <c r="D95" s="36"/>
    </row>
    <row r="96" spans="1:4" ht="20.25" x14ac:dyDescent="0.25">
      <c r="A96" s="116"/>
      <c r="B96" s="23"/>
      <c r="C96" s="36"/>
      <c r="D96" s="36"/>
    </row>
    <row r="97" spans="1:4" ht="20.25" x14ac:dyDescent="0.25">
      <c r="A97" s="116"/>
      <c r="B97" s="23"/>
      <c r="C97" s="36"/>
      <c r="D97" s="36"/>
    </row>
    <row r="98" spans="1:4" ht="20.25" x14ac:dyDescent="0.25">
      <c r="A98" s="116"/>
      <c r="B98" s="23"/>
      <c r="C98" s="36"/>
      <c r="D98" s="36"/>
    </row>
    <row r="99" spans="1:4" ht="20.25" x14ac:dyDescent="0.25">
      <c r="A99" s="116"/>
      <c r="B99" s="23"/>
      <c r="C99" s="36"/>
      <c r="D99" s="36"/>
    </row>
    <row r="100" spans="1:4" ht="20.25" x14ac:dyDescent="0.25">
      <c r="A100" s="116"/>
      <c r="B100" s="23"/>
      <c r="C100" s="36"/>
      <c r="D100" s="36"/>
    </row>
    <row r="101" spans="1:4" ht="20.25" x14ac:dyDescent="0.25">
      <c r="A101" s="116"/>
      <c r="B101" s="23"/>
      <c r="C101" s="36"/>
      <c r="D101" s="36"/>
    </row>
    <row r="102" spans="1:4" ht="20.25" x14ac:dyDescent="0.25">
      <c r="A102" s="116"/>
      <c r="B102" s="23"/>
      <c r="C102" s="36"/>
      <c r="D102" s="36"/>
    </row>
    <row r="103" spans="1:4" ht="20.25" x14ac:dyDescent="0.25">
      <c r="A103" s="116"/>
      <c r="B103" s="23"/>
      <c r="C103" s="36"/>
      <c r="D103" s="36"/>
    </row>
    <row r="104" spans="1:4" ht="20.25" x14ac:dyDescent="0.25">
      <c r="A104" s="116"/>
      <c r="B104" s="23"/>
      <c r="C104" s="36"/>
      <c r="D104" s="36"/>
    </row>
    <row r="105" spans="1:4" ht="20.25" x14ac:dyDescent="0.25">
      <c r="A105" s="116"/>
      <c r="B105" s="23"/>
      <c r="C105" s="36"/>
      <c r="D105" s="36"/>
    </row>
    <row r="106" spans="1:4" ht="20.25" x14ac:dyDescent="0.25">
      <c r="A106" s="116"/>
      <c r="B106" s="23"/>
      <c r="C106" s="36"/>
      <c r="D106" s="36"/>
    </row>
    <row r="107" spans="1:4" ht="20.25" x14ac:dyDescent="0.25">
      <c r="A107" s="116"/>
      <c r="B107" s="23"/>
      <c r="C107" s="36"/>
      <c r="D107" s="36"/>
    </row>
    <row r="108" spans="1:4" ht="20.25" x14ac:dyDescent="0.25">
      <c r="A108" s="116"/>
      <c r="B108" s="23"/>
      <c r="C108" s="36"/>
      <c r="D108" s="36"/>
    </row>
    <row r="109" spans="1:4" ht="20.25" x14ac:dyDescent="0.25">
      <c r="A109" s="116"/>
      <c r="B109" s="23"/>
      <c r="C109" s="36"/>
      <c r="D109" s="36"/>
    </row>
    <row r="110" spans="1:4" ht="20.25" x14ac:dyDescent="0.25">
      <c r="A110" s="116"/>
      <c r="B110" s="23"/>
      <c r="C110" s="36"/>
      <c r="D110" s="36"/>
    </row>
    <row r="111" spans="1:4" ht="20.25" x14ac:dyDescent="0.25">
      <c r="A111" s="116"/>
      <c r="B111" s="23"/>
      <c r="C111" s="36"/>
      <c r="D111" s="36"/>
    </row>
    <row r="112" spans="1:4" ht="20.25" x14ac:dyDescent="0.25">
      <c r="A112" s="116"/>
      <c r="B112" s="23"/>
      <c r="C112" s="36"/>
      <c r="D112" s="36"/>
    </row>
    <row r="113" spans="1:4" ht="20.25" x14ac:dyDescent="0.25">
      <c r="A113" s="116"/>
      <c r="B113" s="23"/>
      <c r="C113" s="36"/>
      <c r="D113" s="36"/>
    </row>
    <row r="114" spans="1:4" ht="20.25" x14ac:dyDescent="0.25">
      <c r="A114" s="116"/>
      <c r="B114" s="23"/>
      <c r="C114" s="36"/>
      <c r="D114" s="36"/>
    </row>
    <row r="115" spans="1:4" ht="20.25" x14ac:dyDescent="0.25">
      <c r="A115" s="116"/>
      <c r="B115" s="23"/>
      <c r="C115" s="36"/>
      <c r="D115" s="36"/>
    </row>
    <row r="116" spans="1:4" ht="20.25" x14ac:dyDescent="0.25">
      <c r="A116" s="116"/>
      <c r="B116" s="23"/>
      <c r="C116" s="36"/>
      <c r="D116" s="36"/>
    </row>
    <row r="117" spans="1:4" ht="20.25" x14ac:dyDescent="0.25">
      <c r="A117" s="116"/>
      <c r="B117" s="23"/>
      <c r="C117" s="36"/>
      <c r="D117" s="36"/>
    </row>
    <row r="118" spans="1:4" ht="20.25" x14ac:dyDescent="0.25">
      <c r="A118" s="116"/>
      <c r="B118" s="23"/>
      <c r="C118" s="36"/>
      <c r="D118" s="36"/>
    </row>
    <row r="119" spans="1:4" ht="20.25" x14ac:dyDescent="0.25">
      <c r="A119" s="116"/>
      <c r="B119" s="23"/>
      <c r="C119" s="36"/>
      <c r="D119" s="36"/>
    </row>
    <row r="120" spans="1:4" ht="20.25" x14ac:dyDescent="0.25">
      <c r="A120" s="116"/>
      <c r="B120" s="23"/>
      <c r="C120" s="36"/>
      <c r="D120" s="36"/>
    </row>
    <row r="121" spans="1:4" ht="20.25" x14ac:dyDescent="0.25">
      <c r="A121" s="116"/>
      <c r="B121" s="23"/>
      <c r="C121" s="36"/>
      <c r="D121" s="36"/>
    </row>
    <row r="122" spans="1:4" ht="20.25" x14ac:dyDescent="0.25">
      <c r="A122" s="116"/>
      <c r="B122" s="23"/>
      <c r="C122" s="36"/>
      <c r="D122" s="36"/>
    </row>
    <row r="123" spans="1:4" ht="20.25" x14ac:dyDescent="0.25">
      <c r="A123" s="116"/>
      <c r="B123" s="23"/>
      <c r="C123" s="36"/>
      <c r="D123" s="36"/>
    </row>
    <row r="124" spans="1:4" ht="20.25" x14ac:dyDescent="0.25">
      <c r="A124" s="116"/>
      <c r="B124" s="23"/>
      <c r="C124" s="36"/>
      <c r="D124" s="36"/>
    </row>
    <row r="125" spans="1:4" ht="20.25" x14ac:dyDescent="0.25">
      <c r="A125" s="116"/>
      <c r="B125" s="23"/>
      <c r="C125" s="36"/>
      <c r="D125" s="36"/>
    </row>
    <row r="126" spans="1:4" ht="20.25" x14ac:dyDescent="0.25">
      <c r="A126" s="116"/>
      <c r="B126" s="23"/>
      <c r="C126" s="36"/>
      <c r="D126" s="36"/>
    </row>
    <row r="127" spans="1:4" ht="20.25" x14ac:dyDescent="0.25">
      <c r="A127" s="116"/>
      <c r="B127" s="23"/>
      <c r="C127" s="36"/>
      <c r="D127" s="36"/>
    </row>
    <row r="128" spans="1:4" ht="20.25" x14ac:dyDescent="0.25">
      <c r="A128" s="116"/>
      <c r="B128" s="23"/>
      <c r="C128" s="36"/>
      <c r="D128" s="36"/>
    </row>
    <row r="129" spans="1:4" ht="20.25" x14ac:dyDescent="0.25">
      <c r="A129" s="116"/>
      <c r="B129" s="23"/>
      <c r="C129" s="36"/>
      <c r="D129" s="36"/>
    </row>
    <row r="130" spans="1:4" ht="20.25" x14ac:dyDescent="0.25">
      <c r="A130" s="116"/>
      <c r="B130" s="23"/>
      <c r="C130" s="36"/>
      <c r="D130" s="36"/>
    </row>
    <row r="131" spans="1:4" ht="20.25" x14ac:dyDescent="0.25">
      <c r="A131" s="116"/>
      <c r="B131" s="23"/>
      <c r="C131" s="36"/>
      <c r="D131" s="36"/>
    </row>
    <row r="132" spans="1:4" ht="20.25" x14ac:dyDescent="0.25">
      <c r="A132" s="116"/>
      <c r="B132" s="23"/>
      <c r="C132" s="36"/>
      <c r="D132" s="36"/>
    </row>
    <row r="133" spans="1:4" ht="20.25" x14ac:dyDescent="0.25">
      <c r="A133" s="116"/>
      <c r="B133" s="23"/>
      <c r="C133" s="36"/>
      <c r="D133" s="36"/>
    </row>
    <row r="134" spans="1:4" ht="20.25" x14ac:dyDescent="0.25">
      <c r="A134" s="116"/>
      <c r="B134" s="23"/>
      <c r="C134" s="36"/>
      <c r="D134" s="36"/>
    </row>
    <row r="135" spans="1:4" ht="20.25" x14ac:dyDescent="0.25">
      <c r="A135" s="116"/>
      <c r="B135" s="23"/>
      <c r="C135" s="36"/>
      <c r="D135" s="36"/>
    </row>
    <row r="136" spans="1:4" ht="20.25" x14ac:dyDescent="0.25">
      <c r="A136" s="116"/>
      <c r="B136" s="23"/>
      <c r="C136" s="36"/>
      <c r="D136" s="36"/>
    </row>
    <row r="137" spans="1:4" ht="20.25" x14ac:dyDescent="0.25">
      <c r="A137" s="116"/>
      <c r="B137" s="23"/>
      <c r="C137" s="36"/>
      <c r="D137" s="36"/>
    </row>
    <row r="138" spans="1:4" ht="20.25" x14ac:dyDescent="0.25">
      <c r="A138" s="116"/>
      <c r="B138" s="23"/>
      <c r="C138" s="36"/>
      <c r="D138" s="36"/>
    </row>
    <row r="139" spans="1:4" ht="20.25" x14ac:dyDescent="0.25">
      <c r="A139" s="116"/>
      <c r="B139" s="23"/>
      <c r="C139" s="36"/>
      <c r="D139" s="36"/>
    </row>
    <row r="140" spans="1:4" ht="20.25" x14ac:dyDescent="0.25">
      <c r="A140" s="116"/>
      <c r="B140" s="23"/>
      <c r="C140" s="36"/>
      <c r="D140" s="36"/>
    </row>
    <row r="141" spans="1:4" ht="20.25" x14ac:dyDescent="0.25">
      <c r="A141" s="116"/>
      <c r="B141" s="23"/>
      <c r="C141" s="36"/>
      <c r="D141" s="36"/>
    </row>
    <row r="142" spans="1:4" ht="20.25" x14ac:dyDescent="0.25">
      <c r="A142" s="116"/>
      <c r="B142" s="23"/>
      <c r="C142" s="36"/>
      <c r="D142" s="36"/>
    </row>
    <row r="143" spans="1:4" ht="20.25" x14ac:dyDescent="0.25">
      <c r="A143" s="116"/>
      <c r="B143" s="23"/>
      <c r="C143" s="36"/>
      <c r="D143" s="36"/>
    </row>
    <row r="144" spans="1:4" ht="20.25" x14ac:dyDescent="0.25">
      <c r="A144" s="116"/>
      <c r="B144" s="23"/>
      <c r="C144" s="36"/>
      <c r="D144" s="36"/>
    </row>
    <row r="145" spans="1:4" ht="20.25" x14ac:dyDescent="0.25">
      <c r="A145" s="116"/>
      <c r="B145" s="23"/>
      <c r="C145" s="36"/>
      <c r="D145" s="36"/>
    </row>
    <row r="146" spans="1:4" ht="20.25" x14ac:dyDescent="0.25">
      <c r="A146" s="116"/>
      <c r="B146" s="23"/>
      <c r="C146" s="36"/>
      <c r="D146" s="36"/>
    </row>
    <row r="147" spans="1:4" ht="20.25" x14ac:dyDescent="0.25">
      <c r="A147" s="116"/>
      <c r="B147" s="23"/>
      <c r="C147" s="36"/>
      <c r="D147" s="36"/>
    </row>
    <row r="148" spans="1:4" ht="20.25" x14ac:dyDescent="0.25">
      <c r="A148" s="116"/>
      <c r="B148" s="23"/>
      <c r="C148" s="36"/>
      <c r="D148" s="36"/>
    </row>
    <row r="149" spans="1:4" ht="20.25" x14ac:dyDescent="0.25">
      <c r="A149" s="116"/>
      <c r="B149" s="23"/>
      <c r="C149" s="36"/>
      <c r="D149" s="36"/>
    </row>
    <row r="150" spans="1:4" ht="20.25" x14ac:dyDescent="0.25">
      <c r="A150" s="116"/>
      <c r="B150" s="23"/>
      <c r="C150" s="36"/>
      <c r="D150" s="36"/>
    </row>
    <row r="151" spans="1:4" ht="20.25" x14ac:dyDescent="0.25">
      <c r="A151" s="116"/>
      <c r="B151" s="23"/>
      <c r="C151" s="36"/>
      <c r="D151" s="36"/>
    </row>
    <row r="152" spans="1:4" ht="20.25" x14ac:dyDescent="0.25">
      <c r="A152" s="116"/>
      <c r="B152" s="23"/>
      <c r="C152" s="36"/>
      <c r="D152" s="36"/>
    </row>
    <row r="153" spans="1:4" ht="20.25" x14ac:dyDescent="0.25">
      <c r="A153" s="116"/>
      <c r="B153" s="23"/>
      <c r="C153" s="36"/>
      <c r="D153" s="36"/>
    </row>
    <row r="154" spans="1:4" ht="20.25" x14ac:dyDescent="0.25">
      <c r="A154" s="116"/>
      <c r="B154" s="23"/>
      <c r="C154" s="36"/>
      <c r="D154" s="36"/>
    </row>
    <row r="155" spans="1:4" ht="20.25" x14ac:dyDescent="0.25">
      <c r="A155" s="116"/>
      <c r="B155" s="23"/>
      <c r="C155" s="36"/>
      <c r="D155" s="36"/>
    </row>
    <row r="156" spans="1:4" ht="20.25" x14ac:dyDescent="0.25">
      <c r="A156" s="116"/>
      <c r="B156" s="23"/>
      <c r="C156" s="36"/>
      <c r="D156" s="36"/>
    </row>
    <row r="157" spans="1:4" ht="20.25" x14ac:dyDescent="0.25">
      <c r="A157" s="116"/>
      <c r="B157" s="23"/>
      <c r="C157" s="36"/>
      <c r="D157" s="36"/>
    </row>
    <row r="158" spans="1:4" ht="20.25" x14ac:dyDescent="0.25">
      <c r="A158" s="116"/>
      <c r="B158" s="23"/>
      <c r="C158" s="36"/>
      <c r="D158" s="36"/>
    </row>
    <row r="159" spans="1:4" ht="20.25" x14ac:dyDescent="0.25">
      <c r="A159" s="116"/>
      <c r="B159" s="23"/>
      <c r="C159" s="36"/>
      <c r="D159" s="36"/>
    </row>
    <row r="160" spans="1:4" ht="20.25" x14ac:dyDescent="0.25">
      <c r="A160" s="116"/>
      <c r="B160" s="23"/>
      <c r="C160" s="36"/>
      <c r="D160" s="36"/>
    </row>
    <row r="161" spans="1:4" ht="20.25" x14ac:dyDescent="0.25">
      <c r="A161" s="116"/>
      <c r="B161" s="23"/>
      <c r="C161" s="36"/>
      <c r="D161" s="36"/>
    </row>
    <row r="162" spans="1:4" ht="20.25" x14ac:dyDescent="0.25">
      <c r="A162" s="116"/>
      <c r="B162" s="23"/>
      <c r="C162" s="36"/>
      <c r="D162" s="36"/>
    </row>
    <row r="163" spans="1:4" ht="20.25" x14ac:dyDescent="0.25">
      <c r="A163" s="116"/>
      <c r="B163" s="23"/>
      <c r="C163" s="36"/>
      <c r="D163" s="36"/>
    </row>
    <row r="164" spans="1:4" ht="20.25" x14ac:dyDescent="0.25">
      <c r="A164" s="116"/>
      <c r="B164" s="23"/>
      <c r="C164" s="36"/>
      <c r="D164" s="36"/>
    </row>
    <row r="165" spans="1:4" ht="20.25" x14ac:dyDescent="0.25">
      <c r="A165" s="116"/>
      <c r="B165" s="23"/>
      <c r="C165" s="36"/>
      <c r="D165" s="36"/>
    </row>
    <row r="166" spans="1:4" ht="20.25" x14ac:dyDescent="0.25">
      <c r="A166" s="116"/>
      <c r="B166" s="23"/>
      <c r="C166" s="36"/>
      <c r="D166" s="36"/>
    </row>
    <row r="167" spans="1:4" ht="20.25" x14ac:dyDescent="0.25">
      <c r="A167" s="116"/>
      <c r="B167" s="23"/>
      <c r="C167" s="36"/>
      <c r="D167" s="36"/>
    </row>
    <row r="168" spans="1:4" ht="20.25" x14ac:dyDescent="0.25">
      <c r="A168" s="116"/>
      <c r="B168" s="23"/>
      <c r="C168" s="36"/>
      <c r="D168" s="36"/>
    </row>
    <row r="169" spans="1:4" ht="20.25" x14ac:dyDescent="0.25">
      <c r="A169" s="116"/>
      <c r="B169" s="23"/>
      <c r="C169" s="36"/>
      <c r="D169" s="36"/>
    </row>
    <row r="170" spans="1:4" ht="20.25" x14ac:dyDescent="0.25">
      <c r="A170" s="116"/>
      <c r="B170" s="23"/>
      <c r="C170" s="36"/>
      <c r="D170" s="36"/>
    </row>
    <row r="171" spans="1:4" ht="20.25" x14ac:dyDescent="0.25">
      <c r="A171" s="116"/>
      <c r="B171" s="23"/>
      <c r="C171" s="36"/>
      <c r="D171" s="36"/>
    </row>
    <row r="172" spans="1:4" ht="20.25" x14ac:dyDescent="0.25">
      <c r="A172" s="116"/>
      <c r="B172" s="23"/>
      <c r="C172" s="36"/>
      <c r="D172" s="36"/>
    </row>
    <row r="173" spans="1:4" ht="20.25" x14ac:dyDescent="0.25">
      <c r="A173" s="116"/>
      <c r="B173" s="23"/>
      <c r="C173" s="36"/>
      <c r="D173" s="36"/>
    </row>
    <row r="174" spans="1:4" ht="20.25" x14ac:dyDescent="0.25">
      <c r="A174" s="116"/>
      <c r="B174" s="23"/>
      <c r="C174" s="36"/>
      <c r="D174" s="36"/>
    </row>
    <row r="175" spans="1:4" ht="20.25" x14ac:dyDescent="0.25">
      <c r="A175" s="116"/>
      <c r="B175" s="23"/>
      <c r="C175" s="36"/>
      <c r="D175" s="36"/>
    </row>
    <row r="176" spans="1:4" ht="20.25" x14ac:dyDescent="0.25">
      <c r="A176" s="116"/>
      <c r="B176" s="23"/>
      <c r="C176" s="36"/>
      <c r="D176" s="36"/>
    </row>
    <row r="177" spans="1:4" ht="20.25" x14ac:dyDescent="0.25">
      <c r="A177" s="116"/>
      <c r="B177" s="23"/>
      <c r="C177" s="36"/>
      <c r="D177" s="36"/>
    </row>
    <row r="178" spans="1:4" ht="20.25" x14ac:dyDescent="0.25">
      <c r="A178" s="116"/>
      <c r="B178" s="23"/>
      <c r="C178" s="36"/>
      <c r="D178" s="36"/>
    </row>
    <row r="179" spans="1:4" ht="20.25" x14ac:dyDescent="0.25">
      <c r="A179" s="116"/>
      <c r="B179" s="23"/>
      <c r="C179" s="36"/>
      <c r="D179" s="36"/>
    </row>
    <row r="180" spans="1:4" ht="20.25" x14ac:dyDescent="0.25">
      <c r="A180" s="116"/>
      <c r="B180" s="23"/>
      <c r="C180" s="36"/>
      <c r="D180" s="36"/>
    </row>
    <row r="181" spans="1:4" ht="20.25" x14ac:dyDescent="0.25">
      <c r="A181" s="116"/>
      <c r="B181" s="23"/>
      <c r="C181" s="36"/>
      <c r="D181" s="36"/>
    </row>
    <row r="182" spans="1:4" ht="20.25" x14ac:dyDescent="0.25">
      <c r="A182" s="116"/>
      <c r="B182" s="23"/>
      <c r="C182" s="36"/>
      <c r="D182" s="36"/>
    </row>
    <row r="183" spans="1:4" ht="20.25" x14ac:dyDescent="0.25">
      <c r="A183" s="116"/>
      <c r="B183" s="23"/>
      <c r="C183" s="36"/>
      <c r="D183" s="36"/>
    </row>
    <row r="184" spans="1:4" ht="20.25" x14ac:dyDescent="0.25">
      <c r="A184" s="116"/>
      <c r="B184" s="23"/>
      <c r="C184" s="36"/>
      <c r="D184" s="36"/>
    </row>
    <row r="185" spans="1:4" ht="20.25" x14ac:dyDescent="0.25">
      <c r="A185" s="116"/>
      <c r="B185" s="23"/>
      <c r="C185" s="36"/>
      <c r="D185" s="36"/>
    </row>
    <row r="186" spans="1:4" ht="20.25" x14ac:dyDescent="0.25">
      <c r="A186" s="116"/>
      <c r="B186" s="23"/>
      <c r="C186" s="36"/>
      <c r="D186" s="36"/>
    </row>
    <row r="187" spans="1:4" ht="20.25" x14ac:dyDescent="0.25">
      <c r="A187" s="116"/>
      <c r="B187" s="23"/>
      <c r="C187" s="36"/>
      <c r="D187" s="36"/>
    </row>
    <row r="188" spans="1:4" ht="20.25" x14ac:dyDescent="0.25">
      <c r="A188" s="116"/>
      <c r="B188" s="23"/>
      <c r="C188" s="36"/>
      <c r="D188" s="36"/>
    </row>
    <row r="189" spans="1:4" ht="20.25" x14ac:dyDescent="0.25">
      <c r="A189" s="116"/>
      <c r="B189" s="23"/>
      <c r="C189" s="36"/>
      <c r="D189" s="36"/>
    </row>
    <row r="190" spans="1:4" ht="20.25" x14ac:dyDescent="0.25">
      <c r="A190" s="116"/>
      <c r="B190" s="23"/>
      <c r="C190" s="36"/>
      <c r="D190" s="36"/>
    </row>
    <row r="191" spans="1:4" ht="20.25" x14ac:dyDescent="0.25">
      <c r="A191" s="116"/>
      <c r="B191" s="23"/>
      <c r="C191" s="36"/>
      <c r="D191" s="36"/>
    </row>
    <row r="192" spans="1:4" ht="20.25" x14ac:dyDescent="0.25">
      <c r="A192" s="116"/>
      <c r="B192" s="23"/>
      <c r="C192" s="36"/>
      <c r="D192" s="36"/>
    </row>
    <row r="193" spans="1:4" ht="20.25" x14ac:dyDescent="0.25">
      <c r="A193" s="116"/>
      <c r="B193" s="23"/>
      <c r="C193" s="36"/>
      <c r="D193" s="36"/>
    </row>
    <row r="194" spans="1:4" ht="20.25" x14ac:dyDescent="0.25">
      <c r="A194" s="116"/>
      <c r="B194" s="23"/>
      <c r="C194" s="36"/>
      <c r="D194" s="36"/>
    </row>
    <row r="195" spans="1:4" ht="20.25" x14ac:dyDescent="0.25">
      <c r="A195" s="116"/>
      <c r="B195" s="23"/>
      <c r="C195" s="36"/>
      <c r="D195" s="36"/>
    </row>
    <row r="196" spans="1:4" ht="20.25" x14ac:dyDescent="0.25">
      <c r="A196" s="116"/>
      <c r="B196" s="23"/>
      <c r="C196" s="36"/>
      <c r="D196" s="36"/>
    </row>
    <row r="197" spans="1:4" ht="20.25" x14ac:dyDescent="0.25">
      <c r="A197" s="116"/>
      <c r="B197" s="23"/>
      <c r="C197" s="36"/>
      <c r="D197" s="36"/>
    </row>
    <row r="198" spans="1:4" ht="20.25" x14ac:dyDescent="0.25">
      <c r="A198" s="116"/>
      <c r="B198" s="23"/>
      <c r="C198" s="36"/>
      <c r="D198" s="36"/>
    </row>
    <row r="199" spans="1:4" ht="20.25" x14ac:dyDescent="0.25">
      <c r="A199" s="116"/>
      <c r="B199" s="23"/>
      <c r="C199" s="36"/>
      <c r="D199" s="36"/>
    </row>
    <row r="200" spans="1:4" ht="20.25" x14ac:dyDescent="0.25">
      <c r="A200" s="116"/>
      <c r="B200" s="23"/>
      <c r="C200" s="36"/>
      <c r="D200" s="36"/>
    </row>
    <row r="201" spans="1:4" ht="20.25" x14ac:dyDescent="0.25">
      <c r="A201" s="116"/>
      <c r="B201" s="23"/>
      <c r="C201" s="36"/>
      <c r="D201" s="36"/>
    </row>
    <row r="202" spans="1:4" ht="20.25" x14ac:dyDescent="0.25">
      <c r="A202" s="116"/>
      <c r="B202" s="23"/>
      <c r="C202" s="36"/>
      <c r="D202" s="36"/>
    </row>
    <row r="203" spans="1:4" ht="20.25" x14ac:dyDescent="0.25">
      <c r="A203" s="116"/>
      <c r="B203" s="23"/>
      <c r="C203" s="36"/>
      <c r="D203" s="36"/>
    </row>
    <row r="204" spans="1:4" ht="20.25" x14ac:dyDescent="0.25">
      <c r="A204" s="116"/>
      <c r="B204" s="23"/>
      <c r="C204" s="36"/>
      <c r="D204" s="36"/>
    </row>
    <row r="205" spans="1:4" ht="20.25" x14ac:dyDescent="0.25">
      <c r="A205" s="116"/>
      <c r="B205" s="23"/>
      <c r="C205" s="36"/>
      <c r="D205" s="36"/>
    </row>
    <row r="206" spans="1:4" ht="20.25" x14ac:dyDescent="0.25">
      <c r="A206" s="116"/>
      <c r="B206" s="23"/>
      <c r="C206" s="36"/>
      <c r="D206" s="36"/>
    </row>
    <row r="207" spans="1:4" ht="20.25" x14ac:dyDescent="0.25">
      <c r="A207" s="116"/>
      <c r="B207" s="23"/>
      <c r="C207" s="36"/>
      <c r="D207" s="36"/>
    </row>
    <row r="208" spans="1:4" x14ac:dyDescent="0.25">
      <c r="A208" s="96"/>
      <c r="B208" s="23"/>
      <c r="C208" s="23"/>
      <c r="D208" s="23"/>
    </row>
    <row r="209" spans="1:8" ht="20.25" x14ac:dyDescent="0.25">
      <c r="A209" s="96"/>
      <c r="B209" s="32" t="s">
        <v>88</v>
      </c>
      <c r="C209" s="32" t="s">
        <v>143</v>
      </c>
      <c r="D209" s="35" t="s">
        <v>88</v>
      </c>
      <c r="E209" s="35" t="s">
        <v>143</v>
      </c>
    </row>
    <row r="210" spans="1:8" ht="21" x14ac:dyDescent="0.35">
      <c r="A210" s="96"/>
      <c r="B210" s="33" t="s">
        <v>90</v>
      </c>
      <c r="C210" s="33"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96"/>
      <c r="B211" s="33" t="s">
        <v>90</v>
      </c>
      <c r="C211" s="33" t="s">
        <v>93</v>
      </c>
      <c r="E211" t="s">
        <v>58</v>
      </c>
      <c r="F211" t="str">
        <f t="shared" ref="F211:F221" si="0">IF(NOT(ISBLANK(D211)),D211,IF(NOT(ISBLANK(E211)),"     "&amp;E211,FALSE))</f>
        <v xml:space="preserve">     Afectación menor a 10 SMLMV .</v>
      </c>
    </row>
    <row r="212" spans="1:8" ht="21" x14ac:dyDescent="0.35">
      <c r="A212" s="96"/>
      <c r="B212" s="33" t="s">
        <v>90</v>
      </c>
      <c r="C212" s="33" t="s">
        <v>94</v>
      </c>
      <c r="E212" t="s">
        <v>93</v>
      </c>
      <c r="F212" t="str">
        <f t="shared" si="0"/>
        <v xml:space="preserve">     Entre 10 y 50 SMLMV </v>
      </c>
    </row>
    <row r="213" spans="1:8" ht="21" x14ac:dyDescent="0.35">
      <c r="A213" s="96"/>
      <c r="B213" s="33" t="s">
        <v>90</v>
      </c>
      <c r="C213" s="33" t="s">
        <v>95</v>
      </c>
      <c r="E213" t="s">
        <v>94</v>
      </c>
      <c r="F213" t="str">
        <f t="shared" si="0"/>
        <v xml:space="preserve">     Entre 50 y 100 SMLMV </v>
      </c>
    </row>
    <row r="214" spans="1:8" ht="21" x14ac:dyDescent="0.35">
      <c r="A214" s="96"/>
      <c r="B214" s="33" t="s">
        <v>90</v>
      </c>
      <c r="C214" s="33" t="s">
        <v>96</v>
      </c>
      <c r="E214" t="s">
        <v>95</v>
      </c>
      <c r="F214" t="str">
        <f t="shared" si="0"/>
        <v xml:space="preserve">     Entre 100 y 500 SMLMV </v>
      </c>
    </row>
    <row r="215" spans="1:8" ht="21" x14ac:dyDescent="0.35">
      <c r="A215" s="96"/>
      <c r="B215" s="33" t="s">
        <v>57</v>
      </c>
      <c r="C215" s="33" t="s">
        <v>97</v>
      </c>
      <c r="E215" t="s">
        <v>96</v>
      </c>
      <c r="F215" t="str">
        <f t="shared" si="0"/>
        <v xml:space="preserve">     Mayor a 500 SMLMV </v>
      </c>
    </row>
    <row r="216" spans="1:8" ht="21" x14ac:dyDescent="0.35">
      <c r="A216" s="96"/>
      <c r="B216" s="33" t="s">
        <v>57</v>
      </c>
      <c r="C216" s="33" t="s">
        <v>98</v>
      </c>
      <c r="D216" t="s">
        <v>57</v>
      </c>
      <c r="F216" t="str">
        <f t="shared" si="0"/>
        <v>Pérdida Reputacional</v>
      </c>
    </row>
    <row r="217" spans="1:8" ht="21" x14ac:dyDescent="0.35">
      <c r="A217" s="96"/>
      <c r="B217" s="33" t="s">
        <v>57</v>
      </c>
      <c r="C217" s="33" t="s">
        <v>100</v>
      </c>
      <c r="E217" t="s">
        <v>97</v>
      </c>
      <c r="F217" t="str">
        <f t="shared" si="0"/>
        <v xml:space="preserve">     El riesgo afecta la imagen de alguna área de la organización</v>
      </c>
    </row>
    <row r="218" spans="1:8" ht="21" x14ac:dyDescent="0.35">
      <c r="A218" s="96"/>
      <c r="B218" s="33" t="s">
        <v>57</v>
      </c>
      <c r="C218" s="33" t="s">
        <v>99</v>
      </c>
      <c r="E218" t="s">
        <v>98</v>
      </c>
      <c r="F218" t="str">
        <f t="shared" si="0"/>
        <v xml:space="preserve">     El riesgo afecta la imagen de la entidad internamente, de conocimiento general, nivel interno, de junta dircetiva y accionistas y/o de provedores</v>
      </c>
    </row>
    <row r="219" spans="1:8" ht="21" x14ac:dyDescent="0.35">
      <c r="A219" s="96"/>
      <c r="B219" s="33" t="s">
        <v>57</v>
      </c>
      <c r="C219" s="33" t="s">
        <v>118</v>
      </c>
      <c r="E219" t="s">
        <v>100</v>
      </c>
      <c r="F219" t="str">
        <f t="shared" si="0"/>
        <v xml:space="preserve">     El riesgo afecta la imagen de la entidad con algunos usuarios de relevancia frente al logro de los objetivos</v>
      </c>
    </row>
    <row r="220" spans="1:8" x14ac:dyDescent="0.25">
      <c r="A220" s="96"/>
      <c r="B220" s="34"/>
      <c r="C220" s="34"/>
      <c r="E220" t="s">
        <v>99</v>
      </c>
      <c r="F220" t="str">
        <f t="shared" si="0"/>
        <v xml:space="preserve">     El riesgo afecta la imagen de de la entidad con efecto publicitario sostenido a nivel de sector administrativo, nivel departamental o municipal</v>
      </c>
    </row>
    <row r="221" spans="1:8" x14ac:dyDescent="0.25">
      <c r="A221" s="96"/>
      <c r="B221" s="34" t="e" cm="1">
        <f t="array" aca="1" ref="B221:B223" ca="1">_xlfn.UNIQUE(Tabla1[[#All],[Criterios]])</f>
        <v>#NAME?</v>
      </c>
      <c r="C221" s="34"/>
      <c r="E221" t="s">
        <v>118</v>
      </c>
      <c r="F221" t="str">
        <f t="shared" si="0"/>
        <v xml:space="preserve">     El riesgo afecta la imagen de la entidad a nivel nacional, con efecto publicitarios sostenible a nivel país</v>
      </c>
    </row>
    <row r="222" spans="1:8" x14ac:dyDescent="0.25">
      <c r="A222" s="96"/>
      <c r="B222" s="34" t="e">
        <f ca="1"/>
        <v>#NAME?</v>
      </c>
      <c r="C222" s="34"/>
    </row>
    <row r="223" spans="1:8" x14ac:dyDescent="0.25">
      <c r="B223" s="34" t="e">
        <f ca="1"/>
        <v>#NAME?</v>
      </c>
      <c r="C223" s="34"/>
      <c r="F223" s="37" t="s">
        <v>145</v>
      </c>
    </row>
    <row r="224" spans="1:8" x14ac:dyDescent="0.25">
      <c r="B224" s="22"/>
      <c r="C224" s="22"/>
      <c r="F224" s="37" t="s">
        <v>146</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6" workbookViewId="0">
      <selection activeCell="C9" sqref="C9:C10"/>
    </sheetView>
  </sheetViews>
  <sheetFormatPr baseColWidth="10" defaultColWidth="14.28515625" defaultRowHeight="12.75" x14ac:dyDescent="0.2"/>
  <cols>
    <col min="1" max="2" width="14.28515625" style="101"/>
    <col min="3" max="3" width="17" style="101" customWidth="1"/>
    <col min="4" max="4" width="14.28515625" style="101"/>
    <col min="5" max="5" width="46" style="101" customWidth="1"/>
    <col min="6" max="16384" width="14.28515625" style="101"/>
  </cols>
  <sheetData>
    <row r="1" spans="2:6" ht="24" customHeight="1" thickBot="1" x14ac:dyDescent="0.25">
      <c r="B1" s="422" t="s">
        <v>78</v>
      </c>
      <c r="C1" s="423"/>
      <c r="D1" s="423"/>
      <c r="E1" s="423"/>
      <c r="F1" s="424"/>
    </row>
    <row r="2" spans="2:6" ht="16.5" thickBot="1" x14ac:dyDescent="0.3">
      <c r="B2" s="102"/>
      <c r="C2" s="102"/>
      <c r="D2" s="102"/>
      <c r="E2" s="102"/>
      <c r="F2" s="102"/>
    </row>
    <row r="3" spans="2:6" ht="16.5" thickBot="1" x14ac:dyDescent="0.25">
      <c r="B3" s="426" t="s">
        <v>64</v>
      </c>
      <c r="C3" s="427"/>
      <c r="D3" s="427"/>
      <c r="E3" s="114" t="s">
        <v>65</v>
      </c>
      <c r="F3" s="115" t="s">
        <v>66</v>
      </c>
    </row>
    <row r="4" spans="2:6" ht="31.5" x14ac:dyDescent="0.2">
      <c r="B4" s="428" t="s">
        <v>67</v>
      </c>
      <c r="C4" s="430" t="s">
        <v>13</v>
      </c>
      <c r="D4" s="103" t="s">
        <v>14</v>
      </c>
      <c r="E4" s="104" t="s">
        <v>68</v>
      </c>
      <c r="F4" s="105">
        <v>0.25</v>
      </c>
    </row>
    <row r="5" spans="2:6" ht="47.25" x14ac:dyDescent="0.2">
      <c r="B5" s="429"/>
      <c r="C5" s="431"/>
      <c r="D5" s="106" t="s">
        <v>15</v>
      </c>
      <c r="E5" s="107" t="s">
        <v>69</v>
      </c>
      <c r="F5" s="108">
        <v>0.15</v>
      </c>
    </row>
    <row r="6" spans="2:6" ht="47.25" x14ac:dyDescent="0.2">
      <c r="B6" s="429"/>
      <c r="C6" s="431"/>
      <c r="D6" s="106" t="s">
        <v>16</v>
      </c>
      <c r="E6" s="107" t="s">
        <v>70</v>
      </c>
      <c r="F6" s="108">
        <v>0.1</v>
      </c>
    </row>
    <row r="7" spans="2:6" ht="63" x14ac:dyDescent="0.2">
      <c r="B7" s="429"/>
      <c r="C7" s="431" t="s">
        <v>17</v>
      </c>
      <c r="D7" s="106" t="s">
        <v>10</v>
      </c>
      <c r="E7" s="107" t="s">
        <v>71</v>
      </c>
      <c r="F7" s="108">
        <v>0.25</v>
      </c>
    </row>
    <row r="8" spans="2:6" ht="31.5" x14ac:dyDescent="0.2">
      <c r="B8" s="429"/>
      <c r="C8" s="431"/>
      <c r="D8" s="106" t="s">
        <v>9</v>
      </c>
      <c r="E8" s="107" t="s">
        <v>72</v>
      </c>
      <c r="F8" s="108">
        <v>0.15</v>
      </c>
    </row>
    <row r="9" spans="2:6" ht="47.25" x14ac:dyDescent="0.2">
      <c r="B9" s="429" t="s">
        <v>160</v>
      </c>
      <c r="C9" s="431" t="s">
        <v>18</v>
      </c>
      <c r="D9" s="106" t="s">
        <v>19</v>
      </c>
      <c r="E9" s="107" t="s">
        <v>73</v>
      </c>
      <c r="F9" s="109" t="s">
        <v>74</v>
      </c>
    </row>
    <row r="10" spans="2:6" ht="63" x14ac:dyDescent="0.2">
      <c r="B10" s="429"/>
      <c r="C10" s="431"/>
      <c r="D10" s="106" t="s">
        <v>20</v>
      </c>
      <c r="E10" s="107" t="s">
        <v>75</v>
      </c>
      <c r="F10" s="109" t="s">
        <v>74</v>
      </c>
    </row>
    <row r="11" spans="2:6" ht="47.25" x14ac:dyDescent="0.2">
      <c r="B11" s="429"/>
      <c r="C11" s="431" t="s">
        <v>21</v>
      </c>
      <c r="D11" s="106" t="s">
        <v>22</v>
      </c>
      <c r="E11" s="107" t="s">
        <v>76</v>
      </c>
      <c r="F11" s="109" t="s">
        <v>74</v>
      </c>
    </row>
    <row r="12" spans="2:6" ht="47.25" x14ac:dyDescent="0.2">
      <c r="B12" s="429"/>
      <c r="C12" s="431"/>
      <c r="D12" s="106" t="s">
        <v>23</v>
      </c>
      <c r="E12" s="107" t="s">
        <v>77</v>
      </c>
      <c r="F12" s="109" t="s">
        <v>74</v>
      </c>
    </row>
    <row r="13" spans="2:6" ht="31.5" x14ac:dyDescent="0.2">
      <c r="B13" s="429"/>
      <c r="C13" s="431" t="s">
        <v>24</v>
      </c>
      <c r="D13" s="106" t="s">
        <v>119</v>
      </c>
      <c r="E13" s="107" t="s">
        <v>122</v>
      </c>
      <c r="F13" s="109" t="s">
        <v>74</v>
      </c>
    </row>
    <row r="14" spans="2:6" ht="32.25" thickBot="1" x14ac:dyDescent="0.25">
      <c r="B14" s="432"/>
      <c r="C14" s="433"/>
      <c r="D14" s="110" t="s">
        <v>120</v>
      </c>
      <c r="E14" s="111" t="s">
        <v>121</v>
      </c>
      <c r="F14" s="112" t="s">
        <v>74</v>
      </c>
    </row>
    <row r="15" spans="2:6" ht="49.5" customHeight="1" x14ac:dyDescent="0.2">
      <c r="B15" s="425" t="s">
        <v>157</v>
      </c>
      <c r="C15" s="425"/>
      <c r="D15" s="425"/>
      <c r="E15" s="425"/>
      <c r="F15" s="425"/>
    </row>
    <row r="16" spans="2:6" ht="27" customHeight="1" x14ac:dyDescent="0.25">
      <c r="B16" s="11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AUXPLANEACION03</cp:lastModifiedBy>
  <cp:lastPrinted>2020-05-13T01:12:22Z</cp:lastPrinted>
  <dcterms:created xsi:type="dcterms:W3CDTF">2020-03-24T23:12:47Z</dcterms:created>
  <dcterms:modified xsi:type="dcterms:W3CDTF">2025-07-24T19:01:14Z</dcterms:modified>
</cp:coreProperties>
</file>