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Mapa Riesgos Institucionles 2025\"/>
    </mc:Choice>
  </mc:AlternateContent>
  <bookViews>
    <workbookView xWindow="0" yWindow="0" windowWidth="28800" windowHeight="1174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workbook>
</file>

<file path=xl/calcChain.xml><?xml version="1.0" encoding="utf-8"?>
<calcChain xmlns="http://schemas.openxmlformats.org/spreadsheetml/2006/main">
  <c r="AR13" i="1" l="1"/>
  <c r="AR14" i="1"/>
  <c r="AR15" i="1"/>
  <c r="AR16" i="1"/>
  <c r="AR17" i="1"/>
  <c r="AR18" i="1"/>
  <c r="AR19" i="1"/>
  <c r="AR20" i="1"/>
  <c r="AR21" i="1"/>
  <c r="AR22" i="1"/>
  <c r="AR23" i="1"/>
  <c r="AR24" i="1"/>
  <c r="AR25" i="1"/>
  <c r="AR26" i="1"/>
  <c r="AR27" i="1"/>
  <c r="AR31" i="1"/>
  <c r="AR32" i="1"/>
  <c r="AR33" i="1"/>
  <c r="AR34" i="1"/>
  <c r="AR35" i="1"/>
  <c r="AR36" i="1"/>
  <c r="AR37" i="1"/>
  <c r="AM13" i="1"/>
  <c r="AM14" i="1"/>
  <c r="AM15" i="1"/>
  <c r="AM16" i="1"/>
  <c r="AM17" i="1"/>
  <c r="AM18" i="1"/>
  <c r="AM19" i="1"/>
  <c r="AM20" i="1"/>
  <c r="AM21" i="1"/>
  <c r="AM22" i="1"/>
  <c r="AM23" i="1"/>
  <c r="AM24" i="1"/>
  <c r="AM25" i="1"/>
  <c r="AM26" i="1"/>
  <c r="AM27" i="1"/>
  <c r="AM31" i="1"/>
  <c r="AM32" i="1"/>
  <c r="AM33" i="1"/>
  <c r="AM34" i="1"/>
  <c r="AM35" i="1"/>
  <c r="AM36" i="1"/>
  <c r="AM37" i="1"/>
  <c r="G31" i="1"/>
  <c r="G22" i="1"/>
  <c r="H12" i="1" l="1"/>
  <c r="I12" i="1" s="1"/>
  <c r="K23" i="1"/>
  <c r="K20" i="1"/>
  <c r="K34" i="1"/>
  <c r="K24" i="1"/>
  <c r="K37" i="1"/>
  <c r="K36" i="1"/>
  <c r="K27" i="1"/>
  <c r="K21" i="1"/>
  <c r="K18" i="1"/>
  <c r="K32" i="1"/>
  <c r="K25" i="1"/>
  <c r="F221" i="13" l="1"/>
  <c r="F211" i="13"/>
  <c r="F212" i="13"/>
  <c r="F213" i="13"/>
  <c r="F214" i="13"/>
  <c r="F215" i="13"/>
  <c r="F216" i="13"/>
  <c r="F217" i="13"/>
  <c r="F218" i="13"/>
  <c r="F219" i="13"/>
  <c r="F220" i="13"/>
  <c r="F210" i="13"/>
  <c r="B221" i="13" a="1"/>
  <c r="K15" i="1"/>
  <c r="K13" i="1"/>
  <c r="K14" i="1"/>
  <c r="K16" i="1"/>
  <c r="B221" i="13" l="1"/>
  <c r="Q3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7" i="1" l="1"/>
  <c r="Q37" i="1"/>
  <c r="T36" i="1"/>
  <c r="Q36" i="1"/>
  <c r="T35" i="1"/>
  <c r="Q35" i="1"/>
  <c r="H35" i="1"/>
  <c r="I35" i="1" s="1"/>
  <c r="T34" i="1"/>
  <c r="Q34" i="1"/>
  <c r="T33" i="1"/>
  <c r="Q33" i="1"/>
  <c r="H33" i="1"/>
  <c r="I33" i="1" s="1"/>
  <c r="T32" i="1"/>
  <c r="Q32" i="1"/>
  <c r="T31" i="1"/>
  <c r="H31" i="1"/>
  <c r="I31" i="1" s="1"/>
  <c r="T27" i="1"/>
  <c r="Q27" i="1"/>
  <c r="T26" i="1"/>
  <c r="Q26" i="1"/>
  <c r="H26" i="1"/>
  <c r="I26" i="1" s="1"/>
  <c r="T25" i="1"/>
  <c r="Q25" i="1"/>
  <c r="T24" i="1"/>
  <c r="Q24" i="1"/>
  <c r="T23" i="1"/>
  <c r="Q23" i="1"/>
  <c r="T22" i="1"/>
  <c r="Q22" i="1"/>
  <c r="H22" i="1"/>
  <c r="I22" i="1" s="1"/>
  <c r="T21" i="1"/>
  <c r="Q21" i="1"/>
  <c r="T20" i="1"/>
  <c r="Q20" i="1"/>
  <c r="T19" i="1"/>
  <c r="Q19" i="1"/>
  <c r="H19" i="1"/>
  <c r="I19" i="1" s="1"/>
  <c r="H17" i="1"/>
  <c r="Q16" i="1"/>
  <c r="Q15" i="1"/>
  <c r="T18" i="1"/>
  <c r="Q18" i="1"/>
  <c r="T17" i="1"/>
  <c r="Q17" i="1"/>
  <c r="I17" i="1" l="1"/>
  <c r="X17" i="1" s="1"/>
  <c r="X35" i="1"/>
  <c r="X33" i="1"/>
  <c r="X31" i="1"/>
  <c r="X26" i="1"/>
  <c r="X22" i="1"/>
  <c r="X19" i="1"/>
  <c r="Y35" i="1" l="1"/>
  <c r="Z35" i="1"/>
  <c r="X36" i="1" s="1"/>
  <c r="Y36" i="1" s="1"/>
  <c r="Y33" i="1"/>
  <c r="Z33" i="1"/>
  <c r="X34" i="1" s="1"/>
  <c r="Z34" i="1" s="1"/>
  <c r="Y31" i="1"/>
  <c r="Z31" i="1"/>
  <c r="X32" i="1" s="1"/>
  <c r="Z32" i="1" s="1"/>
  <c r="Y26" i="1"/>
  <c r="Z26" i="1"/>
  <c r="Y22" i="1"/>
  <c r="Z22" i="1"/>
  <c r="X23" i="1" s="1"/>
  <c r="Z23" i="1" s="1"/>
  <c r="X24" i="1" s="1"/>
  <c r="Y24" i="1" s="1"/>
  <c r="Y19" i="1"/>
  <c r="Z19" i="1"/>
  <c r="X20" i="1" s="1"/>
  <c r="Y20" i="1" s="1"/>
  <c r="Y17" i="1"/>
  <c r="Z17" i="1"/>
  <c r="X18" i="1" s="1"/>
  <c r="Y34" i="1" l="1"/>
  <c r="Y32" i="1"/>
  <c r="Z20" i="1"/>
  <c r="X21" i="1" s="1"/>
  <c r="Y21" i="1" s="1"/>
  <c r="Y23" i="1"/>
  <c r="Z36" i="1"/>
  <c r="X37" i="1" s="1"/>
  <c r="X27" i="1"/>
  <c r="Z24" i="1"/>
  <c r="T13" i="1"/>
  <c r="T14" i="1"/>
  <c r="T15" i="1"/>
  <c r="T16" i="1"/>
  <c r="Z21" i="1" l="1"/>
  <c r="Y37" i="1"/>
  <c r="Z37" i="1"/>
  <c r="Y27" i="1"/>
  <c r="Z27" i="1"/>
  <c r="X25" i="1"/>
  <c r="Y18" i="1"/>
  <c r="Z18" i="1"/>
  <c r="Y25" i="1" l="1"/>
  <c r="Z25" i="1"/>
  <c r="Q14" i="1"/>
  <c r="Q13" i="1" l="1"/>
  <c r="X13" i="1" l="1"/>
  <c r="Y13" i="1" l="1"/>
  <c r="Z13" i="1" l="1"/>
  <c r="X14" i="1" s="1"/>
  <c r="Y14" i="1" s="1"/>
  <c r="Z14" i="1" l="1"/>
  <c r="X15" i="1" s="1"/>
  <c r="Z15" i="1" l="1"/>
  <c r="X16" i="1" s="1"/>
  <c r="Y16" i="1" l="1"/>
  <c r="Z16" i="1"/>
  <c r="Y15" i="1"/>
  <c r="B223" i="13" l="1"/>
  <c r="B222" i="13"/>
  <c r="K22" i="1" l="1"/>
  <c r="L22" i="1" s="1"/>
  <c r="K19" i="1"/>
  <c r="L19" i="1" s="1"/>
  <c r="K31" i="1"/>
  <c r="L31" i="1" s="1"/>
  <c r="K26" i="1"/>
  <c r="L26" i="1" s="1"/>
  <c r="K35" i="1"/>
  <c r="L35" i="1" s="1"/>
  <c r="K33" i="1"/>
  <c r="L33" i="1" s="1"/>
  <c r="K12" i="1"/>
  <c r="L12" i="1" s="1"/>
  <c r="K17" i="1"/>
  <c r="L17" i="1" s="1"/>
  <c r="AH42" i="18" l="1"/>
  <c r="AH18" i="18"/>
  <c r="AH34" i="18"/>
  <c r="AH16" i="18"/>
  <c r="AH26" i="18"/>
  <c r="AH10" i="18"/>
  <c r="AH24" i="18"/>
  <c r="P42" i="18"/>
  <c r="J42" i="18"/>
  <c r="J34" i="18"/>
  <c r="V42" i="18"/>
  <c r="P26" i="18"/>
  <c r="J26" i="18"/>
  <c r="P34" i="18"/>
  <c r="V26" i="18"/>
  <c r="V34" i="18"/>
  <c r="P18" i="18"/>
  <c r="J18" i="18"/>
  <c r="AB42" i="18"/>
  <c r="AB18" i="18"/>
  <c r="P10" i="18"/>
  <c r="AB10" i="18"/>
  <c r="AB26" i="18"/>
  <c r="AB40" i="18"/>
  <c r="V18" i="18"/>
  <c r="J10" i="18"/>
  <c r="AB34" i="18"/>
  <c r="V10" i="18"/>
  <c r="AB8" i="18"/>
  <c r="V40" i="18"/>
  <c r="P32" i="18"/>
  <c r="P8" i="18"/>
  <c r="P40" i="18"/>
  <c r="N22" i="1"/>
  <c r="M22" i="1"/>
  <c r="AB22" i="1" s="1"/>
  <c r="AH40" i="18"/>
  <c r="J40" i="18"/>
  <c r="AB32" i="18"/>
  <c r="AB24" i="18"/>
  <c r="V24" i="18"/>
  <c r="J16" i="18"/>
  <c r="J32" i="18"/>
  <c r="P24" i="18"/>
  <c r="P16" i="18"/>
  <c r="V16" i="18"/>
  <c r="V8" i="18"/>
  <c r="J8" i="18"/>
  <c r="AH32" i="18"/>
  <c r="J24" i="18"/>
  <c r="V32" i="18"/>
  <c r="AB16" i="18"/>
  <c r="AH8" i="18"/>
  <c r="T32" i="18"/>
  <c r="T40" i="18"/>
  <c r="AF8" i="18"/>
  <c r="Z8" i="18"/>
  <c r="N24" i="18"/>
  <c r="N40" i="18"/>
  <c r="T8" i="18"/>
  <c r="AL24" i="18"/>
  <c r="AL32" i="18"/>
  <c r="AL16" i="18"/>
  <c r="T24" i="18"/>
  <c r="N16" i="18"/>
  <c r="Z32" i="18"/>
  <c r="AF32" i="18"/>
  <c r="Z24" i="18"/>
  <c r="AF40" i="18"/>
  <c r="N8" i="18"/>
  <c r="Z40" i="18"/>
  <c r="AL8" i="18"/>
  <c r="AL40" i="18"/>
  <c r="AF24" i="18"/>
  <c r="T16" i="18"/>
  <c r="Z16" i="18"/>
  <c r="AF16" i="18"/>
  <c r="N32" i="18"/>
  <c r="X6" i="18"/>
  <c r="AJ22" i="18"/>
  <c r="L6" i="18"/>
  <c r="AD14" i="18"/>
  <c r="N17" i="1"/>
  <c r="X38" i="18"/>
  <c r="R14" i="18"/>
  <c r="R38" i="18"/>
  <c r="X14" i="18"/>
  <c r="L30" i="18"/>
  <c r="R30" i="18"/>
  <c r="AJ38" i="18"/>
  <c r="R22" i="18"/>
  <c r="R6" i="18"/>
  <c r="L38" i="18"/>
  <c r="X22" i="18"/>
  <c r="AD38" i="18"/>
  <c r="AD6" i="18"/>
  <c r="M17" i="1"/>
  <c r="AB17" i="1" s="1"/>
  <c r="AD30" i="18"/>
  <c r="AJ30" i="18"/>
  <c r="X30" i="18"/>
  <c r="L14" i="18"/>
  <c r="AD22" i="18"/>
  <c r="L22" i="18"/>
  <c r="AJ14" i="18"/>
  <c r="AJ6" i="18"/>
  <c r="P14" i="18"/>
  <c r="AH6" i="18"/>
  <c r="AH14" i="18"/>
  <c r="AH22" i="18"/>
  <c r="J14" i="18"/>
  <c r="P6" i="18"/>
  <c r="AB22" i="18"/>
  <c r="AB30" i="18"/>
  <c r="J6" i="18"/>
  <c r="J30" i="18"/>
  <c r="V38" i="18"/>
  <c r="J38" i="18"/>
  <c r="V14" i="18"/>
  <c r="P30" i="18"/>
  <c r="AB6" i="18"/>
  <c r="P22" i="18"/>
  <c r="AB14" i="18"/>
  <c r="J22" i="18"/>
  <c r="AH38" i="18"/>
  <c r="V22" i="18"/>
  <c r="V6" i="18"/>
  <c r="AB38" i="18"/>
  <c r="V30" i="18"/>
  <c r="M12" i="1"/>
  <c r="P38" i="18"/>
  <c r="AH30" i="18"/>
  <c r="N12" i="1"/>
  <c r="Z42" i="18"/>
  <c r="Z26" i="18"/>
  <c r="AF42" i="18"/>
  <c r="T34" i="18"/>
  <c r="AL42" i="18"/>
  <c r="N42" i="18"/>
  <c r="N33" i="1"/>
  <c r="AL26" i="18"/>
  <c r="AF26" i="18"/>
  <c r="M33" i="1"/>
  <c r="AB33" i="1" s="1"/>
  <c r="AA33" i="1" s="1"/>
  <c r="T26" i="18"/>
  <c r="N26" i="18"/>
  <c r="T42" i="18"/>
  <c r="N10" i="18"/>
  <c r="AF18" i="18"/>
  <c r="AF34" i="18"/>
  <c r="T10" i="18"/>
  <c r="AL10" i="18"/>
  <c r="N34" i="18"/>
  <c r="N18" i="18"/>
  <c r="T18" i="18"/>
  <c r="AL34" i="18"/>
  <c r="Z18" i="18"/>
  <c r="Z10" i="18"/>
  <c r="AF10" i="18"/>
  <c r="AL18" i="18"/>
  <c r="Z34" i="18"/>
  <c r="M26" i="1"/>
  <c r="AB26" i="1" s="1"/>
  <c r="R24" i="18"/>
  <c r="X16" i="18"/>
  <c r="X32" i="18"/>
  <c r="AJ16" i="18"/>
  <c r="AD40" i="18"/>
  <c r="AD16" i="18"/>
  <c r="AD32" i="18"/>
  <c r="AD8" i="18"/>
  <c r="X24" i="18"/>
  <c r="AJ8" i="18"/>
  <c r="L32" i="18"/>
  <c r="L16" i="18"/>
  <c r="L40" i="18"/>
  <c r="N26" i="1"/>
  <c r="R32" i="18"/>
  <c r="R16" i="18"/>
  <c r="AJ40" i="18"/>
  <c r="AJ32" i="18"/>
  <c r="L24" i="18"/>
  <c r="R40" i="18"/>
  <c r="L8" i="18"/>
  <c r="AD24" i="18"/>
  <c r="X40" i="18"/>
  <c r="R8" i="18"/>
  <c r="AJ24" i="18"/>
  <c r="X8" i="18"/>
  <c r="V12" i="18"/>
  <c r="J44" i="18"/>
  <c r="AH28" i="18"/>
  <c r="P12" i="18"/>
  <c r="AB20" i="18"/>
  <c r="AB12" i="18"/>
  <c r="J12" i="18"/>
  <c r="V44" i="18"/>
  <c r="J20" i="18"/>
  <c r="AH44" i="18"/>
  <c r="AB36" i="18"/>
  <c r="N35" i="1"/>
  <c r="V20" i="18"/>
  <c r="J36" i="18"/>
  <c r="M35" i="1"/>
  <c r="P44" i="18"/>
  <c r="P20" i="18"/>
  <c r="AB44" i="18"/>
  <c r="P28" i="18"/>
  <c r="AH12" i="18"/>
  <c r="V28" i="18"/>
  <c r="AB28" i="18"/>
  <c r="V36" i="18"/>
  <c r="AH20" i="18"/>
  <c r="J28" i="18"/>
  <c r="P36" i="18"/>
  <c r="AH36" i="18"/>
  <c r="L34" i="18"/>
  <c r="AD10" i="18"/>
  <c r="X26" i="18"/>
  <c r="X18" i="18"/>
  <c r="M31" i="1"/>
  <c r="L42" i="18"/>
  <c r="X34" i="18"/>
  <c r="AD42" i="18"/>
  <c r="X10" i="18"/>
  <c r="AJ18" i="18"/>
  <c r="AJ34" i="18"/>
  <c r="AD18" i="18"/>
  <c r="L18" i="18"/>
  <c r="R34" i="18"/>
  <c r="AD34" i="18"/>
  <c r="R10" i="18"/>
  <c r="R42" i="18"/>
  <c r="L26" i="18"/>
  <c r="N31" i="1"/>
  <c r="AJ26" i="18"/>
  <c r="AJ10" i="18"/>
  <c r="X42" i="18"/>
  <c r="AJ42" i="18"/>
  <c r="R18" i="18"/>
  <c r="AD26" i="18"/>
  <c r="R26" i="18"/>
  <c r="L10" i="18"/>
  <c r="AF30" i="18"/>
  <c r="AL38" i="18"/>
  <c r="AL6" i="18"/>
  <c r="AL14" i="18"/>
  <c r="Z6" i="18"/>
  <c r="AF6" i="18"/>
  <c r="N30" i="18"/>
  <c r="N19" i="1"/>
  <c r="AL22" i="18"/>
  <c r="T38" i="18"/>
  <c r="T14" i="18"/>
  <c r="T30" i="18"/>
  <c r="Z14" i="18"/>
  <c r="T22" i="18"/>
  <c r="Z38" i="18"/>
  <c r="N6" i="18"/>
  <c r="AF14" i="18"/>
  <c r="AL30" i="18"/>
  <c r="Z22" i="18"/>
  <c r="N14" i="18"/>
  <c r="N22" i="18"/>
  <c r="AF22" i="18"/>
  <c r="M19" i="1"/>
  <c r="AB19" i="1" s="1"/>
  <c r="AF38" i="18"/>
  <c r="N38" i="18"/>
  <c r="Z30" i="18"/>
  <c r="T6" i="18"/>
  <c r="J34" i="19" l="1"/>
  <c r="P54" i="19"/>
  <c r="J24" i="19"/>
  <c r="AH44" i="19"/>
  <c r="AB44" i="19"/>
  <c r="AH34" i="19"/>
  <c r="AB34" i="19"/>
  <c r="AB54" i="19"/>
  <c r="AC33" i="1"/>
  <c r="J54" i="19"/>
  <c r="V44" i="19"/>
  <c r="AH41" i="19"/>
  <c r="AH31" i="19"/>
  <c r="AB31" i="19"/>
  <c r="AH51" i="19"/>
  <c r="J31" i="19"/>
  <c r="P51" i="19"/>
  <c r="AB51" i="19"/>
  <c r="J11" i="19"/>
  <c r="AB41" i="19"/>
  <c r="AB35" i="1"/>
  <c r="AA35" i="1" s="1"/>
  <c r="AB36" i="1"/>
  <c r="AB18" i="1"/>
  <c r="AA18" i="1" s="1"/>
  <c r="AB13" i="1"/>
  <c r="AA22" i="1"/>
  <c r="AB27" i="1"/>
  <c r="AA27" i="1" s="1"/>
  <c r="AA26" i="1"/>
  <c r="AB32" i="1"/>
  <c r="AA32" i="1" s="1"/>
  <c r="AB31" i="1"/>
  <c r="AA19" i="1"/>
  <c r="AB23" i="1"/>
  <c r="AA17" i="1"/>
  <c r="AB20" i="1"/>
  <c r="AH39" i="19" l="1"/>
  <c r="J29" i="19"/>
  <c r="AH29" i="19"/>
  <c r="AC22" i="1"/>
  <c r="AB29" i="19"/>
  <c r="J9" i="19"/>
  <c r="P49" i="19"/>
  <c r="AB39" i="19"/>
  <c r="AB49" i="19"/>
  <c r="AA13" i="1"/>
  <c r="AB14" i="1"/>
  <c r="K47" i="19"/>
  <c r="AI27" i="19"/>
  <c r="AC18" i="1"/>
  <c r="AC37" i="19"/>
  <c r="AI37" i="19"/>
  <c r="J47" i="19"/>
  <c r="AH37" i="19"/>
  <c r="AH27" i="19"/>
  <c r="P47" i="19"/>
  <c r="AB27" i="19"/>
  <c r="J27" i="19"/>
  <c r="AC17" i="1"/>
  <c r="J7" i="19"/>
  <c r="AB37" i="19"/>
  <c r="AA36" i="1"/>
  <c r="AB37" i="1"/>
  <c r="AA37" i="1" s="1"/>
  <c r="AC50" i="19"/>
  <c r="AI40" i="19"/>
  <c r="AC27" i="1"/>
  <c r="AC40" i="19"/>
  <c r="AI30" i="19"/>
  <c r="J6" i="19"/>
  <c r="AB46" i="19"/>
  <c r="AB26" i="19"/>
  <c r="J26" i="19"/>
  <c r="V46" i="19"/>
  <c r="AH46" i="19"/>
  <c r="AH26" i="19"/>
  <c r="AH36" i="19"/>
  <c r="AB36" i="19"/>
  <c r="P46" i="19"/>
  <c r="J46" i="19"/>
  <c r="AA20" i="1"/>
  <c r="AB21" i="1"/>
  <c r="AA21" i="1" s="1"/>
  <c r="AA23" i="1"/>
  <c r="AB24" i="1"/>
  <c r="AH45" i="19"/>
  <c r="AB55" i="19"/>
  <c r="AC35" i="1"/>
  <c r="J35" i="19"/>
  <c r="J25" i="19"/>
  <c r="AH35" i="19"/>
  <c r="AB35" i="19"/>
  <c r="AB45" i="19"/>
  <c r="V45" i="19"/>
  <c r="J55" i="19"/>
  <c r="P55" i="19"/>
  <c r="P35" i="19"/>
  <c r="V35" i="19"/>
  <c r="AB40" i="19"/>
  <c r="AB50" i="19"/>
  <c r="AC26" i="1"/>
  <c r="P50" i="19"/>
  <c r="AB30" i="19"/>
  <c r="AH30" i="19"/>
  <c r="J30" i="19"/>
  <c r="AH40" i="19"/>
  <c r="J10" i="19"/>
  <c r="AB48" i="19"/>
  <c r="J28" i="19"/>
  <c r="AB38" i="19"/>
  <c r="AH38" i="19"/>
  <c r="J8" i="19"/>
  <c r="AB28" i="19"/>
  <c r="AH28" i="19"/>
  <c r="AC19" i="1"/>
  <c r="P48" i="19"/>
  <c r="AA31" i="1"/>
  <c r="AB34" i="1"/>
  <c r="AA34" i="1" s="1"/>
  <c r="W43" i="19"/>
  <c r="AC53" i="19"/>
  <c r="K53" i="19"/>
  <c r="AI33" i="19"/>
  <c r="AC32" i="1"/>
  <c r="AC43" i="19"/>
  <c r="AI43" i="19"/>
  <c r="L35" i="19" l="1"/>
  <c r="R35" i="19"/>
  <c r="AC37" i="1"/>
  <c r="X35" i="19"/>
  <c r="K35" i="19"/>
  <c r="AI35" i="19"/>
  <c r="K55" i="19"/>
  <c r="AC55" i="19"/>
  <c r="W35" i="19"/>
  <c r="W45" i="19"/>
  <c r="AI45" i="19"/>
  <c r="AC36" i="1"/>
  <c r="Q35" i="19"/>
  <c r="AC45" i="19"/>
  <c r="AB25" i="1"/>
  <c r="AA25" i="1" s="1"/>
  <c r="AA24" i="1"/>
  <c r="AC49" i="19"/>
  <c r="AI39" i="19"/>
  <c r="AC39" i="19"/>
  <c r="AI29" i="19"/>
  <c r="AC23" i="1"/>
  <c r="W44" i="19"/>
  <c r="AC54" i="19"/>
  <c r="AC34" i="1"/>
  <c r="AC44" i="19"/>
  <c r="K54" i="19"/>
  <c r="AI34" i="19"/>
  <c r="AI44" i="19"/>
  <c r="AD48" i="19"/>
  <c r="AC21" i="1"/>
  <c r="AB15" i="1"/>
  <c r="AA14" i="1"/>
  <c r="J53" i="19"/>
  <c r="AC31" i="1"/>
  <c r="AB33" i="19"/>
  <c r="AH43" i="19"/>
  <c r="P53" i="19"/>
  <c r="AB53" i="19"/>
  <c r="J23" i="19"/>
  <c r="V43" i="19"/>
  <c r="AH33" i="19"/>
  <c r="AB43" i="19"/>
  <c r="J33" i="19"/>
  <c r="AI28" i="19"/>
  <c r="AI38" i="19"/>
  <c r="AC38" i="19"/>
  <c r="AC48" i="19"/>
  <c r="AC20" i="1"/>
  <c r="AI26" i="19"/>
  <c r="AC13" i="1"/>
  <c r="AC36" i="19"/>
  <c r="AI46" i="19"/>
  <c r="AC26" i="19"/>
  <c r="AC46" i="19"/>
  <c r="AI36" i="19"/>
  <c r="W46" i="19"/>
  <c r="K46" i="19"/>
  <c r="Q46" i="19"/>
  <c r="AJ51" i="19"/>
  <c r="AI41" i="19"/>
  <c r="AI51" i="19"/>
  <c r="AI31" i="19"/>
  <c r="AC41" i="19"/>
  <c r="AC51" i="19"/>
  <c r="AD46" i="19" l="1"/>
  <c r="AD26" i="19"/>
  <c r="R46" i="19"/>
  <c r="AC14" i="1"/>
  <c r="L46" i="19"/>
  <c r="X46" i="19"/>
  <c r="AJ46" i="19"/>
  <c r="AD49" i="19"/>
  <c r="AC24" i="1"/>
  <c r="AE49" i="19"/>
  <c r="AC25" i="1"/>
  <c r="AA15" i="1"/>
  <c r="AB16" i="1"/>
  <c r="AA16" i="1" s="1"/>
  <c r="AF26" i="19" l="1"/>
  <c r="AL46" i="19"/>
  <c r="Z46" i="19"/>
  <c r="AF46" i="19"/>
  <c r="T46" i="19"/>
  <c r="AC16" i="1"/>
  <c r="AE26" i="19"/>
  <c r="AE46" i="19"/>
  <c r="Y46" i="19"/>
  <c r="S46" i="19"/>
  <c r="AC15" i="1"/>
  <c r="M46" i="19"/>
  <c r="AK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<sst xmlns="http://schemas.openxmlformats.org/spreadsheetml/2006/main" count="646" uniqueCount="342">
  <si>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</si>
  <si>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</si>
  <si>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</si>
  <si>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</si>
  <si>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</si>
  <si>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</si>
  <si>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</si>
  <si>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</si>
  <si>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</si>
  <si>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</si>
  <si>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</si>
  <si>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</si>
  <si>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</si>
  <si>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</si>
  <si>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</si>
  <si>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</si>
  <si>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</si>
  <si>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</si>
  <si>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</si>
  <si>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</si>
  <si>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</si>
  <si>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</si>
  <si>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</si>
  <si>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</si>
  <si>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</si>
  <si>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</si>
  <si>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</si>
  <si>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</si>
  <si>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</si>
  <si>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</si>
  <si>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</si>
  <si>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</si>
  <si>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</si>
  <si>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</si>
  <si>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</si>
  <si>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</si>
  <si>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</si>
  <si>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</si>
  <si>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</si>
  <si>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</si>
  <si>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</si>
  <si>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</si>
  <si>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</si>
  <si>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</si>
  <si>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</si>
  <si>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</si>
  <si>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</si>
  <si>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</si>
  <si>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</si>
  <si>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</si>
  <si>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</si>
  <si>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</si>
  <si>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</si>
  <si>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</si>
  <si>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</si>
  <si>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</si>
  <si>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</si>
  <si>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</si>
  <si>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</si>
  <si>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</si>
  <si>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</si>
  <si>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</si>
  <si>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</si>
  <si>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</si>
  <si>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</si>
  <si>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</si>
  <si>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</si>
  <si>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</si>
  <si>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</si>
  <si>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</si>
  <si>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</si>
  <si>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</si>
  <si>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</si>
  <si>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</si>
  <si>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</si>
  <si>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</si>
  <si>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</si>
  <si>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</si>
  <si>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</si>
  <si>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</si>
  <si>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</si>
  <si>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</si>
  <si>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</si>
  <si>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</si>
  <si>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</si>
  <si>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</si>
  <si>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</si>
  <si>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</si>
  <si>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</si>
  <si>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</si>
  <si>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</si>
  <si>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</si>
  <si>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</si>
  <si>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</si>
  <si>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</si>
  <si>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</si>
  <si>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</si>
  <si>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</si>
  <si>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</si>
  <si>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</si>
  <si>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</si>
  <si>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</si>
  <si>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</si>
  <si>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</si>
  <si>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</si>
  <si>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</si>
  <si>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</si>
  <si>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</si>
  <si>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</si>
  <si>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</si>
  <si>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</si>
  <si>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</si>
  <si>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</si>
  <si>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</si>
  <si>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</si>
  <si>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</si>
  <si>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</si>
  <si>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</si>
  <si>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</si>
  <si>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</si>
  <si>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</si>
  <si>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</si>
  <si>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</si>
  <si>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</si>
  <si>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</si>
  <si>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</si>
  <si>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</si>
  <si>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</si>
  <si>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</si>
  <si>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</si>
  <si>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</si>
  <si>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</si>
  <si>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</si>
  <si>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</si>
  <si>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</si>
  <si>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</si>
  <si>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</si>
  <si>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</si>
  <si>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</si>
  <si>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</si>
  <si>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</si>
  <si>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</si>
  <si>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</si>
  <si>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</si>
  <si>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</si>
  <si>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</si>
  <si>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</si>
  <si>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</si>
  <si>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</si>
  <si>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</si>
  <si>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</si>
  <si>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</si>
  <si>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</si>
  <si>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</si>
  <si>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</si>
  <si>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</si>
  <si>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</si>
  <si>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</si>
  <si>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</si>
  <si>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</si>
  <si>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</si>
  <si>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</si>
  <si>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</si>
  <si>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</si>
  <si>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</si>
  <si>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</si>
  <si>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</si>
  <si>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</si>
  <si>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</si>
  <si>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</si>
  <si>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</si>
  <si>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</si>
  <si>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</si>
  <si>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</si>
  <si>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</si>
  <si>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</si>
  <si>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</si>
  <si>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</si>
  <si>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</si>
  <si>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</si>
  <si>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</si>
  <si>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</si>
  <si>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</si>
  <si>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</si>
  <si>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</si>
  <si>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</si>
  <si>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</si>
  <si>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</si>
  <si>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</si>
  <si>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</si>
  <si>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</si>
  <si>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</si>
  <si>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</si>
  <si>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</si>
  <si>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</si>
  <si>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</si>
  <si>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</si>
  <si>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</si>
  <si>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</si>
  <si>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</si>
  <si>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</si>
  <si>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</si>
  <si>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</si>
  <si>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</si>
  <si>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</si>
  <si>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</si>
  <si>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</si>
  <si>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</si>
  <si>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</si>
  <si>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</si>
  <si>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</si>
  <si>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</si>
  <si>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GESTIÓN DE LA PLANEACIÓN</t>
  </si>
  <si>
    <t>Planificar, coordinar, orientar, asesorar, capacitar y direccionar permanentemente a la administración central y descentralizada del Departamento y de sus doce municipios para el desarrollo armónico e integral del Departamento del Quindío.</t>
  </si>
  <si>
    <t>Bajo indice de la gestión en la administración departamental</t>
  </si>
  <si>
    <t>Dirección Técnica de Planeación</t>
  </si>
  <si>
    <t>Incumplimietno al Manual de Operación de Banco de Inversión, procesos y procedimientos  establecidos por la Secretaria de Planeación; Falta de capacitación del personal en los aspectos requeridos para la formulacion y estructuracion de proyectos; Incorporacion de actividades no elegibles en los proyectos que no le apunten al cumplimiento de las metas del Plan de Desarrollo</t>
  </si>
  <si>
    <t>El Jefe de Proyectos y Cooperacion semestralmente brindarà, a traves del personal de apoyo, capacitaciones a los formuladores oficiales, en las disposiciones señaladas en el Manual de Operaciones del Banco de Programas y proyectos y en los procedimientos para la estructuracion y formulacion de proyectos. En caso de falencias, el personal de apoyo brinda acompañamiento y asistencia tecnica por demanda de las unidades ejecutoras. Como evidencia se dejan los registros de asistencia, las actas de asistencia y proyectos de inversion formulados</t>
  </si>
  <si>
    <t>3. El Jefe de proyectos y cooperacion y el Profesional Universitario, realizan control a las actividades de los presupuestos de los proyectos nuevos y los ajustes, a traves de los formatos anexos establecidos en el Manual Operativo del Banco de programas y proyectos. En caso de presentar ajustes el proyecto es devuelto a la unidad ejecutora correspondiente. Como evidencia se deja el formato de Ruta de ajustes proyectos de inversion y el proyecto presentado</t>
  </si>
  <si>
    <t xml:space="preserve">Incumplimiento de las metas del Plan de Desarrollo </t>
  </si>
  <si>
    <t>Informacion reportada por los municipios via CHIP de forma inoportuna y de mala calidad</t>
  </si>
  <si>
    <t>Toma de decisiones erradas derivadas de datos inconsistentes</t>
  </si>
  <si>
    <t xml:space="preserve"> Inexactitud en la información recibida de los municipios y procesos del Departamento; Poco compromiso para diligenciar información veraz y sustentable por parte de algunos proveedores de infomación  </t>
  </si>
  <si>
    <t xml:space="preserve">Posibilidad de afectacion economica y reputacional por toma de decisiones erradas derivadas de datos inconsistentes debido a  inexactitud en la información recibida de los municipios y procesos del Departamento, y poco compromiso para diligenciar información veraz y sustentable por parte de algunos proveedores de infomación  </t>
  </si>
  <si>
    <t xml:space="preserve">Desconocimiento de la operatividad del MIPG por parte de los directivos, servidores publicos y contratistas, con el consiguiente desarrollo de procesos desordenados  e ineficientes al interior de las dependencias
</t>
  </si>
  <si>
    <t xml:space="preserve">Posibilidad de afectación reputacional producto  del  bajo indice de la gestión en la administración departamental debido al desconocimiento de la operatividad del MIPG por parte de los directivos, servidores publicos y contratistas con el consiguiente   desarrollo de procesos desordenados  e ineficientes al interior de las dependencias
</t>
  </si>
  <si>
    <t>Realizar procesos de asistencia técnica puntuales  a los funcionarios y contratistas de la Administración departamental en la implementación de las Dimesiones y Politicas del Modelo Integrado, con el proposito de lograr su corecta operación.</t>
  </si>
  <si>
    <t>Realizar  dos reuniones  con el Comité Departamental de Gestión y Desempeño   con el posposito de dar conocer los avancer el Sistema  y generar acciones de mejora en caso de aplicar al interior de cada una delas dependencias encargadas de operar el Modelo</t>
  </si>
  <si>
    <t xml:space="preserve">Realizar    cuatro reuniones   con el Comité Institucional de Gestión y Desempeño, con el propósito de  realizar socialización  de los avances de la implementación del Modelo , a fin de recibir retroalimentación de la implemetación del proceso por parte de los integrantes del Comité   </t>
  </si>
  <si>
    <t>Expedición de Certificados de Banco de Programas y Proyectos con gastos no elegibles</t>
  </si>
  <si>
    <t>Posibilidad de afectación económica y reputacional por incumplimiento de las metas del Plan de Desarrollo debido   a la baja continuidad en los  procesos de  seguimiento y evaluación al  Plan de Desarrollo (físico y financiero) a nivel de la alta dirección y  al interior de las diferentes Secretarias y Entes Descentralizados que aportan al cumplimiento del Plan de Desarrrollo</t>
  </si>
  <si>
    <t xml:space="preserve">  Baja continuidad en los  procesos    seguimiento y evaluación al  Plan de Desarrollo   (física y financiera), a nivel de la alta dirección y  al interior de las diferentes Secretarias y Entes Descentralizados que aportan al cumplimiento del Plan de Desarrrollo</t>
  </si>
  <si>
    <t xml:space="preserve">Realizar seguimiento trimestral a los Instrumentos de Planificación  de la Admnistración Departamental con el acompañamiento de las Secretarias Sectoriales y producir el infome de seguimiento y evaluación al Plan de Desarrollo </t>
  </si>
  <si>
    <t xml:space="preserve">Dirección Técnica de Planeación- Jefe de Proyectos y Cooperación </t>
  </si>
  <si>
    <t>Dirección Técnica de Planeación-</t>
  </si>
  <si>
    <t>La Directora Técnica de Planeación, con el acompañamiento de personal de apoyo realiza procesos de asistencia técnica a los funcionarios y contratistas de la Administración   Departamental en la implementación de las dimensiones y políticas del Modelo Integrado de Planeación y de Gestión MIPG</t>
  </si>
  <si>
    <t>La Directora Técnica de Planeación, con el acompañamiento de personal de apoyo, coordina la realización del Comité Institucional de Gestión y Desempeño de la Administración Departamental con el propósito socializar    los  avances y operatividad   de la implementación del Modelo Integrado de Planeación y de Gestión MIPG en la Administración Departamental.</t>
  </si>
  <si>
    <t>La Directora Técnica de Planeación,  con el acompañamiento de personal de apoyo, coordina  la realización del Comité  Departamental de Gestión y Desempeño, con el propósito de dar a conocer los avances del Sistema  tanto de la Administración Departamental como de los Entes Descentralizados y de esta manera recibir las recomendaciones por parte de los integrantes , en caso de aplicar.</t>
  </si>
  <si>
    <t xml:space="preserve">Secretarios de Despacho </t>
  </si>
  <si>
    <t xml:space="preserve">La Directora Técnica   y el  Jefe de proyectos y cooperación realizan seguimiento y evaluación trimestral al Plan de Desarrollo a través de los instrumentos de Planificación (Plan indicativo, POAI, Plan de Acción), de conformidad con los  reportes de información entregados por cada Secretaria Sectorial y Ente Descentralizados  en los formatos adoptados para ello a través del Modelo Integrado de Planeación y de Gestión MIPG . En caso de que las Secretarías sectores no den cumplimiento  al reporte de información de conformidad con los procesos de asistencia técnica brindados ( Calidad y oportunidad) se reportara a la Alta Dirección. </t>
  </si>
  <si>
    <t>El Secretario de Planeación con el acompañamiento de la  Directora Técnica de la Secretaria de Planeación Departamental, realiza socialización  el Informe de Seguimiento y Evaluación al Plan de Desarrollo  de manera trimestral al Consejo de Gobierno y Secretarias Sectoriales y Entes Descentralizados de la Administración Departamental, con el propósito  sensibilizar a los funcionarios y contratistas  sobre la importancia del cumplimiento de las metas del Plan de Desarrollo para el logro de indicadores de bienestar del Plan de Desarrollo.</t>
  </si>
  <si>
    <t>Secretarios de Despacho, Directores y Jefes  de las diferentes Secretarias de Despacho.</t>
  </si>
  <si>
    <t xml:space="preserve">Posibilidad de afectación económica y reputacional por expedición de Certificados de Banco de programas y proyectos con gastos no elegibles, debido al desconocimiento  de la operatividad y deficiencia en la revisión y verificacion de la informacion de los instrumentos de planificación </t>
  </si>
  <si>
    <t xml:space="preserve">Desconocimiento  de la operatividad del BPPID por parte de las secretarías sectoriales; y deficiencia en la revisión y verificacion de la informacion de los instrumentos de planificación 
</t>
  </si>
  <si>
    <t>El jefe de la oficina de Banco de programas y proyectos con el personal de apoyo y conforme al procedimiento establecido en el Sistema de Gestion de la Administracion departamental, diariamente revisa y controla la expedicion de los certificados de BPPI,  basado en los intrumentos de planificacion actualizados, para emitir  y/o rechazar el certificado correspondiente. Como evidencia, se diligencia el formato de Devoluciones de solicitudes de BPPI cuando este es rechazado; y cuando esta correcto, se expide el correspondiente certificado de Bancos</t>
  </si>
  <si>
    <t>Enlazar los diferentes instruments de planificación para disminuir los errores por procesos manuales</t>
  </si>
  <si>
    <t>Jefe de oficina de proyectos</t>
  </si>
  <si>
    <t>Realizar capacitaciones por temáticas relacionadas con la ejecución y operatividad del BPPID para la correcta ejecucio de los proyectos conforme a la normatividad vigente</t>
  </si>
  <si>
    <t>El Jefe de oficina, el profesional universitario y el personal de apoyo, realizan asistencia tecnica y acompañamiento diariamente al personal de las Secretarìas sectoriales en cuanto a observaciones y falencias presentadas en la expedicion de los certificados de Bancos, a traves de asistencias personalizadas que garanticen el estado registrado actualizado de los proyectos. En caso de que la falencia persissta, se da devolucion del Certificado a la Unidad ejecutora correspondiente. Como evidencia se tiene el libro radicador y el  formato de control de observaciones-asistencia tecnica</t>
  </si>
  <si>
    <t>Registro de proyectos en el Banco de Inversión, sin el cumplimiento de los requisitos legales, metodologícos,técnicos  y financieros.</t>
  </si>
  <si>
    <t>Realizar las capacitaciones a los formulaores oficiales de las diferentes unidades ejecutoras de manera semestral</t>
  </si>
  <si>
    <t>2. . El Jefe de Proyectos y Cooperacion cuando la unidad ejecutora lo solicite (antes de ser presentados al banco los proyectos), brindarà, a traves del personal de apoyo,  capacitaciones en la normatividad, verificacion de requisitos  y aspectos metodologicos para la formulacion y estructuracion de proyectos.  En caso de falencias, el personal de apoyo brinda acompañamiento y asistencia tecnica por demanda de las unidades ejecutoras. Como evidencia se dejan los registros de asistencia, las actas de asistencia y proyectos de inversion formulados</t>
  </si>
  <si>
    <t>Realizar capacitaciones a las unidades ejecutoras en   la normatividad, verificacion de requisitos  y aspectos metodologicos para la formulacion y estructuracion de proyectos,, cuendo ellas lo soliciten</t>
  </si>
  <si>
    <t>Jefe de oficina de proyectos
Profesional Universitario</t>
  </si>
  <si>
    <t>Realizar control a las actividades de los presupuestos de los proyectos nuevos y los ajustes, a traves de los formatos anexos establecidos en el Manual Operativo del Banco de programas y proyectos</t>
  </si>
  <si>
    <t>Cambio continuo en los funcionarios que rinden la informacion en los municipios; Falta de articulacuòn de acciones entre  las dependencias de los municipios y la administraciòn departamental</t>
  </si>
  <si>
    <t>El Jefe de Desarrollo Territorial, a travès del personal de apoyo, mensualmente, realiza asistencias tecnicas a los funcionarios encargados del reporte de informacion en los municipios. En caso de que haya persitencia de la baja calidad de la informaccion, se repite laasistencia cuando sea necesario. Como evidencia quedan los correos y actas de asistencia tecnica a municipios.</t>
  </si>
  <si>
    <t>Jefe de Desarrollo territorial</t>
  </si>
  <si>
    <t>El Jefe de Desarrollo Territorial a traves del personal de apoyo, semestralmente, sensibiliza a las dependencias de Hacienda y Planeacion de los 12 municipios, a traves de talleres con los funcionarios encargados del proceso de reporte. En cualquier caso, el Jefe de Desarrollo Terrritorial y los profesionales de apoyo, revisan  la informacion enviada por los  muncipios y  verifican la calidad, incorporación y porcentajes de ejecución de los recursos transferidos. Como evidencia quedan los correos,  listados de asistencia, actas de compromiso de los municipios, informes enviados por el departamento a la Nacion.</t>
  </si>
  <si>
    <t>Revisar y acompañar a los municipios en  los terminos otorgados para la presentaciòn de los diferentes informes
Realizar capacitaciòn en temas relacionadps a la programacion y ejecuciòn presupuestal, principalmente de los recursos SGP
Validar informe departamental y posterior envìo al DNP en formato Excel</t>
  </si>
  <si>
    <t>Enviar oficio solicitando la informaciòn a los diferentes entes territoriales, secretarìas y descentralizados
Compilar y analizar la informaciòn allegada 
Elaborar documento tècnico y cargue en el micrositio web</t>
  </si>
  <si>
    <t>El Profesional Universitario, al inicio de cada vigencia, envía todos los productos generados del observatorio (anuario, fichas basicas, carta estadistica, informe anual del departamento y ODS) a los proveedores de informacion con el proposito de subsanar informacion faltante o incompleta que serà incorporada en la proxima publicación. En caso de que este llamado no sea atentido se solicita de forma directa o por medio de oficios o correo electrònico. Como evidencia quedan los correos y oficios enviados</t>
  </si>
  <si>
    <t xml:space="preserve">El Profesional Universitario, en el primer semestre de cada vigencia actualiza la informacion a traves del formato prestablecido para la recoleccion de informacion ( (anuario, fichas basicas, carta estadistica), teniendo en cuenta los cambios metodologicos que se presenten.  En el segundo semestre, se envian las solicitudes de informacion a las dependencias responsables de la entrega de informacion (informe anual del departamento y ODS). En caso de dudas por parte de las secretarìas, el equipo del observatorio presta la asistencia tecnica que se requiera. Como evidencia quedan los formatos con la informaciòn actualizada, oficios de solicitud de informacion, los correos con las indicaciones entregadas y actas de asistencia </t>
  </si>
  <si>
    <t>Solicitar informaciòn a dependencias, entes descentralizados y entes territoriales
Cargar la informacion en la plataforma dispuesta por departamento
Realizar el informe anual departamental</t>
  </si>
  <si>
    <t>MATRIZ</t>
  </si>
  <si>
    <t>Código</t>
  </si>
  <si>
    <t>Mapa de Riesgos de Gestión</t>
  </si>
  <si>
    <t>Versión</t>
  </si>
  <si>
    <t>Fecha</t>
  </si>
  <si>
    <t>Página</t>
  </si>
  <si>
    <t>1 de 1</t>
  </si>
  <si>
    <t>MR-PLA-01</t>
  </si>
  <si>
    <t>Atención al ciudadano a traves del Punto de Informacion Turistica PIT, de manera interrumpida</t>
  </si>
  <si>
    <t>Falta de planeación estratégica para garantizar el servicio</t>
  </si>
  <si>
    <t>Posibilidad de afectación reputacional por atención al ciudadano a traves del Punto de Informacion Turistica PIT de manera interrumpida, debido a la falta de planeación estratégica para garantizar el servicio</t>
  </si>
  <si>
    <t>- Realizar la revision del vencimiento del contrato del profesional del PIT, un mes antes de su terminacion
- Realizar reunion para generar la alerta a la Secretaria de Planeacion y a la Seccretaria Administrativa para garantizar cumplimiento del SDSC
- Realizar acta de la reunion si es del caso o enviar osficio o correo electronico, con las conclusiones de dicha reunion</t>
  </si>
  <si>
    <t>Concertación semestral</t>
  </si>
  <si>
    <t>Escaza participación en la identificacion y formulacion de inciativas por parte de los alcaldes y secretarios del departamento para acceder a la oferta de cooperacion internacional</t>
  </si>
  <si>
    <t>falta de gerencia para la gestión  de los recursos públicos</t>
  </si>
  <si>
    <t>Secretario de Planeación</t>
  </si>
  <si>
    <t>Elaboró:</t>
  </si>
  <si>
    <t>Aprobó:</t>
  </si>
  <si>
    <t>Directora Tecnica</t>
  </si>
  <si>
    <t>Jefe de Proyectos y cooperación</t>
  </si>
  <si>
    <t>Martha Elena Giraldo Ramirez</t>
  </si>
  <si>
    <t>Luis Alberto Rincón</t>
  </si>
  <si>
    <t xml:space="preserve">La Directora Técnica   realiza  informes ejecutivos mensuales del  ejecución del Plan Operativo Anual de Inversiones de la Administración Departamental y los reporta a la alta dirección </t>
  </si>
  <si>
    <t>Aplica para todos los procesos, entidades descentralizadas, territoriales, nacionales, de cooperación internacional y Organizaciones No Gubernamentales ONGs.</t>
  </si>
  <si>
    <t>Semestral</t>
  </si>
  <si>
    <t>(N° de proyectos de inversión con asistencia para su actualizacion / N° de proyectos de inversión registrados)*100%</t>
  </si>
  <si>
    <t xml:space="preserve">(N° de capacitaciones realizadas / N° de capacitaciones programadas o solicitadas)*100% </t>
  </si>
  <si>
    <t>(N° de certificados de BPPI expedidos / N° de solicitudes recibidas) * 100%
(N° de solictudes de certificados de BPPI devueltas / N° de solicitudes recibidas) * 100%</t>
  </si>
  <si>
    <t>(No. de procesos de asistencia técnica realizados / No. de procesos de asistencia técnica programados) * 100%</t>
  </si>
  <si>
    <t>(No. de reuniones realizadas Comité Institucional de Gestión y Desempeño / No. de reuniones programadas Comité Institucional de Gestión y Desempeño) * 100%</t>
  </si>
  <si>
    <t>(No. de reuniones realizadas Comité Departamental de Gestión y Desempeño / No. de reuniones programadas  Comité Departamental de Gestión y Desempeño) * 100%</t>
  </si>
  <si>
    <t>(No. de seguimientos Plan de Acción MIPG realizados / No. de seguimientos Plan de Acción MIPG programados) * 100%</t>
  </si>
  <si>
    <t>(N° de capacitaciones realizadas / N° de capacitaciones programadas o solicitadas)*100% </t>
  </si>
  <si>
    <t xml:space="preserve">	(N° de ajustes a realizar al proyecto / N° de ajustes presentados por las unidades ejecutoras)*100%</t>
  </si>
  <si>
    <t>(No. de seguimientos trimestrales realizados a los Instrumentos de Planificación / No. de seguimientos trimestrales a los Instrumentos de Planificación programados) * 100%</t>
  </si>
  <si>
    <t>(No. de socializaciones Seguimiento Plan de Desarrollo realizadas / No. de socializaciones Seguimiento Plan de Desarrollo programadas) *100%</t>
  </si>
  <si>
    <t>(No. de informes ejecutivos presentados / No. de informes ejecutivos programados) *100%</t>
  </si>
  <si>
    <t>(No. de informes de seguimiento y evaluación Trimestral presentados / No. de informes de seguimiento y evaluación Trimestral programados) * 100%</t>
  </si>
  <si>
    <t xml:space="preserve">	(Nº de asistencias realizadas / Nª de asistencias programadas)*100%</t>
  </si>
  <si>
    <t>(No de capacitaciones realizadas / No de capacitaciones programadas)*100%</t>
  </si>
  <si>
    <t xml:space="preserve">	a) (Nª de boletines publicados en el año / 4 boletines programados)*100%
b) (Nª de fichas básicas actualizadas / 12 municipios)*100%</t>
  </si>
  <si>
    <t>a) (Nº de informes anuales publicados / Nº de informes programados x año)*100%
b) (Nª de informes ODS publicados / Nª de informes programados x año)*100%</t>
  </si>
  <si>
    <t xml:space="preserve">(No de capacitaciones y/o talleres realizados / No. de capacitaciones y/o talleres programados)*100%
</t>
  </si>
  <si>
    <t xml:space="preserve">(No de convocatorias y boletines socializados/ Numero de convocatorias y boletines programados)*100%
</t>
  </si>
  <si>
    <t>(N° de convocatorias, reuniones, proyectos, hermanamientos e iniciativas acompañadas / N° de convocatorias, reuniones, proyectos, hermanamientos e iniciativas solicitadas)*100%</t>
  </si>
  <si>
    <t>a) (N° Contratos revisado / N° Contratos realizados)*100%
b) (N° de reuniones realizadas / N° reuniones programadas)*100 
c) (N° Actas de reunión realizadas / Reuniones programadas)*100%</t>
  </si>
  <si>
    <t>(N° de Reuniones concertadas / N° de reuniones programadas)*100%</t>
  </si>
  <si>
    <t>Monitoreo del Riesgo e Indicadores</t>
  </si>
  <si>
    <t>Semeste I</t>
  </si>
  <si>
    <t>Semestre II</t>
  </si>
  <si>
    <t>Numerador</t>
  </si>
  <si>
    <t>Denominador</t>
  </si>
  <si>
    <t>Resultado</t>
  </si>
  <si>
    <t>Descripción del Logro</t>
  </si>
  <si>
    <t>Evidencias</t>
  </si>
  <si>
    <t>Profesional Universitario</t>
  </si>
  <si>
    <t>Director Casa Delegada</t>
  </si>
  <si>
    <t>Director Casa Delegada
Secretario de Planeación</t>
  </si>
  <si>
    <t xml:space="preserve">Realizar seguimientos cuatrimestrales  al Plan de Acción del MIPG </t>
  </si>
  <si>
    <t>Realizar socializaciones trimestrales del Informe de Seguimiento al Plan de Desarrollo Departamental al Consejo de Gobierno y Secretarias Sectoriales con el propósito de generar acciones de mejora en caso de aplicar por parte de los diferentes reponsables de su ejecución</t>
  </si>
  <si>
    <t>Realizar informes Informes Ejecutivos mensuales de Seguimiento al Plan de Desarrollo " POR Y PARA LA GENTE "</t>
  </si>
  <si>
    <t xml:space="preserve">Realizar informes de  seguimiento y evaluacion trimestral  al Plan de Desarrollo " POR Y PARA LA GENTE </t>
  </si>
  <si>
    <t xml:space="preserve">Realizar consultas a las plataformas del DNP, MinHacienda respecto a la programaciòn y cumplimiento de metas
Realizar reuniones con los entes territoriales con el fin de dar asistencia y aclaraciòn a las inquietudes
Realizar instrucciòn sobre el cargue de informaciòn en las plataformas correspondientes </t>
  </si>
  <si>
    <t xml:space="preserve">Los secretarios de Despacho, Directores y Jefes  de las diferentes Secretarias de Despacho realizan procesos de Seguimiento y evaluación trimestrales al estado de cumplimiento del Plan de Acción del Modelo Integrado de Planeación y de gestión MIPG  </t>
  </si>
  <si>
    <t xml:space="preserve">Los Secretarios de Despacho, Directores y Jefes  de las diferentes Secretarias de Despacho realizan seguimiento  y evaluacion trimestral al Plan de Desarrollo 2024-2027 "Por y Para La Gente  " con el proposito de reportarlo a la secretaria de Planeación Departamental </t>
  </si>
  <si>
    <t>El Director  de la Casa Delegada revisa el vencimiento del contrato, y un mes antes de la terminación del contrato del profesional del PIT, genera la alerta a la Secretaría de Paneación y la Secretaría Administrativa para que se de cumplimiento a lo dispuesto en el Sistema departamental de atencion al ciudadano SDAC, a traves de reunión de trabajo, para lo cual se deja como evidencia el Acta de la misma y/o correo electronico u oficio.</t>
  </si>
  <si>
    <t>El Director de La Casa Delegada de manera semestral concerta con el Secretario de Planeación, los requerimientos de contratacion de servicios profesionales para la atencion del PIT y atención al ciudadano; a traves de reunión de trabajo, para lo cual se deja como evidencia el Acta de la misma y/o correo electronico u oficio.</t>
  </si>
  <si>
    <t xml:space="preserve">El Director de La Casa Delegada realiza acercamiento con las alcaldias municipales para brindar aesoria sobre mecanismos de acceso a recursos de cooperación internacional       </t>
  </si>
  <si>
    <t>El Director de La Casa Delegada convoca a la Participación en los procesos de capacitación por parte de los funcionarios públicos y sector privado en los espacios existentes.</t>
  </si>
  <si>
    <t>El Director de La Casa Delegada busca apoyo institucional para garantizar un adecuada formulacion de proyectos a nivel local, regional  o nacional con entidades que acompañan el proceso</t>
  </si>
  <si>
    <t>Comuniccaión escrita, virtual y presencial para el acompañamiento de las iniciativas y de la oferta internacional,</t>
  </si>
  <si>
    <t>Convocatorias institucionales a través de los equipo de comunicaciones y de cooperación escrita y virtual para alcaldes, secretarios de despacho, funcionarios de planta y de carrera, sociedad civil organizada.</t>
  </si>
  <si>
    <t>Posibilidad de afectación reputacional por la escaza participación en la identificación y formulación de iniciativas  por parte de los alcaldes y secretarios del departamento para acceder a la oferta de cooperacion internacional, por la falta de gerencia para la gestión  de los recursos públicos,</t>
  </si>
  <si>
    <t>Posibilidad de afectación econónica por informacion reportada por los municipios en las diferentes plataformas  de forma inoportuna y de mala calidad debido a cambio continuo en los funcionarios que rinden la informacion y falta de comunicación de las dependencias de los municipios</t>
  </si>
  <si>
    <t>Posibilidad de afectación Económica y Reputacional  por el registro de proyectos en el Banco de Inversión, sin el cumplimiento de los requisitos legales, metodologícos, ambientales, técnicos  y financieros, debido a incumplimietno al Manual de Operación de Banco de Inversión, procesos y procedimientos  establecidos por la Secretaria de Planeación, falta de capacitación del personal en los aspectos requeridos para la formulacion y estructuracion de proyectos e incorporacion de actividades no elegibles en los proyectos que no le apunten al cumplimiento de las metas del Plan de Desarrollo</t>
  </si>
  <si>
    <t>Sergio Yamit Quintero Castaño</t>
  </si>
  <si>
    <t xml:space="preserve">Norbey Valencia Roa </t>
  </si>
  <si>
    <t>Convocatoria institucional esrita y virtual para el acompañamiento en el proceso metodologico de la formulación y presentación de iniciativas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</si>
</sst>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family val="2"/>
    </font>
    <font>
      <b/>
      <sz val="10"/>
      <color theme="1"/>
      <name val="Arial"/>
      <family val="2"/>
    </font>
    <font>
      <b/>
      <sz val="14"/>
      <color theme="1"/>
      <name val="Arial"/>
      <family val="2"/>
    </font>
    <font>
      <sz val="10"/>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60" fillId="0" borderId="28" xfId="0" applyFont="1" applyBorder="1" applyAlignment="1">
      <alignment horizontal="center" vertical="center"/>
    </xf>
    <xf numFmtId="0" fontId="62" fillId="0" borderId="28" xfId="0" applyFont="1" applyBorder="1" applyAlignment="1">
      <alignment vertical="center"/>
    </xf>
    <xf numFmtId="0" fontId="62" fillId="0" borderId="28" xfId="0" applyFont="1" applyBorder="1" applyAlignment="1">
      <alignment horizontal="center" vertical="center"/>
    </xf>
    <xf numFmtId="0" fontId="1" fillId="0" borderId="2" xfId="0" applyFont="1" applyBorder="1" applyAlignment="1" applyProtection="1">
      <alignment horizontal="justify" vertical="center" wrapText="1"/>
      <protection locked="0"/>
    </xf>
    <xf numFmtId="0" fontId="1" fillId="3" borderId="0" xfId="0" applyFont="1" applyFill="1" applyAlignment="1">
      <alignment wrapText="1"/>
    </xf>
    <xf numFmtId="0" fontId="1" fillId="0" borderId="0" xfId="0" applyFont="1" applyAlignment="1">
      <alignment wrapText="1"/>
    </xf>
    <xf numFmtId="0" fontId="1" fillId="0" borderId="6" xfId="0" applyFont="1" applyBorder="1" applyAlignment="1">
      <alignment horizontal="center" vertical="center"/>
    </xf>
    <xf numFmtId="0" fontId="1" fillId="0" borderId="7" xfId="0" applyFont="1" applyBorder="1" applyAlignment="1" applyProtection="1">
      <alignment horizontal="center" vertical="center"/>
      <protection hidden="1"/>
    </xf>
    <xf numFmtId="0" fontId="6" fillId="0" borderId="0" xfId="0" applyFont="1" applyAlignment="1">
      <alignment horizontal="center" vertical="center"/>
    </xf>
    <xf numFmtId="0" fontId="1" fillId="0" borderId="0" xfId="0" applyFont="1" applyAlignment="1">
      <alignment horizontal="left" vertical="center"/>
    </xf>
    <xf numFmtId="15" fontId="62" fillId="0" borderId="28" xfId="0" applyNumberFormat="1" applyFont="1" applyBorder="1" applyAlignment="1">
      <alignment horizontal="center" vertical="center"/>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10" fontId="1" fillId="0" borderId="0" xfId="1" applyNumberFormat="1" applyFont="1"/>
    <xf numFmtId="10" fontId="1" fillId="3" borderId="0" xfId="1" applyNumberFormat="1" applyFont="1" applyFill="1"/>
    <xf numFmtId="10" fontId="1" fillId="0" borderId="2" xfId="1"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justify" vertical="center"/>
      <protection locked="0"/>
    </xf>
    <xf numFmtId="0" fontId="1" fillId="0" borderId="2" xfId="0" quotePrefix="1" applyFont="1" applyBorder="1" applyAlignment="1" applyProtection="1">
      <alignment horizontal="justify" vertical="center" wrapText="1"/>
      <protection locked="0"/>
    </xf>
    <xf numFmtId="0" fontId="1" fillId="0" borderId="0" xfId="0" applyFont="1" applyAlignment="1">
      <alignment horizontal="justify" vertical="center" wrapText="1"/>
    </xf>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4" fillId="2" borderId="2" xfId="0" applyFont="1" applyFill="1" applyBorder="1" applyAlignment="1">
      <alignment horizontal="center" vertical="center"/>
    </xf>
    <xf numFmtId="0" fontId="4" fillId="14" borderId="2"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9" fillId="0" borderId="28" xfId="0" applyFont="1" applyBorder="1" applyAlignment="1">
      <alignment horizontal="center" vertical="center"/>
    </xf>
    <xf numFmtId="0" fontId="61" fillId="0" borderId="28" xfId="0" applyFont="1" applyBorder="1" applyAlignment="1">
      <alignment horizontal="center" vertical="center"/>
    </xf>
    <xf numFmtId="0" fontId="1" fillId="0" borderId="28" xfId="0" applyFont="1" applyBorder="1" applyAlignment="1">
      <alignment horizontal="center" vertical="center"/>
    </xf>
    <xf numFmtId="0" fontId="6" fillId="0" borderId="0" xfId="0" applyFont="1" applyAlignment="1">
      <alignment horizontal="center" vertical="center"/>
    </xf>
    <xf numFmtId="0" fontId="1" fillId="0" borderId="4"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1" fillId="0" borderId="4" xfId="0" applyFont="1" applyBorder="1" applyAlignment="1">
      <alignment horizontal="justify" vertical="center"/>
    </xf>
    <xf numFmtId="0" fontId="1" fillId="0" borderId="8" xfId="0" applyFont="1" applyBorder="1" applyAlignment="1">
      <alignment horizontal="justify" vertical="center"/>
    </xf>
    <xf numFmtId="0" fontId="2" fillId="0" borderId="4"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justify" vertical="center" wrapText="1"/>
      <protection locked="0"/>
    </xf>
    <xf numFmtId="9" fontId="1" fillId="0" borderId="8" xfId="0" applyNumberFormat="1" applyFont="1" applyBorder="1" applyAlignment="1" applyProtection="1">
      <alignment horizontal="justify" vertical="center" wrapText="1"/>
      <protection locked="0"/>
    </xf>
    <xf numFmtId="9" fontId="1" fillId="0" borderId="4" xfId="0" applyNumberFormat="1" applyFont="1" applyBorder="1" applyAlignment="1" applyProtection="1">
      <alignment horizontal="justify" vertical="center" wrapText="1"/>
      <protection hidden="1"/>
    </xf>
    <xf numFmtId="9" fontId="1" fillId="0" borderId="8" xfId="0" applyNumberFormat="1" applyFont="1" applyBorder="1" applyAlignment="1" applyProtection="1">
      <alignment horizontal="justify" vertical="center" wrapText="1"/>
      <protection hidden="1"/>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6" fillId="0" borderId="0" xfId="0" applyFont="1" applyAlignment="1">
      <alignment horizontal="center" vertical="center" wrapText="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5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99786</xdr:rowOff>
    </xdr:from>
    <xdr:to>
      <xdr:col>1</xdr:col>
      <xdr:colOff>762000</xdr:colOff>
      <xdr:row>3</xdr:row>
      <xdr:rowOff>215941</xdr:rowOff>
    </xdr:to>
    <xdr:pic>
      <xdr:nvPicPr>
        <xdr:cNvPr id="2" name="2 Imagen" descr="C:\Users\AUXPLANEACION03\Desktop\Gobernacion_del_quindio.jpg">
          <a:extLst>
            <a:ext uri="{FF2B5EF4-FFF2-40B4-BE49-F238E27FC236}">
              <a16:creationId xmlns:a16="http://schemas.microsoft.com/office/drawing/2014/main" id="{637EFDF9-0798-4A07-A052-F9989D55A51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0" y="99786"/>
          <a:ext cx="841375" cy="1021030"/>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4" zoomScale="120" zoomScaleNormal="120" workbookViewId="0">
      <selection activeCell="C12" sqref="C12:F38"/>
    </sheetView>
  </sheetViews>
  <sheetFormatPr baseColWidth="10" defaultRowHeight="15" x14ac:dyDescent="0.25"/>
  <cols>
    <col min="1" max="1" width="2.85546875" style="94" customWidth="1"/>
    <col min="2" max="3" width="24.7109375" style="94" customWidth="1"/>
    <col min="4" max="4" width="16" style="94" customWidth="1"/>
    <col min="5" max="5" width="24.7109375" style="94" customWidth="1"/>
    <col min="6" max="6" width="27.7109375" style="94" customWidth="1"/>
    <col min="7" max="8" width="24.7109375" style="94" customWidth="1"/>
    <col min="9" max="16384" width="11.42578125" style="94"/>
  </cols>
  <sheetData>
    <row r="1" spans="2:8" ht="15.75" thickBot="1" x14ac:dyDescent="0.3"/>
    <row r="2" spans="2:8" ht="18" x14ac:dyDescent="0.25">
      <c r="B2" s="153" t="s">
        <v>164</v>
      </c>
      <c r="C2" s="154"/>
      <c r="D2" s="154"/>
      <c r="E2" s="154"/>
      <c r="F2" s="154"/>
      <c r="G2" s="154"/>
      <c r="H2" s="155"/>
    </row>
    <row r="3" spans="2:8" x14ac:dyDescent="0.25">
      <c r="B3" s="95"/>
      <c r="C3" s="96"/>
      <c r="D3" s="96"/>
      <c r="E3" s="96"/>
      <c r="F3" s="96"/>
      <c r="G3" s="96"/>
      <c r="H3" s="97"/>
    </row>
    <row r="4" spans="2:8" ht="63" customHeight="1" x14ac:dyDescent="0.25">
      <c r="B4" s="156" t="s">
        <v>207</v>
      </c>
      <c r="C4" s="157"/>
      <c r="D4" s="157"/>
      <c r="E4" s="157"/>
      <c r="F4" s="157"/>
      <c r="G4" s="157"/>
      <c r="H4" s="158"/>
    </row>
    <row r="5" spans="2:8" ht="63" customHeight="1" x14ac:dyDescent="0.25">
      <c r="B5" s="159"/>
      <c r="C5" s="160"/>
      <c r="D5" s="160"/>
      <c r="E5" s="160"/>
      <c r="F5" s="160"/>
      <c r="G5" s="160"/>
      <c r="H5" s="161"/>
    </row>
    <row r="6" spans="2:8" ht="16.5" x14ac:dyDescent="0.25">
      <c r="B6" s="162" t="s">
        <v>162</v>
      </c>
      <c r="C6" s="163"/>
      <c r="D6" s="163"/>
      <c r="E6" s="163"/>
      <c r="F6" s="163"/>
      <c r="G6" s="163"/>
      <c r="H6" s="164"/>
    </row>
    <row r="7" spans="2:8" ht="95.25" customHeight="1" x14ac:dyDescent="0.25">
      <c r="B7" s="172" t="s">
        <v>167</v>
      </c>
      <c r="C7" s="173"/>
      <c r="D7" s="173"/>
      <c r="E7" s="173"/>
      <c r="F7" s="173"/>
      <c r="G7" s="173"/>
      <c r="H7" s="174"/>
    </row>
    <row r="8" spans="2:8" ht="16.5" x14ac:dyDescent="0.25">
      <c r="B8" s="131"/>
      <c r="C8" s="132"/>
      <c r="D8" s="132"/>
      <c r="E8" s="132"/>
      <c r="F8" s="132"/>
      <c r="G8" s="132"/>
      <c r="H8" s="133"/>
    </row>
    <row r="9" spans="2:8" ht="16.5" customHeight="1" x14ac:dyDescent="0.25">
      <c r="B9" s="165" t="s">
        <v>200</v>
      </c>
      <c r="C9" s="166"/>
      <c r="D9" s="166"/>
      <c r="E9" s="166"/>
      <c r="F9" s="166"/>
      <c r="G9" s="166"/>
      <c r="H9" s="167"/>
    </row>
    <row r="10" spans="2:8" ht="44.25" customHeight="1" x14ac:dyDescent="0.25">
      <c r="B10" s="165"/>
      <c r="C10" s="166"/>
      <c r="D10" s="166"/>
      <c r="E10" s="166"/>
      <c r="F10" s="166"/>
      <c r="G10" s="166"/>
      <c r="H10" s="167"/>
    </row>
    <row r="11" spans="2:8" ht="15.75" thickBot="1" x14ac:dyDescent="0.3">
      <c r="B11" s="120"/>
      <c r="C11" s="123"/>
      <c r="D11" s="128"/>
      <c r="E11" s="129"/>
      <c r="F11" s="129"/>
      <c r="G11" s="130"/>
      <c r="H11" s="124"/>
    </row>
    <row r="12" spans="2:8" ht="15.75" thickTop="1" x14ac:dyDescent="0.25">
      <c r="B12" s="120"/>
      <c r="C12" s="168" t="s">
        <v>163</v>
      </c>
      <c r="D12" s="169"/>
      <c r="E12" s="170" t="s">
        <v>201</v>
      </c>
      <c r="F12" s="171"/>
      <c r="G12" s="123"/>
      <c r="H12" s="124"/>
    </row>
    <row r="13" spans="2:8" ht="35.25" customHeight="1" x14ac:dyDescent="0.25">
      <c r="B13" s="120"/>
      <c r="C13" s="175" t="s">
        <v>194</v>
      </c>
      <c r="D13" s="176"/>
      <c r="E13" s="177" t="s">
        <v>199</v>
      </c>
      <c r="F13" s="178"/>
      <c r="G13" s="123"/>
      <c r="H13" s="124"/>
    </row>
    <row r="14" spans="2:8" ht="17.25" customHeight="1" x14ac:dyDescent="0.25">
      <c r="B14" s="120"/>
      <c r="C14" s="175" t="s">
        <v>195</v>
      </c>
      <c r="D14" s="176"/>
      <c r="E14" s="177" t="s">
        <v>197</v>
      </c>
      <c r="F14" s="178"/>
      <c r="G14" s="123"/>
      <c r="H14" s="124"/>
    </row>
    <row r="15" spans="2:8" ht="19.5" customHeight="1" x14ac:dyDescent="0.25">
      <c r="B15" s="120"/>
      <c r="C15" s="175" t="s">
        <v>196</v>
      </c>
      <c r="D15" s="176"/>
      <c r="E15" s="177" t="s">
        <v>198</v>
      </c>
      <c r="F15" s="178"/>
      <c r="G15" s="123"/>
      <c r="H15" s="124"/>
    </row>
    <row r="16" spans="2:8" ht="69.75" customHeight="1" x14ac:dyDescent="0.25">
      <c r="B16" s="120"/>
      <c r="C16" s="175" t="s">
        <v>165</v>
      </c>
      <c r="D16" s="176"/>
      <c r="E16" s="177" t="s">
        <v>166</v>
      </c>
      <c r="F16" s="178"/>
      <c r="G16" s="123"/>
      <c r="H16" s="124"/>
    </row>
    <row r="17" spans="2:8" ht="34.5" customHeight="1" x14ac:dyDescent="0.25">
      <c r="B17" s="120"/>
      <c r="C17" s="179" t="s">
        <v>2</v>
      </c>
      <c r="D17" s="180"/>
      <c r="E17" s="181" t="s">
        <v>208</v>
      </c>
      <c r="F17" s="182"/>
      <c r="G17" s="123"/>
      <c r="H17" s="124"/>
    </row>
    <row r="18" spans="2:8" ht="27.75" customHeight="1" x14ac:dyDescent="0.25">
      <c r="B18" s="120"/>
      <c r="C18" s="179" t="s">
        <v>3</v>
      </c>
      <c r="D18" s="180"/>
      <c r="E18" s="181" t="s">
        <v>209</v>
      </c>
      <c r="F18" s="182"/>
      <c r="G18" s="123"/>
      <c r="H18" s="124"/>
    </row>
    <row r="19" spans="2:8" ht="28.5" customHeight="1" x14ac:dyDescent="0.25">
      <c r="B19" s="120"/>
      <c r="C19" s="179" t="s">
        <v>42</v>
      </c>
      <c r="D19" s="180"/>
      <c r="E19" s="181" t="s">
        <v>210</v>
      </c>
      <c r="F19" s="182"/>
      <c r="G19" s="123"/>
      <c r="H19" s="124"/>
    </row>
    <row r="20" spans="2:8" ht="72.75" customHeight="1" x14ac:dyDescent="0.25">
      <c r="B20" s="120"/>
      <c r="C20" s="179" t="s">
        <v>1</v>
      </c>
      <c r="D20" s="180"/>
      <c r="E20" s="181" t="s">
        <v>211</v>
      </c>
      <c r="F20" s="182"/>
      <c r="G20" s="123"/>
      <c r="H20" s="124"/>
    </row>
    <row r="21" spans="2:8" ht="64.5" customHeight="1" x14ac:dyDescent="0.25">
      <c r="B21" s="120"/>
      <c r="C21" s="179" t="s">
        <v>50</v>
      </c>
      <c r="D21" s="180"/>
      <c r="E21" s="181" t="s">
        <v>169</v>
      </c>
      <c r="F21" s="182"/>
      <c r="G21" s="123"/>
      <c r="H21" s="124"/>
    </row>
    <row r="22" spans="2:8" ht="71.25" customHeight="1" x14ac:dyDescent="0.25">
      <c r="B22" s="120"/>
      <c r="C22" s="179" t="s">
        <v>168</v>
      </c>
      <c r="D22" s="180"/>
      <c r="E22" s="181" t="s">
        <v>170</v>
      </c>
      <c r="F22" s="182"/>
      <c r="G22" s="123"/>
      <c r="H22" s="124"/>
    </row>
    <row r="23" spans="2:8" ht="55.5" customHeight="1" x14ac:dyDescent="0.25">
      <c r="B23" s="120"/>
      <c r="C23" s="186" t="s">
        <v>171</v>
      </c>
      <c r="D23" s="187"/>
      <c r="E23" s="181" t="s">
        <v>172</v>
      </c>
      <c r="F23" s="182"/>
      <c r="G23" s="123"/>
      <c r="H23" s="124"/>
    </row>
    <row r="24" spans="2:8" ht="42" customHeight="1" x14ac:dyDescent="0.25">
      <c r="B24" s="120"/>
      <c r="C24" s="186" t="s">
        <v>48</v>
      </c>
      <c r="D24" s="187"/>
      <c r="E24" s="181" t="s">
        <v>173</v>
      </c>
      <c r="F24" s="182"/>
      <c r="G24" s="123"/>
      <c r="H24" s="124"/>
    </row>
    <row r="25" spans="2:8" ht="59.25" customHeight="1" x14ac:dyDescent="0.25">
      <c r="B25" s="120"/>
      <c r="C25" s="186" t="s">
        <v>161</v>
      </c>
      <c r="D25" s="187"/>
      <c r="E25" s="181" t="s">
        <v>174</v>
      </c>
      <c r="F25" s="182"/>
      <c r="G25" s="123"/>
      <c r="H25" s="124"/>
    </row>
    <row r="26" spans="2:8" ht="23.25" customHeight="1" x14ac:dyDescent="0.25">
      <c r="B26" s="120"/>
      <c r="C26" s="186" t="s">
        <v>12</v>
      </c>
      <c r="D26" s="187"/>
      <c r="E26" s="181" t="s">
        <v>175</v>
      </c>
      <c r="F26" s="182"/>
      <c r="G26" s="123"/>
      <c r="H26" s="124"/>
    </row>
    <row r="27" spans="2:8" ht="30.75" customHeight="1" x14ac:dyDescent="0.25">
      <c r="B27" s="120"/>
      <c r="C27" s="186" t="s">
        <v>179</v>
      </c>
      <c r="D27" s="187"/>
      <c r="E27" s="181" t="s">
        <v>176</v>
      </c>
      <c r="F27" s="182"/>
      <c r="G27" s="123"/>
      <c r="H27" s="124"/>
    </row>
    <row r="28" spans="2:8" ht="35.25" customHeight="1" x14ac:dyDescent="0.25">
      <c r="B28" s="120"/>
      <c r="C28" s="186" t="s">
        <v>180</v>
      </c>
      <c r="D28" s="187"/>
      <c r="E28" s="181" t="s">
        <v>177</v>
      </c>
      <c r="F28" s="182"/>
      <c r="G28" s="123"/>
      <c r="H28" s="124"/>
    </row>
    <row r="29" spans="2:8" ht="33" customHeight="1" x14ac:dyDescent="0.25">
      <c r="B29" s="120"/>
      <c r="C29" s="186" t="s">
        <v>180</v>
      </c>
      <c r="D29" s="187"/>
      <c r="E29" s="181" t="s">
        <v>177</v>
      </c>
      <c r="F29" s="182"/>
      <c r="G29" s="123"/>
      <c r="H29" s="124"/>
    </row>
    <row r="30" spans="2:8" ht="30" customHeight="1" x14ac:dyDescent="0.25">
      <c r="B30" s="120"/>
      <c r="C30" s="186" t="s">
        <v>181</v>
      </c>
      <c r="D30" s="187"/>
      <c r="E30" s="181" t="s">
        <v>178</v>
      </c>
      <c r="F30" s="182"/>
      <c r="G30" s="123"/>
      <c r="H30" s="124"/>
    </row>
    <row r="31" spans="2:8" ht="35.25" customHeight="1" x14ac:dyDescent="0.25">
      <c r="B31" s="120"/>
      <c r="C31" s="186" t="s">
        <v>182</v>
      </c>
      <c r="D31" s="187"/>
      <c r="E31" s="181" t="s">
        <v>183</v>
      </c>
      <c r="F31" s="182"/>
      <c r="G31" s="123"/>
      <c r="H31" s="124"/>
    </row>
    <row r="32" spans="2:8" ht="31.5" customHeight="1" x14ac:dyDescent="0.25">
      <c r="B32" s="120"/>
      <c r="C32" s="186" t="s">
        <v>184</v>
      </c>
      <c r="D32" s="187"/>
      <c r="E32" s="181" t="s">
        <v>185</v>
      </c>
      <c r="F32" s="182"/>
      <c r="G32" s="123"/>
      <c r="H32" s="124"/>
    </row>
    <row r="33" spans="2:8" ht="35.25" customHeight="1" x14ac:dyDescent="0.25">
      <c r="B33" s="120"/>
      <c r="C33" s="186" t="s">
        <v>186</v>
      </c>
      <c r="D33" s="187"/>
      <c r="E33" s="181" t="s">
        <v>187</v>
      </c>
      <c r="F33" s="182"/>
      <c r="G33" s="123"/>
      <c r="H33" s="124"/>
    </row>
    <row r="34" spans="2:8" ht="59.25" customHeight="1" x14ac:dyDescent="0.25">
      <c r="B34" s="120"/>
      <c r="C34" s="186" t="s">
        <v>188</v>
      </c>
      <c r="D34" s="187"/>
      <c r="E34" s="181" t="s">
        <v>189</v>
      </c>
      <c r="F34" s="182"/>
      <c r="G34" s="123"/>
      <c r="H34" s="124"/>
    </row>
    <row r="35" spans="2:8" ht="29.25" customHeight="1" x14ac:dyDescent="0.25">
      <c r="B35" s="120"/>
      <c r="C35" s="186" t="s">
        <v>29</v>
      </c>
      <c r="D35" s="187"/>
      <c r="E35" s="181" t="s">
        <v>190</v>
      </c>
      <c r="F35" s="182"/>
      <c r="G35" s="123"/>
      <c r="H35" s="124"/>
    </row>
    <row r="36" spans="2:8" ht="82.5" customHeight="1" x14ac:dyDescent="0.25">
      <c r="B36" s="120"/>
      <c r="C36" s="186" t="s">
        <v>192</v>
      </c>
      <c r="D36" s="187"/>
      <c r="E36" s="181" t="s">
        <v>191</v>
      </c>
      <c r="F36" s="182"/>
      <c r="G36" s="123"/>
      <c r="H36" s="124"/>
    </row>
    <row r="37" spans="2:8" ht="46.5" customHeight="1" x14ac:dyDescent="0.25">
      <c r="B37" s="120"/>
      <c r="C37" s="186" t="s">
        <v>39</v>
      </c>
      <c r="D37" s="187"/>
      <c r="E37" s="181" t="s">
        <v>193</v>
      </c>
      <c r="F37" s="182"/>
      <c r="G37" s="123"/>
      <c r="H37" s="124"/>
    </row>
    <row r="38" spans="2:8" ht="6.75" customHeight="1" thickBot="1" x14ac:dyDescent="0.3">
      <c r="B38" s="120"/>
      <c r="C38" s="188"/>
      <c r="D38" s="189"/>
      <c r="E38" s="190"/>
      <c r="F38" s="191"/>
      <c r="G38" s="123"/>
      <c r="H38" s="124"/>
    </row>
    <row r="39" spans="2:8" ht="15.75" thickTop="1" x14ac:dyDescent="0.25">
      <c r="B39" s="120"/>
      <c r="C39" s="121"/>
      <c r="D39" s="121"/>
      <c r="E39" s="122"/>
      <c r="F39" s="122"/>
      <c r="G39" s="123"/>
      <c r="H39" s="124"/>
    </row>
    <row r="40" spans="2:8" ht="21" customHeight="1" x14ac:dyDescent="0.25">
      <c r="B40" s="183" t="s">
        <v>202</v>
      </c>
      <c r="C40" s="184"/>
      <c r="D40" s="184"/>
      <c r="E40" s="184"/>
      <c r="F40" s="184"/>
      <c r="G40" s="184"/>
      <c r="H40" s="185"/>
    </row>
    <row r="41" spans="2:8" ht="20.25" customHeight="1" x14ac:dyDescent="0.25">
      <c r="B41" s="183" t="s">
        <v>203</v>
      </c>
      <c r="C41" s="184"/>
      <c r="D41" s="184"/>
      <c r="E41" s="184"/>
      <c r="F41" s="184"/>
      <c r="G41" s="184"/>
      <c r="H41" s="185"/>
    </row>
    <row r="42" spans="2:8" ht="20.25" customHeight="1" x14ac:dyDescent="0.25">
      <c r="B42" s="183" t="s">
        <v>204</v>
      </c>
      <c r="C42" s="184"/>
      <c r="D42" s="184"/>
      <c r="E42" s="184"/>
      <c r="F42" s="184"/>
      <c r="G42" s="184"/>
      <c r="H42" s="185"/>
    </row>
    <row r="43" spans="2:8" ht="20.25" customHeight="1" x14ac:dyDescent="0.25">
      <c r="B43" s="183" t="s">
        <v>205</v>
      </c>
      <c r="C43" s="184"/>
      <c r="D43" s="184"/>
      <c r="E43" s="184"/>
      <c r="F43" s="184"/>
      <c r="G43" s="184"/>
      <c r="H43" s="185"/>
    </row>
    <row r="44" spans="2:8" x14ac:dyDescent="0.25">
      <c r="B44" s="183" t="s">
        <v>206</v>
      </c>
      <c r="C44" s="184"/>
      <c r="D44" s="184"/>
      <c r="E44" s="184"/>
      <c r="F44" s="184"/>
      <c r="G44" s="184"/>
      <c r="H44" s="185"/>
    </row>
    <row r="45" spans="2:8" ht="15.75" thickBot="1" x14ac:dyDescent="0.3">
      <c r="B45" s="125"/>
      <c r="C45" s="126"/>
      <c r="D45" s="126"/>
      <c r="E45" s="126"/>
      <c r="F45" s="126"/>
      <c r="G45" s="126"/>
      <c r="H45" s="12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44"/>
  <sheetViews>
    <sheetView showGridLines="0" tabSelected="1" zoomScale="60" zoomScaleNormal="60" workbookViewId="0">
      <selection activeCell="C7" sqref="C7:N7"/>
    </sheetView>
  </sheetViews>
  <sheetFormatPr baseColWidth="10" defaultRowHeight="16.5" x14ac:dyDescent="0.3"/>
  <cols>
    <col min="1" max="1" width="4" style="2" bestFit="1" customWidth="1"/>
    <col min="2" max="2" width="17.42578125" style="2" customWidth="1"/>
    <col min="3" max="3" width="45.5703125" style="2" customWidth="1"/>
    <col min="4" max="4" width="28.71093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customWidth="1"/>
    <col min="11" max="11" width="49.85546875" style="1" bestFit="1" customWidth="1"/>
    <col min="12" max="12" width="17.5703125" style="1" customWidth="1"/>
    <col min="13" max="13" width="6.28515625" style="1" bestFit="1" customWidth="1"/>
    <col min="14" max="14" width="16" style="1" customWidth="1"/>
    <col min="15" max="15" width="5.85546875" style="1" customWidth="1"/>
    <col min="16" max="16" width="56.2851562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710937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7.5703125" style="1" customWidth="1"/>
    <col min="32" max="32" width="18.85546875" style="139" customWidth="1"/>
    <col min="33" max="33" width="20.42578125" style="5" customWidth="1"/>
    <col min="34" max="34" width="18" style="1" customWidth="1"/>
    <col min="35" max="35" width="29.5703125" style="1" customWidth="1"/>
    <col min="36" max="36" width="21" style="1" customWidth="1"/>
    <col min="37" max="37" width="15.42578125" style="1" bestFit="1" customWidth="1"/>
    <col min="38" max="38" width="18.28515625" style="1" bestFit="1" customWidth="1"/>
    <col min="39" max="39" width="14.42578125" style="147" bestFit="1" customWidth="1"/>
    <col min="40" max="40" width="29" style="1" bestFit="1" customWidth="1"/>
    <col min="41" max="41" width="15.140625" style="1" bestFit="1" customWidth="1"/>
    <col min="42" max="42" width="15.42578125" style="1" bestFit="1" customWidth="1"/>
    <col min="43" max="43" width="18.28515625" style="1" bestFit="1" customWidth="1"/>
    <col min="44" max="44" width="14.42578125" style="147" bestFit="1" customWidth="1"/>
    <col min="45" max="45" width="29" style="1" bestFit="1" customWidth="1"/>
    <col min="46" max="46" width="15.140625" style="1" customWidth="1"/>
    <col min="47" max="16384" width="11.42578125" style="1"/>
  </cols>
  <sheetData>
    <row r="1" spans="1:68" ht="24" customHeight="1" x14ac:dyDescent="0.3">
      <c r="A1" s="199"/>
      <c r="B1" s="199"/>
      <c r="C1" s="197" t="s">
        <v>264</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197"/>
      <c r="AQ1" s="197"/>
      <c r="AR1" s="197"/>
      <c r="AS1" s="134" t="s">
        <v>265</v>
      </c>
      <c r="AT1" s="134" t="s">
        <v>271</v>
      </c>
    </row>
    <row r="2" spans="1:68" ht="24" customHeight="1" x14ac:dyDescent="0.3">
      <c r="A2" s="199"/>
      <c r="B2" s="199"/>
      <c r="C2" s="198" t="s">
        <v>266</v>
      </c>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35" t="s">
        <v>267</v>
      </c>
      <c r="AT2" s="136">
        <v>12</v>
      </c>
    </row>
    <row r="3" spans="1:68" ht="24" customHeight="1" x14ac:dyDescent="0.3">
      <c r="A3" s="199"/>
      <c r="B3" s="199"/>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35" t="s">
        <v>268</v>
      </c>
      <c r="AT3" s="144">
        <v>45828</v>
      </c>
      <c r="AU3" s="8"/>
      <c r="AV3" s="8"/>
      <c r="AW3" s="8"/>
      <c r="AX3" s="8"/>
      <c r="AY3" s="8"/>
      <c r="AZ3" s="8"/>
      <c r="BA3" s="8"/>
      <c r="BB3" s="8"/>
      <c r="BC3" s="8"/>
      <c r="BD3" s="8"/>
      <c r="BE3" s="8"/>
      <c r="BF3" s="8"/>
      <c r="BG3" s="8"/>
      <c r="BH3" s="8"/>
      <c r="BI3" s="8"/>
      <c r="BJ3" s="8"/>
      <c r="BK3" s="8"/>
      <c r="BL3" s="8"/>
      <c r="BM3" s="8"/>
      <c r="BN3" s="8"/>
      <c r="BO3" s="8"/>
      <c r="BP3" s="8"/>
    </row>
    <row r="4" spans="1:68" ht="24" customHeight="1" x14ac:dyDescent="0.3">
      <c r="A4" s="199"/>
      <c r="B4" s="199"/>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35" t="s">
        <v>269</v>
      </c>
      <c r="AT4" s="136" t="s">
        <v>270</v>
      </c>
      <c r="AU4" s="8"/>
      <c r="AV4" s="8"/>
      <c r="AW4" s="8"/>
      <c r="AX4" s="8"/>
      <c r="AY4" s="8"/>
      <c r="AZ4" s="8"/>
      <c r="BA4" s="8"/>
      <c r="BB4" s="8"/>
      <c r="BC4" s="8"/>
      <c r="BD4" s="8"/>
      <c r="BE4" s="8"/>
      <c r="BF4" s="8"/>
      <c r="BG4" s="8"/>
      <c r="BH4" s="8"/>
      <c r="BI4" s="8"/>
      <c r="BJ4" s="8"/>
      <c r="BK4" s="8"/>
      <c r="BL4" s="8"/>
      <c r="BM4" s="8"/>
      <c r="BN4" s="8"/>
      <c r="BO4" s="8"/>
      <c r="BP4" s="8"/>
    </row>
    <row r="5" spans="1:68" ht="26.25" customHeight="1" x14ac:dyDescent="0.3">
      <c r="A5" s="28"/>
      <c r="B5" s="29"/>
      <c r="C5" s="28"/>
      <c r="D5" s="28"/>
      <c r="E5" s="8"/>
      <c r="F5" s="27"/>
      <c r="G5" s="8"/>
      <c r="H5" s="8"/>
      <c r="I5" s="8"/>
      <c r="J5" s="8"/>
      <c r="K5" s="8"/>
      <c r="L5" s="8"/>
      <c r="M5" s="8"/>
      <c r="N5" s="8"/>
      <c r="O5" s="8"/>
      <c r="P5" s="8"/>
      <c r="Q5" s="8"/>
      <c r="R5" s="8"/>
      <c r="S5" s="8"/>
      <c r="T5" s="8"/>
      <c r="U5" s="8"/>
      <c r="V5" s="8"/>
      <c r="W5" s="8"/>
      <c r="X5" s="8"/>
      <c r="Y5" s="8"/>
      <c r="Z5" s="8"/>
      <c r="AA5" s="8"/>
      <c r="AB5" s="8"/>
      <c r="AC5" s="8"/>
      <c r="AD5" s="8"/>
      <c r="AE5" s="8"/>
      <c r="AF5" s="138"/>
      <c r="AG5" s="27"/>
      <c r="AH5" s="8"/>
      <c r="AI5" s="8"/>
      <c r="AJ5" s="8"/>
      <c r="AK5" s="8"/>
      <c r="AL5" s="8"/>
      <c r="AM5" s="148"/>
      <c r="AN5" s="8"/>
      <c r="AO5" s="8"/>
      <c r="AP5" s="8"/>
      <c r="AQ5" s="8"/>
      <c r="AR5" s="148"/>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x14ac:dyDescent="0.3">
      <c r="A6" s="227" t="s">
        <v>43</v>
      </c>
      <c r="B6" s="228"/>
      <c r="C6" s="239" t="s">
        <v>212</v>
      </c>
      <c r="D6" s="240"/>
      <c r="E6" s="240"/>
      <c r="F6" s="240"/>
      <c r="G6" s="240"/>
      <c r="H6" s="240"/>
      <c r="I6" s="240"/>
      <c r="J6" s="240"/>
      <c r="K6" s="240"/>
      <c r="L6" s="240"/>
      <c r="M6" s="240"/>
      <c r="N6" s="241"/>
      <c r="O6" s="242"/>
      <c r="P6" s="242"/>
      <c r="Q6" s="242"/>
      <c r="R6" s="8"/>
      <c r="S6" s="8"/>
      <c r="T6" s="8"/>
      <c r="U6" s="8"/>
      <c r="V6" s="8"/>
      <c r="W6" s="8"/>
      <c r="X6" s="8"/>
      <c r="Y6" s="8"/>
      <c r="Z6" s="8"/>
      <c r="AA6" s="8"/>
      <c r="AB6" s="8"/>
      <c r="AC6" s="8"/>
      <c r="AD6" s="8"/>
      <c r="AE6" s="8"/>
      <c r="AF6" s="138"/>
      <c r="AG6" s="27"/>
      <c r="AH6" s="8"/>
      <c r="AI6" s="8"/>
      <c r="AJ6" s="8"/>
      <c r="AK6" s="8"/>
      <c r="AL6" s="8"/>
      <c r="AM6" s="148"/>
      <c r="AN6" s="8"/>
      <c r="AO6" s="8"/>
      <c r="AP6" s="8"/>
      <c r="AQ6" s="8"/>
      <c r="AR6" s="148"/>
      <c r="AS6" s="8"/>
      <c r="AT6" s="8"/>
      <c r="AU6" s="8"/>
      <c r="AV6" s="8"/>
      <c r="AW6" s="8"/>
      <c r="AX6" s="8"/>
      <c r="AY6" s="8"/>
      <c r="AZ6" s="8"/>
      <c r="BA6" s="8"/>
      <c r="BB6" s="8"/>
      <c r="BC6" s="8"/>
      <c r="BD6" s="8"/>
      <c r="BE6" s="8"/>
      <c r="BF6" s="8"/>
      <c r="BG6" s="8"/>
      <c r="BH6" s="8"/>
      <c r="BI6" s="8"/>
      <c r="BJ6" s="8"/>
      <c r="BK6" s="8"/>
      <c r="BL6" s="8"/>
      <c r="BM6" s="8"/>
      <c r="BN6" s="8"/>
      <c r="BO6" s="8"/>
      <c r="BP6" s="8"/>
    </row>
    <row r="7" spans="1:68" ht="39.75" customHeight="1" x14ac:dyDescent="0.3">
      <c r="A7" s="227" t="s">
        <v>130</v>
      </c>
      <c r="B7" s="228"/>
      <c r="C7" s="234" t="s">
        <v>213</v>
      </c>
      <c r="D7" s="235"/>
      <c r="E7" s="235"/>
      <c r="F7" s="235"/>
      <c r="G7" s="235"/>
      <c r="H7" s="235"/>
      <c r="I7" s="235"/>
      <c r="J7" s="235"/>
      <c r="K7" s="235"/>
      <c r="L7" s="235"/>
      <c r="M7" s="235"/>
      <c r="N7" s="236"/>
      <c r="O7" s="8"/>
      <c r="P7" s="8"/>
      <c r="Q7" s="8"/>
      <c r="R7" s="8"/>
      <c r="S7" s="8"/>
      <c r="T7" s="8"/>
      <c r="U7" s="8"/>
      <c r="V7" s="8"/>
      <c r="W7" s="8"/>
      <c r="X7" s="8"/>
      <c r="Y7" s="8"/>
      <c r="Z7" s="8"/>
      <c r="AA7" s="8"/>
      <c r="AB7" s="8"/>
      <c r="AC7" s="8"/>
      <c r="AD7" s="8"/>
      <c r="AE7" s="8"/>
      <c r="AF7" s="138"/>
      <c r="AG7" s="27"/>
      <c r="AH7" s="8"/>
      <c r="AI7" s="8"/>
      <c r="AJ7" s="8"/>
      <c r="AK7" s="8"/>
      <c r="AL7" s="8"/>
      <c r="AM7" s="148"/>
      <c r="AN7" s="8"/>
      <c r="AO7" s="8"/>
      <c r="AP7" s="8"/>
      <c r="AQ7" s="8"/>
      <c r="AR7" s="148"/>
      <c r="AS7" s="8"/>
      <c r="AT7" s="8"/>
      <c r="AU7" s="8"/>
      <c r="AV7" s="8"/>
      <c r="AW7" s="8"/>
      <c r="AX7" s="8"/>
      <c r="AY7" s="8"/>
      <c r="AZ7" s="8"/>
      <c r="BA7" s="8"/>
      <c r="BB7" s="8"/>
      <c r="BC7" s="8"/>
      <c r="BD7" s="8"/>
      <c r="BE7" s="8"/>
      <c r="BF7" s="8"/>
      <c r="BG7" s="8"/>
      <c r="BH7" s="8"/>
      <c r="BI7" s="8"/>
      <c r="BJ7" s="8"/>
      <c r="BK7" s="8"/>
      <c r="BL7" s="8"/>
      <c r="BM7" s="8"/>
      <c r="BN7" s="8"/>
      <c r="BO7" s="8"/>
      <c r="BP7" s="8"/>
    </row>
    <row r="8" spans="1:68" ht="64.5" customHeight="1" x14ac:dyDescent="0.3">
      <c r="A8" s="227" t="s">
        <v>44</v>
      </c>
      <c r="B8" s="228"/>
      <c r="C8" s="234" t="s">
        <v>287</v>
      </c>
      <c r="D8" s="237"/>
      <c r="E8" s="237"/>
      <c r="F8" s="237"/>
      <c r="G8" s="237"/>
      <c r="H8" s="237"/>
      <c r="I8" s="237"/>
      <c r="J8" s="237"/>
      <c r="K8" s="237"/>
      <c r="L8" s="237"/>
      <c r="M8" s="237"/>
      <c r="N8" s="238"/>
      <c r="O8" s="8"/>
      <c r="P8" s="8"/>
      <c r="Q8" s="8"/>
      <c r="R8" s="8"/>
      <c r="S8" s="8"/>
      <c r="T8" s="8"/>
      <c r="U8" s="8"/>
      <c r="V8" s="8"/>
      <c r="W8" s="8"/>
      <c r="X8" s="8"/>
      <c r="Y8" s="8"/>
      <c r="Z8" s="8"/>
      <c r="AA8" s="8"/>
      <c r="AB8" s="8"/>
      <c r="AC8" s="8"/>
      <c r="AD8" s="8"/>
      <c r="AE8" s="8"/>
      <c r="AF8" s="138"/>
      <c r="AG8" s="27"/>
      <c r="AH8" s="8"/>
      <c r="AI8" s="8"/>
      <c r="AJ8" s="8"/>
      <c r="AK8" s="8"/>
      <c r="AL8" s="8"/>
      <c r="AM8" s="148"/>
      <c r="AN8" s="8"/>
      <c r="AO8" s="8"/>
      <c r="AP8" s="8"/>
      <c r="AQ8" s="8"/>
      <c r="AR8" s="148"/>
      <c r="AS8" s="8"/>
      <c r="AT8" s="8"/>
      <c r="AU8" s="8"/>
      <c r="AV8" s="8"/>
      <c r="AW8" s="8"/>
      <c r="AX8" s="8"/>
      <c r="AY8" s="8"/>
      <c r="AZ8" s="8"/>
      <c r="BA8" s="8"/>
      <c r="BB8" s="8"/>
      <c r="BC8" s="8"/>
      <c r="BD8" s="8"/>
      <c r="BE8" s="8"/>
      <c r="BF8" s="8"/>
      <c r="BG8" s="8"/>
      <c r="BH8" s="8"/>
      <c r="BI8" s="8"/>
      <c r="BJ8" s="8"/>
      <c r="BK8" s="8"/>
      <c r="BL8" s="8"/>
      <c r="BM8" s="8"/>
      <c r="BN8" s="8"/>
      <c r="BO8" s="8"/>
      <c r="BP8" s="8"/>
    </row>
    <row r="9" spans="1:68" ht="27.75" customHeight="1" x14ac:dyDescent="0.3">
      <c r="A9" s="243" t="s">
        <v>139</v>
      </c>
      <c r="B9" s="244"/>
      <c r="C9" s="244"/>
      <c r="D9" s="244"/>
      <c r="E9" s="244"/>
      <c r="F9" s="244"/>
      <c r="G9" s="245"/>
      <c r="H9" s="243" t="s">
        <v>140</v>
      </c>
      <c r="I9" s="244"/>
      <c r="J9" s="244"/>
      <c r="K9" s="244"/>
      <c r="L9" s="244"/>
      <c r="M9" s="244"/>
      <c r="N9" s="245"/>
      <c r="O9" s="243" t="s">
        <v>141</v>
      </c>
      <c r="P9" s="244"/>
      <c r="Q9" s="244"/>
      <c r="R9" s="244"/>
      <c r="S9" s="244"/>
      <c r="T9" s="244"/>
      <c r="U9" s="244"/>
      <c r="V9" s="244"/>
      <c r="W9" s="245"/>
      <c r="X9" s="243" t="s">
        <v>142</v>
      </c>
      <c r="Y9" s="244"/>
      <c r="Z9" s="244"/>
      <c r="AA9" s="244"/>
      <c r="AB9" s="244"/>
      <c r="AC9" s="244"/>
      <c r="AD9" s="245"/>
      <c r="AE9" s="243" t="s">
        <v>34</v>
      </c>
      <c r="AF9" s="244"/>
      <c r="AG9" s="244"/>
      <c r="AH9" s="244"/>
      <c r="AI9" s="244"/>
      <c r="AJ9" s="245"/>
      <c r="AK9" s="192" t="s">
        <v>311</v>
      </c>
      <c r="AL9" s="192"/>
      <c r="AM9" s="192"/>
      <c r="AN9" s="192"/>
      <c r="AO9" s="192"/>
      <c r="AP9" s="192"/>
      <c r="AQ9" s="192"/>
      <c r="AR9" s="192"/>
      <c r="AS9" s="192"/>
      <c r="AT9" s="192"/>
      <c r="AU9" s="8"/>
      <c r="AV9" s="8"/>
      <c r="AW9" s="8"/>
      <c r="AX9" s="8"/>
      <c r="AY9" s="8"/>
      <c r="AZ9" s="8"/>
      <c r="BA9" s="8"/>
      <c r="BB9" s="8"/>
      <c r="BC9" s="8"/>
      <c r="BD9" s="8"/>
      <c r="BE9" s="8"/>
      <c r="BF9" s="8"/>
      <c r="BG9" s="8"/>
      <c r="BH9" s="8"/>
      <c r="BI9" s="8"/>
      <c r="BJ9" s="8"/>
      <c r="BK9" s="8"/>
      <c r="BL9" s="8"/>
      <c r="BM9" s="8"/>
      <c r="BN9" s="8"/>
      <c r="BO9" s="8"/>
      <c r="BP9" s="8"/>
    </row>
    <row r="10" spans="1:68" ht="16.5" customHeight="1" x14ac:dyDescent="0.3">
      <c r="A10" s="229" t="s">
        <v>0</v>
      </c>
      <c r="B10" s="192" t="s">
        <v>2</v>
      </c>
      <c r="C10" s="220" t="s">
        <v>3</v>
      </c>
      <c r="D10" s="220" t="s">
        <v>42</v>
      </c>
      <c r="E10" s="231" t="s">
        <v>1</v>
      </c>
      <c r="F10" s="226" t="s">
        <v>50</v>
      </c>
      <c r="G10" s="220" t="s">
        <v>135</v>
      </c>
      <c r="H10" s="222" t="s">
        <v>33</v>
      </c>
      <c r="I10" s="223" t="s">
        <v>5</v>
      </c>
      <c r="J10" s="226" t="s">
        <v>87</v>
      </c>
      <c r="K10" s="226" t="s">
        <v>92</v>
      </c>
      <c r="L10" s="225" t="s">
        <v>45</v>
      </c>
      <c r="M10" s="223" t="s">
        <v>5</v>
      </c>
      <c r="N10" s="220" t="s">
        <v>48</v>
      </c>
      <c r="O10" s="232" t="s">
        <v>11</v>
      </c>
      <c r="P10" s="221" t="s">
        <v>161</v>
      </c>
      <c r="Q10" s="226" t="s">
        <v>12</v>
      </c>
      <c r="R10" s="221" t="s">
        <v>8</v>
      </c>
      <c r="S10" s="221"/>
      <c r="T10" s="221"/>
      <c r="U10" s="221"/>
      <c r="V10" s="221"/>
      <c r="W10" s="221"/>
      <c r="X10" s="219" t="s">
        <v>138</v>
      </c>
      <c r="Y10" s="219" t="s">
        <v>46</v>
      </c>
      <c r="Z10" s="219" t="s">
        <v>5</v>
      </c>
      <c r="AA10" s="219" t="s">
        <v>47</v>
      </c>
      <c r="AB10" s="219" t="s">
        <v>5</v>
      </c>
      <c r="AC10" s="219" t="s">
        <v>49</v>
      </c>
      <c r="AD10" s="232" t="s">
        <v>29</v>
      </c>
      <c r="AE10" s="221" t="s">
        <v>34</v>
      </c>
      <c r="AF10" s="221" t="s">
        <v>35</v>
      </c>
      <c r="AG10" s="221" t="s">
        <v>36</v>
      </c>
      <c r="AH10" s="221" t="s">
        <v>38</v>
      </c>
      <c r="AI10" s="221" t="s">
        <v>37</v>
      </c>
      <c r="AJ10" s="221" t="s">
        <v>39</v>
      </c>
      <c r="AK10" s="193" t="s">
        <v>312</v>
      </c>
      <c r="AL10" s="193"/>
      <c r="AM10" s="193"/>
      <c r="AN10" s="193"/>
      <c r="AO10" s="193"/>
      <c r="AP10" s="193" t="s">
        <v>313</v>
      </c>
      <c r="AQ10" s="193"/>
      <c r="AR10" s="193"/>
      <c r="AS10" s="193"/>
      <c r="AT10" s="193"/>
      <c r="AU10" s="8"/>
      <c r="AV10" s="8"/>
      <c r="AW10" s="8"/>
      <c r="AX10" s="8"/>
      <c r="AY10" s="8"/>
      <c r="AZ10" s="8"/>
      <c r="BA10" s="8"/>
      <c r="BB10" s="8"/>
      <c r="BC10" s="8"/>
      <c r="BD10" s="8"/>
      <c r="BE10" s="8"/>
      <c r="BF10" s="8"/>
      <c r="BG10" s="8"/>
      <c r="BH10" s="8"/>
      <c r="BI10" s="8"/>
      <c r="BJ10" s="8"/>
      <c r="BK10" s="8"/>
      <c r="BL10" s="8"/>
      <c r="BM10" s="8"/>
      <c r="BN10" s="8"/>
      <c r="BO10" s="8"/>
      <c r="BP10" s="8"/>
    </row>
    <row r="11" spans="1:68" s="4" customFormat="1" ht="94.5" customHeight="1" x14ac:dyDescent="0.25">
      <c r="A11" s="230"/>
      <c r="B11" s="192"/>
      <c r="C11" s="221"/>
      <c r="D11" s="221"/>
      <c r="E11" s="192"/>
      <c r="F11" s="220"/>
      <c r="G11" s="221"/>
      <c r="H11" s="220"/>
      <c r="I11" s="224"/>
      <c r="J11" s="220"/>
      <c r="K11" s="220"/>
      <c r="L11" s="224"/>
      <c r="M11" s="224"/>
      <c r="N11" s="221"/>
      <c r="O11" s="233"/>
      <c r="P11" s="221"/>
      <c r="Q11" s="220"/>
      <c r="R11" s="7" t="s">
        <v>13</v>
      </c>
      <c r="S11" s="7" t="s">
        <v>17</v>
      </c>
      <c r="T11" s="7" t="s">
        <v>28</v>
      </c>
      <c r="U11" s="7" t="s">
        <v>18</v>
      </c>
      <c r="V11" s="7" t="s">
        <v>21</v>
      </c>
      <c r="W11" s="7" t="s">
        <v>24</v>
      </c>
      <c r="X11" s="219"/>
      <c r="Y11" s="219"/>
      <c r="Z11" s="219"/>
      <c r="AA11" s="219"/>
      <c r="AB11" s="219"/>
      <c r="AC11" s="219"/>
      <c r="AD11" s="233"/>
      <c r="AE11" s="221"/>
      <c r="AF11" s="221"/>
      <c r="AG11" s="221"/>
      <c r="AH11" s="221"/>
      <c r="AI11" s="221"/>
      <c r="AJ11" s="221"/>
      <c r="AK11" s="145" t="s">
        <v>314</v>
      </c>
      <c r="AL11" s="145" t="s">
        <v>315</v>
      </c>
      <c r="AM11" s="146" t="s">
        <v>316</v>
      </c>
      <c r="AN11" s="145" t="s">
        <v>317</v>
      </c>
      <c r="AO11" s="145" t="s">
        <v>318</v>
      </c>
      <c r="AP11" s="145" t="s">
        <v>314</v>
      </c>
      <c r="AQ11" s="145" t="s">
        <v>315</v>
      </c>
      <c r="AR11" s="146" t="s">
        <v>316</v>
      </c>
      <c r="AS11" s="145" t="s">
        <v>317</v>
      </c>
      <c r="AT11" s="145" t="s">
        <v>318</v>
      </c>
      <c r="AU11" s="25"/>
      <c r="AV11" s="25"/>
      <c r="AW11" s="25"/>
      <c r="AX11" s="25"/>
      <c r="AY11" s="25"/>
      <c r="AZ11" s="25"/>
      <c r="BA11" s="25"/>
      <c r="BB11" s="25"/>
      <c r="BC11" s="25"/>
      <c r="BD11" s="25"/>
      <c r="BE11" s="25"/>
      <c r="BF11" s="25"/>
      <c r="BG11" s="25"/>
      <c r="BH11" s="25"/>
      <c r="BI11" s="25"/>
      <c r="BJ11" s="25"/>
      <c r="BK11" s="25"/>
      <c r="BL11" s="25"/>
      <c r="BM11" s="25"/>
      <c r="BN11" s="25"/>
      <c r="BO11" s="25"/>
      <c r="BP11" s="25"/>
    </row>
    <row r="12" spans="1:68" s="3" customFormat="1" ht="167.25" hidden="1" customHeight="1" x14ac:dyDescent="0.25">
      <c r="A12" s="207">
        <v>1</v>
      </c>
      <c r="B12" s="201" t="s">
        <v>132</v>
      </c>
      <c r="C12" s="201" t="s">
        <v>214</v>
      </c>
      <c r="D12" s="201" t="s">
        <v>224</v>
      </c>
      <c r="E12" s="209" t="s">
        <v>225</v>
      </c>
      <c r="F12" s="201" t="s">
        <v>128</v>
      </c>
      <c r="G12" s="203">
        <v>1500</v>
      </c>
      <c r="H12" s="205" t="str">
        <f>IF(G12&lt;=0,"",IF(G12&lt;=2,"Muy Baja",IF(G12&lt;=24,"Baja",IF(G12&lt;=500,"Media",IF(G12&lt;=5000,"Alta","Muy Alta")))))</f>
        <v>Alta</v>
      </c>
      <c r="I12" s="213">
        <f>IF(H12="","",IF(H12="Muy Baja",0.2,IF(H12="Baja",0.4,IF(H12="Media",0.6,IF(H12="Alta",0.8,IF(H12="Muy Alta",1,))))))</f>
        <v>0.8</v>
      </c>
      <c r="J12" s="215" t="s">
        <v>154</v>
      </c>
      <c r="K12" s="217"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205" t="str">
        <f ca="1">IF(OR(K12='Tabla Impacto'!$C$11,K12='Tabla Impacto'!$D$11),"Leve",IF(OR(K12='Tabla Impacto'!$C$12,K12='Tabla Impacto'!$D$12),"Menor",IF(OR(K12='Tabla Impacto'!$C$13,K12='Tabla Impacto'!$D$13),"Moderado",IF(OR(K12='Tabla Impacto'!$C$14,K12='Tabla Impacto'!$D$14),"Mayor",IF(OR(K12='Tabla Impacto'!$C$15,K12='Tabla Impacto'!$D$15),"Catastrófico","")))))</f>
        <v>Mayor</v>
      </c>
      <c r="M12" s="213">
        <f ca="1">IF(L12="","",IF(L12="Leve",0.2,IF(L12="Menor",0.4,IF(L12="Moderado",0.6,IF(L12="Mayor",0.8,IF(L12="Catastrófico",1,))))))</f>
        <v>0.8</v>
      </c>
      <c r="N12" s="21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c r="P12" s="137"/>
      <c r="Q12" s="49"/>
      <c r="R12" s="50"/>
      <c r="S12" s="50"/>
      <c r="T12" s="51"/>
      <c r="U12" s="50"/>
      <c r="V12" s="50"/>
      <c r="W12" s="50"/>
      <c r="X12" s="24"/>
      <c r="Y12" s="52"/>
      <c r="Z12" s="53"/>
      <c r="AA12" s="52"/>
      <c r="AB12" s="53"/>
      <c r="AC12" s="54"/>
      <c r="AD12" s="55"/>
      <c r="AE12" s="137"/>
      <c r="AF12" s="137"/>
      <c r="AG12" s="56"/>
      <c r="AH12" s="150"/>
      <c r="AI12" s="137"/>
      <c r="AJ12" s="48"/>
      <c r="AK12" s="47"/>
      <c r="AL12" s="47"/>
      <c r="AM12" s="149"/>
      <c r="AN12" s="47"/>
      <c r="AO12" s="47"/>
      <c r="AP12" s="47"/>
      <c r="AQ12" s="47"/>
      <c r="AR12" s="149"/>
      <c r="AS12" s="47"/>
      <c r="AT12" s="47"/>
      <c r="AU12" s="26"/>
      <c r="AV12" s="26"/>
      <c r="AW12" s="26"/>
      <c r="AX12" s="26"/>
      <c r="AY12" s="26"/>
      <c r="AZ12" s="26"/>
      <c r="BA12" s="26"/>
      <c r="BB12" s="26"/>
      <c r="BC12" s="26"/>
      <c r="BD12" s="26"/>
      <c r="BE12" s="26"/>
      <c r="BF12" s="26"/>
      <c r="BG12" s="26"/>
      <c r="BH12" s="26"/>
      <c r="BI12" s="26"/>
      <c r="BJ12" s="26"/>
      <c r="BK12" s="26"/>
      <c r="BL12" s="26"/>
      <c r="BM12" s="26"/>
      <c r="BN12" s="26"/>
      <c r="BO12" s="26"/>
      <c r="BP12" s="26"/>
    </row>
    <row r="13" spans="1:68" ht="151.5" customHeight="1" x14ac:dyDescent="0.3">
      <c r="A13" s="208"/>
      <c r="B13" s="202"/>
      <c r="C13" s="202"/>
      <c r="D13" s="202"/>
      <c r="E13" s="210"/>
      <c r="F13" s="202"/>
      <c r="G13" s="204"/>
      <c r="H13" s="206"/>
      <c r="I13" s="214"/>
      <c r="J13" s="216"/>
      <c r="K13" s="218">
        <f ca="1">IF(NOT(ISERROR(MATCH(J13,_xlfn.ANCHORARRAY(E19),0))),I21&amp;"Por favor no seleccionar los criterios de impacto",J13)</f>
        <v>0</v>
      </c>
      <c r="L13" s="206"/>
      <c r="M13" s="214"/>
      <c r="N13" s="212"/>
      <c r="O13" s="6">
        <v>1</v>
      </c>
      <c r="P13" s="137" t="s">
        <v>235</v>
      </c>
      <c r="Q13" s="49" t="str">
        <f>IF(OR(R13="Preventivo",R13="Detectivo"),"Probabilidad",IF(R13="Correctivo","Impacto",""))</f>
        <v>Probabilidad</v>
      </c>
      <c r="R13" s="50" t="s">
        <v>14</v>
      </c>
      <c r="S13" s="50" t="s">
        <v>9</v>
      </c>
      <c r="T13" s="51" t="str">
        <f t="shared" ref="T13:T16" si="0">IF(AND(R13="Preventivo",S13="Automático"),"50%",IF(AND(R13="Preventivo",S13="Manual"),"40%",IF(AND(R13="Detectivo",S13="Automático"),"40%",IF(AND(R13="Detectivo",S13="Manual"),"30%",IF(AND(R13="Correctivo",S13="Automático"),"35%",IF(AND(R13="Correctivo",S13="Manual"),"25%",""))))))</f>
        <v>40%</v>
      </c>
      <c r="U13" s="50" t="s">
        <v>19</v>
      </c>
      <c r="V13" s="50" t="s">
        <v>22</v>
      </c>
      <c r="W13" s="50" t="s">
        <v>119</v>
      </c>
      <c r="X13" s="24">
        <f>IFERROR(IF(AND(Q12="Probabilidad",Q13="Probabilidad"),(Z12-(+Z12*T13)),IF(Q13="Probabilidad",(I12-(+I12*T13)),IF(Q13="Impacto",Z12,""))),"")</f>
        <v>0.48</v>
      </c>
      <c r="Y13" s="52" t="str">
        <f t="shared" ref="Y13:Y37" si="1">IFERROR(IF(X13="","",IF(X13&lt;=0.2,"Muy Baja",IF(X13&lt;=0.4,"Baja",IF(X13&lt;=0.6,"Media",IF(X13&lt;=0.8,"Alta","Muy Alta"))))),"")</f>
        <v>Media</v>
      </c>
      <c r="Z13" s="53">
        <f t="shared" ref="Z13:Z16" si="2">+X13</f>
        <v>0.48</v>
      </c>
      <c r="AA13" s="52" t="str">
        <f t="shared" ref="AA13:AA37" si="3">IFERROR(IF(AB13="","",IF(AB13&lt;=0.2,"Leve",IF(AB13&lt;=0.4,"Menor",IF(AB13&lt;=0.6,"Moderado",IF(AB13&lt;=0.8,"Mayor","Catastrófico"))))),"")</f>
        <v>Leve</v>
      </c>
      <c r="AB13" s="53">
        <f>IFERROR(IF(AND(Q12="Impacto",Q13="Impacto"),(AB12-(+AB12*T13)),IF(Q13="Impacto",($M$12-(+$M$12*T13)),IF(Q13="Probabilidad",AB12,""))),"")</f>
        <v>0</v>
      </c>
      <c r="AC13" s="54" t="str">
        <f t="shared" ref="AC13:AC16"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55" t="s">
        <v>136</v>
      </c>
      <c r="AE13" s="137" t="s">
        <v>226</v>
      </c>
      <c r="AF13" s="137" t="s">
        <v>215</v>
      </c>
      <c r="AG13" s="56">
        <v>46022</v>
      </c>
      <c r="AH13" s="150" t="s">
        <v>288</v>
      </c>
      <c r="AI13" s="137" t="s">
        <v>292</v>
      </c>
      <c r="AJ13" s="48" t="s">
        <v>41</v>
      </c>
      <c r="AK13" s="47"/>
      <c r="AL13" s="47"/>
      <c r="AM13" s="149" t="e">
        <f t="shared" ref="AM13:AM37" si="5">AK13/AL13</f>
        <v>#DIV/0!</v>
      </c>
      <c r="AN13" s="47"/>
      <c r="AO13" s="47"/>
      <c r="AP13" s="47"/>
      <c r="AQ13" s="47"/>
      <c r="AR13" s="149" t="e">
        <f t="shared" ref="AR13:AR37" si="6">AP13/AQ13</f>
        <v>#DIV/0!</v>
      </c>
      <c r="AS13" s="47"/>
      <c r="AT13" s="47"/>
      <c r="AU13" s="8"/>
      <c r="AV13" s="8"/>
      <c r="AW13" s="8"/>
      <c r="AX13" s="8"/>
      <c r="AY13" s="8"/>
      <c r="AZ13" s="8"/>
      <c r="BA13" s="8"/>
      <c r="BB13" s="8"/>
      <c r="BC13" s="8"/>
      <c r="BD13" s="8"/>
      <c r="BE13" s="8"/>
      <c r="BF13" s="8"/>
      <c r="BG13" s="8"/>
      <c r="BH13" s="8"/>
      <c r="BI13" s="8"/>
      <c r="BJ13" s="8"/>
      <c r="BK13" s="8"/>
      <c r="BL13" s="8"/>
      <c r="BM13" s="8"/>
      <c r="BN13" s="8"/>
      <c r="BO13" s="8"/>
      <c r="BP13" s="8"/>
    </row>
    <row r="14" spans="1:68" ht="176.25" customHeight="1" x14ac:dyDescent="0.3">
      <c r="A14" s="208"/>
      <c r="B14" s="202"/>
      <c r="C14" s="202"/>
      <c r="D14" s="202"/>
      <c r="E14" s="210"/>
      <c r="F14" s="202"/>
      <c r="G14" s="204"/>
      <c r="H14" s="206"/>
      <c r="I14" s="214"/>
      <c r="J14" s="216"/>
      <c r="K14" s="218">
        <f ca="1">IF(NOT(ISERROR(MATCH(J14,_xlfn.ANCHORARRAY(E20),0))),#REF!&amp;"Por favor no seleccionar los criterios de impacto",J14)</f>
        <v>0</v>
      </c>
      <c r="L14" s="206"/>
      <c r="M14" s="214"/>
      <c r="N14" s="212"/>
      <c r="O14" s="6">
        <v>2</v>
      </c>
      <c r="P14" s="137" t="s">
        <v>236</v>
      </c>
      <c r="Q14" s="49" t="str">
        <f>IF(OR(R14="Preventivo",R14="Detectivo"),"Probabilidad",IF(R14="Correctivo","Impacto",""))</f>
        <v>Probabilidad</v>
      </c>
      <c r="R14" s="50" t="s">
        <v>14</v>
      </c>
      <c r="S14" s="50" t="s">
        <v>9</v>
      </c>
      <c r="T14" s="51" t="str">
        <f t="shared" si="0"/>
        <v>40%</v>
      </c>
      <c r="U14" s="50" t="s">
        <v>19</v>
      </c>
      <c r="V14" s="50" t="s">
        <v>22</v>
      </c>
      <c r="W14" s="50" t="s">
        <v>119</v>
      </c>
      <c r="X14" s="24">
        <f>IFERROR(IF(AND(Q13="Probabilidad",Q14="Probabilidad"),(Z13-(+Z13*T14)),IF(AND(Q13="Impacto",Q14="Probabilidad"),(Z12-(+Z12*T14)),IF(Q14="Impacto",Z13,""))),"")</f>
        <v>0.28799999999999998</v>
      </c>
      <c r="Y14" s="52" t="str">
        <f t="shared" si="1"/>
        <v>Baja</v>
      </c>
      <c r="Z14" s="53">
        <f t="shared" si="2"/>
        <v>0.28799999999999998</v>
      </c>
      <c r="AA14" s="52" t="str">
        <f t="shared" si="3"/>
        <v>Leve</v>
      </c>
      <c r="AB14" s="53">
        <f>IFERROR(IF(AND(Q13="Impacto",Q14="Impacto"),(AB13-(+AB13*T14)),IF(AND(Q13="Probabilidad",Q14="Impacto"),(AB12-(+AB12*T14)),IF(Q14="Probabilidad",AB13,""))),"")</f>
        <v>0</v>
      </c>
      <c r="AC14" s="54" t="str">
        <f t="shared" si="4"/>
        <v>Bajo</v>
      </c>
      <c r="AD14" s="55"/>
      <c r="AE14" s="137" t="s">
        <v>228</v>
      </c>
      <c r="AF14" s="137" t="s">
        <v>215</v>
      </c>
      <c r="AG14" s="56">
        <v>46022</v>
      </c>
      <c r="AH14" s="150" t="s">
        <v>288</v>
      </c>
      <c r="AI14" s="137" t="s">
        <v>293</v>
      </c>
      <c r="AJ14" s="48" t="s">
        <v>41</v>
      </c>
      <c r="AK14" s="47"/>
      <c r="AL14" s="47"/>
      <c r="AM14" s="149" t="e">
        <f t="shared" si="5"/>
        <v>#DIV/0!</v>
      </c>
      <c r="AN14" s="47"/>
      <c r="AO14" s="47"/>
      <c r="AP14" s="47"/>
      <c r="AQ14" s="47"/>
      <c r="AR14" s="149" t="e">
        <f t="shared" si="6"/>
        <v>#DIV/0!</v>
      </c>
      <c r="AS14" s="47"/>
      <c r="AT14" s="47"/>
      <c r="AU14" s="8"/>
      <c r="AV14" s="8"/>
      <c r="AW14" s="8"/>
      <c r="AX14" s="8"/>
      <c r="AY14" s="8"/>
      <c r="AZ14" s="8"/>
      <c r="BA14" s="8"/>
      <c r="BB14" s="8"/>
      <c r="BC14" s="8"/>
      <c r="BD14" s="8"/>
      <c r="BE14" s="8"/>
      <c r="BF14" s="8"/>
      <c r="BG14" s="8"/>
      <c r="BH14" s="8"/>
      <c r="BI14" s="8"/>
      <c r="BJ14" s="8"/>
      <c r="BK14" s="8"/>
      <c r="BL14" s="8"/>
      <c r="BM14" s="8"/>
      <c r="BN14" s="8"/>
      <c r="BO14" s="8"/>
      <c r="BP14" s="8"/>
    </row>
    <row r="15" spans="1:68" ht="189" customHeight="1" x14ac:dyDescent="0.3">
      <c r="A15" s="208"/>
      <c r="B15" s="202"/>
      <c r="C15" s="202"/>
      <c r="D15" s="202"/>
      <c r="E15" s="210"/>
      <c r="F15" s="202"/>
      <c r="G15" s="204"/>
      <c r="H15" s="206"/>
      <c r="I15" s="214"/>
      <c r="J15" s="216"/>
      <c r="K15" s="218">
        <f ca="1">IF(NOT(ISERROR(MATCH(J15,_xlfn.ANCHORARRAY(E21),0))),#REF!&amp;"Por favor no seleccionar los criterios de impacto",J15)</f>
        <v>0</v>
      </c>
      <c r="L15" s="206"/>
      <c r="M15" s="214"/>
      <c r="N15" s="212"/>
      <c r="O15" s="6">
        <v>3</v>
      </c>
      <c r="P15" s="137" t="s">
        <v>237</v>
      </c>
      <c r="Q15" s="49" t="str">
        <f t="shared" ref="Q15:Q16" si="7">IF(OR(R15="Preventivo",R15="Detectivo"),"Probabilidad",IF(R15="Correctivo","Impacto",""))</f>
        <v>Probabilidad</v>
      </c>
      <c r="R15" s="50" t="s">
        <v>14</v>
      </c>
      <c r="S15" s="50" t="s">
        <v>9</v>
      </c>
      <c r="T15" s="51" t="str">
        <f t="shared" si="0"/>
        <v>40%</v>
      </c>
      <c r="U15" s="50" t="s">
        <v>19</v>
      </c>
      <c r="V15" s="50" t="s">
        <v>23</v>
      </c>
      <c r="W15" s="50" t="s">
        <v>119</v>
      </c>
      <c r="X15" s="24">
        <f t="shared" ref="X15:X16" si="8">IFERROR(IF(AND(Q14="Probabilidad",Q15="Probabilidad"),(Z14-(+Z14*T15)),IF(AND(Q14="Impacto",Q15="Probabilidad"),(Z13-(+Z13*T15)),IF(Q15="Impacto",Z14,""))),"")</f>
        <v>0.17279999999999998</v>
      </c>
      <c r="Y15" s="52" t="str">
        <f t="shared" si="1"/>
        <v>Muy Baja</v>
      </c>
      <c r="Z15" s="53">
        <f t="shared" si="2"/>
        <v>0.17279999999999998</v>
      </c>
      <c r="AA15" s="52" t="str">
        <f t="shared" si="3"/>
        <v>Leve</v>
      </c>
      <c r="AB15" s="53">
        <f t="shared" ref="AB15:AB16" si="9">IFERROR(IF(AND(Q14="Impacto",Q15="Impacto"),(AB14-(+AB14*T15)),IF(AND(Q14="Probabilidad",Q15="Impacto"),(AB13-(+AB13*T15)),IF(Q15="Probabilidad",AB14,""))),"")</f>
        <v>0</v>
      </c>
      <c r="AC15" s="54"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Bajo</v>
      </c>
      <c r="AD15" s="55"/>
      <c r="AE15" s="137" t="s">
        <v>227</v>
      </c>
      <c r="AF15" s="137" t="s">
        <v>215</v>
      </c>
      <c r="AG15" s="56">
        <v>46022</v>
      </c>
      <c r="AH15" s="150" t="s">
        <v>288</v>
      </c>
      <c r="AI15" s="137" t="s">
        <v>294</v>
      </c>
      <c r="AJ15" s="48" t="s">
        <v>41</v>
      </c>
      <c r="AK15" s="47"/>
      <c r="AL15" s="47"/>
      <c r="AM15" s="149" t="e">
        <f t="shared" si="5"/>
        <v>#DIV/0!</v>
      </c>
      <c r="AN15" s="47"/>
      <c r="AO15" s="47"/>
      <c r="AP15" s="47"/>
      <c r="AQ15" s="47"/>
      <c r="AR15" s="149" t="e">
        <f t="shared" si="6"/>
        <v>#DIV/0!</v>
      </c>
      <c r="AS15" s="47"/>
      <c r="AT15" s="47"/>
      <c r="AU15" s="8"/>
      <c r="AV15" s="8"/>
      <c r="AW15" s="8"/>
      <c r="AX15" s="8"/>
      <c r="AY15" s="8"/>
      <c r="AZ15" s="8"/>
      <c r="BA15" s="8"/>
      <c r="BB15" s="8"/>
      <c r="BC15" s="8"/>
      <c r="BD15" s="8"/>
      <c r="BE15" s="8"/>
      <c r="BF15" s="8"/>
      <c r="BG15" s="8"/>
      <c r="BH15" s="8"/>
      <c r="BI15" s="8"/>
      <c r="BJ15" s="8"/>
      <c r="BK15" s="8"/>
      <c r="BL15" s="8"/>
      <c r="BM15" s="8"/>
      <c r="BN15" s="8"/>
      <c r="BO15" s="8"/>
      <c r="BP15" s="8"/>
    </row>
    <row r="16" spans="1:68" ht="66" x14ac:dyDescent="0.3">
      <c r="A16" s="208"/>
      <c r="B16" s="202"/>
      <c r="C16" s="202"/>
      <c r="D16" s="202"/>
      <c r="E16" s="210"/>
      <c r="F16" s="202"/>
      <c r="G16" s="204"/>
      <c r="H16" s="206"/>
      <c r="I16" s="214"/>
      <c r="J16" s="216"/>
      <c r="K16" s="218">
        <f ca="1">IF(NOT(ISERROR(MATCH(J16,_xlfn.ANCHORARRAY(#REF!),0))),#REF!&amp;"Por favor no seleccionar los criterios de impacto",J16)</f>
        <v>0</v>
      </c>
      <c r="L16" s="206"/>
      <c r="M16" s="214"/>
      <c r="N16" s="212"/>
      <c r="O16" s="6">
        <v>4</v>
      </c>
      <c r="P16" s="137" t="s">
        <v>327</v>
      </c>
      <c r="Q16" s="49" t="str">
        <f t="shared" si="7"/>
        <v>Probabilidad</v>
      </c>
      <c r="R16" s="50" t="s">
        <v>14</v>
      </c>
      <c r="S16" s="50" t="s">
        <v>9</v>
      </c>
      <c r="T16" s="51" t="str">
        <f t="shared" si="0"/>
        <v>40%</v>
      </c>
      <c r="U16" s="50" t="s">
        <v>19</v>
      </c>
      <c r="V16" s="50" t="s">
        <v>23</v>
      </c>
      <c r="W16" s="50" t="s">
        <v>119</v>
      </c>
      <c r="X16" s="24">
        <f t="shared" si="8"/>
        <v>0.10367999999999998</v>
      </c>
      <c r="Y16" s="52" t="str">
        <f t="shared" si="1"/>
        <v>Muy Baja</v>
      </c>
      <c r="Z16" s="53">
        <f t="shared" si="2"/>
        <v>0.10367999999999998</v>
      </c>
      <c r="AA16" s="52" t="str">
        <f t="shared" si="3"/>
        <v>Leve</v>
      </c>
      <c r="AB16" s="53">
        <f t="shared" si="9"/>
        <v>0</v>
      </c>
      <c r="AC16" s="54" t="str">
        <f t="shared" si="4"/>
        <v>Bajo</v>
      </c>
      <c r="AD16" s="55"/>
      <c r="AE16" s="137" t="s">
        <v>322</v>
      </c>
      <c r="AF16" s="137" t="s">
        <v>238</v>
      </c>
      <c r="AG16" s="56">
        <v>46022</v>
      </c>
      <c r="AH16" s="150" t="s">
        <v>288</v>
      </c>
      <c r="AI16" s="137" t="s">
        <v>295</v>
      </c>
      <c r="AJ16" s="48" t="s">
        <v>41</v>
      </c>
      <c r="AK16" s="47"/>
      <c r="AL16" s="47"/>
      <c r="AM16" s="149" t="e">
        <f t="shared" si="5"/>
        <v>#DIV/0!</v>
      </c>
      <c r="AN16" s="47"/>
      <c r="AO16" s="47"/>
      <c r="AP16" s="47"/>
      <c r="AQ16" s="47"/>
      <c r="AR16" s="149" t="e">
        <f t="shared" si="6"/>
        <v>#DIV/0!</v>
      </c>
      <c r="AS16" s="47"/>
      <c r="AT16" s="47"/>
      <c r="AU16" s="8"/>
      <c r="AV16" s="8"/>
      <c r="AW16" s="8"/>
      <c r="AX16" s="8"/>
      <c r="AY16" s="8"/>
      <c r="AZ16" s="8"/>
      <c r="BA16" s="8"/>
      <c r="BB16" s="8"/>
      <c r="BC16" s="8"/>
      <c r="BD16" s="8"/>
      <c r="BE16" s="8"/>
      <c r="BF16" s="8"/>
      <c r="BG16" s="8"/>
      <c r="BH16" s="8"/>
      <c r="BI16" s="8"/>
      <c r="BJ16" s="8"/>
      <c r="BK16" s="8"/>
      <c r="BL16" s="8"/>
      <c r="BM16" s="8"/>
      <c r="BN16" s="8"/>
      <c r="BO16" s="8"/>
      <c r="BP16" s="8"/>
    </row>
    <row r="17" spans="1:68" ht="207" customHeight="1" x14ac:dyDescent="0.3">
      <c r="A17" s="207">
        <v>2</v>
      </c>
      <c r="B17" s="201" t="s">
        <v>134</v>
      </c>
      <c r="C17" s="201" t="s">
        <v>229</v>
      </c>
      <c r="D17" s="201" t="s">
        <v>243</v>
      </c>
      <c r="E17" s="209" t="s">
        <v>242</v>
      </c>
      <c r="F17" s="201" t="s">
        <v>128</v>
      </c>
      <c r="G17" s="203">
        <v>3000</v>
      </c>
      <c r="H17" s="205" t="str">
        <f>IF(G17&lt;=0,"",IF(G17&lt;=2,"Muy Baja",IF(G17&lt;=24,"Baja",IF(G17&lt;=500,"Media",IF(G17&lt;=5000,"Alta","Muy Alta")))))</f>
        <v>Alta</v>
      </c>
      <c r="I17" s="213">
        <f>IF(H17="","",IF(H17="Muy Baja",0.2,IF(H17="Baja",0.4,IF(H17="Media",0.6,IF(H17="Alta",0.8,IF(H17="Muy Alta",1,))))))</f>
        <v>0.8</v>
      </c>
      <c r="J17" s="215" t="s">
        <v>154</v>
      </c>
      <c r="K17" s="217" t="str">
        <f ca="1">IF(NOT(ISERROR(MATCH(J17,'Tabla Impacto'!$B$221:$B$223,0))),'Tabla Impacto'!$F$223&amp;"Por favor no seleccionar los criterios de impacto(Afectación Económica o presupuestal y Pérdida Reputacional)",J17)</f>
        <v xml:space="preserve">     El riesgo afecta la imagen de de la entidad con efecto publicitario sostenido a nivel de sector administrativo, nivel departamental o municipal</v>
      </c>
      <c r="L17" s="205" t="str">
        <f ca="1">IF(OR(K17='Tabla Impacto'!$C$11,K17='Tabla Impacto'!$D$11),"Leve",IF(OR(K17='Tabla Impacto'!$C$12,K17='Tabla Impacto'!$D$12),"Menor",IF(OR(K17='Tabla Impacto'!$C$13,K17='Tabla Impacto'!$D$13),"Moderado",IF(OR(K17='Tabla Impacto'!$C$14,K17='Tabla Impacto'!$D$14),"Mayor",IF(OR(K17='Tabla Impacto'!$C$15,K17='Tabla Impacto'!$D$15),"Catastrófico","")))))</f>
        <v>Mayor</v>
      </c>
      <c r="M17" s="213">
        <f ca="1">IF(L17="","",IF(L17="Leve",0.2,IF(L17="Menor",0.4,IF(L17="Moderado",0.6,IF(L17="Mayor",0.8,IF(L17="Catastrófico",1,))))))</f>
        <v>0.8</v>
      </c>
      <c r="N17" s="211" t="str">
        <f ca="1">IF(OR(AND(H17="Muy Baja",L17="Leve"),AND(H17="Muy Baja",L17="Menor"),AND(H17="Baja",L17="Leve")),"Bajo",IF(OR(AND(H17="Muy baja",L17="Moderado"),AND(H17="Baja",L17="Menor"),AND(H17="Baja",L17="Moderado"),AND(H17="Media",L17="Leve"),AND(H17="Media",L17="Menor"),AND(H17="Media",L17="Moderado"),AND(H17="Alta",L17="Leve"),AND(H17="Alta",L17="Menor")),"Moderado",IF(OR(AND(H17="Muy Baja",L17="Mayor"),AND(H17="Baja",L17="Mayor"),AND(H17="Media",L17="Mayor"),AND(H17="Alta",L17="Moderado"),AND(H17="Alta",L17="Mayor"),AND(H17="Muy Alta",L17="Leve"),AND(H17="Muy Alta",L17="Menor"),AND(H17="Muy Alta",L17="Moderado"),AND(H17="Muy Alta",L17="Mayor")),"Alto",IF(OR(AND(H17="Muy Baja",L17="Catastrófico"),AND(H17="Baja",L17="Catastrófico"),AND(H17="Media",L17="Catastrófico"),AND(H17="Alta",L17="Catastrófico"),AND(H17="Muy Alta",L17="Catastrófico")),"Extremo",""))))</f>
        <v>Alto</v>
      </c>
      <c r="O17" s="6">
        <v>1</v>
      </c>
      <c r="P17" s="137" t="s">
        <v>244</v>
      </c>
      <c r="Q17" s="49" t="str">
        <f t="shared" ref="Q17:Q24" si="10">IF(OR(R17="Preventivo",R17="Detectivo"),"Probabilidad",IF(R17="Correctivo","Impacto",""))</f>
        <v>Probabilidad</v>
      </c>
      <c r="R17" s="50" t="s">
        <v>15</v>
      </c>
      <c r="S17" s="50" t="s">
        <v>9</v>
      </c>
      <c r="T17" s="51" t="str">
        <f>IF(AND(R17="Preventivo",S17="Automático"),"50%",IF(AND(R17="Preventivo",S17="Manual"),"40%",IF(AND(R17="Detectivo",S17="Automático"),"40%",IF(AND(R17="Detectivo",S17="Manual"),"30%",IF(AND(R17="Correctivo",S17="Automático"),"35%",IF(AND(R17="Correctivo",S17="Manual"),"25%",""))))))</f>
        <v>30%</v>
      </c>
      <c r="U17" s="50" t="s">
        <v>19</v>
      </c>
      <c r="V17" s="50" t="s">
        <v>22</v>
      </c>
      <c r="W17" s="50" t="s">
        <v>119</v>
      </c>
      <c r="X17" s="24">
        <f>IFERROR(IF(Q17="Probabilidad",(I17-(+I17*T17)),IF(Q17="Impacto",I17,"")),"")</f>
        <v>0.56000000000000005</v>
      </c>
      <c r="Y17" s="52" t="str">
        <f>IFERROR(IF(X17="","",IF(X17&lt;=0.2,"Muy Baja",IF(X17&lt;=0.4,"Baja",IF(X17&lt;=0.6,"Media",IF(X17&lt;=0.8,"Alta","Muy Alta"))))),"")</f>
        <v>Media</v>
      </c>
      <c r="Z17" s="53">
        <f>+X17</f>
        <v>0.56000000000000005</v>
      </c>
      <c r="AA17" s="52" t="str">
        <f ca="1">IFERROR(IF(AB17="","",IF(AB17&lt;=0.2,"Leve",IF(AB17&lt;=0.4,"Menor",IF(AB17&lt;=0.6,"Moderado",IF(AB17&lt;=0.8,"Mayor","Catastrófico"))))),"")</f>
        <v>Mayor</v>
      </c>
      <c r="AB17" s="53">
        <f ca="1">IFERROR(IF(Q17="Impacto",(M17-(+M17*T17)),IF(Q17="Probabilidad",M17,"")),"")</f>
        <v>0.8</v>
      </c>
      <c r="AC17" s="54"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55" t="s">
        <v>136</v>
      </c>
      <c r="AE17" s="137" t="s">
        <v>245</v>
      </c>
      <c r="AF17" s="137" t="s">
        <v>246</v>
      </c>
      <c r="AG17" s="56">
        <v>46022</v>
      </c>
      <c r="AH17" s="150" t="s">
        <v>288</v>
      </c>
      <c r="AI17" s="137" t="s">
        <v>291</v>
      </c>
      <c r="AJ17" s="48" t="s">
        <v>41</v>
      </c>
      <c r="AK17" s="47"/>
      <c r="AL17" s="47"/>
      <c r="AM17" s="149" t="e">
        <f t="shared" si="5"/>
        <v>#DIV/0!</v>
      </c>
      <c r="AN17" s="47"/>
      <c r="AO17" s="47"/>
      <c r="AP17" s="47"/>
      <c r="AQ17" s="47"/>
      <c r="AR17" s="149" t="e">
        <f t="shared" si="6"/>
        <v>#DIV/0!</v>
      </c>
      <c r="AS17" s="47"/>
      <c r="AT17" s="47"/>
      <c r="AU17" s="8"/>
      <c r="AV17" s="8"/>
      <c r="AW17" s="8"/>
      <c r="AX17" s="8"/>
      <c r="AY17" s="8"/>
      <c r="AZ17" s="8"/>
      <c r="BA17" s="8"/>
      <c r="BB17" s="8"/>
      <c r="BC17" s="8"/>
      <c r="BD17" s="8"/>
      <c r="BE17" s="8"/>
      <c r="BF17" s="8"/>
      <c r="BG17" s="8"/>
      <c r="BH17" s="8"/>
      <c r="BI17" s="8"/>
      <c r="BJ17" s="8"/>
      <c r="BK17" s="8"/>
      <c r="BL17" s="8"/>
      <c r="BM17" s="8"/>
      <c r="BN17" s="8"/>
      <c r="BO17" s="8"/>
      <c r="BP17" s="8"/>
    </row>
    <row r="18" spans="1:68" ht="165" x14ac:dyDescent="0.3">
      <c r="A18" s="208"/>
      <c r="B18" s="202"/>
      <c r="C18" s="202"/>
      <c r="D18" s="202"/>
      <c r="E18" s="210"/>
      <c r="F18" s="202"/>
      <c r="G18" s="204"/>
      <c r="H18" s="206"/>
      <c r="I18" s="214"/>
      <c r="J18" s="216"/>
      <c r="K18" s="218">
        <f ca="1">IF(NOT(ISERROR(MATCH(J18,_xlfn.ANCHORARRAY(E22),0))),I24&amp;"Por favor no seleccionar los criterios de impacto",J18)</f>
        <v>0</v>
      </c>
      <c r="L18" s="206"/>
      <c r="M18" s="214"/>
      <c r="N18" s="212"/>
      <c r="O18" s="6">
        <v>2</v>
      </c>
      <c r="P18" s="137" t="s">
        <v>248</v>
      </c>
      <c r="Q18" s="49" t="str">
        <f t="shared" si="10"/>
        <v>Probabilidad</v>
      </c>
      <c r="R18" s="50" t="s">
        <v>14</v>
      </c>
      <c r="S18" s="50" t="s">
        <v>9</v>
      </c>
      <c r="T18" s="51" t="str">
        <f t="shared" ref="T18" si="11">IF(AND(R18="Preventivo",S18="Automático"),"50%",IF(AND(R18="Preventivo",S18="Manual"),"40%",IF(AND(R18="Detectivo",S18="Automático"),"40%",IF(AND(R18="Detectivo",S18="Manual"),"30%",IF(AND(R18="Correctivo",S18="Automático"),"35%",IF(AND(R18="Correctivo",S18="Manual"),"25%",""))))))</f>
        <v>40%</v>
      </c>
      <c r="U18" s="50" t="s">
        <v>19</v>
      </c>
      <c r="V18" s="50" t="s">
        <v>22</v>
      </c>
      <c r="W18" s="50" t="s">
        <v>119</v>
      </c>
      <c r="X18" s="24">
        <f>IFERROR(IF(AND(Q17="Probabilidad",Q18="Probabilidad"),(Z17-(+Z17*T18)),IF(Q18="Probabilidad",(I17-(+I17*T18)),IF(Q18="Impacto",Z17,""))),"")</f>
        <v>0.33600000000000002</v>
      </c>
      <c r="Y18" s="52" t="str">
        <f t="shared" si="1"/>
        <v>Baja</v>
      </c>
      <c r="Z18" s="53">
        <f t="shared" ref="Z18" si="12">+X18</f>
        <v>0.33600000000000002</v>
      </c>
      <c r="AA18" s="52" t="str">
        <f t="shared" si="3"/>
        <v>Leve</v>
      </c>
      <c r="AB18" s="53">
        <f>IFERROR(IF(AND(Q17="Impacto",Q18="Impacto"),(AB12-(+AB12*T18)),IF(Q18="Impacto",($M$17-(+$M$17*T18)),IF(Q18="Probabilidad",AB12,""))),"")</f>
        <v>0</v>
      </c>
      <c r="AC18" s="54" t="str">
        <f t="shared" ref="AC18" si="13">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Bajo</v>
      </c>
      <c r="AD18" s="55" t="s">
        <v>136</v>
      </c>
      <c r="AE18" s="137" t="s">
        <v>247</v>
      </c>
      <c r="AF18" s="137" t="s">
        <v>246</v>
      </c>
      <c r="AG18" s="56">
        <v>46022</v>
      </c>
      <c r="AH18" s="150" t="s">
        <v>288</v>
      </c>
      <c r="AI18" s="137" t="s">
        <v>289</v>
      </c>
      <c r="AJ18" s="48" t="s">
        <v>41</v>
      </c>
      <c r="AK18" s="47"/>
      <c r="AL18" s="47"/>
      <c r="AM18" s="149" t="e">
        <f t="shared" si="5"/>
        <v>#DIV/0!</v>
      </c>
      <c r="AN18" s="47"/>
      <c r="AO18" s="47"/>
      <c r="AP18" s="47"/>
      <c r="AQ18" s="47"/>
      <c r="AR18" s="149" t="e">
        <f t="shared" si="6"/>
        <v>#DIV/0!</v>
      </c>
      <c r="AS18" s="47"/>
      <c r="AT18" s="47"/>
      <c r="AU18" s="8"/>
      <c r="AV18" s="8"/>
      <c r="AW18" s="8"/>
      <c r="AX18" s="8"/>
      <c r="AY18" s="8"/>
      <c r="AZ18" s="8"/>
      <c r="BA18" s="8"/>
      <c r="BB18" s="8"/>
      <c r="BC18" s="8"/>
      <c r="BD18" s="8"/>
      <c r="BE18" s="8"/>
      <c r="BF18" s="8"/>
      <c r="BG18" s="8"/>
      <c r="BH18" s="8"/>
      <c r="BI18" s="8"/>
      <c r="BJ18" s="8"/>
      <c r="BK18" s="8"/>
      <c r="BL18" s="8"/>
      <c r="BM18" s="8"/>
      <c r="BN18" s="8"/>
      <c r="BO18" s="8"/>
      <c r="BP18" s="8"/>
    </row>
    <row r="19" spans="1:68" ht="201.75" customHeight="1" x14ac:dyDescent="0.3">
      <c r="A19" s="207">
        <v>3</v>
      </c>
      <c r="B19" s="201" t="s">
        <v>134</v>
      </c>
      <c r="C19" s="201" t="s">
        <v>249</v>
      </c>
      <c r="D19" s="201" t="s">
        <v>216</v>
      </c>
      <c r="E19" s="209" t="s">
        <v>338</v>
      </c>
      <c r="F19" s="201" t="s">
        <v>128</v>
      </c>
      <c r="G19" s="203">
        <v>143</v>
      </c>
      <c r="H19" s="205" t="str">
        <f>IF(G19&lt;=0,"",IF(G19&lt;=2,"Muy Baja",IF(G19&lt;=24,"Baja",IF(G19&lt;=500,"Media",IF(G19&lt;=5000,"Alta","Muy Alta")))))</f>
        <v>Media</v>
      </c>
      <c r="I19" s="213">
        <f>IF(H19="","",IF(H19="Muy Baja",0.2,IF(H19="Baja",0.4,IF(H19="Media",0.6,IF(H19="Alta",0.8,IF(H19="Muy Alta",1,))))))</f>
        <v>0.6</v>
      </c>
      <c r="J19" s="215" t="s">
        <v>154</v>
      </c>
      <c r="K19" s="217" t="str">
        <f ca="1">IF(NOT(ISERROR(MATCH(J19,'Tabla Impacto'!$B$221:$B$223,0))),'Tabla Impacto'!$F$223&amp;"Por favor no seleccionar los criterios de impacto(Afectación Económica o presupuestal y Pérdida Reputacional)",J19)</f>
        <v xml:space="preserve">     El riesgo afecta la imagen de de la entidad con efecto publicitario sostenido a nivel de sector administrativo, nivel departamental o municipal</v>
      </c>
      <c r="L19" s="205" t="str">
        <f ca="1">IF(OR(K19='Tabla Impacto'!$C$11,K19='Tabla Impacto'!$D$11),"Leve",IF(OR(K19='Tabla Impacto'!$C$12,K19='Tabla Impacto'!$D$12),"Menor",IF(OR(K19='Tabla Impacto'!$C$13,K19='Tabla Impacto'!$D$13),"Moderado",IF(OR(K19='Tabla Impacto'!$C$14,K19='Tabla Impacto'!$D$14),"Mayor",IF(OR(K19='Tabla Impacto'!$C$15,K19='Tabla Impacto'!$D$15),"Catastrófico","")))))</f>
        <v>Mayor</v>
      </c>
      <c r="M19" s="213">
        <f ca="1">IF(L19="","",IF(L19="Leve",0.2,IF(L19="Menor",0.4,IF(L19="Moderado",0.6,IF(L19="Mayor",0.8,IF(L19="Catastrófico",1,))))))</f>
        <v>0.8</v>
      </c>
      <c r="N19" s="211"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Alto</v>
      </c>
      <c r="O19" s="6">
        <v>1</v>
      </c>
      <c r="P19" s="137" t="s">
        <v>217</v>
      </c>
      <c r="Q19" s="49" t="str">
        <f t="shared" si="10"/>
        <v>Probabilidad</v>
      </c>
      <c r="R19" s="50" t="s">
        <v>14</v>
      </c>
      <c r="S19" s="50" t="s">
        <v>9</v>
      </c>
      <c r="T19" s="51" t="str">
        <f>IF(AND(R19="Preventivo",S19="Automático"),"50%",IF(AND(R19="Preventivo",S19="Manual"),"40%",IF(AND(R19="Detectivo",S19="Automático"),"40%",IF(AND(R19="Detectivo",S19="Manual"),"30%",IF(AND(R19="Correctivo",S19="Automático"),"35%",IF(AND(R19="Correctivo",S19="Manual"),"25%",""))))))</f>
        <v>40%</v>
      </c>
      <c r="U19" s="50" t="s">
        <v>19</v>
      </c>
      <c r="V19" s="50" t="s">
        <v>22</v>
      </c>
      <c r="W19" s="50" t="s">
        <v>119</v>
      </c>
      <c r="X19" s="24">
        <f>IFERROR(IF(Q19="Probabilidad",(I19-(+I19*T19)),IF(Q19="Impacto",I19,"")),"")</f>
        <v>0.36</v>
      </c>
      <c r="Y19" s="52" t="str">
        <f>IFERROR(IF(X19="","",IF(X19&lt;=0.2,"Muy Baja",IF(X19&lt;=0.4,"Baja",IF(X19&lt;=0.6,"Media",IF(X19&lt;=0.8,"Alta","Muy Alta"))))),"")</f>
        <v>Baja</v>
      </c>
      <c r="Z19" s="53">
        <f>+X19</f>
        <v>0.36</v>
      </c>
      <c r="AA19" s="52" t="str">
        <f ca="1">IFERROR(IF(AB19="","",IF(AB19&lt;=0.2,"Leve",IF(AB19&lt;=0.4,"Menor",IF(AB19&lt;=0.6,"Moderado",IF(AB19&lt;=0.8,"Mayor","Catastrófico"))))),"")</f>
        <v>Mayor</v>
      </c>
      <c r="AB19" s="53">
        <f ca="1">IFERROR(IF(Q19="Impacto",(M19-(+M19*T19)),IF(Q19="Probabilidad",M19,"")),"")</f>
        <v>0.8</v>
      </c>
      <c r="AC19" s="54" t="str">
        <f ca="1">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55" t="s">
        <v>136</v>
      </c>
      <c r="AE19" s="137" t="s">
        <v>250</v>
      </c>
      <c r="AF19" s="137" t="s">
        <v>246</v>
      </c>
      <c r="AG19" s="56">
        <v>46022</v>
      </c>
      <c r="AH19" s="150" t="s">
        <v>288</v>
      </c>
      <c r="AI19" s="137" t="s">
        <v>290</v>
      </c>
      <c r="AJ19" s="48" t="s">
        <v>41</v>
      </c>
      <c r="AK19" s="47"/>
      <c r="AL19" s="47"/>
      <c r="AM19" s="149" t="e">
        <f t="shared" si="5"/>
        <v>#DIV/0!</v>
      </c>
      <c r="AN19" s="47"/>
      <c r="AO19" s="47"/>
      <c r="AP19" s="47"/>
      <c r="AQ19" s="47"/>
      <c r="AR19" s="149" t="e">
        <f t="shared" si="6"/>
        <v>#DIV/0!</v>
      </c>
      <c r="AS19" s="47"/>
      <c r="AT19" s="47"/>
      <c r="AU19" s="8"/>
      <c r="AV19" s="8"/>
      <c r="AW19" s="8"/>
      <c r="AX19" s="8"/>
      <c r="AY19" s="8"/>
      <c r="AZ19" s="8"/>
      <c r="BA19" s="8"/>
      <c r="BB19" s="8"/>
      <c r="BC19" s="8"/>
      <c r="BD19" s="8"/>
      <c r="BE19" s="8"/>
      <c r="BF19" s="8"/>
      <c r="BG19" s="8"/>
      <c r="BH19" s="8"/>
      <c r="BI19" s="8"/>
      <c r="BJ19" s="8"/>
      <c r="BK19" s="8"/>
      <c r="BL19" s="8"/>
      <c r="BM19" s="8"/>
      <c r="BN19" s="8"/>
      <c r="BO19" s="8"/>
      <c r="BP19" s="8"/>
    </row>
    <row r="20" spans="1:68" ht="205.5" customHeight="1" x14ac:dyDescent="0.3">
      <c r="A20" s="208"/>
      <c r="B20" s="202"/>
      <c r="C20" s="202"/>
      <c r="D20" s="202"/>
      <c r="E20" s="210"/>
      <c r="F20" s="202"/>
      <c r="G20" s="204"/>
      <c r="H20" s="206"/>
      <c r="I20" s="214"/>
      <c r="J20" s="216"/>
      <c r="K20" s="218">
        <f ca="1">IF(NOT(ISERROR(MATCH(J20,_xlfn.ANCHORARRAY(E26),0))),#REF!&amp;"Por favor no seleccionar los criterios de impacto",J20)</f>
        <v>0</v>
      </c>
      <c r="L20" s="206"/>
      <c r="M20" s="214"/>
      <c r="N20" s="212"/>
      <c r="O20" s="6">
        <v>2</v>
      </c>
      <c r="P20" s="137" t="s">
        <v>251</v>
      </c>
      <c r="Q20" s="49" t="str">
        <f t="shared" si="10"/>
        <v>Probabilidad</v>
      </c>
      <c r="R20" s="50" t="s">
        <v>14</v>
      </c>
      <c r="S20" s="50" t="s">
        <v>9</v>
      </c>
      <c r="T20" s="51" t="str">
        <f t="shared" ref="T20:T21" si="14">IF(AND(R20="Preventivo",S20="Automático"),"50%",IF(AND(R20="Preventivo",S20="Manual"),"40%",IF(AND(R20="Detectivo",S20="Automático"),"40%",IF(AND(R20="Detectivo",S20="Manual"),"30%",IF(AND(R20="Correctivo",S20="Automático"),"35%",IF(AND(R20="Correctivo",S20="Manual"),"25%",""))))))</f>
        <v>40%</v>
      </c>
      <c r="U20" s="50" t="s">
        <v>19</v>
      </c>
      <c r="V20" s="50" t="s">
        <v>22</v>
      </c>
      <c r="W20" s="50" t="s">
        <v>119</v>
      </c>
      <c r="X20" s="30">
        <f>IFERROR(IF(AND(Q19="Probabilidad",Q20="Probabilidad"),(Z19-(+Z19*T20)),IF(Q20="Probabilidad",(I19-(+I19*T20)),IF(Q20="Impacto",Z19,""))),"")</f>
        <v>0.216</v>
      </c>
      <c r="Y20" s="52" t="str">
        <f t="shared" si="1"/>
        <v>Baja</v>
      </c>
      <c r="Z20" s="53">
        <f t="shared" ref="Z20:Z21" si="15">+X20</f>
        <v>0.216</v>
      </c>
      <c r="AA20" s="52" t="str">
        <f t="shared" ca="1" si="3"/>
        <v>Mayor</v>
      </c>
      <c r="AB20" s="53">
        <f ca="1">IFERROR(IF(AND(Q19="Impacto",Q20="Impacto"),(AB17-(+AB17*T20)),IF(Q20="Impacto",($M$19-(+$M$19*T20)),IF(Q20="Probabilidad",AB17,""))),"")</f>
        <v>0.8</v>
      </c>
      <c r="AC20" s="54" t="str">
        <f t="shared" ref="AC20:AC21" ca="1" si="16">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55" t="s">
        <v>136</v>
      </c>
      <c r="AE20" s="137" t="s">
        <v>252</v>
      </c>
      <c r="AF20" s="137" t="s">
        <v>246</v>
      </c>
      <c r="AG20" s="56">
        <v>46022</v>
      </c>
      <c r="AH20" s="150" t="s">
        <v>288</v>
      </c>
      <c r="AI20" s="137" t="s">
        <v>296</v>
      </c>
      <c r="AJ20" s="48" t="s">
        <v>41</v>
      </c>
      <c r="AK20" s="47"/>
      <c r="AL20" s="47"/>
      <c r="AM20" s="149" t="e">
        <f t="shared" si="5"/>
        <v>#DIV/0!</v>
      </c>
      <c r="AN20" s="47"/>
      <c r="AO20" s="47"/>
      <c r="AP20" s="47"/>
      <c r="AQ20" s="47"/>
      <c r="AR20" s="149" t="e">
        <f t="shared" si="6"/>
        <v>#DIV/0!</v>
      </c>
      <c r="AS20" s="47"/>
      <c r="AT20" s="47"/>
      <c r="AU20" s="8"/>
      <c r="AV20" s="8"/>
      <c r="AW20" s="8"/>
      <c r="AX20" s="8"/>
      <c r="AY20" s="8"/>
      <c r="AZ20" s="8"/>
      <c r="BA20" s="8"/>
      <c r="BB20" s="8"/>
      <c r="BC20" s="8"/>
      <c r="BD20" s="8"/>
      <c r="BE20" s="8"/>
      <c r="BF20" s="8"/>
      <c r="BG20" s="8"/>
      <c r="BH20" s="8"/>
      <c r="BI20" s="8"/>
      <c r="BJ20" s="8"/>
      <c r="BK20" s="8"/>
      <c r="BL20" s="8"/>
      <c r="BM20" s="8"/>
      <c r="BN20" s="8"/>
      <c r="BO20" s="8"/>
      <c r="BP20" s="8"/>
    </row>
    <row r="21" spans="1:68" ht="132" x14ac:dyDescent="0.3">
      <c r="A21" s="208"/>
      <c r="B21" s="202"/>
      <c r="C21" s="202"/>
      <c r="D21" s="202"/>
      <c r="E21" s="210"/>
      <c r="F21" s="202"/>
      <c r="G21" s="204"/>
      <c r="H21" s="206"/>
      <c r="I21" s="214"/>
      <c r="J21" s="216"/>
      <c r="K21" s="218">
        <f ca="1">IF(NOT(ISERROR(MATCH(J21,_xlfn.ANCHORARRAY(E27),0))),#REF!&amp;"Por favor no seleccionar los criterios de impacto",J21)</f>
        <v>0</v>
      </c>
      <c r="L21" s="206"/>
      <c r="M21" s="214"/>
      <c r="N21" s="212"/>
      <c r="O21" s="6">
        <v>3</v>
      </c>
      <c r="P21" s="137" t="s">
        <v>218</v>
      </c>
      <c r="Q21" s="49" t="str">
        <f t="shared" si="10"/>
        <v>Probabilidad</v>
      </c>
      <c r="R21" s="50" t="s">
        <v>15</v>
      </c>
      <c r="S21" s="50" t="s">
        <v>9</v>
      </c>
      <c r="T21" s="51" t="str">
        <f t="shared" si="14"/>
        <v>30%</v>
      </c>
      <c r="U21" s="50" t="s">
        <v>19</v>
      </c>
      <c r="V21" s="50" t="s">
        <v>22</v>
      </c>
      <c r="W21" s="50" t="s">
        <v>119</v>
      </c>
      <c r="X21" s="24">
        <f>IFERROR(IF(AND(Q20="Probabilidad",Q21="Probabilidad"),(Z20-(+Z20*T21)),IF(AND(Q20="Impacto",Q21="Probabilidad"),(Z19-(+Z19*T21)),IF(Q21="Impacto",Z20,""))),"")</f>
        <v>0.1512</v>
      </c>
      <c r="Y21" s="52" t="str">
        <f t="shared" si="1"/>
        <v>Muy Baja</v>
      </c>
      <c r="Z21" s="53">
        <f t="shared" si="15"/>
        <v>0.1512</v>
      </c>
      <c r="AA21" s="52" t="str">
        <f t="shared" ca="1" si="3"/>
        <v>Mayor</v>
      </c>
      <c r="AB21" s="53">
        <f ca="1">IFERROR(IF(AND(Q20="Impacto",Q21="Impacto"),(AB20-(+AB20*T21)),IF(AND(Q20="Probabilidad",Q21="Impacto"),(AB19-(+AB19*T21)),IF(Q21="Probabilidad",AB20,""))),"")</f>
        <v>0.8</v>
      </c>
      <c r="AC21" s="54" t="str">
        <f t="shared" ca="1" si="16"/>
        <v>Alto</v>
      </c>
      <c r="AD21" s="55" t="s">
        <v>136</v>
      </c>
      <c r="AE21" s="137" t="s">
        <v>254</v>
      </c>
      <c r="AF21" s="137" t="s">
        <v>253</v>
      </c>
      <c r="AG21" s="56">
        <v>46022</v>
      </c>
      <c r="AH21" s="150" t="s">
        <v>288</v>
      </c>
      <c r="AI21" s="137" t="s">
        <v>297</v>
      </c>
      <c r="AJ21" s="48" t="s">
        <v>41</v>
      </c>
      <c r="AK21" s="47"/>
      <c r="AL21" s="47"/>
      <c r="AM21" s="149" t="e">
        <f t="shared" si="5"/>
        <v>#DIV/0!</v>
      </c>
      <c r="AN21" s="47"/>
      <c r="AO21" s="47"/>
      <c r="AP21" s="47"/>
      <c r="AQ21" s="47"/>
      <c r="AR21" s="149" t="e">
        <f t="shared" si="6"/>
        <v>#DIV/0!</v>
      </c>
      <c r="AS21" s="47"/>
      <c r="AT21" s="47"/>
      <c r="AU21" s="8"/>
      <c r="AV21" s="8"/>
      <c r="AW21" s="8"/>
      <c r="AX21" s="8"/>
      <c r="AY21" s="8"/>
      <c r="AZ21" s="8"/>
      <c r="BA21" s="8"/>
      <c r="BB21" s="8"/>
      <c r="BC21" s="8"/>
      <c r="BD21" s="8"/>
      <c r="BE21" s="8"/>
      <c r="BF21" s="8"/>
      <c r="BG21" s="8"/>
      <c r="BH21" s="8"/>
      <c r="BI21" s="8"/>
      <c r="BJ21" s="8"/>
      <c r="BK21" s="8"/>
      <c r="BL21" s="8"/>
      <c r="BM21" s="8"/>
      <c r="BN21" s="8"/>
      <c r="BO21" s="8"/>
      <c r="BP21" s="8"/>
    </row>
    <row r="22" spans="1:68" ht="209.25" customHeight="1" x14ac:dyDescent="0.3">
      <c r="A22" s="207">
        <v>4</v>
      </c>
      <c r="B22" s="201" t="s">
        <v>132</v>
      </c>
      <c r="C22" s="201" t="s">
        <v>219</v>
      </c>
      <c r="D22" s="201" t="s">
        <v>231</v>
      </c>
      <c r="E22" s="209" t="s">
        <v>230</v>
      </c>
      <c r="F22" s="201" t="s">
        <v>123</v>
      </c>
      <c r="G22" s="203">
        <f>(4*12)+12+(4*12)</f>
        <v>108</v>
      </c>
      <c r="H22" s="205" t="str">
        <f>IF(G22&lt;=0,"",IF(G22&lt;=2,"Muy Baja",IF(G22&lt;=24,"Baja",IF(G22&lt;=500,"Media",IF(G22&lt;=5000,"Alta","Muy Alta")))))</f>
        <v>Media</v>
      </c>
      <c r="I22" s="213">
        <f>IF(H22="","",IF(H22="Muy Baja",0.2,IF(H22="Baja",0.4,IF(H22="Media",0.6,IF(H22="Alta",0.8,IF(H22="Muy Alta",1,))))))</f>
        <v>0.6</v>
      </c>
      <c r="J22" s="215" t="s">
        <v>149</v>
      </c>
      <c r="K22" s="217" t="str">
        <f ca="1">IF(NOT(ISERROR(MATCH(J22,'Tabla Impacto'!$B$221:$B$223,0))),'Tabla Impacto'!$F$223&amp;"Por favor no seleccionar los criterios de impacto(Afectación Económica o presupuestal y Pérdida Reputacional)",J22)</f>
        <v xml:space="preserve">     Entre 100 y 500 SMLMV </v>
      </c>
      <c r="L22" s="205" t="str">
        <f ca="1">IF(OR(K22='Tabla Impacto'!$C$11,K22='Tabla Impacto'!$D$11),"Leve",IF(OR(K22='Tabla Impacto'!$C$12,K22='Tabla Impacto'!$D$12),"Menor",IF(OR(K22='Tabla Impacto'!$C$13,K22='Tabla Impacto'!$D$13),"Moderado",IF(OR(K22='Tabla Impacto'!$C$14,K22='Tabla Impacto'!$D$14),"Mayor",IF(OR(K22='Tabla Impacto'!$C$15,K22='Tabla Impacto'!$D$15),"Catastrófico","")))))</f>
        <v>Mayor</v>
      </c>
      <c r="M22" s="213">
        <f ca="1">IF(L22="","",IF(L22="Leve",0.2,IF(L22="Menor",0.4,IF(L22="Moderado",0.6,IF(L22="Mayor",0.8,IF(L22="Catastrófico",1,))))))</f>
        <v>0.8</v>
      </c>
      <c r="N22" s="211"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40">
        <v>1</v>
      </c>
      <c r="P22" s="137" t="s">
        <v>239</v>
      </c>
      <c r="Q22" s="141" t="str">
        <f t="shared" si="10"/>
        <v>Probabilidad</v>
      </c>
      <c r="R22" s="50" t="s">
        <v>14</v>
      </c>
      <c r="S22" s="50" t="s">
        <v>9</v>
      </c>
      <c r="T22" s="51" t="str">
        <f>IF(AND(R22="Preventivo",S22="Automático"),"50%",IF(AND(R22="Preventivo",S22="Manual"),"40%",IF(AND(R22="Detectivo",S22="Automático"),"40%",IF(AND(R22="Detectivo",S22="Manual"),"30%",IF(AND(R22="Correctivo",S22="Automático"),"35%",IF(AND(R22="Correctivo",S22="Manual"),"25%",""))))))</f>
        <v>40%</v>
      </c>
      <c r="U22" s="50" t="s">
        <v>19</v>
      </c>
      <c r="V22" s="50" t="s">
        <v>22</v>
      </c>
      <c r="W22" s="50" t="s">
        <v>119</v>
      </c>
      <c r="X22" s="24">
        <f>IFERROR(IF(Q22="Probabilidad",(I22-(+I22*T22)),IF(Q22="Impacto",I22,"")),"")</f>
        <v>0.36</v>
      </c>
      <c r="Y22" s="52" t="str">
        <f>IFERROR(IF(X22="","",IF(X22&lt;=0.2,"Muy Baja",IF(X22&lt;=0.4,"Baja",IF(X22&lt;=0.6,"Media",IF(X22&lt;=0.8,"Alta","Muy Alta"))))),"")</f>
        <v>Baja</v>
      </c>
      <c r="Z22" s="53">
        <f>+X22</f>
        <v>0.36</v>
      </c>
      <c r="AA22" s="52" t="str">
        <f ca="1">IFERROR(IF(AB22="","",IF(AB22&lt;=0.2,"Leve",IF(AB22&lt;=0.4,"Menor",IF(AB22&lt;=0.6,"Moderado",IF(AB22&lt;=0.8,"Mayor","Catastrófico"))))),"")</f>
        <v>Mayor</v>
      </c>
      <c r="AB22" s="53">
        <f ca="1">IFERROR(IF(Q22="Impacto",(M22-(+M22*T22)),IF(Q22="Probabilidad",M22,"")),"")</f>
        <v>0.8</v>
      </c>
      <c r="AC22" s="54"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55" t="s">
        <v>136</v>
      </c>
      <c r="AE22" s="137" t="s">
        <v>232</v>
      </c>
      <c r="AF22" s="137" t="s">
        <v>233</v>
      </c>
      <c r="AG22" s="56">
        <v>46022</v>
      </c>
      <c r="AH22" s="150" t="s">
        <v>288</v>
      </c>
      <c r="AI22" s="137" t="s">
        <v>298</v>
      </c>
      <c r="AJ22" s="48" t="s">
        <v>41</v>
      </c>
      <c r="AK22" s="47"/>
      <c r="AL22" s="47"/>
      <c r="AM22" s="149" t="e">
        <f t="shared" si="5"/>
        <v>#DIV/0!</v>
      </c>
      <c r="AN22" s="47"/>
      <c r="AO22" s="47"/>
      <c r="AP22" s="47"/>
      <c r="AQ22" s="47"/>
      <c r="AR22" s="149" t="e">
        <f t="shared" si="6"/>
        <v>#DIV/0!</v>
      </c>
      <c r="AS22" s="47"/>
      <c r="AT22" s="47"/>
      <c r="AU22" s="8"/>
      <c r="AV22" s="8"/>
      <c r="AW22" s="8"/>
      <c r="AX22" s="8"/>
      <c r="AY22" s="8"/>
      <c r="AZ22" s="8"/>
      <c r="BA22" s="8"/>
      <c r="BB22" s="8"/>
      <c r="BC22" s="8"/>
      <c r="BD22" s="8"/>
      <c r="BE22" s="8"/>
      <c r="BF22" s="8"/>
      <c r="BG22" s="8"/>
      <c r="BH22" s="8"/>
      <c r="BI22" s="8"/>
      <c r="BJ22" s="8"/>
      <c r="BK22" s="8"/>
      <c r="BL22" s="8"/>
      <c r="BM22" s="8"/>
      <c r="BN22" s="8"/>
      <c r="BO22" s="8"/>
      <c r="BP22" s="8"/>
    </row>
    <row r="23" spans="1:68" ht="196.5" customHeight="1" x14ac:dyDescent="0.3">
      <c r="A23" s="208"/>
      <c r="B23" s="202"/>
      <c r="C23" s="202"/>
      <c r="D23" s="202"/>
      <c r="E23" s="210"/>
      <c r="F23" s="202"/>
      <c r="G23" s="204"/>
      <c r="H23" s="206"/>
      <c r="I23" s="214"/>
      <c r="J23" s="216"/>
      <c r="K23" s="218">
        <f ca="1">IF(NOT(ISERROR(MATCH(J23,_xlfn.ANCHORARRAY(E28),0))),I30&amp;"Por favor no seleccionar los criterios de impacto",J23)</f>
        <v>0</v>
      </c>
      <c r="L23" s="206"/>
      <c r="M23" s="214"/>
      <c r="N23" s="212"/>
      <c r="O23" s="140">
        <v>2</v>
      </c>
      <c r="P23" s="137" t="s">
        <v>240</v>
      </c>
      <c r="Q23" s="141" t="str">
        <f t="shared" si="10"/>
        <v>Probabilidad</v>
      </c>
      <c r="R23" s="50" t="s">
        <v>14</v>
      </c>
      <c r="S23" s="50" t="s">
        <v>9</v>
      </c>
      <c r="T23" s="51" t="str">
        <f t="shared" ref="T23:T25" si="17">IF(AND(R23="Preventivo",S23="Automático"),"50%",IF(AND(R23="Preventivo",S23="Manual"),"40%",IF(AND(R23="Detectivo",S23="Automático"),"40%",IF(AND(R23="Detectivo",S23="Manual"),"30%",IF(AND(R23="Correctivo",S23="Automático"),"35%",IF(AND(R23="Correctivo",S23="Manual"),"25%",""))))))</f>
        <v>40%</v>
      </c>
      <c r="U23" s="50" t="s">
        <v>19</v>
      </c>
      <c r="V23" s="50" t="s">
        <v>22</v>
      </c>
      <c r="W23" s="50" t="s">
        <v>119</v>
      </c>
      <c r="X23" s="24">
        <f>IFERROR(IF(AND(Q22="Probabilidad",Q23="Probabilidad"),(Z22-(+Z22*T23)),IF(Q23="Probabilidad",(I22-(+I22*T23)),IF(Q23="Impacto",Z22,""))),"")</f>
        <v>0.216</v>
      </c>
      <c r="Y23" s="52" t="str">
        <f t="shared" si="1"/>
        <v>Baja</v>
      </c>
      <c r="Z23" s="53">
        <f t="shared" ref="Z23:Z25" si="18">+X23</f>
        <v>0.216</v>
      </c>
      <c r="AA23" s="52" t="str">
        <f t="shared" ca="1" si="3"/>
        <v>Mayor</v>
      </c>
      <c r="AB23" s="53">
        <f ca="1">IFERROR(IF(AND(Q22="Impacto",Q23="Impacto"),(AB19-(+AB19*T23)),IF(Q23="Impacto",($M$22-(+$M$22*T23)),IF(Q23="Probabilidad",AB19,""))),"")</f>
        <v>0.8</v>
      </c>
      <c r="AC23" s="54" t="str">
        <f t="shared" ref="AC23:AC24" ca="1" si="19">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Alto</v>
      </c>
      <c r="AD23" s="55" t="s">
        <v>136</v>
      </c>
      <c r="AE23" s="137" t="s">
        <v>323</v>
      </c>
      <c r="AF23" s="137" t="s">
        <v>234</v>
      </c>
      <c r="AG23" s="56">
        <v>46022</v>
      </c>
      <c r="AH23" s="150" t="s">
        <v>288</v>
      </c>
      <c r="AI23" s="137" t="s">
        <v>299</v>
      </c>
      <c r="AJ23" s="48" t="s">
        <v>41</v>
      </c>
      <c r="AK23" s="47"/>
      <c r="AL23" s="47"/>
      <c r="AM23" s="149" t="e">
        <f t="shared" si="5"/>
        <v>#DIV/0!</v>
      </c>
      <c r="AN23" s="47"/>
      <c r="AO23" s="47"/>
      <c r="AP23" s="47"/>
      <c r="AQ23" s="47"/>
      <c r="AR23" s="149" t="e">
        <f t="shared" si="6"/>
        <v>#DIV/0!</v>
      </c>
      <c r="AS23" s="47"/>
      <c r="AT23" s="47"/>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8"/>
      <c r="B24" s="202"/>
      <c r="C24" s="202"/>
      <c r="D24" s="202"/>
      <c r="E24" s="210"/>
      <c r="F24" s="202"/>
      <c r="G24" s="204"/>
      <c r="H24" s="206"/>
      <c r="I24" s="214"/>
      <c r="J24" s="216"/>
      <c r="K24" s="218">
        <f ca="1">IF(NOT(ISERROR(MATCH(J24,_xlfn.ANCHORARRAY(E29),0))),#REF!&amp;"Por favor no seleccionar los criterios de impacto",J24)</f>
        <v>0</v>
      </c>
      <c r="L24" s="206"/>
      <c r="M24" s="214"/>
      <c r="N24" s="212"/>
      <c r="O24" s="6">
        <v>3</v>
      </c>
      <c r="P24" s="137" t="s">
        <v>286</v>
      </c>
      <c r="Q24" s="49" t="str">
        <f t="shared" si="10"/>
        <v>Probabilidad</v>
      </c>
      <c r="R24" s="50" t="s">
        <v>14</v>
      </c>
      <c r="S24" s="50" t="s">
        <v>9</v>
      </c>
      <c r="T24" s="51" t="str">
        <f t="shared" si="17"/>
        <v>40%</v>
      </c>
      <c r="U24" s="50" t="s">
        <v>19</v>
      </c>
      <c r="V24" s="50" t="s">
        <v>22</v>
      </c>
      <c r="W24" s="50" t="s">
        <v>119</v>
      </c>
      <c r="X24" s="24">
        <f>IFERROR(IF(AND(Q23="Probabilidad",Q24="Probabilidad"),(Z23-(+Z23*T24)),IF(AND(Q23="Impacto",Q24="Probabilidad"),(Z22-(+Z22*T24)),IF(Q24="Impacto",Z23,""))),"")</f>
        <v>0.12959999999999999</v>
      </c>
      <c r="Y24" s="52" t="str">
        <f t="shared" si="1"/>
        <v>Muy Baja</v>
      </c>
      <c r="Z24" s="53">
        <f t="shared" si="18"/>
        <v>0.12959999999999999</v>
      </c>
      <c r="AA24" s="52" t="str">
        <f t="shared" ca="1" si="3"/>
        <v>Mayor</v>
      </c>
      <c r="AB24" s="53">
        <f ca="1">IFERROR(IF(AND(Q23="Impacto",Q24="Impacto"),(AB23-(+AB23*T24)),IF(AND(Q23="Probabilidad",Q24="Impacto"),(AB22-(+AB22*T24)),IF(Q24="Probabilidad",AB23,""))),"")</f>
        <v>0.8</v>
      </c>
      <c r="AC24" s="54" t="str">
        <f t="shared" ca="1" si="19"/>
        <v>Alto</v>
      </c>
      <c r="AD24" s="55" t="s">
        <v>136</v>
      </c>
      <c r="AE24" s="137" t="s">
        <v>324</v>
      </c>
      <c r="AF24" s="137" t="s">
        <v>234</v>
      </c>
      <c r="AG24" s="56">
        <v>46022</v>
      </c>
      <c r="AH24" s="150" t="s">
        <v>288</v>
      </c>
      <c r="AI24" s="137" t="s">
        <v>300</v>
      </c>
      <c r="AJ24" s="48" t="s">
        <v>41</v>
      </c>
      <c r="AK24" s="47"/>
      <c r="AL24" s="47"/>
      <c r="AM24" s="149" t="e">
        <f t="shared" si="5"/>
        <v>#DIV/0!</v>
      </c>
      <c r="AN24" s="47"/>
      <c r="AO24" s="47"/>
      <c r="AP24" s="47"/>
      <c r="AQ24" s="47"/>
      <c r="AR24" s="149" t="e">
        <f t="shared" si="6"/>
        <v>#DIV/0!</v>
      </c>
      <c r="AS24" s="47"/>
      <c r="AT24" s="47"/>
      <c r="AU24" s="8"/>
      <c r="AV24" s="8"/>
      <c r="AW24" s="8"/>
      <c r="AX24" s="8"/>
      <c r="AY24" s="8"/>
      <c r="AZ24" s="8"/>
      <c r="BA24" s="8"/>
      <c r="BB24" s="8"/>
      <c r="BC24" s="8"/>
      <c r="BD24" s="8"/>
      <c r="BE24" s="8"/>
      <c r="BF24" s="8"/>
      <c r="BG24" s="8"/>
      <c r="BH24" s="8"/>
      <c r="BI24" s="8"/>
      <c r="BJ24" s="8"/>
      <c r="BK24" s="8"/>
      <c r="BL24" s="8"/>
      <c r="BM24" s="8"/>
      <c r="BN24" s="8"/>
      <c r="BO24" s="8"/>
      <c r="BP24" s="8"/>
    </row>
    <row r="25" spans="1:68" ht="82.5" x14ac:dyDescent="0.3">
      <c r="A25" s="208"/>
      <c r="B25" s="202"/>
      <c r="C25" s="202"/>
      <c r="D25" s="202"/>
      <c r="E25" s="210"/>
      <c r="F25" s="202"/>
      <c r="G25" s="204"/>
      <c r="H25" s="206"/>
      <c r="I25" s="214"/>
      <c r="J25" s="216"/>
      <c r="K25" s="218">
        <f ca="1">IF(NOT(ISERROR(MATCH(J25,_xlfn.ANCHORARRAY(E30),0))),#REF!&amp;"Por favor no seleccionar los criterios de impacto",J25)</f>
        <v>0</v>
      </c>
      <c r="L25" s="206"/>
      <c r="M25" s="214"/>
      <c r="N25" s="212"/>
      <c r="O25" s="6">
        <v>4</v>
      </c>
      <c r="P25" s="137" t="s">
        <v>328</v>
      </c>
      <c r="Q25" s="49" t="str">
        <f t="shared" ref="Q25" si="20">IF(OR(R25="Preventivo",R25="Detectivo"),"Probabilidad",IF(R25="Correctivo","Impacto",""))</f>
        <v>Probabilidad</v>
      </c>
      <c r="R25" s="50" t="s">
        <v>14</v>
      </c>
      <c r="S25" s="50" t="s">
        <v>10</v>
      </c>
      <c r="T25" s="51" t="str">
        <f t="shared" si="17"/>
        <v>50%</v>
      </c>
      <c r="U25" s="50" t="s">
        <v>19</v>
      </c>
      <c r="V25" s="50" t="s">
        <v>22</v>
      </c>
      <c r="W25" s="50" t="s">
        <v>119</v>
      </c>
      <c r="X25" s="24">
        <f t="shared" ref="X25" si="21">IFERROR(IF(AND(Q24="Probabilidad",Q25="Probabilidad"),(Z24-(+Z24*T25)),IF(AND(Q24="Impacto",Q25="Probabilidad"),(Z23-(+Z23*T25)),IF(Q25="Impacto",Z24,""))),"")</f>
        <v>6.4799999999999996E-2</v>
      </c>
      <c r="Y25" s="52" t="str">
        <f t="shared" si="1"/>
        <v>Muy Baja</v>
      </c>
      <c r="Z25" s="53">
        <f t="shared" si="18"/>
        <v>6.4799999999999996E-2</v>
      </c>
      <c r="AA25" s="52" t="str">
        <f t="shared" ca="1" si="3"/>
        <v>Mayor</v>
      </c>
      <c r="AB25" s="53">
        <f t="shared" ref="AB25" ca="1" si="22">IFERROR(IF(AND(Q24="Impacto",Q25="Impacto"),(AB24-(+AB24*T25)),IF(AND(Q24="Probabilidad",Q25="Impacto"),(AB23-(+AB23*T25)),IF(Q25="Probabilidad",AB24,""))),"")</f>
        <v>0.8</v>
      </c>
      <c r="AC25" s="54" t="str">
        <f ca="1">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55" t="s">
        <v>136</v>
      </c>
      <c r="AE25" s="137" t="s">
        <v>325</v>
      </c>
      <c r="AF25" s="137" t="s">
        <v>241</v>
      </c>
      <c r="AG25" s="56">
        <v>46022</v>
      </c>
      <c r="AH25" s="150" t="s">
        <v>288</v>
      </c>
      <c r="AI25" s="137" t="s">
        <v>301</v>
      </c>
      <c r="AJ25" s="48" t="s">
        <v>41</v>
      </c>
      <c r="AK25" s="47"/>
      <c r="AL25" s="47"/>
      <c r="AM25" s="149" t="e">
        <f t="shared" si="5"/>
        <v>#DIV/0!</v>
      </c>
      <c r="AN25" s="47"/>
      <c r="AO25" s="47"/>
      <c r="AP25" s="47"/>
      <c r="AQ25" s="47"/>
      <c r="AR25" s="149" t="e">
        <f t="shared" si="6"/>
        <v>#DIV/0!</v>
      </c>
      <c r="AS25" s="47"/>
      <c r="AT25" s="47"/>
      <c r="AU25" s="8"/>
      <c r="AV25" s="8"/>
      <c r="AW25" s="8"/>
      <c r="AX25" s="8"/>
      <c r="AY25" s="8"/>
      <c r="AZ25" s="8"/>
      <c r="BA25" s="8"/>
      <c r="BB25" s="8"/>
      <c r="BC25" s="8"/>
      <c r="BD25" s="8"/>
      <c r="BE25" s="8"/>
      <c r="BF25" s="8"/>
      <c r="BG25" s="8"/>
      <c r="BH25" s="8"/>
      <c r="BI25" s="8"/>
      <c r="BJ25" s="8"/>
      <c r="BK25" s="8"/>
      <c r="BL25" s="8"/>
      <c r="BM25" s="8"/>
      <c r="BN25" s="8"/>
      <c r="BO25" s="8"/>
      <c r="BP25" s="8"/>
    </row>
    <row r="26" spans="1:68" ht="183" customHeight="1" x14ac:dyDescent="0.3">
      <c r="A26" s="207">
        <v>5</v>
      </c>
      <c r="B26" s="201" t="s">
        <v>133</v>
      </c>
      <c r="C26" s="201" t="s">
        <v>220</v>
      </c>
      <c r="D26" s="201" t="s">
        <v>255</v>
      </c>
      <c r="E26" s="209" t="s">
        <v>337</v>
      </c>
      <c r="F26" s="201" t="s">
        <v>128</v>
      </c>
      <c r="G26" s="203">
        <v>365</v>
      </c>
      <c r="H26" s="205" t="str">
        <f>IF(G26&lt;=0,"",IF(G26&lt;=2,"Muy Baja",IF(G26&lt;=24,"Baja",IF(G26&lt;=500,"Media",IF(G26&lt;=5000,"Alta","Muy Alta")))))</f>
        <v>Media</v>
      </c>
      <c r="I26" s="213">
        <f>IF(H26="","",IF(H26="Muy Baja",0.2,IF(H26="Baja",0.4,IF(H26="Media",0.6,IF(H26="Alta",0.8,IF(H26="Muy Alta",1,))))))</f>
        <v>0.6</v>
      </c>
      <c r="J26" s="215" t="s">
        <v>150</v>
      </c>
      <c r="K26" s="217" t="str">
        <f ca="1">IF(NOT(ISERROR(MATCH(J26,'Tabla Impacto'!$B$221:$B$223,0))),'Tabla Impacto'!$F$223&amp;"Por favor no seleccionar los criterios de impacto(Afectación Económica o presupuestal y Pérdida Reputacional)",J26)</f>
        <v xml:space="preserve">     Mayor a 500 SMLMV </v>
      </c>
      <c r="L26" s="205" t="str">
        <f ca="1">IF(OR(K26='Tabla Impacto'!$C$11,K26='Tabla Impacto'!$D$11),"Leve",IF(OR(K26='Tabla Impacto'!$C$12,K26='Tabla Impacto'!$D$12),"Menor",IF(OR(K26='Tabla Impacto'!$C$13,K26='Tabla Impacto'!$D$13),"Moderado",IF(OR(K26='Tabla Impacto'!$C$14,K26='Tabla Impacto'!$D$14),"Mayor",IF(OR(K26='Tabla Impacto'!$C$15,K26='Tabla Impacto'!$D$15),"Catastrófico","")))))</f>
        <v>Catastrófico</v>
      </c>
      <c r="M26" s="213">
        <f ca="1">IF(L26="","",IF(L26="Leve",0.2,IF(L26="Menor",0.4,IF(L26="Moderado",0.6,IF(L26="Mayor",0.8,IF(L26="Catastrófico",1,))))))</f>
        <v>1</v>
      </c>
      <c r="N26" s="211" t="str">
        <f ca="1">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Extremo</v>
      </c>
      <c r="O26" s="6">
        <v>1</v>
      </c>
      <c r="P26" s="137" t="s">
        <v>256</v>
      </c>
      <c r="Q26" s="49" t="str">
        <f t="shared" ref="Q26:Q37" si="23">IF(OR(R26="Preventivo",R26="Detectivo"),"Probabilidad",IF(R26="Correctivo","Impacto",""))</f>
        <v>Probabilidad</v>
      </c>
      <c r="R26" s="50" t="s">
        <v>15</v>
      </c>
      <c r="S26" s="50" t="s">
        <v>9</v>
      </c>
      <c r="T26" s="51" t="str">
        <f>IF(AND(R26="Preventivo",S26="Automático"),"50%",IF(AND(R26="Preventivo",S26="Manual"),"40%",IF(AND(R26="Detectivo",S26="Automático"),"40%",IF(AND(R26="Detectivo",S26="Manual"),"30%",IF(AND(R26="Correctivo",S26="Automático"),"35%",IF(AND(R26="Correctivo",S26="Manual"),"25%",""))))))</f>
        <v>30%</v>
      </c>
      <c r="U26" s="50" t="s">
        <v>19</v>
      </c>
      <c r="V26" s="50" t="s">
        <v>22</v>
      </c>
      <c r="W26" s="50" t="s">
        <v>119</v>
      </c>
      <c r="X26" s="24">
        <f>IFERROR(IF(Q26="Probabilidad",(I26-(+I26*T26)),IF(Q26="Impacto",I26,"")),"")</f>
        <v>0.42</v>
      </c>
      <c r="Y26" s="52" t="str">
        <f>IFERROR(IF(X26="","",IF(X26&lt;=0.2,"Muy Baja",IF(X26&lt;=0.4,"Baja",IF(X26&lt;=0.6,"Media",IF(X26&lt;=0.8,"Alta","Muy Alta"))))),"")</f>
        <v>Media</v>
      </c>
      <c r="Z26" s="53">
        <f>+X26</f>
        <v>0.42</v>
      </c>
      <c r="AA26" s="52" t="str">
        <f ca="1">IFERROR(IF(AB26="","",IF(AB26&lt;=0.2,"Leve",IF(AB26&lt;=0.4,"Menor",IF(AB26&lt;=0.6,"Moderado",IF(AB26&lt;=0.8,"Mayor","Catastrófico"))))),"")</f>
        <v>Catastrófico</v>
      </c>
      <c r="AB26" s="53">
        <f ca="1">IFERROR(IF(Q26="Impacto",(M26-(+M26*T26)),IF(Q26="Probabilidad",M26,"")),"")</f>
        <v>1</v>
      </c>
      <c r="AC26" s="54" t="str">
        <f ca="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Extremo</v>
      </c>
      <c r="AD26" s="55" t="s">
        <v>136</v>
      </c>
      <c r="AE26" s="137" t="s">
        <v>326</v>
      </c>
      <c r="AF26" s="137" t="s">
        <v>257</v>
      </c>
      <c r="AG26" s="56">
        <v>46022</v>
      </c>
      <c r="AH26" s="150" t="s">
        <v>288</v>
      </c>
      <c r="AI26" s="137" t="s">
        <v>302</v>
      </c>
      <c r="AJ26" s="48" t="s">
        <v>41</v>
      </c>
      <c r="AK26" s="47"/>
      <c r="AL26" s="47"/>
      <c r="AM26" s="149" t="e">
        <f t="shared" si="5"/>
        <v>#DIV/0!</v>
      </c>
      <c r="AN26" s="47"/>
      <c r="AO26" s="47"/>
      <c r="AP26" s="47"/>
      <c r="AQ26" s="47"/>
      <c r="AR26" s="149" t="e">
        <f t="shared" si="6"/>
        <v>#DIV/0!</v>
      </c>
      <c r="AS26" s="47"/>
      <c r="AT26" s="47"/>
      <c r="AU26" s="8"/>
      <c r="AV26" s="8"/>
      <c r="AW26" s="8"/>
      <c r="AX26" s="8"/>
      <c r="AY26" s="8"/>
      <c r="AZ26" s="8"/>
      <c r="BA26" s="8"/>
      <c r="BB26" s="8"/>
      <c r="BC26" s="8"/>
      <c r="BD26" s="8"/>
      <c r="BE26" s="8"/>
      <c r="BF26" s="8"/>
      <c r="BG26" s="8"/>
      <c r="BH26" s="8"/>
      <c r="BI26" s="8"/>
      <c r="BJ26" s="8"/>
      <c r="BK26" s="8"/>
      <c r="BL26" s="8"/>
      <c r="BM26" s="8"/>
      <c r="BN26" s="8"/>
      <c r="BO26" s="8"/>
      <c r="BP26" s="8"/>
    </row>
    <row r="27" spans="1:68" ht="165" x14ac:dyDescent="0.3">
      <c r="A27" s="208"/>
      <c r="B27" s="202"/>
      <c r="C27" s="202"/>
      <c r="D27" s="202"/>
      <c r="E27" s="210"/>
      <c r="F27" s="202"/>
      <c r="G27" s="204"/>
      <c r="H27" s="206"/>
      <c r="I27" s="214"/>
      <c r="J27" s="216"/>
      <c r="K27" s="218">
        <f ca="1">IF(NOT(ISERROR(MATCH(J27,_xlfn.ANCHORARRAY(#REF!),0))),#REF!&amp;"Por favor no seleccionar los criterios de impacto",J27)</f>
        <v>0</v>
      </c>
      <c r="L27" s="206"/>
      <c r="M27" s="214"/>
      <c r="N27" s="212"/>
      <c r="O27" s="6">
        <v>2</v>
      </c>
      <c r="P27" s="137" t="s">
        <v>258</v>
      </c>
      <c r="Q27" s="49" t="str">
        <f t="shared" si="23"/>
        <v>Probabilidad</v>
      </c>
      <c r="R27" s="50" t="s">
        <v>15</v>
      </c>
      <c r="S27" s="50" t="s">
        <v>9</v>
      </c>
      <c r="T27" s="51" t="str">
        <f t="shared" ref="T27" si="24">IF(AND(R27="Preventivo",S27="Automático"),"50%",IF(AND(R27="Preventivo",S27="Manual"),"40%",IF(AND(R27="Detectivo",S27="Automático"),"40%",IF(AND(R27="Detectivo",S27="Manual"),"30%",IF(AND(R27="Correctivo",S27="Automático"),"35%",IF(AND(R27="Correctivo",S27="Manual"),"25%",""))))))</f>
        <v>30%</v>
      </c>
      <c r="U27" s="50" t="s">
        <v>19</v>
      </c>
      <c r="V27" s="50" t="s">
        <v>22</v>
      </c>
      <c r="W27" s="50" t="s">
        <v>119</v>
      </c>
      <c r="X27" s="24">
        <f>IFERROR(IF(AND(Q26="Probabilidad",Q27="Probabilidad"),(Z26-(+Z26*T27)),IF(Q27="Probabilidad",(I26-(+I26*T27)),IF(Q27="Impacto",Z26,""))),"")</f>
        <v>0.29399999999999998</v>
      </c>
      <c r="Y27" s="52" t="str">
        <f t="shared" si="1"/>
        <v>Baja</v>
      </c>
      <c r="Z27" s="53">
        <f t="shared" ref="Z27" si="25">+X27</f>
        <v>0.29399999999999998</v>
      </c>
      <c r="AA27" s="52" t="str">
        <f t="shared" ca="1" si="3"/>
        <v>Mayor</v>
      </c>
      <c r="AB27" s="53">
        <f ca="1">IFERROR(IF(AND(Q26="Impacto",Q27="Impacto"),(AB22-(+AB22*T27)),IF(Q27="Impacto",($M$26-(+$M$26*T27)),IF(Q27="Probabilidad",AB22,""))),"")</f>
        <v>0.8</v>
      </c>
      <c r="AC27" s="54" t="str">
        <f t="shared" ref="AC27" ca="1" si="26">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Alto</v>
      </c>
      <c r="AD27" s="55" t="s">
        <v>136</v>
      </c>
      <c r="AE27" s="137" t="s">
        <v>259</v>
      </c>
      <c r="AF27" s="137" t="s">
        <v>257</v>
      </c>
      <c r="AG27" s="56">
        <v>46022</v>
      </c>
      <c r="AH27" s="150" t="s">
        <v>288</v>
      </c>
      <c r="AI27" s="137" t="s">
        <v>303</v>
      </c>
      <c r="AJ27" s="48" t="s">
        <v>41</v>
      </c>
      <c r="AK27" s="47"/>
      <c r="AL27" s="47"/>
      <c r="AM27" s="149" t="e">
        <f t="shared" si="5"/>
        <v>#DIV/0!</v>
      </c>
      <c r="AN27" s="47"/>
      <c r="AO27" s="47"/>
      <c r="AP27" s="47"/>
      <c r="AQ27" s="47"/>
      <c r="AR27" s="149" t="e">
        <f t="shared" si="6"/>
        <v>#DIV/0!</v>
      </c>
      <c r="AS27" s="47"/>
      <c r="AT27" s="47"/>
      <c r="AU27" s="8"/>
      <c r="AV27" s="8"/>
      <c r="AW27" s="8"/>
      <c r="AX27" s="8"/>
      <c r="AY27" s="8"/>
      <c r="AZ27" s="8"/>
      <c r="BA27" s="8"/>
      <c r="BB27" s="8"/>
      <c r="BC27" s="8"/>
      <c r="BD27" s="8"/>
      <c r="BE27" s="8"/>
      <c r="BF27" s="8"/>
      <c r="BG27" s="8"/>
      <c r="BH27" s="8"/>
      <c r="BI27" s="8"/>
      <c r="BJ27" s="8"/>
      <c r="BK27" s="8"/>
      <c r="BL27" s="8"/>
      <c r="BM27" s="8"/>
      <c r="BN27" s="8"/>
      <c r="BO27" s="8"/>
      <c r="BP27" s="8"/>
    </row>
    <row r="28" spans="1:68" ht="151.5" hidden="1" customHeight="1" x14ac:dyDescent="0.3">
      <c r="A28" s="207"/>
      <c r="B28" s="201"/>
      <c r="C28" s="201"/>
      <c r="D28" s="201"/>
      <c r="E28" s="209"/>
      <c r="F28" s="201"/>
      <c r="G28" s="203"/>
      <c r="H28" s="205"/>
      <c r="I28" s="213"/>
      <c r="J28" s="215"/>
      <c r="K28" s="217"/>
      <c r="L28" s="205"/>
      <c r="M28" s="213"/>
      <c r="N28" s="211"/>
      <c r="O28" s="6"/>
      <c r="P28" s="137"/>
      <c r="Q28" s="49"/>
      <c r="R28" s="50"/>
      <c r="S28" s="50"/>
      <c r="T28" s="51"/>
      <c r="U28" s="50"/>
      <c r="V28" s="50"/>
      <c r="W28" s="50"/>
      <c r="X28" s="24"/>
      <c r="Y28" s="52"/>
      <c r="Z28" s="53"/>
      <c r="AA28" s="52"/>
      <c r="AB28" s="53"/>
      <c r="AC28" s="54"/>
      <c r="AD28" s="55"/>
      <c r="AE28" s="137"/>
      <c r="AF28" s="137"/>
      <c r="AG28" s="56"/>
      <c r="AH28" s="150"/>
      <c r="AI28" s="137"/>
      <c r="AJ28" s="48"/>
      <c r="AK28" s="47"/>
      <c r="AL28" s="47"/>
      <c r="AM28" s="149"/>
      <c r="AN28" s="47"/>
      <c r="AO28" s="47"/>
      <c r="AP28" s="47"/>
      <c r="AQ28" s="47"/>
      <c r="AR28" s="149"/>
      <c r="AS28" s="47"/>
      <c r="AT28" s="47"/>
      <c r="AU28" s="8"/>
      <c r="AV28" s="8"/>
      <c r="AW28" s="8"/>
      <c r="AX28" s="8"/>
      <c r="AY28" s="8"/>
      <c r="AZ28" s="8"/>
      <c r="BA28" s="8"/>
      <c r="BB28" s="8"/>
      <c r="BC28" s="8"/>
      <c r="BD28" s="8"/>
      <c r="BE28" s="8"/>
      <c r="BF28" s="8"/>
      <c r="BG28" s="8"/>
      <c r="BH28" s="8"/>
      <c r="BI28" s="8"/>
      <c r="BJ28" s="8"/>
      <c r="BK28" s="8"/>
      <c r="BL28" s="8"/>
      <c r="BM28" s="8"/>
      <c r="BN28" s="8"/>
      <c r="BO28" s="8"/>
      <c r="BP28" s="8"/>
    </row>
    <row r="29" spans="1:68" ht="162.75" hidden="1" customHeight="1" x14ac:dyDescent="0.3">
      <c r="A29" s="208"/>
      <c r="B29" s="202"/>
      <c r="C29" s="202"/>
      <c r="D29" s="202"/>
      <c r="E29" s="210"/>
      <c r="F29" s="202"/>
      <c r="G29" s="204"/>
      <c r="H29" s="206"/>
      <c r="I29" s="214"/>
      <c r="J29" s="216"/>
      <c r="K29" s="218"/>
      <c r="L29" s="206"/>
      <c r="M29" s="214"/>
      <c r="N29" s="212"/>
      <c r="O29" s="6"/>
      <c r="P29" s="137"/>
      <c r="Q29" s="49"/>
      <c r="R29" s="50"/>
      <c r="S29" s="50"/>
      <c r="T29" s="51"/>
      <c r="U29" s="50"/>
      <c r="V29" s="50"/>
      <c r="W29" s="50"/>
      <c r="X29" s="24"/>
      <c r="Y29" s="52"/>
      <c r="Z29" s="53"/>
      <c r="AA29" s="52"/>
      <c r="AB29" s="53"/>
      <c r="AC29" s="54"/>
      <c r="AD29" s="55"/>
      <c r="AE29" s="137"/>
      <c r="AF29" s="137"/>
      <c r="AG29" s="56"/>
      <c r="AH29" s="150"/>
      <c r="AI29" s="137"/>
      <c r="AJ29" s="48"/>
      <c r="AK29" s="47"/>
      <c r="AL29" s="47"/>
      <c r="AM29" s="149"/>
      <c r="AN29" s="47"/>
      <c r="AO29" s="47"/>
      <c r="AP29" s="47"/>
      <c r="AQ29" s="47"/>
      <c r="AR29" s="149"/>
      <c r="AS29" s="47"/>
      <c r="AT29" s="47"/>
      <c r="AU29" s="8"/>
      <c r="AV29" s="8"/>
      <c r="AW29" s="8"/>
      <c r="AX29" s="8"/>
      <c r="AY29" s="8"/>
      <c r="AZ29" s="8"/>
      <c r="BA29" s="8"/>
      <c r="BB29" s="8"/>
      <c r="BC29" s="8"/>
      <c r="BD29" s="8"/>
      <c r="BE29" s="8"/>
      <c r="BF29" s="8"/>
      <c r="BG29" s="8"/>
      <c r="BH29" s="8"/>
      <c r="BI29" s="8"/>
      <c r="BJ29" s="8"/>
      <c r="BK29" s="8"/>
      <c r="BL29" s="8"/>
      <c r="BM29" s="8"/>
      <c r="BN29" s="8"/>
      <c r="BO29" s="8"/>
      <c r="BP29" s="8"/>
    </row>
    <row r="30" spans="1:68" ht="147" hidden="1" customHeight="1" x14ac:dyDescent="0.3">
      <c r="A30" s="208"/>
      <c r="B30" s="202"/>
      <c r="C30" s="202"/>
      <c r="D30" s="202"/>
      <c r="E30" s="210"/>
      <c r="F30" s="202"/>
      <c r="G30" s="204"/>
      <c r="H30" s="206"/>
      <c r="I30" s="214"/>
      <c r="J30" s="216"/>
      <c r="K30" s="218"/>
      <c r="L30" s="206"/>
      <c r="M30" s="214"/>
      <c r="N30" s="212"/>
      <c r="O30" s="6"/>
      <c r="P30" s="137"/>
      <c r="Q30" s="49"/>
      <c r="R30" s="50"/>
      <c r="S30" s="50"/>
      <c r="T30" s="51"/>
      <c r="U30" s="50"/>
      <c r="V30" s="50"/>
      <c r="W30" s="50"/>
      <c r="X30" s="24"/>
      <c r="Y30" s="52"/>
      <c r="Z30" s="53"/>
      <c r="AA30" s="52"/>
      <c r="AB30" s="53"/>
      <c r="AC30" s="54"/>
      <c r="AD30" s="55"/>
      <c r="AE30" s="137"/>
      <c r="AF30" s="137"/>
      <c r="AG30" s="56"/>
      <c r="AH30" s="150"/>
      <c r="AI30" s="137"/>
      <c r="AJ30" s="48"/>
      <c r="AK30" s="47"/>
      <c r="AL30" s="47"/>
      <c r="AM30" s="149"/>
      <c r="AN30" s="47"/>
      <c r="AO30" s="47"/>
      <c r="AP30" s="47"/>
      <c r="AQ30" s="47"/>
      <c r="AR30" s="149"/>
      <c r="AS30" s="47"/>
      <c r="AT30" s="47"/>
      <c r="AU30" s="8"/>
      <c r="AV30" s="8"/>
      <c r="AW30" s="8"/>
      <c r="AX30" s="8"/>
      <c r="AY30" s="8"/>
      <c r="AZ30" s="8"/>
      <c r="BA30" s="8"/>
      <c r="BB30" s="8"/>
      <c r="BC30" s="8"/>
      <c r="BD30" s="8"/>
      <c r="BE30" s="8"/>
      <c r="BF30" s="8"/>
      <c r="BG30" s="8"/>
      <c r="BH30" s="8"/>
      <c r="BI30" s="8"/>
      <c r="BJ30" s="8"/>
      <c r="BK30" s="8"/>
      <c r="BL30" s="8"/>
      <c r="BM30" s="8"/>
      <c r="BN30" s="8"/>
      <c r="BO30" s="8"/>
      <c r="BP30" s="8"/>
    </row>
    <row r="31" spans="1:68" ht="275.25" customHeight="1" x14ac:dyDescent="0.3">
      <c r="A31" s="207">
        <v>7</v>
      </c>
      <c r="B31" s="201" t="s">
        <v>132</v>
      </c>
      <c r="C31" s="201" t="s">
        <v>221</v>
      </c>
      <c r="D31" s="201" t="s">
        <v>222</v>
      </c>
      <c r="E31" s="209" t="s">
        <v>223</v>
      </c>
      <c r="F31" s="201" t="s">
        <v>128</v>
      </c>
      <c r="G31" s="203">
        <f>12+1+4</f>
        <v>17</v>
      </c>
      <c r="H31" s="205" t="str">
        <f>IF(G31&lt;=0,"",IF(G31&lt;=2,"Muy Baja",IF(G31&lt;=24,"Baja",IF(G31&lt;=500,"Media",IF(G31&lt;=5000,"Alta","Muy Alta")))))</f>
        <v>Baja</v>
      </c>
      <c r="I31" s="213">
        <f>IF(H31="","",IF(H31="Muy Baja",0.2,IF(H31="Baja",0.4,IF(H31="Media",0.6,IF(H31="Alta",0.8,IF(H31="Muy Alta",1,))))))</f>
        <v>0.4</v>
      </c>
      <c r="J31" s="215" t="s">
        <v>154</v>
      </c>
      <c r="K31" s="217" t="str">
        <f ca="1">IF(NOT(ISERROR(MATCH(J31,'Tabla Impacto'!$B$221:$B$223,0))),'Tabla Impacto'!$F$223&amp;"Por favor no seleccionar los criterios de impacto(Afectación Económica o presupuestal y Pérdida Reputacional)",J31)</f>
        <v xml:space="preserve">     El riesgo afecta la imagen de de la entidad con efecto publicitario sostenido a nivel de sector administrativo, nivel departamental o municipal</v>
      </c>
      <c r="L31" s="205" t="str">
        <f ca="1">IF(OR(K31='Tabla Impacto'!$C$11,K31='Tabla Impacto'!$D$11),"Leve",IF(OR(K31='Tabla Impacto'!$C$12,K31='Tabla Impacto'!$D$12),"Menor",IF(OR(K31='Tabla Impacto'!$C$13,K31='Tabla Impacto'!$D$13),"Moderado",IF(OR(K31='Tabla Impacto'!$C$14,K31='Tabla Impacto'!$D$14),"Mayor",IF(OR(K31='Tabla Impacto'!$C$15,K31='Tabla Impacto'!$D$15),"Catastrófico","")))))</f>
        <v>Mayor</v>
      </c>
      <c r="M31" s="213">
        <f ca="1">IF(L31="","",IF(L31="Leve",0.2,IF(L31="Menor",0.4,IF(L31="Moderado",0.6,IF(L31="Mayor",0.8,IF(L31="Catastrófico",1,))))))</f>
        <v>0.8</v>
      </c>
      <c r="N31" s="211" t="str">
        <f ca="1">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Alto</v>
      </c>
      <c r="O31" s="6">
        <v>1</v>
      </c>
      <c r="P31" s="137" t="s">
        <v>262</v>
      </c>
      <c r="Q31" s="49" t="str">
        <f t="shared" si="23"/>
        <v>Probabilidad</v>
      </c>
      <c r="R31" s="50" t="s">
        <v>14</v>
      </c>
      <c r="S31" s="50" t="s">
        <v>9</v>
      </c>
      <c r="T31" s="51" t="str">
        <f>IF(AND(R31="Preventivo",S31="Automático"),"50%",IF(AND(R31="Preventivo",S31="Manual"),"40%",IF(AND(R31="Detectivo",S31="Automático"),"40%",IF(AND(R31="Detectivo",S31="Manual"),"30%",IF(AND(R31="Correctivo",S31="Automático"),"35%",IF(AND(R31="Correctivo",S31="Manual"),"25%",""))))))</f>
        <v>40%</v>
      </c>
      <c r="U31" s="50" t="s">
        <v>19</v>
      </c>
      <c r="V31" s="50" t="s">
        <v>22</v>
      </c>
      <c r="W31" s="50" t="s">
        <v>119</v>
      </c>
      <c r="X31" s="24">
        <f>IFERROR(IF(Q31="Probabilidad",(I31-(+I31*T31)),IF(Q31="Impacto",I31,"")),"")</f>
        <v>0.24</v>
      </c>
      <c r="Y31" s="52" t="str">
        <f>IFERROR(IF(X31="","",IF(X31&lt;=0.2,"Muy Baja",IF(X31&lt;=0.4,"Baja",IF(X31&lt;=0.6,"Media",IF(X31&lt;=0.8,"Alta","Muy Alta"))))),"")</f>
        <v>Baja</v>
      </c>
      <c r="Z31" s="53">
        <f>+X31</f>
        <v>0.24</v>
      </c>
      <c r="AA31" s="52" t="str">
        <f ca="1">IFERROR(IF(AB31="","",IF(AB31&lt;=0.2,"Leve",IF(AB31&lt;=0.4,"Menor",IF(AB31&lt;=0.6,"Moderado",IF(AB31&lt;=0.8,"Mayor","Catastrófico"))))),"")</f>
        <v>Mayor</v>
      </c>
      <c r="AB31" s="53">
        <f ca="1">IFERROR(IF(Q31="Impacto",(M31-(+M31*T31)),IF(Q31="Probabilidad",M31,"")),"")</f>
        <v>0.8</v>
      </c>
      <c r="AC31" s="54" t="str">
        <f ca="1">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Alto</v>
      </c>
      <c r="AD31" s="55" t="s">
        <v>136</v>
      </c>
      <c r="AE31" s="137" t="s">
        <v>260</v>
      </c>
      <c r="AF31" s="137" t="s">
        <v>319</v>
      </c>
      <c r="AG31" s="56">
        <v>46022</v>
      </c>
      <c r="AH31" s="150" t="s">
        <v>288</v>
      </c>
      <c r="AI31" s="137" t="s">
        <v>304</v>
      </c>
      <c r="AJ31" s="48" t="s">
        <v>41</v>
      </c>
      <c r="AK31" s="47"/>
      <c r="AL31" s="47"/>
      <c r="AM31" s="149" t="e">
        <f t="shared" si="5"/>
        <v>#DIV/0!</v>
      </c>
      <c r="AN31" s="47"/>
      <c r="AO31" s="47"/>
      <c r="AP31" s="47"/>
      <c r="AQ31" s="47"/>
      <c r="AR31" s="149" t="e">
        <f t="shared" si="6"/>
        <v>#DIV/0!</v>
      </c>
      <c r="AS31" s="47"/>
      <c r="AT31" s="47"/>
      <c r="AU31" s="8"/>
      <c r="AV31" s="8"/>
      <c r="AW31" s="8"/>
      <c r="AX31" s="8"/>
      <c r="AY31" s="8"/>
      <c r="AZ31" s="8"/>
      <c r="BA31" s="8"/>
      <c r="BB31" s="8"/>
      <c r="BC31" s="8"/>
      <c r="BD31" s="8"/>
      <c r="BE31" s="8"/>
      <c r="BF31" s="8"/>
      <c r="BG31" s="8"/>
      <c r="BH31" s="8"/>
      <c r="BI31" s="8"/>
      <c r="BJ31" s="8"/>
      <c r="BK31" s="8"/>
      <c r="BL31" s="8"/>
      <c r="BM31" s="8"/>
      <c r="BN31" s="8"/>
      <c r="BO31" s="8"/>
      <c r="BP31" s="8"/>
    </row>
    <row r="32" spans="1:68" ht="175.5" customHeight="1" x14ac:dyDescent="0.3">
      <c r="A32" s="208"/>
      <c r="B32" s="202"/>
      <c r="C32" s="202"/>
      <c r="D32" s="202"/>
      <c r="E32" s="210"/>
      <c r="F32" s="202"/>
      <c r="G32" s="204"/>
      <c r="H32" s="206"/>
      <c r="I32" s="214"/>
      <c r="J32" s="216"/>
      <c r="K32" s="218">
        <f ca="1">IF(NOT(ISERROR(MATCH(J32,_xlfn.ANCHORARRAY(E35),0))),I37&amp;"Por favor no seleccionar los criterios de impacto",J32)</f>
        <v>0</v>
      </c>
      <c r="L32" s="206"/>
      <c r="M32" s="214"/>
      <c r="N32" s="212"/>
      <c r="O32" s="6">
        <v>2</v>
      </c>
      <c r="P32" s="137" t="s">
        <v>261</v>
      </c>
      <c r="Q32" s="49" t="str">
        <f t="shared" si="23"/>
        <v>Impacto</v>
      </c>
      <c r="R32" s="50" t="s">
        <v>16</v>
      </c>
      <c r="S32" s="50" t="s">
        <v>9</v>
      </c>
      <c r="T32" s="51" t="str">
        <f t="shared" ref="T32" si="27">IF(AND(R32="Preventivo",S32="Automático"),"50%",IF(AND(R32="Preventivo",S32="Manual"),"40%",IF(AND(R32="Detectivo",S32="Automático"),"40%",IF(AND(R32="Detectivo",S32="Manual"),"30%",IF(AND(R32="Correctivo",S32="Automático"),"35%",IF(AND(R32="Correctivo",S32="Manual"),"25%",""))))))</f>
        <v>25%</v>
      </c>
      <c r="U32" s="50" t="s">
        <v>19</v>
      </c>
      <c r="V32" s="50" t="s">
        <v>22</v>
      </c>
      <c r="W32" s="50" t="s">
        <v>119</v>
      </c>
      <c r="X32" s="24">
        <f>IFERROR(IF(AND(Q31="Probabilidad",Q32="Probabilidad"),(Z31-(+Z31*T32)),IF(Q32="Probabilidad",(I31-(+I31*T32)),IF(Q32="Impacto",Z31,""))),"")</f>
        <v>0.24</v>
      </c>
      <c r="Y32" s="52" t="str">
        <f t="shared" si="1"/>
        <v>Baja</v>
      </c>
      <c r="Z32" s="53">
        <f t="shared" ref="Z32" si="28">+X32</f>
        <v>0.24</v>
      </c>
      <c r="AA32" s="52" t="str">
        <f t="shared" ca="1" si="3"/>
        <v>Moderado</v>
      </c>
      <c r="AB32" s="53">
        <f ca="1">IFERROR(IF(AND(Q31="Impacto",Q32="Impacto"),(#REF!-(+#REF!*T32)),IF(Q32="Impacto",($M$31-(+$M$31*T32)),IF(Q32="Probabilidad",#REF!,""))),"")</f>
        <v>0.60000000000000009</v>
      </c>
      <c r="AC32" s="54" t="str">
        <f t="shared" ref="AC32" ca="1" si="29">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Moderado</v>
      </c>
      <c r="AD32" s="55" t="s">
        <v>136</v>
      </c>
      <c r="AE32" s="137" t="s">
        <v>263</v>
      </c>
      <c r="AF32" s="137" t="s">
        <v>319</v>
      </c>
      <c r="AG32" s="56">
        <v>46022</v>
      </c>
      <c r="AH32" s="150" t="s">
        <v>288</v>
      </c>
      <c r="AI32" s="137" t="s">
        <v>305</v>
      </c>
      <c r="AJ32" s="48" t="s">
        <v>41</v>
      </c>
      <c r="AK32" s="47"/>
      <c r="AL32" s="47"/>
      <c r="AM32" s="149" t="e">
        <f t="shared" si="5"/>
        <v>#DIV/0!</v>
      </c>
      <c r="AN32" s="47"/>
      <c r="AO32" s="47"/>
      <c r="AP32" s="47"/>
      <c r="AQ32" s="47"/>
      <c r="AR32" s="149" t="e">
        <f t="shared" si="6"/>
        <v>#DIV/0!</v>
      </c>
      <c r="AS32" s="47"/>
      <c r="AT32" s="47"/>
      <c r="AU32" s="8"/>
      <c r="AV32" s="8"/>
      <c r="AW32" s="8"/>
      <c r="AX32" s="8"/>
      <c r="AY32" s="8"/>
      <c r="AZ32" s="8"/>
      <c r="BA32" s="8"/>
      <c r="BB32" s="8"/>
      <c r="BC32" s="8"/>
      <c r="BD32" s="8"/>
      <c r="BE32" s="8"/>
      <c r="BF32" s="8"/>
      <c r="BG32" s="8"/>
      <c r="BH32" s="8"/>
      <c r="BI32" s="8"/>
      <c r="BJ32" s="8"/>
      <c r="BK32" s="8"/>
      <c r="BL32" s="8"/>
      <c r="BM32" s="8"/>
      <c r="BN32" s="8"/>
      <c r="BO32" s="8"/>
      <c r="BP32" s="8"/>
    </row>
    <row r="33" spans="1:68" ht="349.5" customHeight="1" x14ac:dyDescent="0.3">
      <c r="A33" s="207">
        <v>8</v>
      </c>
      <c r="B33" s="201" t="s">
        <v>132</v>
      </c>
      <c r="C33" s="201" t="s">
        <v>272</v>
      </c>
      <c r="D33" s="201" t="s">
        <v>273</v>
      </c>
      <c r="E33" s="209" t="s">
        <v>274</v>
      </c>
      <c r="F33" s="201" t="s">
        <v>123</v>
      </c>
      <c r="G33" s="203">
        <v>250</v>
      </c>
      <c r="H33" s="205" t="str">
        <f>IF(G33&lt;=0,"",IF(G33&lt;=2,"Muy Baja",IF(G33&lt;=24,"Baja",IF(G33&lt;=500,"Media",IF(G33&lt;=5000,"Alta","Muy Alta")))))</f>
        <v>Media</v>
      </c>
      <c r="I33" s="213">
        <f>IF(H33="","",IF(H33="Muy Baja",0.2,IF(H33="Baja",0.4,IF(H33="Media",0.6,IF(H33="Alta",0.8,IF(H33="Muy Alta",1,))))))</f>
        <v>0.6</v>
      </c>
      <c r="J33" s="215" t="s">
        <v>153</v>
      </c>
      <c r="K33" s="217" t="str">
        <f ca="1">IF(NOT(ISERROR(MATCH(J33,'Tabla Impacto'!$B$221:$B$223,0))),'Tabla Impacto'!$F$223&amp;"Por favor no seleccionar los criterios de impacto(Afectación Económica o presupuestal y Pérdida Reputacional)",J33)</f>
        <v xml:space="preserve">     El riesgo afecta la imagen de la entidad con algunos usuarios de relevancia frente al logro de los objetivos</v>
      </c>
      <c r="L33" s="205" t="str">
        <f ca="1">IF(OR(K33='Tabla Impacto'!$C$11,K33='Tabla Impacto'!$D$11),"Leve",IF(OR(K33='Tabla Impacto'!$C$12,K33='Tabla Impacto'!$D$12),"Menor",IF(OR(K33='Tabla Impacto'!$C$13,K33='Tabla Impacto'!$D$13),"Moderado",IF(OR(K33='Tabla Impacto'!$C$14,K33='Tabla Impacto'!$D$14),"Mayor",IF(OR(K33='Tabla Impacto'!$C$15,K33='Tabla Impacto'!$D$15),"Catastrófico","")))))</f>
        <v>Moderado</v>
      </c>
      <c r="M33" s="213">
        <f ca="1">IF(L33="","",IF(L33="Leve",0.2,IF(L33="Menor",0.4,IF(L33="Moderado",0.6,IF(L33="Mayor",0.8,IF(L33="Catastrófico",1,))))))</f>
        <v>0.6</v>
      </c>
      <c r="N33" s="211" t="str">
        <f ca="1">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Moderado</v>
      </c>
      <c r="O33" s="6">
        <v>1</v>
      </c>
      <c r="P33" s="137" t="s">
        <v>329</v>
      </c>
      <c r="Q33" s="49" t="str">
        <f t="shared" si="23"/>
        <v>Probabilidad</v>
      </c>
      <c r="R33" s="50" t="s">
        <v>14</v>
      </c>
      <c r="S33" s="50" t="s">
        <v>9</v>
      </c>
      <c r="T33" s="51" t="str">
        <f>IF(AND(R33="Preventivo",S33="Automático"),"50%",IF(AND(R33="Preventivo",S33="Manual"),"40%",IF(AND(R33="Detectivo",S33="Automático"),"40%",IF(AND(R33="Detectivo",S33="Manual"),"30%",IF(AND(R33="Correctivo",S33="Automático"),"35%",IF(AND(R33="Correctivo",S33="Manual"),"25%",""))))))</f>
        <v>40%</v>
      </c>
      <c r="U33" s="50" t="s">
        <v>19</v>
      </c>
      <c r="V33" s="50" t="s">
        <v>22</v>
      </c>
      <c r="W33" s="50" t="s">
        <v>119</v>
      </c>
      <c r="X33" s="24">
        <f>IFERROR(IF(Q33="Probabilidad",(I33-(+I33*T33)),IF(Q33="Impacto",I33,"")),"")</f>
        <v>0.36</v>
      </c>
      <c r="Y33" s="52" t="str">
        <f>IFERROR(IF(X33="","",IF(X33&lt;=0.2,"Muy Baja",IF(X33&lt;=0.4,"Baja",IF(X33&lt;=0.6,"Media",IF(X33&lt;=0.8,"Alta","Muy Alta"))))),"")</f>
        <v>Baja</v>
      </c>
      <c r="Z33" s="53">
        <f>+X33</f>
        <v>0.36</v>
      </c>
      <c r="AA33" s="52" t="str">
        <f ca="1">IFERROR(IF(AB33="","",IF(AB33&lt;=0.2,"Leve",IF(AB33&lt;=0.4,"Menor",IF(AB33&lt;=0.6,"Moderado",IF(AB33&lt;=0.8,"Mayor","Catastrófico"))))),"")</f>
        <v>Moderado</v>
      </c>
      <c r="AB33" s="53">
        <f ca="1">IFERROR(IF(Q33="Impacto",(M33-(+M33*T33)),IF(Q33="Probabilidad",M33,"")),"")</f>
        <v>0.6</v>
      </c>
      <c r="AC33" s="54" t="str">
        <f ca="1">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Moderado</v>
      </c>
      <c r="AD33" s="55" t="s">
        <v>136</v>
      </c>
      <c r="AE33" s="151" t="s">
        <v>275</v>
      </c>
      <c r="AF33" s="137" t="s">
        <v>320</v>
      </c>
      <c r="AG33" s="56">
        <v>46022</v>
      </c>
      <c r="AH33" s="150" t="s">
        <v>288</v>
      </c>
      <c r="AI33" s="137" t="s">
        <v>309</v>
      </c>
      <c r="AJ33" s="48" t="s">
        <v>41</v>
      </c>
      <c r="AK33" s="47"/>
      <c r="AL33" s="47"/>
      <c r="AM33" s="149" t="e">
        <f t="shared" si="5"/>
        <v>#DIV/0!</v>
      </c>
      <c r="AN33" s="47"/>
      <c r="AO33" s="47"/>
      <c r="AP33" s="47"/>
      <c r="AQ33" s="47"/>
      <c r="AR33" s="149" t="e">
        <f t="shared" si="6"/>
        <v>#DIV/0!</v>
      </c>
      <c r="AS33" s="47"/>
      <c r="AT33" s="47"/>
      <c r="AU33" s="8"/>
      <c r="AV33" s="8"/>
      <c r="AW33" s="8"/>
      <c r="AX33" s="8"/>
      <c r="AY33" s="8"/>
      <c r="AZ33" s="8"/>
      <c r="BA33" s="8"/>
      <c r="BB33" s="8"/>
      <c r="BC33" s="8"/>
      <c r="BD33" s="8"/>
      <c r="BE33" s="8"/>
      <c r="BF33" s="8"/>
      <c r="BG33" s="8"/>
      <c r="BH33" s="8"/>
      <c r="BI33" s="8"/>
      <c r="BJ33" s="8"/>
      <c r="BK33" s="8"/>
      <c r="BL33" s="8"/>
      <c r="BM33" s="8"/>
      <c r="BN33" s="8"/>
      <c r="BO33" s="8"/>
      <c r="BP33" s="8"/>
    </row>
    <row r="34" spans="1:68" ht="82.5" x14ac:dyDescent="0.3">
      <c r="A34" s="208"/>
      <c r="B34" s="202"/>
      <c r="C34" s="202"/>
      <c r="D34" s="202"/>
      <c r="E34" s="210"/>
      <c r="F34" s="202"/>
      <c r="G34" s="204"/>
      <c r="H34" s="206"/>
      <c r="I34" s="214"/>
      <c r="J34" s="216"/>
      <c r="K34" s="218">
        <f ca="1">IF(NOT(ISERROR(MATCH(J34,_xlfn.ANCHORARRAY(E38),0))),#REF!&amp;"Por favor no seleccionar los criterios de impacto",J34)</f>
        <v>0</v>
      </c>
      <c r="L34" s="206"/>
      <c r="M34" s="214"/>
      <c r="N34" s="212"/>
      <c r="O34" s="6">
        <v>2</v>
      </c>
      <c r="P34" s="137" t="s">
        <v>330</v>
      </c>
      <c r="Q34" s="49" t="str">
        <f t="shared" si="23"/>
        <v>Probabilidad</v>
      </c>
      <c r="R34" s="50" t="s">
        <v>14</v>
      </c>
      <c r="S34" s="50" t="s">
        <v>9</v>
      </c>
      <c r="T34" s="51" t="str">
        <f t="shared" ref="T34" si="30">IF(AND(R34="Preventivo",S34="Automático"),"50%",IF(AND(R34="Preventivo",S34="Manual"),"40%",IF(AND(R34="Detectivo",S34="Automático"),"40%",IF(AND(R34="Detectivo",S34="Manual"),"30%",IF(AND(R34="Correctivo",S34="Automático"),"35%",IF(AND(R34="Correctivo",S34="Manual"),"25%",""))))))</f>
        <v>40%</v>
      </c>
      <c r="U34" s="50" t="s">
        <v>19</v>
      </c>
      <c r="V34" s="50" t="s">
        <v>22</v>
      </c>
      <c r="W34" s="50" t="s">
        <v>119</v>
      </c>
      <c r="X34" s="24">
        <f>IFERROR(IF(AND(Q33="Probabilidad",Q34="Probabilidad"),(Z33-(+Z33*T34)),IF(Q34="Probabilidad",(I33-(+I33*T34)),IF(Q34="Impacto",Z33,""))),"")</f>
        <v>0.216</v>
      </c>
      <c r="Y34" s="52" t="str">
        <f t="shared" si="1"/>
        <v>Baja</v>
      </c>
      <c r="Z34" s="53">
        <f t="shared" ref="Z34" si="31">+X34</f>
        <v>0.216</v>
      </c>
      <c r="AA34" s="52" t="str">
        <f t="shared" ca="1" si="3"/>
        <v>Mayor</v>
      </c>
      <c r="AB34" s="53">
        <f ca="1">IFERROR(IF(AND(Q33="Impacto",Q34="Impacto"),(AB31-(+AB31*T34)),IF(Q34="Impacto",($M$33-(+$M$33*T34)),IF(Q34="Probabilidad",AB31,""))),"")</f>
        <v>0.8</v>
      </c>
      <c r="AC34" s="54" t="str">
        <f t="shared" ref="AC34" ca="1" si="32">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55" t="s">
        <v>136</v>
      </c>
      <c r="AE34" s="137" t="s">
        <v>276</v>
      </c>
      <c r="AF34" s="137" t="s">
        <v>321</v>
      </c>
      <c r="AG34" s="56">
        <v>46022</v>
      </c>
      <c r="AH34" s="150" t="s">
        <v>288</v>
      </c>
      <c r="AI34" s="152" t="s">
        <v>310</v>
      </c>
      <c r="AJ34" s="48" t="s">
        <v>41</v>
      </c>
      <c r="AK34" s="47"/>
      <c r="AL34" s="47"/>
      <c r="AM34" s="149" t="e">
        <f t="shared" si="5"/>
        <v>#DIV/0!</v>
      </c>
      <c r="AN34" s="47"/>
      <c r="AO34" s="47"/>
      <c r="AP34" s="47"/>
      <c r="AQ34" s="47"/>
      <c r="AR34" s="149" t="e">
        <f t="shared" si="6"/>
        <v>#DIV/0!</v>
      </c>
      <c r="AS34" s="47"/>
      <c r="AT34" s="47"/>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7">
        <v>9</v>
      </c>
      <c r="B35" s="201" t="s">
        <v>132</v>
      </c>
      <c r="C35" s="201" t="s">
        <v>277</v>
      </c>
      <c r="D35" s="201" t="s">
        <v>278</v>
      </c>
      <c r="E35" s="209" t="s">
        <v>336</v>
      </c>
      <c r="F35" s="201" t="s">
        <v>128</v>
      </c>
      <c r="G35" s="203">
        <v>25</v>
      </c>
      <c r="H35" s="205" t="str">
        <f>IF(G35&lt;=0,"",IF(G35&lt;=2,"Muy Baja",IF(G35&lt;=24,"Baja",IF(G35&lt;=500,"Media",IF(G35&lt;=5000,"Alta","Muy Alta")))))</f>
        <v>Media</v>
      </c>
      <c r="I35" s="213">
        <f>IF(H35="","",IF(H35="Muy Baja",0.2,IF(H35="Baja",0.4,IF(H35="Media",0.6,IF(H35="Alta",0.8,IF(H35="Muy Alta",1,))))))</f>
        <v>0.6</v>
      </c>
      <c r="J35" s="215" t="s">
        <v>153</v>
      </c>
      <c r="K35" s="217" t="str">
        <f ca="1">IF(NOT(ISERROR(MATCH(J35,'Tabla Impacto'!$B$221:$B$223,0))),'Tabla Impacto'!$F$223&amp;"Por favor no seleccionar los criterios de impacto(Afectación Económica o presupuestal y Pérdida Reputacional)",J35)</f>
        <v xml:space="preserve">     El riesgo afecta la imagen de la entidad con algunos usuarios de relevancia frente al logro de los objetivos</v>
      </c>
      <c r="L35" s="205" t="str">
        <f ca="1">IF(OR(K35='Tabla Impacto'!$C$11,K35='Tabla Impacto'!$D$11),"Leve",IF(OR(K35='Tabla Impacto'!$C$12,K35='Tabla Impacto'!$D$12),"Menor",IF(OR(K35='Tabla Impacto'!$C$13,K35='Tabla Impacto'!$D$13),"Moderado",IF(OR(K35='Tabla Impacto'!$C$14,K35='Tabla Impacto'!$D$14),"Mayor",IF(OR(K35='Tabla Impacto'!$C$15,K35='Tabla Impacto'!$D$15),"Catastrófico","")))))</f>
        <v>Moderado</v>
      </c>
      <c r="M35" s="213">
        <f ca="1">IF(L35="","",IF(L35="Leve",0.2,IF(L35="Menor",0.4,IF(L35="Moderado",0.6,IF(L35="Mayor",0.8,IF(L35="Catastrófico",1,))))))</f>
        <v>0.6</v>
      </c>
      <c r="N35" s="211"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Moderado</v>
      </c>
      <c r="O35" s="6">
        <v>1</v>
      </c>
      <c r="P35" s="137" t="s">
        <v>331</v>
      </c>
      <c r="Q35" s="49" t="str">
        <f t="shared" si="23"/>
        <v>Probabilidad</v>
      </c>
      <c r="R35" s="50" t="s">
        <v>15</v>
      </c>
      <c r="S35" s="50" t="s">
        <v>9</v>
      </c>
      <c r="T35" s="51" t="str">
        <f>IF(AND(R35="Preventivo",S35="Automático"),"50%",IF(AND(R35="Preventivo",S35="Manual"),"40%",IF(AND(R35="Detectivo",S35="Automático"),"40%",IF(AND(R35="Detectivo",S35="Manual"),"30%",IF(AND(R35="Correctivo",S35="Automático"),"35%",IF(AND(R35="Correctivo",S35="Manual"),"25%",""))))))</f>
        <v>30%</v>
      </c>
      <c r="U35" s="50" t="s">
        <v>19</v>
      </c>
      <c r="V35" s="50" t="s">
        <v>22</v>
      </c>
      <c r="W35" s="50" t="s">
        <v>119</v>
      </c>
      <c r="X35" s="24">
        <f>IFERROR(IF(Q35="Probabilidad",(I35-(+I35*T35)),IF(Q35="Impacto",I35,"")),"")</f>
        <v>0.42</v>
      </c>
      <c r="Y35" s="52" t="str">
        <f>IFERROR(IF(X35="","",IF(X35&lt;=0.2,"Muy Baja",IF(X35&lt;=0.4,"Baja",IF(X35&lt;=0.6,"Media",IF(X35&lt;=0.8,"Alta","Muy Alta"))))),"")</f>
        <v>Media</v>
      </c>
      <c r="Z35" s="53">
        <f>+X35</f>
        <v>0.42</v>
      </c>
      <c r="AA35" s="52" t="str">
        <f ca="1">IFERROR(IF(AB35="","",IF(AB35&lt;=0.2,"Leve",IF(AB35&lt;=0.4,"Menor",IF(AB35&lt;=0.6,"Moderado",IF(AB35&lt;=0.8,"Mayor","Catastrófico"))))),"")</f>
        <v>Moderado</v>
      </c>
      <c r="AB35" s="53">
        <f ca="1">IFERROR(IF(Q35="Impacto",(M35-(+M35*T35)),IF(Q35="Probabilidad",M35,"")),"")</f>
        <v>0.6</v>
      </c>
      <c r="AC35" s="54" t="str">
        <f ca="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Moderado</v>
      </c>
      <c r="AD35" s="55" t="s">
        <v>136</v>
      </c>
      <c r="AE35" s="137" t="s">
        <v>334</v>
      </c>
      <c r="AF35" s="137" t="s">
        <v>321</v>
      </c>
      <c r="AG35" s="56">
        <v>46022</v>
      </c>
      <c r="AH35" s="150" t="s">
        <v>288</v>
      </c>
      <c r="AI35" s="137" t="s">
        <v>306</v>
      </c>
      <c r="AJ35" s="48" t="s">
        <v>41</v>
      </c>
      <c r="AK35" s="47"/>
      <c r="AL35" s="47"/>
      <c r="AM35" s="149" t="e">
        <f t="shared" si="5"/>
        <v>#DIV/0!</v>
      </c>
      <c r="AN35" s="47"/>
      <c r="AO35" s="47"/>
      <c r="AP35" s="47"/>
      <c r="AQ35" s="47"/>
      <c r="AR35" s="149" t="e">
        <f t="shared" si="6"/>
        <v>#DIV/0!</v>
      </c>
      <c r="AS35" s="47"/>
      <c r="AT35" s="47"/>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8"/>
      <c r="B36" s="202"/>
      <c r="C36" s="202"/>
      <c r="D36" s="202"/>
      <c r="E36" s="210"/>
      <c r="F36" s="202"/>
      <c r="G36" s="204"/>
      <c r="H36" s="206"/>
      <c r="I36" s="214"/>
      <c r="J36" s="216"/>
      <c r="K36" s="218">
        <f ca="1">IF(NOT(ISERROR(MATCH(J36,_xlfn.ANCHORARRAY(E44),0))),I46&amp;"Por favor no seleccionar los criterios de impacto",J36)</f>
        <v>0</v>
      </c>
      <c r="L36" s="206"/>
      <c r="M36" s="214"/>
      <c r="N36" s="212"/>
      <c r="O36" s="6">
        <v>2</v>
      </c>
      <c r="P36" s="137" t="s">
        <v>332</v>
      </c>
      <c r="Q36" s="49" t="str">
        <f t="shared" si="23"/>
        <v>Impacto</v>
      </c>
      <c r="R36" s="50" t="s">
        <v>16</v>
      </c>
      <c r="S36" s="50" t="s">
        <v>9</v>
      </c>
      <c r="T36" s="51" t="str">
        <f t="shared" ref="T36:T37" si="33">IF(AND(R36="Preventivo",S36="Automático"),"50%",IF(AND(R36="Preventivo",S36="Manual"),"40%",IF(AND(R36="Detectivo",S36="Automático"),"40%",IF(AND(R36="Detectivo",S36="Manual"),"30%",IF(AND(R36="Correctivo",S36="Automático"),"35%",IF(AND(R36="Correctivo",S36="Manual"),"25%",""))))))</f>
        <v>25%</v>
      </c>
      <c r="U36" s="50" t="s">
        <v>19</v>
      </c>
      <c r="V36" s="50" t="s">
        <v>22</v>
      </c>
      <c r="W36" s="50" t="s">
        <v>119</v>
      </c>
      <c r="X36" s="24">
        <f>IFERROR(IF(AND(Q35="Probabilidad",Q36="Probabilidad"),(Z35-(+Z35*T36)),IF(Q36="Probabilidad",(I35-(+I35*T36)),IF(Q36="Impacto",Z35,""))),"")</f>
        <v>0.42</v>
      </c>
      <c r="Y36" s="52" t="str">
        <f t="shared" si="1"/>
        <v>Media</v>
      </c>
      <c r="Z36" s="53">
        <f t="shared" ref="Z36:Z37" si="34">+X36</f>
        <v>0.42</v>
      </c>
      <c r="AA36" s="52" t="str">
        <f t="shared" ca="1" si="3"/>
        <v>Moderado</v>
      </c>
      <c r="AB36" s="53">
        <f ca="1">IFERROR(IF(AND(Q35="Impacto",Q36="Impacto"),(AB33-(+AB33*T36)),IF(Q36="Impacto",($M$35-(+$M$35*T36)),IF(Q36="Probabilidad",AB33,""))),"")</f>
        <v>0.44999999999999996</v>
      </c>
      <c r="AC36" s="54" t="str">
        <f t="shared" ref="AC36:AC37" ca="1" si="35">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55" t="s">
        <v>136</v>
      </c>
      <c r="AE36" s="137" t="s">
        <v>335</v>
      </c>
      <c r="AF36" s="137" t="s">
        <v>321</v>
      </c>
      <c r="AG36" s="56">
        <v>46022</v>
      </c>
      <c r="AH36" s="150" t="s">
        <v>288</v>
      </c>
      <c r="AI36" s="137" t="s">
        <v>307</v>
      </c>
      <c r="AJ36" s="48" t="s">
        <v>41</v>
      </c>
      <c r="AK36" s="47"/>
      <c r="AL36" s="47"/>
      <c r="AM36" s="149" t="e">
        <f t="shared" si="5"/>
        <v>#DIV/0!</v>
      </c>
      <c r="AN36" s="47"/>
      <c r="AO36" s="47"/>
      <c r="AP36" s="47"/>
      <c r="AQ36" s="47"/>
      <c r="AR36" s="149" t="e">
        <f t="shared" si="6"/>
        <v>#DIV/0!</v>
      </c>
      <c r="AS36" s="47"/>
      <c r="AT36" s="47"/>
    </row>
    <row r="37" spans="1:68" ht="99" x14ac:dyDescent="0.3">
      <c r="A37" s="208"/>
      <c r="B37" s="202"/>
      <c r="C37" s="202"/>
      <c r="D37" s="202"/>
      <c r="E37" s="210"/>
      <c r="F37" s="202"/>
      <c r="G37" s="204"/>
      <c r="H37" s="206"/>
      <c r="I37" s="214"/>
      <c r="J37" s="216"/>
      <c r="K37" s="218">
        <f ca="1">IF(NOT(ISERROR(MATCH(J37,_xlfn.ANCHORARRAY(E45),0))),I47&amp;"Por favor no seleccionar los criterios de impacto",J37)</f>
        <v>0</v>
      </c>
      <c r="L37" s="206"/>
      <c r="M37" s="214"/>
      <c r="N37" s="212"/>
      <c r="O37" s="6">
        <v>3</v>
      </c>
      <c r="P37" s="137" t="s">
        <v>333</v>
      </c>
      <c r="Q37" s="49" t="str">
        <f t="shared" si="23"/>
        <v>Impacto</v>
      </c>
      <c r="R37" s="50" t="s">
        <v>16</v>
      </c>
      <c r="S37" s="50" t="s">
        <v>9</v>
      </c>
      <c r="T37" s="51" t="str">
        <f t="shared" si="33"/>
        <v>25%</v>
      </c>
      <c r="U37" s="50" t="s">
        <v>19</v>
      </c>
      <c r="V37" s="50" t="s">
        <v>22</v>
      </c>
      <c r="W37" s="50" t="s">
        <v>119</v>
      </c>
      <c r="X37" s="24">
        <f>IFERROR(IF(AND(Q36="Probabilidad",Q37="Probabilidad"),(Z36-(+Z36*T37)),IF(AND(Q36="Impacto",Q37="Probabilidad"),(Z35-(+Z35*T37)),IF(Q37="Impacto",Z36,""))),"")</f>
        <v>0.42</v>
      </c>
      <c r="Y37" s="52" t="str">
        <f t="shared" si="1"/>
        <v>Media</v>
      </c>
      <c r="Z37" s="53">
        <f t="shared" si="34"/>
        <v>0.42</v>
      </c>
      <c r="AA37" s="52" t="str">
        <f t="shared" ca="1" si="3"/>
        <v>Menor</v>
      </c>
      <c r="AB37" s="53">
        <f ca="1">IFERROR(IF(AND(Q36="Impacto",Q37="Impacto"),(AB36-(+AB36*T37)),IF(AND(Q36="Probabilidad",Q37="Impacto"),(AB35-(+AB35*T37)),IF(Q37="Probabilidad",AB36,""))),"")</f>
        <v>0.33749999999999997</v>
      </c>
      <c r="AC37" s="54" t="str">
        <f t="shared" ca="1" si="35"/>
        <v>Moderado</v>
      </c>
      <c r="AD37" s="55" t="s">
        <v>136</v>
      </c>
      <c r="AE37" s="137" t="s">
        <v>341</v>
      </c>
      <c r="AF37" s="137" t="s">
        <v>321</v>
      </c>
      <c r="AG37" s="56">
        <v>46022</v>
      </c>
      <c r="AH37" s="150" t="s">
        <v>288</v>
      </c>
      <c r="AI37" s="137" t="s">
        <v>308</v>
      </c>
      <c r="AJ37" s="48" t="s">
        <v>41</v>
      </c>
      <c r="AK37" s="47"/>
      <c r="AL37" s="47"/>
      <c r="AM37" s="149" t="e">
        <f t="shared" si="5"/>
        <v>#DIV/0!</v>
      </c>
      <c r="AN37" s="47"/>
      <c r="AO37" s="47"/>
      <c r="AP37" s="47"/>
      <c r="AQ37" s="47"/>
      <c r="AR37" s="149" t="e">
        <f t="shared" si="6"/>
        <v>#DIV/0!</v>
      </c>
      <c r="AS37" s="47"/>
      <c r="AT37" s="47"/>
    </row>
    <row r="38" spans="1:68" ht="49.5" customHeight="1" x14ac:dyDescent="0.3">
      <c r="A38" s="6"/>
      <c r="B38" s="194" t="s">
        <v>131</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6"/>
    </row>
    <row r="40" spans="1:68" x14ac:dyDescent="0.3">
      <c r="D40" s="143"/>
    </row>
    <row r="41" spans="1:68" x14ac:dyDescent="0.3">
      <c r="B41" s="142" t="s">
        <v>280</v>
      </c>
      <c r="C41" s="143" t="s">
        <v>284</v>
      </c>
      <c r="D41" s="143" t="s">
        <v>282</v>
      </c>
    </row>
    <row r="42" spans="1:68" x14ac:dyDescent="0.3">
      <c r="B42" s="200"/>
      <c r="C42" s="143" t="s">
        <v>339</v>
      </c>
      <c r="D42" s="143" t="s">
        <v>283</v>
      </c>
    </row>
    <row r="43" spans="1:68" x14ac:dyDescent="0.3">
      <c r="B43" s="200"/>
      <c r="C43" s="143" t="s">
        <v>340</v>
      </c>
      <c r="D43" s="143" t="s">
        <v>257</v>
      </c>
    </row>
    <row r="44" spans="1:68" x14ac:dyDescent="0.3">
      <c r="B44" s="142" t="s">
        <v>281</v>
      </c>
      <c r="C44" s="143" t="s">
        <v>285</v>
      </c>
      <c r="D44" s="143" t="s">
        <v>279</v>
      </c>
    </row>
  </sheetData>
  <dataConsolidate/>
  <mergeCells count="177">
    <mergeCell ref="A9:G9"/>
    <mergeCell ref="H9:N9"/>
    <mergeCell ref="O9:W9"/>
    <mergeCell ref="X9:AD9"/>
    <mergeCell ref="AE9:AJ9"/>
    <mergeCell ref="M33:M34"/>
    <mergeCell ref="N33:N34"/>
    <mergeCell ref="A35:A37"/>
    <mergeCell ref="B35:B37"/>
    <mergeCell ref="C35:C37"/>
    <mergeCell ref="D35:D37"/>
    <mergeCell ref="E35:E37"/>
    <mergeCell ref="F35:F37"/>
    <mergeCell ref="G35:G37"/>
    <mergeCell ref="H35:H37"/>
    <mergeCell ref="I35:I37"/>
    <mergeCell ref="J35:J37"/>
    <mergeCell ref="K35:K37"/>
    <mergeCell ref="L35:L37"/>
    <mergeCell ref="M35:M37"/>
    <mergeCell ref="N35:N37"/>
    <mergeCell ref="J33:J34"/>
    <mergeCell ref="K33:K34"/>
    <mergeCell ref="L33:L34"/>
    <mergeCell ref="M31:M32"/>
    <mergeCell ref="N31:N32"/>
    <mergeCell ref="A33:A34"/>
    <mergeCell ref="B33:B34"/>
    <mergeCell ref="C33:C34"/>
    <mergeCell ref="D33:D34"/>
    <mergeCell ref="E33:E34"/>
    <mergeCell ref="F33:F34"/>
    <mergeCell ref="G33:G34"/>
    <mergeCell ref="H33:H34"/>
    <mergeCell ref="I33:I34"/>
    <mergeCell ref="H28:H30"/>
    <mergeCell ref="I28:I30"/>
    <mergeCell ref="K26:K27"/>
    <mergeCell ref="L26:L27"/>
    <mergeCell ref="A31:A32"/>
    <mergeCell ref="B31:B32"/>
    <mergeCell ref="C31:C32"/>
    <mergeCell ref="D31:D32"/>
    <mergeCell ref="E31:E32"/>
    <mergeCell ref="F31:F32"/>
    <mergeCell ref="G31:G32"/>
    <mergeCell ref="H31:H32"/>
    <mergeCell ref="I31:I32"/>
    <mergeCell ref="J31:J32"/>
    <mergeCell ref="K31:K32"/>
    <mergeCell ref="L31:L32"/>
    <mergeCell ref="M26:M27"/>
    <mergeCell ref="N26:N27"/>
    <mergeCell ref="M28:M30"/>
    <mergeCell ref="N28:N30"/>
    <mergeCell ref="A26:A27"/>
    <mergeCell ref="B26:B27"/>
    <mergeCell ref="C26:C27"/>
    <mergeCell ref="A28:A30"/>
    <mergeCell ref="B28:B30"/>
    <mergeCell ref="C28:C30"/>
    <mergeCell ref="D28:D30"/>
    <mergeCell ref="E28:E30"/>
    <mergeCell ref="F28:F30"/>
    <mergeCell ref="D26:D27"/>
    <mergeCell ref="E26:E27"/>
    <mergeCell ref="J28:J30"/>
    <mergeCell ref="K28:K30"/>
    <mergeCell ref="L28:L30"/>
    <mergeCell ref="F26:F27"/>
    <mergeCell ref="G26:G27"/>
    <mergeCell ref="H26:H27"/>
    <mergeCell ref="I26:I27"/>
    <mergeCell ref="J26:J27"/>
    <mergeCell ref="G28:G30"/>
    <mergeCell ref="G19:G21"/>
    <mergeCell ref="H19:H21"/>
    <mergeCell ref="I19:I21"/>
    <mergeCell ref="M19:M21"/>
    <mergeCell ref="N19:N21"/>
    <mergeCell ref="A22:A25"/>
    <mergeCell ref="B22:B25"/>
    <mergeCell ref="C22:C25"/>
    <mergeCell ref="D22:D25"/>
    <mergeCell ref="E22:E25"/>
    <mergeCell ref="F22:F25"/>
    <mergeCell ref="G22:G25"/>
    <mergeCell ref="H22:H25"/>
    <mergeCell ref="I22:I25"/>
    <mergeCell ref="J22:J25"/>
    <mergeCell ref="K22:K25"/>
    <mergeCell ref="L22:L25"/>
    <mergeCell ref="M22:M25"/>
    <mergeCell ref="N22:N25"/>
    <mergeCell ref="J19:J21"/>
    <mergeCell ref="K19:K21"/>
    <mergeCell ref="L19:L21"/>
    <mergeCell ref="A17:A18"/>
    <mergeCell ref="B17:B18"/>
    <mergeCell ref="C17:C18"/>
    <mergeCell ref="A19:A21"/>
    <mergeCell ref="B19:B21"/>
    <mergeCell ref="C19:C21"/>
    <mergeCell ref="D19:D21"/>
    <mergeCell ref="E19:E21"/>
    <mergeCell ref="F19:F21"/>
    <mergeCell ref="D17:D18"/>
    <mergeCell ref="E17:E18"/>
    <mergeCell ref="AE10:AE11"/>
    <mergeCell ref="AJ10:AJ11"/>
    <mergeCell ref="AI10:AI11"/>
    <mergeCell ref="AH10:AH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C6:N6"/>
    <mergeCell ref="O6:Q6"/>
    <mergeCell ref="K17:K18"/>
    <mergeCell ref="L17:L18"/>
    <mergeCell ref="M17:M18"/>
    <mergeCell ref="N17:N18"/>
    <mergeCell ref="F17:F18"/>
    <mergeCell ref="G17:G18"/>
    <mergeCell ref="H17:H18"/>
    <mergeCell ref="I17:I18"/>
    <mergeCell ref="J17:J18"/>
    <mergeCell ref="Z10:Z11"/>
    <mergeCell ref="G10:G11"/>
    <mergeCell ref="H10:H11"/>
    <mergeCell ref="I10:I11"/>
    <mergeCell ref="L10:L11"/>
    <mergeCell ref="M10:M11"/>
    <mergeCell ref="B10:B11"/>
    <mergeCell ref="N10:N11"/>
    <mergeCell ref="J10:J11"/>
    <mergeCell ref="K10:K11"/>
    <mergeCell ref="Q10:Q11"/>
    <mergeCell ref="R10:W10"/>
    <mergeCell ref="AK9:AT9"/>
    <mergeCell ref="AK10:AO10"/>
    <mergeCell ref="AP10:AT10"/>
    <mergeCell ref="B38:AT38"/>
    <mergeCell ref="C1:AR1"/>
    <mergeCell ref="C2:AR4"/>
    <mergeCell ref="A1:B4"/>
    <mergeCell ref="B42:B43"/>
    <mergeCell ref="F12:F16"/>
    <mergeCell ref="G12:G16"/>
    <mergeCell ref="H12:H16"/>
    <mergeCell ref="A12:A16"/>
    <mergeCell ref="B12:B16"/>
    <mergeCell ref="C12:C16"/>
    <mergeCell ref="D12:D16"/>
    <mergeCell ref="E12:E16"/>
    <mergeCell ref="N12:N16"/>
    <mergeCell ref="I12:I16"/>
    <mergeCell ref="J12:J16"/>
    <mergeCell ref="K12:K16"/>
    <mergeCell ref="L12:L16"/>
    <mergeCell ref="M12:M16"/>
    <mergeCell ref="AA10:AA11"/>
    <mergeCell ref="Y10:Y11"/>
  </mergeCells>
  <conditionalFormatting sqref="H12 H17 Y28:Y37">
    <cfRule type="cellIs" dxfId="155" priority="319" operator="equal">
      <formula>"Muy Alta"</formula>
    </cfRule>
    <cfRule type="cellIs" dxfId="154" priority="320" operator="equal">
      <formula>"Alta"</formula>
    </cfRule>
    <cfRule type="cellIs" dxfId="153" priority="321" operator="equal">
      <formula>"Media"</formula>
    </cfRule>
    <cfRule type="cellIs" dxfId="152" priority="322" operator="equal">
      <formula>"Baja"</formula>
    </cfRule>
    <cfRule type="cellIs" dxfId="151" priority="323" operator="equal">
      <formula>"Muy Baja"</formula>
    </cfRule>
  </conditionalFormatting>
  <conditionalFormatting sqref="L12 L17 L19 L22 L26 L28 L31 L33 L35 AA28:AA37">
    <cfRule type="cellIs" dxfId="150" priority="314" operator="equal">
      <formula>"Catastrófico"</formula>
    </cfRule>
    <cfRule type="cellIs" dxfId="149" priority="315" operator="equal">
      <formula>"Mayor"</formula>
    </cfRule>
    <cfRule type="cellIs" dxfId="148" priority="316" operator="equal">
      <formula>"Moderado"</formula>
    </cfRule>
    <cfRule type="cellIs" dxfId="147" priority="317" operator="equal">
      <formula>"Menor"</formula>
    </cfRule>
    <cfRule type="cellIs" dxfId="146" priority="318" operator="equal">
      <formula>"Leve"</formula>
    </cfRule>
  </conditionalFormatting>
  <conditionalFormatting sqref="N12 AC28:AC37">
    <cfRule type="cellIs" dxfId="145" priority="310" operator="equal">
      <formula>"Extremo"</formula>
    </cfRule>
    <cfRule type="cellIs" dxfId="144" priority="311" operator="equal">
      <formula>"Alto"</formula>
    </cfRule>
    <cfRule type="cellIs" dxfId="143" priority="312" operator="equal">
      <formula>"Moderado"</formula>
    </cfRule>
    <cfRule type="cellIs" dxfId="142" priority="313" operator="equal">
      <formula>"Bajo"</formula>
    </cfRule>
  </conditionalFormatting>
  <conditionalFormatting sqref="Y12:Y16">
    <cfRule type="cellIs" dxfId="141" priority="305" operator="equal">
      <formula>"Muy Alta"</formula>
    </cfRule>
    <cfRule type="cellIs" dxfId="140" priority="306" operator="equal">
      <formula>"Alta"</formula>
    </cfRule>
    <cfRule type="cellIs" dxfId="139" priority="307" operator="equal">
      <formula>"Media"</formula>
    </cfRule>
    <cfRule type="cellIs" dxfId="138" priority="308" operator="equal">
      <formula>"Baja"</formula>
    </cfRule>
    <cfRule type="cellIs" dxfId="137" priority="309" operator="equal">
      <formula>"Muy Baja"</formula>
    </cfRule>
  </conditionalFormatting>
  <conditionalFormatting sqref="AA12:AA16">
    <cfRule type="cellIs" dxfId="136" priority="300" operator="equal">
      <formula>"Catastrófico"</formula>
    </cfRule>
    <cfRule type="cellIs" dxfId="135" priority="301" operator="equal">
      <formula>"Mayor"</formula>
    </cfRule>
    <cfRule type="cellIs" dxfId="134" priority="302" operator="equal">
      <formula>"Moderado"</formula>
    </cfRule>
    <cfRule type="cellIs" dxfId="133" priority="303" operator="equal">
      <formula>"Menor"</formula>
    </cfRule>
    <cfRule type="cellIs" dxfId="132" priority="304" operator="equal">
      <formula>"Leve"</formula>
    </cfRule>
  </conditionalFormatting>
  <conditionalFormatting sqref="AC12:AC16">
    <cfRule type="cellIs" dxfId="131" priority="296" operator="equal">
      <formula>"Extremo"</formula>
    </cfRule>
    <cfRule type="cellIs" dxfId="130" priority="297" operator="equal">
      <formula>"Alto"</formula>
    </cfRule>
    <cfRule type="cellIs" dxfId="129" priority="298" operator="equal">
      <formula>"Moderado"</formula>
    </cfRule>
    <cfRule type="cellIs" dxfId="128" priority="299" operator="equal">
      <formula>"Bajo"</formula>
    </cfRule>
  </conditionalFormatting>
  <conditionalFormatting sqref="H33">
    <cfRule type="cellIs" dxfId="127" priority="53" operator="equal">
      <formula>"Muy Alta"</formula>
    </cfRule>
    <cfRule type="cellIs" dxfId="126" priority="54" operator="equal">
      <formula>"Alta"</formula>
    </cfRule>
    <cfRule type="cellIs" dxfId="125" priority="55" operator="equal">
      <formula>"Media"</formula>
    </cfRule>
    <cfRule type="cellIs" dxfId="124" priority="56" operator="equal">
      <formula>"Baja"</formula>
    </cfRule>
    <cfRule type="cellIs" dxfId="123" priority="57" operator="equal">
      <formula>"Muy Baja"</formula>
    </cfRule>
  </conditionalFormatting>
  <conditionalFormatting sqref="N17">
    <cfRule type="cellIs" dxfId="122" priority="240" operator="equal">
      <formula>"Extremo"</formula>
    </cfRule>
    <cfRule type="cellIs" dxfId="121" priority="241" operator="equal">
      <formula>"Alto"</formula>
    </cfRule>
    <cfRule type="cellIs" dxfId="120" priority="242" operator="equal">
      <formula>"Moderado"</formula>
    </cfRule>
    <cfRule type="cellIs" dxfId="119" priority="243" operator="equal">
      <formula>"Bajo"</formula>
    </cfRule>
  </conditionalFormatting>
  <conditionalFormatting sqref="Y17:Y18">
    <cfRule type="cellIs" dxfId="118" priority="235" operator="equal">
      <formula>"Muy Alta"</formula>
    </cfRule>
    <cfRule type="cellIs" dxfId="117" priority="236" operator="equal">
      <formula>"Alta"</formula>
    </cfRule>
    <cfRule type="cellIs" dxfId="116" priority="237" operator="equal">
      <formula>"Media"</formula>
    </cfRule>
    <cfRule type="cellIs" dxfId="115" priority="238" operator="equal">
      <formula>"Baja"</formula>
    </cfRule>
    <cfRule type="cellIs" dxfId="114" priority="239" operator="equal">
      <formula>"Muy Baja"</formula>
    </cfRule>
  </conditionalFormatting>
  <conditionalFormatting sqref="AA17:AA18">
    <cfRule type="cellIs" dxfId="113" priority="230" operator="equal">
      <formula>"Catastrófico"</formula>
    </cfRule>
    <cfRule type="cellIs" dxfId="112" priority="231" operator="equal">
      <formula>"Mayor"</formula>
    </cfRule>
    <cfRule type="cellIs" dxfId="111" priority="232" operator="equal">
      <formula>"Moderado"</formula>
    </cfRule>
    <cfRule type="cellIs" dxfId="110" priority="233" operator="equal">
      <formula>"Menor"</formula>
    </cfRule>
    <cfRule type="cellIs" dxfId="109" priority="234" operator="equal">
      <formula>"Leve"</formula>
    </cfRule>
  </conditionalFormatting>
  <conditionalFormatting sqref="AC17:AC18">
    <cfRule type="cellIs" dxfId="108" priority="226" operator="equal">
      <formula>"Extremo"</formula>
    </cfRule>
    <cfRule type="cellIs" dxfId="107" priority="227" operator="equal">
      <formula>"Alto"</formula>
    </cfRule>
    <cfRule type="cellIs" dxfId="106" priority="228" operator="equal">
      <formula>"Moderado"</formula>
    </cfRule>
    <cfRule type="cellIs" dxfId="105" priority="229" operator="equal">
      <formula>"Bajo"</formula>
    </cfRule>
  </conditionalFormatting>
  <conditionalFormatting sqref="H19">
    <cfRule type="cellIs" dxfId="104" priority="221" operator="equal">
      <formula>"Muy Alta"</formula>
    </cfRule>
    <cfRule type="cellIs" dxfId="103" priority="222" operator="equal">
      <formula>"Alta"</formula>
    </cfRule>
    <cfRule type="cellIs" dxfId="102" priority="223" operator="equal">
      <formula>"Media"</formula>
    </cfRule>
    <cfRule type="cellIs" dxfId="101" priority="224" operator="equal">
      <formula>"Baja"</formula>
    </cfRule>
    <cfRule type="cellIs" dxfId="100" priority="225" operator="equal">
      <formula>"Muy Baja"</formula>
    </cfRule>
  </conditionalFormatting>
  <conditionalFormatting sqref="N19">
    <cfRule type="cellIs" dxfId="99" priority="212" operator="equal">
      <formula>"Extremo"</formula>
    </cfRule>
    <cfRule type="cellIs" dxfId="98" priority="213" operator="equal">
      <formula>"Alto"</formula>
    </cfRule>
    <cfRule type="cellIs" dxfId="97" priority="214" operator="equal">
      <formula>"Moderado"</formula>
    </cfRule>
    <cfRule type="cellIs" dxfId="96" priority="215" operator="equal">
      <formula>"Bajo"</formula>
    </cfRule>
  </conditionalFormatting>
  <conditionalFormatting sqref="Y19:Y21">
    <cfRule type="cellIs" dxfId="95" priority="207" operator="equal">
      <formula>"Muy Alta"</formula>
    </cfRule>
    <cfRule type="cellIs" dxfId="94" priority="208" operator="equal">
      <formula>"Alta"</formula>
    </cfRule>
    <cfRule type="cellIs" dxfId="93" priority="209" operator="equal">
      <formula>"Media"</formula>
    </cfRule>
    <cfRule type="cellIs" dxfId="92" priority="210" operator="equal">
      <formula>"Baja"</formula>
    </cfRule>
    <cfRule type="cellIs" dxfId="91" priority="211" operator="equal">
      <formula>"Muy Baja"</formula>
    </cfRule>
  </conditionalFormatting>
  <conditionalFormatting sqref="AA19:AA21">
    <cfRule type="cellIs" dxfId="90" priority="202" operator="equal">
      <formula>"Catastrófico"</formula>
    </cfRule>
    <cfRule type="cellIs" dxfId="89" priority="203" operator="equal">
      <formula>"Mayor"</formula>
    </cfRule>
    <cfRule type="cellIs" dxfId="88" priority="204" operator="equal">
      <formula>"Moderado"</formula>
    </cfRule>
    <cfRule type="cellIs" dxfId="87" priority="205" operator="equal">
      <formula>"Menor"</formula>
    </cfRule>
    <cfRule type="cellIs" dxfId="86" priority="206" operator="equal">
      <formula>"Leve"</formula>
    </cfRule>
  </conditionalFormatting>
  <conditionalFormatting sqref="AC19:AC21">
    <cfRule type="cellIs" dxfId="85" priority="198" operator="equal">
      <formula>"Extremo"</formula>
    </cfRule>
    <cfRule type="cellIs" dxfId="84" priority="199" operator="equal">
      <formula>"Alto"</formula>
    </cfRule>
    <cfRule type="cellIs" dxfId="83" priority="200" operator="equal">
      <formula>"Moderado"</formula>
    </cfRule>
    <cfRule type="cellIs" dxfId="82" priority="201" operator="equal">
      <formula>"Bajo"</formula>
    </cfRule>
  </conditionalFormatting>
  <conditionalFormatting sqref="H22">
    <cfRule type="cellIs" dxfId="81" priority="193" operator="equal">
      <formula>"Muy Alta"</formula>
    </cfRule>
    <cfRule type="cellIs" dxfId="80" priority="194" operator="equal">
      <formula>"Alta"</formula>
    </cfRule>
    <cfRule type="cellIs" dxfId="79" priority="195" operator="equal">
      <formula>"Media"</formula>
    </cfRule>
    <cfRule type="cellIs" dxfId="78" priority="196" operator="equal">
      <formula>"Baja"</formula>
    </cfRule>
    <cfRule type="cellIs" dxfId="77" priority="197" operator="equal">
      <formula>"Muy Baja"</formula>
    </cfRule>
  </conditionalFormatting>
  <conditionalFormatting sqref="N22">
    <cfRule type="cellIs" dxfId="76" priority="184" operator="equal">
      <formula>"Extremo"</formula>
    </cfRule>
    <cfRule type="cellIs" dxfId="75" priority="185" operator="equal">
      <formula>"Alto"</formula>
    </cfRule>
    <cfRule type="cellIs" dxfId="74" priority="186" operator="equal">
      <formula>"Moderado"</formula>
    </cfRule>
    <cfRule type="cellIs" dxfId="73" priority="187" operator="equal">
      <formula>"Bajo"</formula>
    </cfRule>
  </conditionalFormatting>
  <conditionalFormatting sqref="Y22:Y25">
    <cfRule type="cellIs" dxfId="72" priority="179" operator="equal">
      <formula>"Muy Alta"</formula>
    </cfRule>
    <cfRule type="cellIs" dxfId="71" priority="180" operator="equal">
      <formula>"Alta"</formula>
    </cfRule>
    <cfRule type="cellIs" dxfId="70" priority="181" operator="equal">
      <formula>"Media"</formula>
    </cfRule>
    <cfRule type="cellIs" dxfId="69" priority="182" operator="equal">
      <formula>"Baja"</formula>
    </cfRule>
    <cfRule type="cellIs" dxfId="68" priority="183" operator="equal">
      <formula>"Muy Baja"</formula>
    </cfRule>
  </conditionalFormatting>
  <conditionalFormatting sqref="AA22:AA25">
    <cfRule type="cellIs" dxfId="67" priority="174" operator="equal">
      <formula>"Catastrófico"</formula>
    </cfRule>
    <cfRule type="cellIs" dxfId="66" priority="175" operator="equal">
      <formula>"Mayor"</formula>
    </cfRule>
    <cfRule type="cellIs" dxfId="65" priority="176" operator="equal">
      <formula>"Moderado"</formula>
    </cfRule>
    <cfRule type="cellIs" dxfId="64" priority="177" operator="equal">
      <formula>"Menor"</formula>
    </cfRule>
    <cfRule type="cellIs" dxfId="63" priority="178" operator="equal">
      <formula>"Leve"</formula>
    </cfRule>
  </conditionalFormatting>
  <conditionalFormatting sqref="AC22:AC25">
    <cfRule type="cellIs" dxfId="62" priority="170" operator="equal">
      <formula>"Extremo"</formula>
    </cfRule>
    <cfRule type="cellIs" dxfId="61" priority="171" operator="equal">
      <formula>"Alto"</formula>
    </cfRule>
    <cfRule type="cellIs" dxfId="60" priority="172" operator="equal">
      <formula>"Moderado"</formula>
    </cfRule>
    <cfRule type="cellIs" dxfId="59" priority="173" operator="equal">
      <formula>"Bajo"</formula>
    </cfRule>
  </conditionalFormatting>
  <conditionalFormatting sqref="H26">
    <cfRule type="cellIs" dxfId="58" priority="165" operator="equal">
      <formula>"Muy Alta"</formula>
    </cfRule>
    <cfRule type="cellIs" dxfId="57" priority="166" operator="equal">
      <formula>"Alta"</formula>
    </cfRule>
    <cfRule type="cellIs" dxfId="56" priority="167" operator="equal">
      <formula>"Media"</formula>
    </cfRule>
    <cfRule type="cellIs" dxfId="55" priority="168" operator="equal">
      <formula>"Baja"</formula>
    </cfRule>
    <cfRule type="cellIs" dxfId="54" priority="169" operator="equal">
      <formula>"Muy Baja"</formula>
    </cfRule>
  </conditionalFormatting>
  <conditionalFormatting sqref="N26">
    <cfRule type="cellIs" dxfId="53" priority="156" operator="equal">
      <formula>"Extremo"</formula>
    </cfRule>
    <cfRule type="cellIs" dxfId="52" priority="157" operator="equal">
      <formula>"Alto"</formula>
    </cfRule>
    <cfRule type="cellIs" dxfId="51" priority="158" operator="equal">
      <formula>"Moderado"</formula>
    </cfRule>
    <cfRule type="cellIs" dxfId="50" priority="159" operator="equal">
      <formula>"Bajo"</formula>
    </cfRule>
  </conditionalFormatting>
  <conditionalFormatting sqref="Y26:Y27">
    <cfRule type="cellIs" dxfId="49" priority="151" operator="equal">
      <formula>"Muy Alta"</formula>
    </cfRule>
    <cfRule type="cellIs" dxfId="48" priority="152" operator="equal">
      <formula>"Alta"</formula>
    </cfRule>
    <cfRule type="cellIs" dxfId="47" priority="153" operator="equal">
      <formula>"Media"</formula>
    </cfRule>
    <cfRule type="cellIs" dxfId="46" priority="154" operator="equal">
      <formula>"Baja"</formula>
    </cfRule>
    <cfRule type="cellIs" dxfId="45" priority="155" operator="equal">
      <formula>"Muy Baja"</formula>
    </cfRule>
  </conditionalFormatting>
  <conditionalFormatting sqref="AA26:AA27">
    <cfRule type="cellIs" dxfId="44" priority="146" operator="equal">
      <formula>"Catastrófico"</formula>
    </cfRule>
    <cfRule type="cellIs" dxfId="43" priority="147" operator="equal">
      <formula>"Mayor"</formula>
    </cfRule>
    <cfRule type="cellIs" dxfId="42" priority="148" operator="equal">
      <formula>"Moderado"</formula>
    </cfRule>
    <cfRule type="cellIs" dxfId="41" priority="149" operator="equal">
      <formula>"Menor"</formula>
    </cfRule>
    <cfRule type="cellIs" dxfId="40" priority="150" operator="equal">
      <formula>"Leve"</formula>
    </cfRule>
  </conditionalFormatting>
  <conditionalFormatting sqref="AC26:AC27">
    <cfRule type="cellIs" dxfId="39" priority="142" operator="equal">
      <formula>"Extremo"</formula>
    </cfRule>
    <cfRule type="cellIs" dxfId="38" priority="143" operator="equal">
      <formula>"Alto"</formula>
    </cfRule>
    <cfRule type="cellIs" dxfId="37" priority="144" operator="equal">
      <formula>"Moderado"</formula>
    </cfRule>
    <cfRule type="cellIs" dxfId="36" priority="145" operator="equal">
      <formula>"Bajo"</formula>
    </cfRule>
  </conditionalFormatting>
  <conditionalFormatting sqref="H28">
    <cfRule type="cellIs" dxfId="35" priority="137" operator="equal">
      <formula>"Muy Alta"</formula>
    </cfRule>
    <cfRule type="cellIs" dxfId="34" priority="138" operator="equal">
      <formula>"Alta"</formula>
    </cfRule>
    <cfRule type="cellIs" dxfId="33" priority="139" operator="equal">
      <formula>"Media"</formula>
    </cfRule>
    <cfRule type="cellIs" dxfId="32" priority="140" operator="equal">
      <formula>"Baja"</formula>
    </cfRule>
    <cfRule type="cellIs" dxfId="31" priority="141" operator="equal">
      <formula>"Muy Baja"</formula>
    </cfRule>
  </conditionalFormatting>
  <conditionalFormatting sqref="N28">
    <cfRule type="cellIs" dxfId="30" priority="128" operator="equal">
      <formula>"Extremo"</formula>
    </cfRule>
    <cfRule type="cellIs" dxfId="29" priority="129" operator="equal">
      <formula>"Alto"</formula>
    </cfRule>
    <cfRule type="cellIs" dxfId="28" priority="130" operator="equal">
      <formula>"Moderado"</formula>
    </cfRule>
    <cfRule type="cellIs" dxfId="27" priority="131" operator="equal">
      <formula>"Bajo"</formula>
    </cfRule>
  </conditionalFormatting>
  <conditionalFormatting sqref="H31">
    <cfRule type="cellIs" dxfId="26" priority="81" operator="equal">
      <formula>"Muy Alta"</formula>
    </cfRule>
    <cfRule type="cellIs" dxfId="25" priority="82" operator="equal">
      <formula>"Alta"</formula>
    </cfRule>
    <cfRule type="cellIs" dxfId="24" priority="83" operator="equal">
      <formula>"Media"</formula>
    </cfRule>
    <cfRule type="cellIs" dxfId="23" priority="84" operator="equal">
      <formula>"Baja"</formula>
    </cfRule>
    <cfRule type="cellIs" dxfId="22" priority="85" operator="equal">
      <formula>"Muy Baja"</formula>
    </cfRule>
  </conditionalFormatting>
  <conditionalFormatting sqref="N31">
    <cfRule type="cellIs" dxfId="21" priority="72" operator="equal">
      <formula>"Extremo"</formula>
    </cfRule>
    <cfRule type="cellIs" dxfId="20" priority="73" operator="equal">
      <formula>"Alto"</formula>
    </cfRule>
    <cfRule type="cellIs" dxfId="19" priority="74" operator="equal">
      <formula>"Moderado"</formula>
    </cfRule>
    <cfRule type="cellIs" dxfId="18" priority="75" operator="equal">
      <formula>"Bajo"</formula>
    </cfRule>
  </conditionalFormatting>
  <conditionalFormatting sqref="N33">
    <cfRule type="cellIs" dxfId="17" priority="44" operator="equal">
      <formula>"Extremo"</formula>
    </cfRule>
    <cfRule type="cellIs" dxfId="16" priority="45" operator="equal">
      <formula>"Alto"</formula>
    </cfRule>
    <cfRule type="cellIs" dxfId="15" priority="46" operator="equal">
      <formula>"Moderado"</formula>
    </cfRule>
    <cfRule type="cellIs" dxfId="14" priority="47" operator="equal">
      <formula>"Bajo"</formula>
    </cfRule>
  </conditionalFormatting>
  <conditionalFormatting sqref="H35">
    <cfRule type="cellIs" dxfId="13" priority="25" operator="equal">
      <formula>"Muy Alta"</formula>
    </cfRule>
    <cfRule type="cellIs" dxfId="12" priority="26" operator="equal">
      <formula>"Alta"</formula>
    </cfRule>
    <cfRule type="cellIs" dxfId="11" priority="27" operator="equal">
      <formula>"Media"</formula>
    </cfRule>
    <cfRule type="cellIs" dxfId="10" priority="28" operator="equal">
      <formula>"Baja"</formula>
    </cfRule>
    <cfRule type="cellIs" dxfId="9" priority="29" operator="equal">
      <formula>"Muy Baja"</formula>
    </cfRule>
  </conditionalFormatting>
  <conditionalFormatting sqref="N35">
    <cfRule type="cellIs" dxfId="8" priority="16" operator="equal">
      <formula>"Extremo"</formula>
    </cfRule>
    <cfRule type="cellIs" dxfId="7" priority="17" operator="equal">
      <formula>"Alto"</formula>
    </cfRule>
    <cfRule type="cellIs" dxfId="6" priority="18" operator="equal">
      <formula>"Moderado"</formula>
    </cfRule>
    <cfRule type="cellIs" dxfId="5" priority="19" operator="equal">
      <formula>"Bajo"</formula>
    </cfRule>
  </conditionalFormatting>
  <conditionalFormatting sqref="K12:K37">
    <cfRule type="containsText" dxfId="4" priority="1" operator="containsText" text="❌">
      <formula>NOT(ISERROR(SEARCH("❌",K12)))</formula>
    </cfRule>
  </conditionalFormatting>
  <pageMargins left="0.7" right="0.7" top="0.75" bottom="0.75" header="0.3" footer="0.3"/>
  <pageSetup orientation="portrait" r:id="rId1"/>
  <ignoredErrors>
    <ignoredError sqref="AB14"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AJ12:AJ13 AJ15:AJ20 AJ22:AJ23 AJ25:AJ29 AJ31:AJ37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AE12:AE32 AE34</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AF12:AF32</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AI12:AI19 AI21:AI33 AI35:AI37</xm:sqref>
        </x14:dataValidation>
        <x14:dataValidation type="list" allowBlank="1" showInputMessage="1" showErrorMessage="1">
          <x14:formula1>
            <xm:f>'Opciones Tratamiento'!$B$13:$B$19</xm:f>
          </x14:formula1>
          <xm:sqref>F12:F34</xm:sqref>
        </x14:dataValidation>
        <x14:dataValidation type="list" allowBlank="1" showInputMessage="1" showErrorMessage="1">
          <x14:formula1>
            <xm:f>'Tabla Valoración controles'!$D$4:$D$6</xm:f>
          </x14:formula1>
          <xm:sqref>R12:R37</xm:sqref>
        </x14:dataValidation>
        <x14:dataValidation type="list" allowBlank="1" showInputMessage="1" showErrorMessage="1">
          <x14:formula1>
            <xm:f>'Tabla Valoración controles'!$D$7:$D$8</xm:f>
          </x14:formula1>
          <xm:sqref>S12:S37</xm:sqref>
        </x14:dataValidation>
        <x14:dataValidation type="list" allowBlank="1" showInputMessage="1" showErrorMessage="1">
          <x14:formula1>
            <xm:f>'Tabla Valoración controles'!$D$9:$D$10</xm:f>
          </x14:formula1>
          <xm:sqref>U12:U37</xm:sqref>
        </x14:dataValidation>
        <x14:dataValidation type="list" allowBlank="1" showInputMessage="1" showErrorMessage="1">
          <x14:formula1>
            <xm:f>'Tabla Valoración controles'!$D$11:$D$12</xm:f>
          </x14:formula1>
          <xm:sqref>V12:V37</xm:sqref>
        </x14:dataValidation>
        <x14:dataValidation type="list" allowBlank="1" showInputMessage="1" showErrorMessage="1">
          <x14:formula1>
            <xm:f>'Tabla Valoración controles'!$D$13:$D$14</xm:f>
          </x14:formula1>
          <xm:sqref>W12:W37</xm:sqref>
        </x14:dataValidation>
        <x14:dataValidation type="list" allowBlank="1" showInputMessage="1" showErrorMessage="1">
          <x14:formula1>
            <xm:f>'Opciones Tratamiento'!$E$2:$E$4</xm:f>
          </x14:formula1>
          <xm:sqref>B12:B37</xm:sqref>
        </x14:dataValidation>
        <x14:dataValidation type="list" allowBlank="1" showInputMessage="1" showErrorMessage="1">
          <x14:formula1>
            <xm:f>'Opciones Tratamiento'!$B$2:$B$5</xm:f>
          </x14:formula1>
          <xm:sqref>AD12:AD37</xm:sqref>
        </x14:dataValidation>
        <x14:dataValidation type="list" allowBlank="1" showInputMessage="1" showErrorMessage="1">
          <x14:formula1>
            <xm:f>'Tabla Impacto'!$F$210:$F$221</xm:f>
          </x14:formula1>
          <xm:sqref>J12:J37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AG12:AG37</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X36" sqref="AX36"/>
    </sheetView>
  </sheetViews>
  <sheetFormatPr baseColWidth="10" defaultRowHeight="15" x14ac:dyDescent="0.25"/>
  <cols>
    <col min="2" max="39" width="5.7109375" customWidth="1"/>
    <col min="41" max="46" width="5.7109375" customWidth="1"/>
  </cols>
  <sheetData>
    <row r="1" spans="1:99"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row>
    <row r="2" spans="1:99" ht="18" customHeight="1" x14ac:dyDescent="0.25">
      <c r="A2" s="94"/>
      <c r="B2" s="246" t="s">
        <v>159</v>
      </c>
      <c r="C2" s="246"/>
      <c r="D2" s="246"/>
      <c r="E2" s="246"/>
      <c r="F2" s="246"/>
      <c r="G2" s="246"/>
      <c r="H2" s="246"/>
      <c r="I2" s="246"/>
      <c r="J2" s="283" t="s">
        <v>2</v>
      </c>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row>
    <row r="3" spans="1:99" ht="18.75" customHeight="1" x14ac:dyDescent="0.25">
      <c r="A3" s="94"/>
      <c r="B3" s="246"/>
      <c r="C3" s="246"/>
      <c r="D3" s="246"/>
      <c r="E3" s="246"/>
      <c r="F3" s="246"/>
      <c r="G3" s="246"/>
      <c r="H3" s="246"/>
      <c r="I3" s="246"/>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row>
    <row r="4" spans="1:99" ht="15" customHeight="1" x14ac:dyDescent="0.25">
      <c r="A4" s="94"/>
      <c r="B4" s="246"/>
      <c r="C4" s="246"/>
      <c r="D4" s="246"/>
      <c r="E4" s="246"/>
      <c r="F4" s="246"/>
      <c r="G4" s="246"/>
      <c r="H4" s="246"/>
      <c r="I4" s="246"/>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row>
    <row r="5" spans="1:99" ht="15.75" thickBot="1" x14ac:dyDescent="0.3">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row>
    <row r="6" spans="1:99" ht="15" customHeight="1" x14ac:dyDescent="0.25">
      <c r="A6" s="94"/>
      <c r="B6" s="294" t="s">
        <v>4</v>
      </c>
      <c r="C6" s="294"/>
      <c r="D6" s="295"/>
      <c r="E6" s="284" t="s">
        <v>116</v>
      </c>
      <c r="F6" s="285"/>
      <c r="G6" s="285"/>
      <c r="H6" s="285"/>
      <c r="I6" s="286"/>
      <c r="J6" s="280" t="str">
        <f ca="1">IF(AND('Mapa final'!$H$12="Muy Alta",'Mapa final'!$L$12="Leve"),CONCATENATE("R",'Mapa final'!$A$12),"")</f>
        <v/>
      </c>
      <c r="K6" s="281"/>
      <c r="L6" s="281" t="str">
        <f ca="1">IF(AND('Mapa final'!$H$17="Muy Alta",'Mapa final'!$L$17="Leve"),CONCATENATE("R",'Mapa final'!$A$17),"")</f>
        <v/>
      </c>
      <c r="M6" s="281"/>
      <c r="N6" s="281" t="str">
        <f ca="1">IF(AND('Mapa final'!$H$19="Muy Alta",'Mapa final'!$L$19="Leve"),CONCATENATE("R",'Mapa final'!$A$19),"")</f>
        <v/>
      </c>
      <c r="O6" s="282"/>
      <c r="P6" s="280" t="str">
        <f ca="1">IF(AND('Mapa final'!$H$12="Muy Alta",'Mapa final'!$L$12="Menor"),CONCATENATE("R",'Mapa final'!$A$12),"")</f>
        <v/>
      </c>
      <c r="Q6" s="281"/>
      <c r="R6" s="281" t="str">
        <f ca="1">IF(AND('Mapa final'!$H$17="Muy Alta",'Mapa final'!$L$17="Menor"),CONCATENATE("R",'Mapa final'!$A$17),"")</f>
        <v/>
      </c>
      <c r="S6" s="281"/>
      <c r="T6" s="281" t="str">
        <f ca="1">IF(AND('Mapa final'!$H$19="Muy Alta",'Mapa final'!$L$19="Menor"),CONCATENATE("R",'Mapa final'!$A$19),"")</f>
        <v/>
      </c>
      <c r="U6" s="282"/>
      <c r="V6" s="280" t="str">
        <f ca="1">IF(AND('Mapa final'!$H$12="Muy Alta",'Mapa final'!$L$12="Moderado"),CONCATENATE("R",'Mapa final'!$A$12),"")</f>
        <v/>
      </c>
      <c r="W6" s="281"/>
      <c r="X6" s="281" t="str">
        <f ca="1">IF(AND('Mapa final'!$H$17="Muy Alta",'Mapa final'!$L$17="Moderado"),CONCATENATE("R",'Mapa final'!$A$17),"")</f>
        <v/>
      </c>
      <c r="Y6" s="281"/>
      <c r="Z6" s="281" t="str">
        <f ca="1">IF(AND('Mapa final'!$H$19="Muy Alta",'Mapa final'!$L$19="Moderado"),CONCATENATE("R",'Mapa final'!$A$19),"")</f>
        <v/>
      </c>
      <c r="AA6" s="282"/>
      <c r="AB6" s="280" t="str">
        <f ca="1">IF(AND('Mapa final'!$H$12="Muy Alta",'Mapa final'!$L$12="Mayor"),CONCATENATE("R",'Mapa final'!$A$12),"")</f>
        <v/>
      </c>
      <c r="AC6" s="281"/>
      <c r="AD6" s="281" t="str">
        <f ca="1">IF(AND('Mapa final'!$H$17="Muy Alta",'Mapa final'!$L$17="Mayor"),CONCATENATE("R",'Mapa final'!$A$17),"")</f>
        <v/>
      </c>
      <c r="AE6" s="281"/>
      <c r="AF6" s="281" t="str">
        <f ca="1">IF(AND('Mapa final'!$H$19="Muy Alta",'Mapa final'!$L$19="Mayor"),CONCATENATE("R",'Mapa final'!$A$19),"")</f>
        <v/>
      </c>
      <c r="AG6" s="282"/>
      <c r="AH6" s="271" t="str">
        <f ca="1">IF(AND('Mapa final'!$H$12="Muy Alta",'Mapa final'!$L$12="Catastrófico"),CONCATENATE("R",'Mapa final'!$A$12),"")</f>
        <v/>
      </c>
      <c r="AI6" s="272"/>
      <c r="AJ6" s="272" t="str">
        <f ca="1">IF(AND('Mapa final'!$H$17="Muy Alta",'Mapa final'!$L$17="Catastrófico"),CONCATENATE("R",'Mapa final'!$A$17),"")</f>
        <v/>
      </c>
      <c r="AK6" s="272"/>
      <c r="AL6" s="272" t="str">
        <f ca="1">IF(AND('Mapa final'!$H$19="Muy Alta",'Mapa final'!$L$19="Catastrófico"),CONCATENATE("R",'Mapa final'!$A$19),"")</f>
        <v/>
      </c>
      <c r="AM6" s="273"/>
      <c r="AO6" s="296" t="s">
        <v>79</v>
      </c>
      <c r="AP6" s="297"/>
      <c r="AQ6" s="297"/>
      <c r="AR6" s="297"/>
      <c r="AS6" s="297"/>
      <c r="AT6" s="298"/>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row>
    <row r="7" spans="1:99" ht="15" customHeight="1" x14ac:dyDescent="0.25">
      <c r="A7" s="94"/>
      <c r="B7" s="294"/>
      <c r="C7" s="294"/>
      <c r="D7" s="295"/>
      <c r="E7" s="287"/>
      <c r="F7" s="288"/>
      <c r="G7" s="288"/>
      <c r="H7" s="288"/>
      <c r="I7" s="289"/>
      <c r="J7" s="274"/>
      <c r="K7" s="275"/>
      <c r="L7" s="275"/>
      <c r="M7" s="275"/>
      <c r="N7" s="275"/>
      <c r="O7" s="276"/>
      <c r="P7" s="274"/>
      <c r="Q7" s="275"/>
      <c r="R7" s="275"/>
      <c r="S7" s="275"/>
      <c r="T7" s="275"/>
      <c r="U7" s="276"/>
      <c r="V7" s="274"/>
      <c r="W7" s="275"/>
      <c r="X7" s="275"/>
      <c r="Y7" s="275"/>
      <c r="Z7" s="275"/>
      <c r="AA7" s="276"/>
      <c r="AB7" s="274"/>
      <c r="AC7" s="275"/>
      <c r="AD7" s="275"/>
      <c r="AE7" s="275"/>
      <c r="AF7" s="275"/>
      <c r="AG7" s="276"/>
      <c r="AH7" s="267"/>
      <c r="AI7" s="265"/>
      <c r="AJ7" s="265"/>
      <c r="AK7" s="265"/>
      <c r="AL7" s="265"/>
      <c r="AM7" s="266"/>
      <c r="AN7" s="94"/>
      <c r="AO7" s="299"/>
      <c r="AP7" s="300"/>
      <c r="AQ7" s="300"/>
      <c r="AR7" s="300"/>
      <c r="AS7" s="300"/>
      <c r="AT7" s="301"/>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row>
    <row r="8" spans="1:99" ht="15" customHeight="1" x14ac:dyDescent="0.25">
      <c r="A8" s="94"/>
      <c r="B8" s="294"/>
      <c r="C8" s="294"/>
      <c r="D8" s="295"/>
      <c r="E8" s="287"/>
      <c r="F8" s="288"/>
      <c r="G8" s="288"/>
      <c r="H8" s="288"/>
      <c r="I8" s="289"/>
      <c r="J8" s="274" t="str">
        <f ca="1">IF(AND('Mapa final'!$H$22="Muy Alta",'Mapa final'!$L$22="Leve"),CONCATENATE("R",'Mapa final'!$A$22),"")</f>
        <v/>
      </c>
      <c r="K8" s="275"/>
      <c r="L8" s="275" t="str">
        <f ca="1">IF(AND('Mapa final'!$H$26="Muy Alta",'Mapa final'!$L$26="Leve"),CONCATENATE("R",'Mapa final'!$A$26),"")</f>
        <v/>
      </c>
      <c r="M8" s="275"/>
      <c r="N8" s="275" t="str">
        <f>IF(AND('Mapa final'!$H$28="Muy Alta",'Mapa final'!$L$28="Leve"),CONCATENATE("R",'Mapa final'!$A$28),"")</f>
        <v/>
      </c>
      <c r="O8" s="276"/>
      <c r="P8" s="274" t="str">
        <f ca="1">IF(AND('Mapa final'!$H$22="Muy Alta",'Mapa final'!$L$22="Menor"),CONCATENATE("R",'Mapa final'!$A$22),"")</f>
        <v/>
      </c>
      <c r="Q8" s="275"/>
      <c r="R8" s="275" t="str">
        <f ca="1">IF(AND('Mapa final'!$H$26="Muy Alta",'Mapa final'!$L$26="Menor"),CONCATENATE("R",'Mapa final'!$A$26),"")</f>
        <v/>
      </c>
      <c r="S8" s="275"/>
      <c r="T8" s="275" t="str">
        <f>IF(AND('Mapa final'!$H$28="Muy Alta",'Mapa final'!$L$28="Menor"),CONCATENATE("R",'Mapa final'!$A$28),"")</f>
        <v/>
      </c>
      <c r="U8" s="276"/>
      <c r="V8" s="274" t="str">
        <f ca="1">IF(AND('Mapa final'!$H$22="Muy Alta",'Mapa final'!$L$22="Moderado"),CONCATENATE("R",'Mapa final'!$A$22),"")</f>
        <v/>
      </c>
      <c r="W8" s="275"/>
      <c r="X8" s="275" t="str">
        <f ca="1">IF(AND('Mapa final'!$H$26="Muy Alta",'Mapa final'!$L$26="Moderado"),CONCATENATE("R",'Mapa final'!$A$26),"")</f>
        <v/>
      </c>
      <c r="Y8" s="275"/>
      <c r="Z8" s="275" t="str">
        <f>IF(AND('Mapa final'!$H$28="Muy Alta",'Mapa final'!$L$28="Moderado"),CONCATENATE("R",'Mapa final'!$A$28),"")</f>
        <v/>
      </c>
      <c r="AA8" s="276"/>
      <c r="AB8" s="274" t="str">
        <f ca="1">IF(AND('Mapa final'!$H$22="Muy Alta",'Mapa final'!$L$22="Mayor"),CONCATENATE("R",'Mapa final'!$A$22),"")</f>
        <v/>
      </c>
      <c r="AC8" s="275"/>
      <c r="AD8" s="275" t="str">
        <f ca="1">IF(AND('Mapa final'!$H$26="Muy Alta",'Mapa final'!$L$26="Mayor"),CONCATENATE("R",'Mapa final'!$A$26),"")</f>
        <v/>
      </c>
      <c r="AE8" s="275"/>
      <c r="AF8" s="275" t="str">
        <f>IF(AND('Mapa final'!$H$28="Muy Alta",'Mapa final'!$L$28="Mayor"),CONCATENATE("R",'Mapa final'!$A$28),"")</f>
        <v/>
      </c>
      <c r="AG8" s="276"/>
      <c r="AH8" s="267" t="str">
        <f ca="1">IF(AND('Mapa final'!$H$22="Muy Alta",'Mapa final'!$L$22="Catastrófico"),CONCATENATE("R",'Mapa final'!$A$22),"")</f>
        <v/>
      </c>
      <c r="AI8" s="265"/>
      <c r="AJ8" s="265" t="str">
        <f ca="1">IF(AND('Mapa final'!$H$26="Muy Alta",'Mapa final'!$L$26="Catastrófico"),CONCATENATE("R",'Mapa final'!$A$26),"")</f>
        <v/>
      </c>
      <c r="AK8" s="265"/>
      <c r="AL8" s="265" t="str">
        <f>IF(AND('Mapa final'!$H$28="Muy Alta",'Mapa final'!$L$28="Catastrófico"),CONCATENATE("R",'Mapa final'!$A$28),"")</f>
        <v/>
      </c>
      <c r="AM8" s="266"/>
      <c r="AN8" s="94"/>
      <c r="AO8" s="299"/>
      <c r="AP8" s="300"/>
      <c r="AQ8" s="300"/>
      <c r="AR8" s="300"/>
      <c r="AS8" s="300"/>
      <c r="AT8" s="301"/>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row>
    <row r="9" spans="1:99" ht="15" customHeight="1" x14ac:dyDescent="0.25">
      <c r="A9" s="94"/>
      <c r="B9" s="294"/>
      <c r="C9" s="294"/>
      <c r="D9" s="295"/>
      <c r="E9" s="287"/>
      <c r="F9" s="288"/>
      <c r="G9" s="288"/>
      <c r="H9" s="288"/>
      <c r="I9" s="289"/>
      <c r="J9" s="274"/>
      <c r="K9" s="275"/>
      <c r="L9" s="275"/>
      <c r="M9" s="275"/>
      <c r="N9" s="275"/>
      <c r="O9" s="276"/>
      <c r="P9" s="274"/>
      <c r="Q9" s="275"/>
      <c r="R9" s="275"/>
      <c r="S9" s="275"/>
      <c r="T9" s="275"/>
      <c r="U9" s="276"/>
      <c r="V9" s="274"/>
      <c r="W9" s="275"/>
      <c r="X9" s="275"/>
      <c r="Y9" s="275"/>
      <c r="Z9" s="275"/>
      <c r="AA9" s="276"/>
      <c r="AB9" s="274"/>
      <c r="AC9" s="275"/>
      <c r="AD9" s="275"/>
      <c r="AE9" s="275"/>
      <c r="AF9" s="275"/>
      <c r="AG9" s="276"/>
      <c r="AH9" s="267"/>
      <c r="AI9" s="265"/>
      <c r="AJ9" s="265"/>
      <c r="AK9" s="265"/>
      <c r="AL9" s="265"/>
      <c r="AM9" s="266"/>
      <c r="AN9" s="94"/>
      <c r="AO9" s="299"/>
      <c r="AP9" s="300"/>
      <c r="AQ9" s="300"/>
      <c r="AR9" s="300"/>
      <c r="AS9" s="300"/>
      <c r="AT9" s="301"/>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row>
    <row r="10" spans="1:99" ht="15" customHeight="1" x14ac:dyDescent="0.25">
      <c r="A10" s="94"/>
      <c r="B10" s="294"/>
      <c r="C10" s="294"/>
      <c r="D10" s="295"/>
      <c r="E10" s="287"/>
      <c r="F10" s="288"/>
      <c r="G10" s="288"/>
      <c r="H10" s="288"/>
      <c r="I10" s="289"/>
      <c r="J10" s="274" t="str">
        <f ca="1">IF(AND('Mapa final'!$H$22="Muy Alta",'Mapa final'!$L$22="Leve"),CONCATENATE("R",'Mapa final'!$A$22),"")</f>
        <v/>
      </c>
      <c r="K10" s="275"/>
      <c r="L10" s="275" t="str">
        <f ca="1">IF(AND('Mapa final'!$H$31="Muy Alta",'Mapa final'!$L$31="Leve"),CONCATENATE("R",'Mapa final'!$A$31),"")</f>
        <v/>
      </c>
      <c r="M10" s="275"/>
      <c r="N10" s="275" t="str">
        <f ca="1">IF(AND('Mapa final'!$H$33="Muy Alta",'Mapa final'!$L$33="Leve"),CONCATENATE("R",'Mapa final'!$A$33),"")</f>
        <v/>
      </c>
      <c r="O10" s="276"/>
      <c r="P10" s="274" t="str">
        <f ca="1">IF(AND('Mapa final'!$H$22="Muy Alta",'Mapa final'!$L$22="Leve"),CONCATENATE("R",'Mapa final'!$A$22),"")</f>
        <v/>
      </c>
      <c r="Q10" s="275"/>
      <c r="R10" s="275" t="str">
        <f ca="1">IF(AND('Mapa final'!$H$31="Muy Alta",'Mapa final'!$L$31="Menor"),CONCATENATE("R",'Mapa final'!$A$31),"")</f>
        <v/>
      </c>
      <c r="S10" s="275"/>
      <c r="T10" s="275" t="str">
        <f ca="1">IF(AND('Mapa final'!$H$33="Muy Alta",'Mapa final'!$L$33="Menor"),CONCATENATE("R",'Mapa final'!$A$33),"")</f>
        <v/>
      </c>
      <c r="U10" s="276"/>
      <c r="V10" s="274" t="str">
        <f ca="1">IF(AND('Mapa final'!$H$22="Muy Alta",'Mapa final'!$L$22="Leve"),CONCATENATE("R",'Mapa final'!$A$22),"")</f>
        <v/>
      </c>
      <c r="W10" s="275"/>
      <c r="X10" s="275" t="str">
        <f ca="1">IF(AND('Mapa final'!$H$31="Muy Alta",'Mapa final'!$L$31="Moderado"),CONCATENATE("R",'Mapa final'!$A$31),"")</f>
        <v/>
      </c>
      <c r="Y10" s="275"/>
      <c r="Z10" s="275" t="str">
        <f ca="1">IF(AND('Mapa final'!$H$33="Muy Alta",'Mapa final'!$L$33="Moderado"),CONCATENATE("R",'Mapa final'!$A$33),"")</f>
        <v/>
      </c>
      <c r="AA10" s="276"/>
      <c r="AB10" s="274" t="str">
        <f ca="1">IF(AND('Mapa final'!$H$22="Muy Alta",'Mapa final'!$L$22="Leve"),CONCATENATE("R",'Mapa final'!$A$22),"")</f>
        <v/>
      </c>
      <c r="AC10" s="275"/>
      <c r="AD10" s="275" t="str">
        <f ca="1">IF(AND('Mapa final'!$H$31="Muy Alta",'Mapa final'!$L$31="Mayor"),CONCATENATE("R",'Mapa final'!$A$31),"")</f>
        <v/>
      </c>
      <c r="AE10" s="275"/>
      <c r="AF10" s="275" t="str">
        <f ca="1">IF(AND('Mapa final'!$H$33="Muy Alta",'Mapa final'!$L$33="Mayor"),CONCATENATE("R",'Mapa final'!$A$33),"")</f>
        <v/>
      </c>
      <c r="AG10" s="276"/>
      <c r="AH10" s="265" t="str">
        <f ca="1">IF(AND('Mapa final'!$H$26="Muy Alta",'Mapa final'!$L$26="Catastrófico"),CONCATENATE("R",'Mapa final'!$A$26),"")</f>
        <v/>
      </c>
      <c r="AI10" s="265"/>
      <c r="AJ10" s="265" t="str">
        <f ca="1">IF(AND('Mapa final'!$H$31="Muy Alta",'Mapa final'!$L$31="Catastrófico"),CONCATENATE("R",'Mapa final'!$A$31),"")</f>
        <v/>
      </c>
      <c r="AK10" s="265"/>
      <c r="AL10" s="265" t="str">
        <f ca="1">IF(AND('Mapa final'!$H$33="Muy Alta",'Mapa final'!$L$33="Catastrófico"),CONCATENATE("R",'Mapa final'!$A$33),"")</f>
        <v/>
      </c>
      <c r="AM10" s="266"/>
      <c r="AN10" s="94"/>
      <c r="AO10" s="299"/>
      <c r="AP10" s="300"/>
      <c r="AQ10" s="300"/>
      <c r="AR10" s="300"/>
      <c r="AS10" s="300"/>
      <c r="AT10" s="301"/>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row>
    <row r="11" spans="1:99" ht="15" customHeight="1" x14ac:dyDescent="0.25">
      <c r="A11" s="94"/>
      <c r="B11" s="294"/>
      <c r="C11" s="294"/>
      <c r="D11" s="295"/>
      <c r="E11" s="287"/>
      <c r="F11" s="288"/>
      <c r="G11" s="288"/>
      <c r="H11" s="288"/>
      <c r="I11" s="289"/>
      <c r="J11" s="274"/>
      <c r="K11" s="275"/>
      <c r="L11" s="275"/>
      <c r="M11" s="275"/>
      <c r="N11" s="275"/>
      <c r="O11" s="276"/>
      <c r="P11" s="274"/>
      <c r="Q11" s="275"/>
      <c r="R11" s="275"/>
      <c r="S11" s="275"/>
      <c r="T11" s="275"/>
      <c r="U11" s="276"/>
      <c r="V11" s="274"/>
      <c r="W11" s="275"/>
      <c r="X11" s="275"/>
      <c r="Y11" s="275"/>
      <c r="Z11" s="275"/>
      <c r="AA11" s="276"/>
      <c r="AB11" s="274"/>
      <c r="AC11" s="275"/>
      <c r="AD11" s="275"/>
      <c r="AE11" s="275"/>
      <c r="AF11" s="275"/>
      <c r="AG11" s="276"/>
      <c r="AH11" s="265"/>
      <c r="AI11" s="265"/>
      <c r="AJ11" s="265"/>
      <c r="AK11" s="265"/>
      <c r="AL11" s="265"/>
      <c r="AM11" s="266"/>
      <c r="AN11" s="94"/>
      <c r="AO11" s="299"/>
      <c r="AP11" s="300"/>
      <c r="AQ11" s="300"/>
      <c r="AR11" s="300"/>
      <c r="AS11" s="300"/>
      <c r="AT11" s="301"/>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row>
    <row r="12" spans="1:99" ht="15" customHeight="1" x14ac:dyDescent="0.25">
      <c r="A12" s="94"/>
      <c r="B12" s="294"/>
      <c r="C12" s="294"/>
      <c r="D12" s="295"/>
      <c r="E12" s="287"/>
      <c r="F12" s="288"/>
      <c r="G12" s="288"/>
      <c r="H12" s="288"/>
      <c r="I12" s="289"/>
      <c r="J12" s="274" t="str">
        <f ca="1">IF(AND('Mapa final'!$H$35="Muy Alta",'Mapa final'!$L$35="Leve"),CONCATENATE("R",'Mapa final'!$A$35),"")</f>
        <v/>
      </c>
      <c r="K12" s="275"/>
      <c r="L12" s="275" t="str">
        <f>IF(AND('Mapa final'!$H$38="Muy Alta",'Mapa final'!$L$38="Leve"),CONCATENATE("R",'Mapa final'!$A$38),"")</f>
        <v/>
      </c>
      <c r="M12" s="275"/>
      <c r="N12" s="275" t="str">
        <f>IF(AND('Mapa final'!$H$44="Muy Alta",'Mapa final'!$L$44="Leve"),CONCATENATE("R",'Mapa final'!$A$44),"")</f>
        <v/>
      </c>
      <c r="O12" s="276"/>
      <c r="P12" s="274" t="str">
        <f ca="1">IF(AND('Mapa final'!$H$35="Muy Alta",'Mapa final'!$L$35="Menor"),CONCATENATE("R",'Mapa final'!$A$35),"")</f>
        <v/>
      </c>
      <c r="Q12" s="275"/>
      <c r="R12" s="275" t="str">
        <f>IF(AND('Mapa final'!$H$38="Muy Alta",'Mapa final'!$L$38="Menor"),CONCATENATE("R",'Mapa final'!$A$38),"")</f>
        <v/>
      </c>
      <c r="S12" s="275"/>
      <c r="T12" s="275" t="str">
        <f>IF(AND('Mapa final'!$H$44="Muy Alta",'Mapa final'!$L$44="Menor"),CONCATENATE("R",'Mapa final'!$A$44),"")</f>
        <v/>
      </c>
      <c r="U12" s="276"/>
      <c r="V12" s="274" t="str">
        <f ca="1">IF(AND('Mapa final'!$H$35="Muy Alta",'Mapa final'!$L$35="Moderado"),CONCATENATE("R",'Mapa final'!$A$35),"")</f>
        <v/>
      </c>
      <c r="W12" s="275"/>
      <c r="X12" s="275" t="str">
        <f>IF(AND('Mapa final'!$H$38="Muy Alta",'Mapa final'!$L$38="Moderado"),CONCATENATE("R",'Mapa final'!$A$38),"")</f>
        <v/>
      </c>
      <c r="Y12" s="275"/>
      <c r="Z12" s="275" t="str">
        <f>IF(AND('Mapa final'!$H$44="Muy Alta",'Mapa final'!$L$44="Moderado"),CONCATENATE("R",'Mapa final'!$A$44),"")</f>
        <v/>
      </c>
      <c r="AA12" s="276"/>
      <c r="AB12" s="274" t="str">
        <f ca="1">IF(AND('Mapa final'!$H$35="Muy Alta",'Mapa final'!$L$35="Mayor"),CONCATENATE("R",'Mapa final'!$A$35),"")</f>
        <v/>
      </c>
      <c r="AC12" s="275"/>
      <c r="AD12" s="275" t="str">
        <f>IF(AND('Mapa final'!$H$38="Muy Alta",'Mapa final'!$L$38="Mayor"),CONCATENATE("R",'Mapa final'!$A$38),"")</f>
        <v/>
      </c>
      <c r="AE12" s="275"/>
      <c r="AF12" s="275" t="str">
        <f>IF(AND('Mapa final'!$H$44="Muy Alta",'Mapa final'!$L$44="Mayor"),CONCATENATE("R",'Mapa final'!$A$44),"")</f>
        <v/>
      </c>
      <c r="AG12" s="276"/>
      <c r="AH12" s="267" t="str">
        <f ca="1">IF(AND('Mapa final'!$H$35="Muy Alta",'Mapa final'!$L$35="Catastrófico"),CONCATENATE("R",'Mapa final'!$A$35),"")</f>
        <v/>
      </c>
      <c r="AI12" s="265"/>
      <c r="AJ12" s="265" t="str">
        <f>IF(AND('Mapa final'!$H$38="Muy Alta",'Mapa final'!$L$38="Catastrófico"),CONCATENATE("R",'Mapa final'!$A$38),"")</f>
        <v/>
      </c>
      <c r="AK12" s="265"/>
      <c r="AL12" s="265" t="str">
        <f>IF(AND('Mapa final'!$H$44="Muy Alta",'Mapa final'!$L$44="Catastrófico"),CONCATENATE("R",'Mapa final'!$A$44),"")</f>
        <v/>
      </c>
      <c r="AM12" s="266"/>
      <c r="AN12" s="94"/>
      <c r="AO12" s="299"/>
      <c r="AP12" s="300"/>
      <c r="AQ12" s="300"/>
      <c r="AR12" s="300"/>
      <c r="AS12" s="300"/>
      <c r="AT12" s="301"/>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row>
    <row r="13" spans="1:99" ht="15.75" customHeight="1" thickBot="1" x14ac:dyDescent="0.3">
      <c r="A13" s="94"/>
      <c r="B13" s="294"/>
      <c r="C13" s="294"/>
      <c r="D13" s="295"/>
      <c r="E13" s="290"/>
      <c r="F13" s="291"/>
      <c r="G13" s="291"/>
      <c r="H13" s="291"/>
      <c r="I13" s="292"/>
      <c r="J13" s="274"/>
      <c r="K13" s="275"/>
      <c r="L13" s="275"/>
      <c r="M13" s="275"/>
      <c r="N13" s="275"/>
      <c r="O13" s="276"/>
      <c r="P13" s="274"/>
      <c r="Q13" s="275"/>
      <c r="R13" s="275"/>
      <c r="S13" s="275"/>
      <c r="T13" s="275"/>
      <c r="U13" s="276"/>
      <c r="V13" s="274"/>
      <c r="W13" s="275"/>
      <c r="X13" s="275"/>
      <c r="Y13" s="275"/>
      <c r="Z13" s="275"/>
      <c r="AA13" s="276"/>
      <c r="AB13" s="274"/>
      <c r="AC13" s="275"/>
      <c r="AD13" s="275"/>
      <c r="AE13" s="275"/>
      <c r="AF13" s="275"/>
      <c r="AG13" s="276"/>
      <c r="AH13" s="268"/>
      <c r="AI13" s="269"/>
      <c r="AJ13" s="269"/>
      <c r="AK13" s="269"/>
      <c r="AL13" s="269"/>
      <c r="AM13" s="270"/>
      <c r="AN13" s="94"/>
      <c r="AO13" s="302"/>
      <c r="AP13" s="303"/>
      <c r="AQ13" s="303"/>
      <c r="AR13" s="303"/>
      <c r="AS13" s="303"/>
      <c r="AT13" s="30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row>
    <row r="14" spans="1:99" ht="15" customHeight="1" x14ac:dyDescent="0.25">
      <c r="A14" s="94"/>
      <c r="B14" s="294"/>
      <c r="C14" s="294"/>
      <c r="D14" s="295"/>
      <c r="E14" s="284" t="s">
        <v>115</v>
      </c>
      <c r="F14" s="285"/>
      <c r="G14" s="285"/>
      <c r="H14" s="285"/>
      <c r="I14" s="285"/>
      <c r="J14" s="262" t="str">
        <f ca="1">IF(AND('Mapa final'!$H$12="Alta",'Mapa final'!$L$12="Leve"),CONCATENATE("R",'Mapa final'!$A$12),"")</f>
        <v/>
      </c>
      <c r="K14" s="263"/>
      <c r="L14" s="263" t="str">
        <f ca="1">IF(AND('Mapa final'!$H$17="Alta",'Mapa final'!$L$17="Leve"),CONCATENATE("R",'Mapa final'!$A$17),"")</f>
        <v/>
      </c>
      <c r="M14" s="263"/>
      <c r="N14" s="263" t="str">
        <f ca="1">IF(AND('Mapa final'!$H$19="Alta",'Mapa final'!$L$19="Leve"),CONCATENATE("R",'Mapa final'!$A$19),"")</f>
        <v/>
      </c>
      <c r="O14" s="264"/>
      <c r="P14" s="262" t="str">
        <f ca="1">IF(AND('Mapa final'!$H$12="Alta",'Mapa final'!$L$12="Menor"),CONCATENATE("R",'Mapa final'!$A$12),"")</f>
        <v/>
      </c>
      <c r="Q14" s="263"/>
      <c r="R14" s="263" t="str">
        <f ca="1">IF(AND('Mapa final'!$H$17="Alta",'Mapa final'!$L$17="Menor"),CONCATENATE("R",'Mapa final'!$A$17),"")</f>
        <v/>
      </c>
      <c r="S14" s="263"/>
      <c r="T14" s="263" t="str">
        <f ca="1">IF(AND('Mapa final'!$H$19="Alta",'Mapa final'!$L$19="Menor"),CONCATENATE("R",'Mapa final'!$A$19),"")</f>
        <v/>
      </c>
      <c r="U14" s="264"/>
      <c r="V14" s="280" t="str">
        <f ca="1">IF(AND('Mapa final'!$H$12="Alta",'Mapa final'!$L$12="Moderado"),CONCATENATE("R",'Mapa final'!$A$12),"")</f>
        <v/>
      </c>
      <c r="W14" s="281"/>
      <c r="X14" s="281" t="str">
        <f ca="1">IF(AND('Mapa final'!$H$17="Alta",'Mapa final'!$L$17="Moderado"),CONCATENATE("R",'Mapa final'!$A$17),"")</f>
        <v/>
      </c>
      <c r="Y14" s="281"/>
      <c r="Z14" s="281" t="str">
        <f ca="1">IF(AND('Mapa final'!$H$19="Alta",'Mapa final'!$L$19="Moderado"),CONCATENATE("R",'Mapa final'!$A$19),"")</f>
        <v/>
      </c>
      <c r="AA14" s="282"/>
      <c r="AB14" s="280" t="str">
        <f ca="1">IF(AND('Mapa final'!$H$12="Alta",'Mapa final'!$L$12="Mayor"),CONCATENATE("R",'Mapa final'!$A$12),"")</f>
        <v>R1</v>
      </c>
      <c r="AC14" s="281"/>
      <c r="AD14" s="281" t="str">
        <f ca="1">IF(AND('Mapa final'!$H$17="Alta",'Mapa final'!$L$17="Mayor"),CONCATENATE("R",'Mapa final'!$A$17),"")</f>
        <v>R2</v>
      </c>
      <c r="AE14" s="281"/>
      <c r="AF14" s="281" t="str">
        <f ca="1">IF(AND('Mapa final'!$H$19="Alta",'Mapa final'!$L$19="Mayor"),CONCATENATE("R",'Mapa final'!$A$19),"")</f>
        <v/>
      </c>
      <c r="AG14" s="282"/>
      <c r="AH14" s="271" t="str">
        <f ca="1">IF(AND('Mapa final'!$H$12="Alta",'Mapa final'!$L$12="Catastrófico"),CONCATENATE("R",'Mapa final'!$A$12),"")</f>
        <v/>
      </c>
      <c r="AI14" s="272"/>
      <c r="AJ14" s="272" t="str">
        <f ca="1">IF(AND('Mapa final'!$H$17="Alta",'Mapa final'!$L$17="Catastrófico"),CONCATENATE("R",'Mapa final'!$A$17),"")</f>
        <v/>
      </c>
      <c r="AK14" s="272"/>
      <c r="AL14" s="272" t="str">
        <f ca="1">IF(AND('Mapa final'!$H$19="Alta",'Mapa final'!$L$19="Catastrófico"),CONCATENATE("R",'Mapa final'!$A$19),"")</f>
        <v/>
      </c>
      <c r="AM14" s="273"/>
      <c r="AN14" s="94"/>
      <c r="AO14" s="305" t="s">
        <v>80</v>
      </c>
      <c r="AP14" s="306"/>
      <c r="AQ14" s="306"/>
      <c r="AR14" s="306"/>
      <c r="AS14" s="306"/>
      <c r="AT14" s="307"/>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row>
    <row r="15" spans="1:99" ht="15" customHeight="1" x14ac:dyDescent="0.25">
      <c r="A15" s="94"/>
      <c r="B15" s="294"/>
      <c r="C15" s="294"/>
      <c r="D15" s="295"/>
      <c r="E15" s="287"/>
      <c r="F15" s="288"/>
      <c r="G15" s="288"/>
      <c r="H15" s="288"/>
      <c r="I15" s="288"/>
      <c r="J15" s="258"/>
      <c r="K15" s="256"/>
      <c r="L15" s="256"/>
      <c r="M15" s="256"/>
      <c r="N15" s="256"/>
      <c r="O15" s="257"/>
      <c r="P15" s="258"/>
      <c r="Q15" s="256"/>
      <c r="R15" s="256"/>
      <c r="S15" s="256"/>
      <c r="T15" s="256"/>
      <c r="U15" s="257"/>
      <c r="V15" s="274"/>
      <c r="W15" s="275"/>
      <c r="X15" s="275"/>
      <c r="Y15" s="275"/>
      <c r="Z15" s="275"/>
      <c r="AA15" s="276"/>
      <c r="AB15" s="274"/>
      <c r="AC15" s="275"/>
      <c r="AD15" s="275"/>
      <c r="AE15" s="275"/>
      <c r="AF15" s="275"/>
      <c r="AG15" s="276"/>
      <c r="AH15" s="267"/>
      <c r="AI15" s="265"/>
      <c r="AJ15" s="265"/>
      <c r="AK15" s="265"/>
      <c r="AL15" s="265"/>
      <c r="AM15" s="266"/>
      <c r="AN15" s="94"/>
      <c r="AO15" s="308"/>
      <c r="AP15" s="309"/>
      <c r="AQ15" s="309"/>
      <c r="AR15" s="309"/>
      <c r="AS15" s="309"/>
      <c r="AT15" s="310"/>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row>
    <row r="16" spans="1:99" ht="15" customHeight="1" x14ac:dyDescent="0.25">
      <c r="A16" s="94"/>
      <c r="B16" s="294"/>
      <c r="C16" s="294"/>
      <c r="D16" s="295"/>
      <c r="E16" s="287"/>
      <c r="F16" s="288"/>
      <c r="G16" s="288"/>
      <c r="H16" s="288"/>
      <c r="I16" s="288"/>
      <c r="J16" s="258" t="str">
        <f ca="1">IF(AND('Mapa final'!$H$22="Alta",'Mapa final'!$L$22="Leve"),CONCATENATE("R",'Mapa final'!$A$22),"")</f>
        <v/>
      </c>
      <c r="K16" s="256"/>
      <c r="L16" s="256" t="str">
        <f ca="1">IF(AND('Mapa final'!$H$26="Alta",'Mapa final'!$L$26="Leve"),CONCATENATE("R",'Mapa final'!$A$26),"")</f>
        <v/>
      </c>
      <c r="M16" s="256"/>
      <c r="N16" s="256" t="str">
        <f>IF(AND('Mapa final'!$H$28="Alta",'Mapa final'!$L$28="Leve"),CONCATENATE("R",'Mapa final'!$A$28),"")</f>
        <v/>
      </c>
      <c r="O16" s="257"/>
      <c r="P16" s="258" t="str">
        <f ca="1">IF(AND('Mapa final'!$H$22="Alta",'Mapa final'!$L$22="Menor"),CONCATENATE("R",'Mapa final'!$A$22),"")</f>
        <v/>
      </c>
      <c r="Q16" s="256"/>
      <c r="R16" s="256" t="str">
        <f ca="1">IF(AND('Mapa final'!$H$26="Alta",'Mapa final'!$L$26="Menor"),CONCATENATE("R",'Mapa final'!$A$26),"")</f>
        <v/>
      </c>
      <c r="S16" s="256"/>
      <c r="T16" s="256" t="str">
        <f>IF(AND('Mapa final'!$H$28="Alta",'Mapa final'!$L$28="Menor"),CONCATENATE("R",'Mapa final'!$A$28),"")</f>
        <v/>
      </c>
      <c r="U16" s="257"/>
      <c r="V16" s="274" t="str">
        <f ca="1">IF(AND('Mapa final'!$H$22="Alta",'Mapa final'!$L$22="Moderado"),CONCATENATE("R",'Mapa final'!$A$22),"")</f>
        <v/>
      </c>
      <c r="W16" s="275"/>
      <c r="X16" s="275" t="str">
        <f ca="1">IF(AND('Mapa final'!$H$26="Alta",'Mapa final'!$L$26="Moderado"),CONCATENATE("R",'Mapa final'!$A$26),"")</f>
        <v/>
      </c>
      <c r="Y16" s="275"/>
      <c r="Z16" s="275" t="str">
        <f>IF(AND('Mapa final'!$H$28="Alta",'Mapa final'!$L$28="Moderado"),CONCATENATE("R",'Mapa final'!$A$28),"")</f>
        <v/>
      </c>
      <c r="AA16" s="276"/>
      <c r="AB16" s="274" t="str">
        <f ca="1">IF(AND('Mapa final'!$H$22="Alta",'Mapa final'!$L$22="Mayor"),CONCATENATE("R",'Mapa final'!$A$22),"")</f>
        <v/>
      </c>
      <c r="AC16" s="275"/>
      <c r="AD16" s="275" t="str">
        <f ca="1">IF(AND('Mapa final'!$H$26="Alta",'Mapa final'!$L$26="Mayor"),CONCATENATE("R",'Mapa final'!$A$26),"")</f>
        <v/>
      </c>
      <c r="AE16" s="275"/>
      <c r="AF16" s="275" t="str">
        <f>IF(AND('Mapa final'!$H$28="Alta",'Mapa final'!$L$28="Mayor"),CONCATENATE("R",'Mapa final'!$A$28),"")</f>
        <v/>
      </c>
      <c r="AG16" s="276"/>
      <c r="AH16" s="265" t="str">
        <f ca="1">IF(AND('Mapa final'!$H$26="Muy Alta",'Mapa final'!$L$26="Catastrófico"),CONCATENATE("R",'Mapa final'!$A$26),"")</f>
        <v/>
      </c>
      <c r="AI16" s="265"/>
      <c r="AJ16" s="265" t="str">
        <f ca="1">IF(AND('Mapa final'!$H$26="Alta",'Mapa final'!$L$26="Catastrófico"),CONCATENATE("R",'Mapa final'!$A$26),"")</f>
        <v/>
      </c>
      <c r="AK16" s="265"/>
      <c r="AL16" s="265" t="str">
        <f>IF(AND('Mapa final'!$H$28="Alta",'Mapa final'!$L$28="Catastrófico"),CONCATENATE("R",'Mapa final'!$A$28),"")</f>
        <v/>
      </c>
      <c r="AM16" s="266"/>
      <c r="AN16" s="94"/>
      <c r="AO16" s="308"/>
      <c r="AP16" s="309"/>
      <c r="AQ16" s="309"/>
      <c r="AR16" s="309"/>
      <c r="AS16" s="309"/>
      <c r="AT16" s="310"/>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row>
    <row r="17" spans="1:80" ht="15" customHeight="1" x14ac:dyDescent="0.25">
      <c r="A17" s="94"/>
      <c r="B17" s="294"/>
      <c r="C17" s="294"/>
      <c r="D17" s="295"/>
      <c r="E17" s="287"/>
      <c r="F17" s="288"/>
      <c r="G17" s="288"/>
      <c r="H17" s="288"/>
      <c r="I17" s="288"/>
      <c r="J17" s="258"/>
      <c r="K17" s="256"/>
      <c r="L17" s="256"/>
      <c r="M17" s="256"/>
      <c r="N17" s="256"/>
      <c r="O17" s="257"/>
      <c r="P17" s="258"/>
      <c r="Q17" s="256"/>
      <c r="R17" s="256"/>
      <c r="S17" s="256"/>
      <c r="T17" s="256"/>
      <c r="U17" s="257"/>
      <c r="V17" s="274"/>
      <c r="W17" s="275"/>
      <c r="X17" s="275"/>
      <c r="Y17" s="275"/>
      <c r="Z17" s="275"/>
      <c r="AA17" s="276"/>
      <c r="AB17" s="274"/>
      <c r="AC17" s="275"/>
      <c r="AD17" s="275"/>
      <c r="AE17" s="275"/>
      <c r="AF17" s="275"/>
      <c r="AG17" s="276"/>
      <c r="AH17" s="265"/>
      <c r="AI17" s="265"/>
      <c r="AJ17" s="265"/>
      <c r="AK17" s="265"/>
      <c r="AL17" s="265"/>
      <c r="AM17" s="266"/>
      <c r="AN17" s="94"/>
      <c r="AO17" s="308"/>
      <c r="AP17" s="309"/>
      <c r="AQ17" s="309"/>
      <c r="AR17" s="309"/>
      <c r="AS17" s="309"/>
      <c r="AT17" s="310"/>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row>
    <row r="18" spans="1:80" ht="15" customHeight="1" x14ac:dyDescent="0.25">
      <c r="A18" s="94"/>
      <c r="B18" s="294"/>
      <c r="C18" s="294"/>
      <c r="D18" s="295"/>
      <c r="E18" s="287"/>
      <c r="F18" s="288"/>
      <c r="G18" s="288"/>
      <c r="H18" s="288"/>
      <c r="I18" s="288"/>
      <c r="J18" s="256" t="str">
        <f ca="1">IF(AND('Mapa final'!$H$31="Alta",'Mapa final'!$L$31="Leve"),CONCATENATE("R",'Mapa final'!$A$31),"")</f>
        <v/>
      </c>
      <c r="K18" s="256"/>
      <c r="L18" s="256" t="str">
        <f ca="1">IF(AND('Mapa final'!$H$31="Alta",'Mapa final'!$L$31="Leve"),CONCATENATE("R",'Mapa final'!$A$31),"")</f>
        <v/>
      </c>
      <c r="M18" s="256"/>
      <c r="N18" s="256" t="str">
        <f ca="1">IF(AND('Mapa final'!$H$33="Alta",'Mapa final'!$L$33="Leve"),CONCATENATE("R",'Mapa final'!$A$33),"")</f>
        <v/>
      </c>
      <c r="O18" s="257"/>
      <c r="P18" s="256" t="str">
        <f ca="1">IF(AND('Mapa final'!$H$31="Alta",'Mapa final'!$L$31="Leve"),CONCATENATE("R",'Mapa final'!$A$31),"")</f>
        <v/>
      </c>
      <c r="Q18" s="256"/>
      <c r="R18" s="256" t="str">
        <f ca="1">IF(AND('Mapa final'!$H$31="Alta",'Mapa final'!$L$31="Menor"),CONCATENATE("R",'Mapa final'!$A$31),"")</f>
        <v/>
      </c>
      <c r="S18" s="256"/>
      <c r="T18" s="256" t="str">
        <f ca="1">IF(AND('Mapa final'!$H$33="Alta",'Mapa final'!$L$33="Menor"),CONCATENATE("R",'Mapa final'!$A$33),"")</f>
        <v/>
      </c>
      <c r="U18" s="257"/>
      <c r="V18" s="274" t="str">
        <f ca="1">IF(AND('Mapa final'!$H$22="Muy Alta",'Mapa final'!$L$22="Leve"),CONCATENATE("R",'Mapa final'!$A$22),"")</f>
        <v/>
      </c>
      <c r="W18" s="275"/>
      <c r="X18" s="275" t="str">
        <f ca="1">IF(AND('Mapa final'!$H$31="Alta",'Mapa final'!$L$31="Moderado"),CONCATENATE("R",'Mapa final'!$A$31),"")</f>
        <v/>
      </c>
      <c r="Y18" s="275"/>
      <c r="Z18" s="275" t="str">
        <f ca="1">IF(AND('Mapa final'!$H$33="Alta",'Mapa final'!$L$33="Moderado"),CONCATENATE("R",'Mapa final'!$A$33),"")</f>
        <v/>
      </c>
      <c r="AA18" s="276"/>
      <c r="AB18" s="274" t="str">
        <f ca="1">IF(AND('Mapa final'!$H$22="Muy Alta",'Mapa final'!$L$22="Leve"),CONCATENATE("R",'Mapa final'!$A$22),"")</f>
        <v/>
      </c>
      <c r="AC18" s="275"/>
      <c r="AD18" s="275" t="str">
        <f ca="1">IF(AND('Mapa final'!$H$31="Alta",'Mapa final'!$L$31="Mayor"),CONCATENATE("R",'Mapa final'!$A$31),"")</f>
        <v/>
      </c>
      <c r="AE18" s="275"/>
      <c r="AF18" s="275" t="str">
        <f ca="1">IF(AND('Mapa final'!$H$33="Alta",'Mapa final'!$L$33="Mayor"),CONCATENATE("R",'Mapa final'!$A$33),"")</f>
        <v/>
      </c>
      <c r="AG18" s="276"/>
      <c r="AH18" s="265" t="str">
        <f ca="1">IF(AND('Mapa final'!$H$26="Muy Alta",'Mapa final'!$L$26="Catastrófico"),CONCATENATE("R",'Mapa final'!$A$26),"")</f>
        <v/>
      </c>
      <c r="AI18" s="265"/>
      <c r="AJ18" s="265" t="str">
        <f ca="1">IF(AND('Mapa final'!$H$31="Alta",'Mapa final'!$L$31="Catastrófico"),CONCATENATE("R",'Mapa final'!$A$31),"")</f>
        <v/>
      </c>
      <c r="AK18" s="265"/>
      <c r="AL18" s="265" t="str">
        <f ca="1">IF(AND('Mapa final'!$H$33="Alta",'Mapa final'!$L$33="Catastrófico"),CONCATENATE("R",'Mapa final'!$A$33),"")</f>
        <v/>
      </c>
      <c r="AM18" s="266"/>
      <c r="AN18" s="94"/>
      <c r="AO18" s="308"/>
      <c r="AP18" s="309"/>
      <c r="AQ18" s="309"/>
      <c r="AR18" s="309"/>
      <c r="AS18" s="309"/>
      <c r="AT18" s="310"/>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row>
    <row r="19" spans="1:80" ht="15" customHeight="1" x14ac:dyDescent="0.25">
      <c r="A19" s="94"/>
      <c r="B19" s="294"/>
      <c r="C19" s="294"/>
      <c r="D19" s="295"/>
      <c r="E19" s="287"/>
      <c r="F19" s="288"/>
      <c r="G19" s="288"/>
      <c r="H19" s="288"/>
      <c r="I19" s="288"/>
      <c r="J19" s="256"/>
      <c r="K19" s="256"/>
      <c r="L19" s="256"/>
      <c r="M19" s="256"/>
      <c r="N19" s="256"/>
      <c r="O19" s="257"/>
      <c r="P19" s="256"/>
      <c r="Q19" s="256"/>
      <c r="R19" s="256"/>
      <c r="S19" s="256"/>
      <c r="T19" s="256"/>
      <c r="U19" s="257"/>
      <c r="V19" s="274"/>
      <c r="W19" s="275"/>
      <c r="X19" s="275"/>
      <c r="Y19" s="275"/>
      <c r="Z19" s="275"/>
      <c r="AA19" s="276"/>
      <c r="AB19" s="274"/>
      <c r="AC19" s="275"/>
      <c r="AD19" s="275"/>
      <c r="AE19" s="275"/>
      <c r="AF19" s="275"/>
      <c r="AG19" s="276"/>
      <c r="AH19" s="265"/>
      <c r="AI19" s="265"/>
      <c r="AJ19" s="265"/>
      <c r="AK19" s="265"/>
      <c r="AL19" s="265"/>
      <c r="AM19" s="266"/>
      <c r="AN19" s="94"/>
      <c r="AO19" s="308"/>
      <c r="AP19" s="309"/>
      <c r="AQ19" s="309"/>
      <c r="AR19" s="309"/>
      <c r="AS19" s="309"/>
      <c r="AT19" s="310"/>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row>
    <row r="20" spans="1:80" ht="15" customHeight="1" x14ac:dyDescent="0.25">
      <c r="A20" s="94"/>
      <c r="B20" s="294"/>
      <c r="C20" s="294"/>
      <c r="D20" s="295"/>
      <c r="E20" s="287"/>
      <c r="F20" s="288"/>
      <c r="G20" s="288"/>
      <c r="H20" s="288"/>
      <c r="I20" s="288"/>
      <c r="J20" s="258" t="str">
        <f ca="1">IF(AND('Mapa final'!$H$35="Alta",'Mapa final'!$L$35="Leve"),CONCATENATE("R",'Mapa final'!$A$35),"")</f>
        <v/>
      </c>
      <c r="K20" s="256"/>
      <c r="L20" s="256" t="str">
        <f>IF(AND('Mapa final'!$H$38="Alta",'Mapa final'!$L$38="Leve"),CONCATENATE("R",'Mapa final'!$A$38),"")</f>
        <v/>
      </c>
      <c r="M20" s="256"/>
      <c r="N20" s="256" t="str">
        <f>IF(AND('Mapa final'!$H$44="Alta",'Mapa final'!$L$44="Leve"),CONCATENATE("R",'Mapa final'!$A$44),"")</f>
        <v/>
      </c>
      <c r="O20" s="257"/>
      <c r="P20" s="258" t="str">
        <f ca="1">IF(AND('Mapa final'!$H$35="Alta",'Mapa final'!$L$35="Menor"),CONCATENATE("R",'Mapa final'!$A$35),"")</f>
        <v/>
      </c>
      <c r="Q20" s="256"/>
      <c r="R20" s="256" t="str">
        <f>IF(AND('Mapa final'!$H$38="Alta",'Mapa final'!$L$38="Menor"),CONCATENATE("R",'Mapa final'!$A$38),"")</f>
        <v/>
      </c>
      <c r="S20" s="256"/>
      <c r="T20" s="256" t="str">
        <f>IF(AND('Mapa final'!$H$44="Alta",'Mapa final'!$L$44="Menor"),CONCATENATE("R",'Mapa final'!$A$44),"")</f>
        <v/>
      </c>
      <c r="U20" s="257"/>
      <c r="V20" s="274" t="str">
        <f ca="1">IF(AND('Mapa final'!$H$35="Alta",'Mapa final'!$L$35="Moderado"),CONCATENATE("R",'Mapa final'!$A$35),"")</f>
        <v/>
      </c>
      <c r="W20" s="275"/>
      <c r="X20" s="275" t="str">
        <f>IF(AND('Mapa final'!$H$38="Alta",'Mapa final'!$L$38="Moderado"),CONCATENATE("R",'Mapa final'!$A$38),"")</f>
        <v/>
      </c>
      <c r="Y20" s="275"/>
      <c r="Z20" s="275" t="str">
        <f>IF(AND('Mapa final'!$H$44="Alta",'Mapa final'!$L$44="Moderado"),CONCATENATE("R",'Mapa final'!$A$44),"")</f>
        <v/>
      </c>
      <c r="AA20" s="276"/>
      <c r="AB20" s="274" t="str">
        <f ca="1">IF(AND('Mapa final'!$H$35="Alta",'Mapa final'!$L$35="Mayor"),CONCATENATE("R",'Mapa final'!$A$35),"")</f>
        <v/>
      </c>
      <c r="AC20" s="275"/>
      <c r="AD20" s="275" t="str">
        <f>IF(AND('Mapa final'!$H$38="Alta",'Mapa final'!$L$38="Mayor"),CONCATENATE("R",'Mapa final'!$A$38),"")</f>
        <v/>
      </c>
      <c r="AE20" s="275"/>
      <c r="AF20" s="275" t="str">
        <f>IF(AND('Mapa final'!$H$44="Alta",'Mapa final'!$L$44="Mayor"),CONCATENATE("R",'Mapa final'!$A$44),"")</f>
        <v/>
      </c>
      <c r="AG20" s="276"/>
      <c r="AH20" s="267" t="str">
        <f ca="1">IF(AND('Mapa final'!$H$35="Alta",'Mapa final'!$L$35="Catastrófico"),CONCATENATE("R",'Mapa final'!$A$35),"")</f>
        <v/>
      </c>
      <c r="AI20" s="265"/>
      <c r="AJ20" s="265" t="str">
        <f>IF(AND('Mapa final'!$H$38="Alta",'Mapa final'!$L$38="Catastrófico"),CONCATENATE("R",'Mapa final'!$A$38),"")</f>
        <v/>
      </c>
      <c r="AK20" s="265"/>
      <c r="AL20" s="265" t="str">
        <f>IF(AND('Mapa final'!$H$44="Alta",'Mapa final'!$L$44="Catastrófico"),CONCATENATE("R",'Mapa final'!$A$44),"")</f>
        <v/>
      </c>
      <c r="AM20" s="266"/>
      <c r="AN20" s="94"/>
      <c r="AO20" s="308"/>
      <c r="AP20" s="309"/>
      <c r="AQ20" s="309"/>
      <c r="AR20" s="309"/>
      <c r="AS20" s="309"/>
      <c r="AT20" s="310"/>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row>
    <row r="21" spans="1:80" ht="15.75" customHeight="1" thickBot="1" x14ac:dyDescent="0.3">
      <c r="A21" s="94"/>
      <c r="B21" s="294"/>
      <c r="C21" s="294"/>
      <c r="D21" s="295"/>
      <c r="E21" s="290"/>
      <c r="F21" s="291"/>
      <c r="G21" s="291"/>
      <c r="H21" s="291"/>
      <c r="I21" s="291"/>
      <c r="J21" s="259"/>
      <c r="K21" s="260"/>
      <c r="L21" s="260"/>
      <c r="M21" s="260"/>
      <c r="N21" s="260"/>
      <c r="O21" s="261"/>
      <c r="P21" s="259"/>
      <c r="Q21" s="260"/>
      <c r="R21" s="260"/>
      <c r="S21" s="260"/>
      <c r="T21" s="260"/>
      <c r="U21" s="261"/>
      <c r="V21" s="277"/>
      <c r="W21" s="278"/>
      <c r="X21" s="278"/>
      <c r="Y21" s="278"/>
      <c r="Z21" s="278"/>
      <c r="AA21" s="279"/>
      <c r="AB21" s="277"/>
      <c r="AC21" s="278"/>
      <c r="AD21" s="278"/>
      <c r="AE21" s="278"/>
      <c r="AF21" s="278"/>
      <c r="AG21" s="279"/>
      <c r="AH21" s="268"/>
      <c r="AI21" s="269"/>
      <c r="AJ21" s="269"/>
      <c r="AK21" s="269"/>
      <c r="AL21" s="269"/>
      <c r="AM21" s="270"/>
      <c r="AN21" s="94"/>
      <c r="AO21" s="311"/>
      <c r="AP21" s="312"/>
      <c r="AQ21" s="312"/>
      <c r="AR21" s="312"/>
      <c r="AS21" s="312"/>
      <c r="AT21" s="313"/>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row>
    <row r="22" spans="1:80" x14ac:dyDescent="0.25">
      <c r="A22" s="94"/>
      <c r="B22" s="294"/>
      <c r="C22" s="294"/>
      <c r="D22" s="295"/>
      <c r="E22" s="284" t="s">
        <v>117</v>
      </c>
      <c r="F22" s="285"/>
      <c r="G22" s="285"/>
      <c r="H22" s="285"/>
      <c r="I22" s="286"/>
      <c r="J22" s="262" t="str">
        <f ca="1">IF(AND('Mapa final'!$H$12="Media",'Mapa final'!$L$12="Leve"),CONCATENATE("R",'Mapa final'!$A$12),"")</f>
        <v/>
      </c>
      <c r="K22" s="263"/>
      <c r="L22" s="263" t="str">
        <f ca="1">IF(AND('Mapa final'!$H$17="Media",'Mapa final'!$L$17="Leve"),CONCATENATE("R",'Mapa final'!$A$17),"")</f>
        <v/>
      </c>
      <c r="M22" s="263"/>
      <c r="N22" s="263" t="str">
        <f ca="1">IF(AND('Mapa final'!$H$19="Media",'Mapa final'!$L$19="Leve"),CONCATENATE("R",'Mapa final'!$A$19),"")</f>
        <v/>
      </c>
      <c r="O22" s="264"/>
      <c r="P22" s="262" t="str">
        <f ca="1">IF(AND('Mapa final'!$H$12="Media",'Mapa final'!$L$12="Menor"),CONCATENATE("R",'Mapa final'!$A$12),"")</f>
        <v/>
      </c>
      <c r="Q22" s="263"/>
      <c r="R22" s="263" t="str">
        <f ca="1">IF(AND('Mapa final'!$H$17="Media",'Mapa final'!$L$17="Menor"),CONCATENATE("R",'Mapa final'!$A$17),"")</f>
        <v/>
      </c>
      <c r="S22" s="263"/>
      <c r="T22" s="263" t="str">
        <f ca="1">IF(AND('Mapa final'!$H$19="Media",'Mapa final'!$L$19="Menor"),CONCATENATE("R",'Mapa final'!$A$19),"")</f>
        <v/>
      </c>
      <c r="U22" s="264"/>
      <c r="V22" s="262" t="str">
        <f ca="1">IF(AND('Mapa final'!$H$12="Media",'Mapa final'!$L$12="Moderado"),CONCATENATE("R",'Mapa final'!$A$12),"")</f>
        <v/>
      </c>
      <c r="W22" s="263"/>
      <c r="X22" s="263" t="str">
        <f ca="1">IF(AND('Mapa final'!$H$17="Media",'Mapa final'!$L$17="Moderado"),CONCATENATE("R",'Mapa final'!$A$17),"")</f>
        <v/>
      </c>
      <c r="Y22" s="263"/>
      <c r="Z22" s="263" t="str">
        <f ca="1">IF(AND('Mapa final'!$H$19="Media",'Mapa final'!$L$19="Moderado"),CONCATENATE("R",'Mapa final'!$A$19),"")</f>
        <v/>
      </c>
      <c r="AA22" s="264"/>
      <c r="AB22" s="280" t="str">
        <f ca="1">IF(AND('Mapa final'!$H$12="Media",'Mapa final'!$L$12="Mayor"),CONCATENATE("R",'Mapa final'!$A$12),"")</f>
        <v/>
      </c>
      <c r="AC22" s="281"/>
      <c r="AD22" s="281" t="str">
        <f ca="1">IF(AND('Mapa final'!$H$17="Media",'Mapa final'!$L$17="Mayor"),CONCATENATE("R",'Mapa final'!$A$17),"")</f>
        <v/>
      </c>
      <c r="AE22" s="281"/>
      <c r="AF22" s="281" t="str">
        <f ca="1">IF(AND('Mapa final'!$H$19="Media",'Mapa final'!$L$19="Mayor"),CONCATENATE("R",'Mapa final'!$A$19),"")</f>
        <v>R3</v>
      </c>
      <c r="AG22" s="282"/>
      <c r="AH22" s="271" t="str">
        <f ca="1">IF(AND('Mapa final'!$H$12="Media",'Mapa final'!$L$12="Catastrófico"),CONCATENATE("R",'Mapa final'!$A$12),"")</f>
        <v/>
      </c>
      <c r="AI22" s="272"/>
      <c r="AJ22" s="272" t="str">
        <f ca="1">IF(AND('Mapa final'!$H$17="Media",'Mapa final'!$L$17="Catastrófico"),CONCATENATE("R",'Mapa final'!$A$17),"")</f>
        <v/>
      </c>
      <c r="AK22" s="272"/>
      <c r="AL22" s="272" t="str">
        <f ca="1">IF(AND('Mapa final'!$H$19="Media",'Mapa final'!$L$19="Catastrófico"),CONCATENATE("R",'Mapa final'!$A$19),"")</f>
        <v/>
      </c>
      <c r="AM22" s="273"/>
      <c r="AN22" s="94"/>
      <c r="AO22" s="314" t="s">
        <v>81</v>
      </c>
      <c r="AP22" s="315"/>
      <c r="AQ22" s="315"/>
      <c r="AR22" s="315"/>
      <c r="AS22" s="315"/>
      <c r="AT22" s="316"/>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row>
    <row r="23" spans="1:80" x14ac:dyDescent="0.25">
      <c r="A23" s="94"/>
      <c r="B23" s="294"/>
      <c r="C23" s="294"/>
      <c r="D23" s="295"/>
      <c r="E23" s="287"/>
      <c r="F23" s="288"/>
      <c r="G23" s="288"/>
      <c r="H23" s="288"/>
      <c r="I23" s="289"/>
      <c r="J23" s="258"/>
      <c r="K23" s="256"/>
      <c r="L23" s="256"/>
      <c r="M23" s="256"/>
      <c r="N23" s="256"/>
      <c r="O23" s="257"/>
      <c r="P23" s="258"/>
      <c r="Q23" s="256"/>
      <c r="R23" s="256"/>
      <c r="S23" s="256"/>
      <c r="T23" s="256"/>
      <c r="U23" s="257"/>
      <c r="V23" s="258"/>
      <c r="W23" s="256"/>
      <c r="X23" s="256"/>
      <c r="Y23" s="256"/>
      <c r="Z23" s="256"/>
      <c r="AA23" s="257"/>
      <c r="AB23" s="274"/>
      <c r="AC23" s="275"/>
      <c r="AD23" s="275"/>
      <c r="AE23" s="275"/>
      <c r="AF23" s="275"/>
      <c r="AG23" s="276"/>
      <c r="AH23" s="267"/>
      <c r="AI23" s="265"/>
      <c r="AJ23" s="265"/>
      <c r="AK23" s="265"/>
      <c r="AL23" s="265"/>
      <c r="AM23" s="266"/>
      <c r="AN23" s="94"/>
      <c r="AO23" s="317"/>
      <c r="AP23" s="318"/>
      <c r="AQ23" s="318"/>
      <c r="AR23" s="318"/>
      <c r="AS23" s="318"/>
      <c r="AT23" s="319"/>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row>
    <row r="24" spans="1:80" ht="15" customHeight="1" x14ac:dyDescent="0.25">
      <c r="A24" s="94"/>
      <c r="B24" s="294"/>
      <c r="C24" s="294"/>
      <c r="D24" s="295"/>
      <c r="E24" s="287"/>
      <c r="F24" s="288"/>
      <c r="G24" s="288"/>
      <c r="H24" s="288"/>
      <c r="I24" s="289"/>
      <c r="J24" s="258" t="str">
        <f ca="1">IF(AND('Mapa final'!$H$22="Media",'Mapa final'!$L$22="Leve"),CONCATENATE("R",'Mapa final'!$A$22),"")</f>
        <v/>
      </c>
      <c r="K24" s="256"/>
      <c r="L24" s="256" t="str">
        <f ca="1">IF(AND('Mapa final'!$H$26="Media",'Mapa final'!$L$26="Leve"),CONCATENATE("R",'Mapa final'!$A$26),"")</f>
        <v/>
      </c>
      <c r="M24" s="256"/>
      <c r="N24" s="256" t="str">
        <f>IF(AND('Mapa final'!$H$28="Media",'Mapa final'!$L$28="Leve"),CONCATENATE("R",'Mapa final'!$A$28),"")</f>
        <v/>
      </c>
      <c r="O24" s="257"/>
      <c r="P24" s="258" t="str">
        <f ca="1">IF(AND('Mapa final'!$H$22="Media",'Mapa final'!$L$22="Menor"),CONCATENATE("R",'Mapa final'!$A$22),"")</f>
        <v/>
      </c>
      <c r="Q24" s="256"/>
      <c r="R24" s="256" t="str">
        <f ca="1">IF(AND('Mapa final'!$H$26="Media",'Mapa final'!$L$26="Menor"),CONCATENATE("R",'Mapa final'!$A$26),"")</f>
        <v/>
      </c>
      <c r="S24" s="256"/>
      <c r="T24" s="256" t="str">
        <f>IF(AND('Mapa final'!$H$28="Media",'Mapa final'!$L$28="Menor"),CONCATENATE("R",'Mapa final'!$A$28),"")</f>
        <v/>
      </c>
      <c r="U24" s="257"/>
      <c r="V24" s="258" t="str">
        <f ca="1">IF(AND('Mapa final'!$H$22="Media",'Mapa final'!$L$22="Moderado"),CONCATENATE("R",'Mapa final'!$A$22),"")</f>
        <v/>
      </c>
      <c r="W24" s="256"/>
      <c r="X24" s="256" t="str">
        <f ca="1">IF(AND('Mapa final'!$H$26="Media",'Mapa final'!$L$26="Moderado"),CONCATENATE("R",'Mapa final'!$A$26),"")</f>
        <v/>
      </c>
      <c r="Y24" s="256"/>
      <c r="Z24" s="256" t="str">
        <f>IF(AND('Mapa final'!$H$28="Media",'Mapa final'!$L$28="Moderado"),CONCATENATE("R",'Mapa final'!$A$28),"")</f>
        <v/>
      </c>
      <c r="AA24" s="257"/>
      <c r="AB24" s="274" t="str">
        <f ca="1">IF(AND('Mapa final'!$H$22="Media",'Mapa final'!$L$22="Mayor"),CONCATENATE("R",'Mapa final'!$A$22),"")</f>
        <v>R4</v>
      </c>
      <c r="AC24" s="275"/>
      <c r="AD24" s="275" t="str">
        <f ca="1">IF(AND('Mapa final'!$H$26="Media",'Mapa final'!$L$26="Mayor"),CONCATENATE("R",'Mapa final'!$A$26),"")</f>
        <v/>
      </c>
      <c r="AE24" s="275"/>
      <c r="AF24" s="275" t="str">
        <f>IF(AND('Mapa final'!$H$28="Media",'Mapa final'!$L$28="Mayor"),CONCATENATE("R",'Mapa final'!$A$28),"")</f>
        <v/>
      </c>
      <c r="AG24" s="276"/>
      <c r="AH24" s="265" t="str">
        <f ca="1">IF(AND('Mapa final'!$H$26="Muy Alta",'Mapa final'!$L$26="Catastrófico"),CONCATENATE("R",'Mapa final'!$A$26),"")</f>
        <v/>
      </c>
      <c r="AI24" s="265"/>
      <c r="AJ24" s="265" t="str">
        <f ca="1">IF(AND('Mapa final'!$H$26="Media",'Mapa final'!$L$26="Catastrófico"),CONCATENATE("R",'Mapa final'!$A$26),"")</f>
        <v>R5</v>
      </c>
      <c r="AK24" s="265"/>
      <c r="AL24" s="265" t="str">
        <f>IF(AND('Mapa final'!$H$28="Media",'Mapa final'!$L$28="Catastrófico"),CONCATENATE("R",'Mapa final'!$A$28),"")</f>
        <v/>
      </c>
      <c r="AM24" s="266"/>
      <c r="AN24" s="94"/>
      <c r="AO24" s="317"/>
      <c r="AP24" s="318"/>
      <c r="AQ24" s="318"/>
      <c r="AR24" s="318"/>
      <c r="AS24" s="318"/>
      <c r="AT24" s="319"/>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row>
    <row r="25" spans="1:80" ht="15" customHeight="1" x14ac:dyDescent="0.25">
      <c r="A25" s="94"/>
      <c r="B25" s="294"/>
      <c r="C25" s="294"/>
      <c r="D25" s="295"/>
      <c r="E25" s="287"/>
      <c r="F25" s="288"/>
      <c r="G25" s="288"/>
      <c r="H25" s="288"/>
      <c r="I25" s="289"/>
      <c r="J25" s="258"/>
      <c r="K25" s="256"/>
      <c r="L25" s="256"/>
      <c r="M25" s="256"/>
      <c r="N25" s="256"/>
      <c r="O25" s="257"/>
      <c r="P25" s="258"/>
      <c r="Q25" s="256"/>
      <c r="R25" s="256"/>
      <c r="S25" s="256"/>
      <c r="T25" s="256"/>
      <c r="U25" s="257"/>
      <c r="V25" s="258"/>
      <c r="W25" s="256"/>
      <c r="X25" s="256"/>
      <c r="Y25" s="256"/>
      <c r="Z25" s="256"/>
      <c r="AA25" s="257"/>
      <c r="AB25" s="274"/>
      <c r="AC25" s="275"/>
      <c r="AD25" s="275"/>
      <c r="AE25" s="275"/>
      <c r="AF25" s="275"/>
      <c r="AG25" s="276"/>
      <c r="AH25" s="265"/>
      <c r="AI25" s="265"/>
      <c r="AJ25" s="265"/>
      <c r="AK25" s="265"/>
      <c r="AL25" s="265"/>
      <c r="AM25" s="266"/>
      <c r="AN25" s="94"/>
      <c r="AO25" s="317"/>
      <c r="AP25" s="318"/>
      <c r="AQ25" s="318"/>
      <c r="AR25" s="318"/>
      <c r="AS25" s="318"/>
      <c r="AT25" s="319"/>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row>
    <row r="26" spans="1:80" ht="15" customHeight="1" x14ac:dyDescent="0.25">
      <c r="A26" s="94"/>
      <c r="B26" s="294"/>
      <c r="C26" s="294"/>
      <c r="D26" s="295"/>
      <c r="E26" s="287"/>
      <c r="F26" s="288"/>
      <c r="G26" s="288"/>
      <c r="H26" s="288"/>
      <c r="I26" s="289"/>
      <c r="J26" s="256" t="str">
        <f ca="1">IF(AND('Mapa final'!$H$31="Alta",'Mapa final'!$L$31="Leve"),CONCATENATE("R",'Mapa final'!$A$31),"")</f>
        <v/>
      </c>
      <c r="K26" s="256"/>
      <c r="L26" s="256" t="str">
        <f ca="1">IF(AND('Mapa final'!$H$31="Media",'Mapa final'!$L$31="Leve"),CONCATENATE("R",'Mapa final'!$A$31),"")</f>
        <v/>
      </c>
      <c r="M26" s="256"/>
      <c r="N26" s="256" t="str">
        <f ca="1">IF(AND('Mapa final'!$H$33="Media",'Mapa final'!$L$33="Leve"),CONCATENATE("R",'Mapa final'!$A$33),"")</f>
        <v/>
      </c>
      <c r="O26" s="257"/>
      <c r="P26" s="256" t="str">
        <f ca="1">IF(AND('Mapa final'!$H$31="Alta",'Mapa final'!$L$31="Leve"),CONCATENATE("R",'Mapa final'!$A$31),"")</f>
        <v/>
      </c>
      <c r="Q26" s="256"/>
      <c r="R26" s="256" t="str">
        <f ca="1">IF(AND('Mapa final'!$H$31="Media",'Mapa final'!$L$31="Menor"),CONCATENATE("R",'Mapa final'!$A$31),"")</f>
        <v/>
      </c>
      <c r="S26" s="256"/>
      <c r="T26" s="256" t="str">
        <f ca="1">IF(AND('Mapa final'!$H$33="Media",'Mapa final'!$L$33="Menor"),CONCATENATE("R",'Mapa final'!$A$33),"")</f>
        <v/>
      </c>
      <c r="U26" s="257"/>
      <c r="V26" s="256" t="str">
        <f ca="1">IF(AND('Mapa final'!$H$31="Alta",'Mapa final'!$L$31="Leve"),CONCATENATE("R",'Mapa final'!$A$31),"")</f>
        <v/>
      </c>
      <c r="W26" s="256"/>
      <c r="X26" s="256" t="str">
        <f ca="1">IF(AND('Mapa final'!$H$31="Media",'Mapa final'!$L$31="Moderado"),CONCATENATE("R",'Mapa final'!$A$31),"")</f>
        <v/>
      </c>
      <c r="Y26" s="256"/>
      <c r="Z26" s="256" t="str">
        <f ca="1">IF(AND('Mapa final'!$H$33="Media",'Mapa final'!$L$33="Moderado"),CONCATENATE("R",'Mapa final'!$A$33),"")</f>
        <v>R8</v>
      </c>
      <c r="AA26" s="257"/>
      <c r="AB26" s="274" t="str">
        <f ca="1">IF(AND('Mapa final'!$H$22="Muy Alta",'Mapa final'!$L$22="Leve"),CONCATENATE("R",'Mapa final'!$A$22),"")</f>
        <v/>
      </c>
      <c r="AC26" s="275"/>
      <c r="AD26" s="275" t="str">
        <f ca="1">IF(AND('Mapa final'!$H$31="Media",'Mapa final'!$L$31="Mayor"),CONCATENATE("R",'Mapa final'!$A$31),"")</f>
        <v/>
      </c>
      <c r="AE26" s="275"/>
      <c r="AF26" s="275" t="str">
        <f ca="1">IF(AND('Mapa final'!$H$33="Media",'Mapa final'!$L$33="Mayor"),CONCATENATE("R",'Mapa final'!$A$33),"")</f>
        <v/>
      </c>
      <c r="AG26" s="276"/>
      <c r="AH26" s="265" t="str">
        <f ca="1">IF(AND('Mapa final'!$H$26="Muy Alta",'Mapa final'!$L$26="Catastrófico"),CONCATENATE("R",'Mapa final'!$A$26),"")</f>
        <v/>
      </c>
      <c r="AI26" s="265"/>
      <c r="AJ26" s="265" t="str">
        <f ca="1">IF(AND('Mapa final'!$H$31="Media",'Mapa final'!$L$31="Catastrófico"),CONCATENATE("R",'Mapa final'!$A$31),"")</f>
        <v/>
      </c>
      <c r="AK26" s="265"/>
      <c r="AL26" s="265" t="str">
        <f ca="1">IF(AND('Mapa final'!$H$33="Media",'Mapa final'!$L$33="Catastrófico"),CONCATENATE("R",'Mapa final'!$A$33),"")</f>
        <v/>
      </c>
      <c r="AM26" s="266"/>
      <c r="AN26" s="94"/>
      <c r="AO26" s="317"/>
      <c r="AP26" s="318"/>
      <c r="AQ26" s="318"/>
      <c r="AR26" s="318"/>
      <c r="AS26" s="318"/>
      <c r="AT26" s="319"/>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row>
    <row r="27" spans="1:80" ht="15" customHeight="1" x14ac:dyDescent="0.25">
      <c r="A27" s="94"/>
      <c r="B27" s="294"/>
      <c r="C27" s="294"/>
      <c r="D27" s="295"/>
      <c r="E27" s="287"/>
      <c r="F27" s="288"/>
      <c r="G27" s="288"/>
      <c r="H27" s="288"/>
      <c r="I27" s="289"/>
      <c r="J27" s="256"/>
      <c r="K27" s="256"/>
      <c r="L27" s="256"/>
      <c r="M27" s="256"/>
      <c r="N27" s="256"/>
      <c r="O27" s="257"/>
      <c r="P27" s="256"/>
      <c r="Q27" s="256"/>
      <c r="R27" s="256"/>
      <c r="S27" s="256"/>
      <c r="T27" s="256"/>
      <c r="U27" s="257"/>
      <c r="V27" s="256"/>
      <c r="W27" s="256"/>
      <c r="X27" s="256"/>
      <c r="Y27" s="256"/>
      <c r="Z27" s="256"/>
      <c r="AA27" s="257"/>
      <c r="AB27" s="274"/>
      <c r="AC27" s="275"/>
      <c r="AD27" s="275"/>
      <c r="AE27" s="275"/>
      <c r="AF27" s="275"/>
      <c r="AG27" s="276"/>
      <c r="AH27" s="265"/>
      <c r="AI27" s="265"/>
      <c r="AJ27" s="265"/>
      <c r="AK27" s="265"/>
      <c r="AL27" s="265"/>
      <c r="AM27" s="266"/>
      <c r="AN27" s="94"/>
      <c r="AO27" s="317"/>
      <c r="AP27" s="318"/>
      <c r="AQ27" s="318"/>
      <c r="AR27" s="318"/>
      <c r="AS27" s="318"/>
      <c r="AT27" s="319"/>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row>
    <row r="28" spans="1:80" x14ac:dyDescent="0.25">
      <c r="A28" s="94"/>
      <c r="B28" s="294"/>
      <c r="C28" s="294"/>
      <c r="D28" s="295"/>
      <c r="E28" s="287"/>
      <c r="F28" s="288"/>
      <c r="G28" s="288"/>
      <c r="H28" s="288"/>
      <c r="I28" s="289"/>
      <c r="J28" s="258" t="str">
        <f ca="1">IF(AND('Mapa final'!$H$35="Media",'Mapa final'!$L$35="Leve"),CONCATENATE("R",'Mapa final'!$A$35),"")</f>
        <v/>
      </c>
      <c r="K28" s="256"/>
      <c r="L28" s="256" t="str">
        <f>IF(AND('Mapa final'!$H$38="Media",'Mapa final'!$L$38="Leve"),CONCATENATE("R",'Mapa final'!$A$38),"")</f>
        <v/>
      </c>
      <c r="M28" s="256"/>
      <c r="N28" s="256" t="str">
        <f>IF(AND('Mapa final'!$H$44="Media",'Mapa final'!$L$44="Leve"),CONCATENATE("R",'Mapa final'!$A$44),"")</f>
        <v/>
      </c>
      <c r="O28" s="257"/>
      <c r="P28" s="258" t="str">
        <f ca="1">IF(AND('Mapa final'!$H$35="Media",'Mapa final'!$L$35="Menor"),CONCATENATE("R",'Mapa final'!$A$35),"")</f>
        <v/>
      </c>
      <c r="Q28" s="256"/>
      <c r="R28" s="256" t="str">
        <f>IF(AND('Mapa final'!$H$38="Media",'Mapa final'!$L$38="Menor"),CONCATENATE("R",'Mapa final'!$A$38),"")</f>
        <v/>
      </c>
      <c r="S28" s="256"/>
      <c r="T28" s="256" t="str">
        <f>IF(AND('Mapa final'!$H$44="Media",'Mapa final'!$L$44="Menor"),CONCATENATE("R",'Mapa final'!$A$44),"")</f>
        <v/>
      </c>
      <c r="U28" s="257"/>
      <c r="V28" s="258" t="str">
        <f ca="1">IF(AND('Mapa final'!$H$35="Media",'Mapa final'!$L$35="Moderado"),CONCATENATE("R",'Mapa final'!$A$35),"")</f>
        <v>R9</v>
      </c>
      <c r="W28" s="256"/>
      <c r="X28" s="256" t="str">
        <f>IF(AND('Mapa final'!$H$38="Media",'Mapa final'!$L$38="Moderado"),CONCATENATE("R",'Mapa final'!$A$38),"")</f>
        <v/>
      </c>
      <c r="Y28" s="256"/>
      <c r="Z28" s="256" t="str">
        <f>IF(AND('Mapa final'!$H$44="Media",'Mapa final'!$L$44="Moderado"),CONCATENATE("R",'Mapa final'!$A$44),"")</f>
        <v/>
      </c>
      <c r="AA28" s="257"/>
      <c r="AB28" s="274" t="str">
        <f ca="1">IF(AND('Mapa final'!$H$35="Media",'Mapa final'!$L$35="Mayor"),CONCATENATE("R",'Mapa final'!$A$35),"")</f>
        <v/>
      </c>
      <c r="AC28" s="275"/>
      <c r="AD28" s="275" t="str">
        <f>IF(AND('Mapa final'!$H$38="Media",'Mapa final'!$L$38="Mayor"),CONCATENATE("R",'Mapa final'!$A$38),"")</f>
        <v/>
      </c>
      <c r="AE28" s="275"/>
      <c r="AF28" s="275" t="str">
        <f>IF(AND('Mapa final'!$H$44="Media",'Mapa final'!$L$44="Mayor"),CONCATENATE("R",'Mapa final'!$A$44),"")</f>
        <v/>
      </c>
      <c r="AG28" s="276"/>
      <c r="AH28" s="267" t="str">
        <f ca="1">IF(AND('Mapa final'!$H$35="Media",'Mapa final'!$L$35="Catastrófico"),CONCATENATE("R",'Mapa final'!$A$35),"")</f>
        <v/>
      </c>
      <c r="AI28" s="265"/>
      <c r="AJ28" s="265" t="str">
        <f>IF(AND('Mapa final'!$H$38="Media",'Mapa final'!$L$38="Catastrófico"),CONCATENATE("R",'Mapa final'!$A$38),"")</f>
        <v/>
      </c>
      <c r="AK28" s="265"/>
      <c r="AL28" s="265" t="str">
        <f>IF(AND('Mapa final'!$H$44="Media",'Mapa final'!$L$44="Catastrófico"),CONCATENATE("R",'Mapa final'!$A$44),"")</f>
        <v/>
      </c>
      <c r="AM28" s="266"/>
      <c r="AN28" s="94"/>
      <c r="AO28" s="317"/>
      <c r="AP28" s="318"/>
      <c r="AQ28" s="318"/>
      <c r="AR28" s="318"/>
      <c r="AS28" s="318"/>
      <c r="AT28" s="319"/>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row>
    <row r="29" spans="1:80" ht="15.75" thickBot="1" x14ac:dyDescent="0.3">
      <c r="A29" s="94"/>
      <c r="B29" s="294"/>
      <c r="C29" s="294"/>
      <c r="D29" s="295"/>
      <c r="E29" s="290"/>
      <c r="F29" s="291"/>
      <c r="G29" s="291"/>
      <c r="H29" s="291"/>
      <c r="I29" s="292"/>
      <c r="J29" s="258"/>
      <c r="K29" s="256"/>
      <c r="L29" s="256"/>
      <c r="M29" s="256"/>
      <c r="N29" s="256"/>
      <c r="O29" s="257"/>
      <c r="P29" s="259"/>
      <c r="Q29" s="260"/>
      <c r="R29" s="260"/>
      <c r="S29" s="260"/>
      <c r="T29" s="260"/>
      <c r="U29" s="261"/>
      <c r="V29" s="259"/>
      <c r="W29" s="260"/>
      <c r="X29" s="260"/>
      <c r="Y29" s="260"/>
      <c r="Z29" s="260"/>
      <c r="AA29" s="261"/>
      <c r="AB29" s="277"/>
      <c r="AC29" s="278"/>
      <c r="AD29" s="278"/>
      <c r="AE29" s="278"/>
      <c r="AF29" s="278"/>
      <c r="AG29" s="279"/>
      <c r="AH29" s="268"/>
      <c r="AI29" s="269"/>
      <c r="AJ29" s="269"/>
      <c r="AK29" s="269"/>
      <c r="AL29" s="269"/>
      <c r="AM29" s="270"/>
      <c r="AN29" s="94"/>
      <c r="AO29" s="320"/>
      <c r="AP29" s="321"/>
      <c r="AQ29" s="321"/>
      <c r="AR29" s="321"/>
      <c r="AS29" s="321"/>
      <c r="AT29" s="322"/>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row>
    <row r="30" spans="1:80" x14ac:dyDescent="0.25">
      <c r="A30" s="94"/>
      <c r="B30" s="294"/>
      <c r="C30" s="294"/>
      <c r="D30" s="295"/>
      <c r="E30" s="284" t="s">
        <v>114</v>
      </c>
      <c r="F30" s="285"/>
      <c r="G30" s="285"/>
      <c r="H30" s="285"/>
      <c r="I30" s="285"/>
      <c r="J30" s="253" t="str">
        <f ca="1">IF(AND('Mapa final'!$H$12="Baja",'Mapa final'!$L$12="Leve"),CONCATENATE("R",'Mapa final'!$A$12),"")</f>
        <v/>
      </c>
      <c r="K30" s="254"/>
      <c r="L30" s="254" t="str">
        <f ca="1">IF(AND('Mapa final'!$H$17="Baja",'Mapa final'!$L$17="Leve"),CONCATENATE("R",'Mapa final'!$A$17),"")</f>
        <v/>
      </c>
      <c r="M30" s="254"/>
      <c r="N30" s="254" t="str">
        <f ca="1">IF(AND('Mapa final'!$H$19="Baja",'Mapa final'!$L$19="Leve"),CONCATENATE("R",'Mapa final'!$A$19),"")</f>
        <v/>
      </c>
      <c r="O30" s="255"/>
      <c r="P30" s="263" t="str">
        <f ca="1">IF(AND('Mapa final'!$H$12="Baja",'Mapa final'!$L$12="Menor"),CONCATENATE("R",'Mapa final'!$A$12),"")</f>
        <v/>
      </c>
      <c r="Q30" s="263"/>
      <c r="R30" s="263" t="str">
        <f ca="1">IF(AND('Mapa final'!$H$17="Baja",'Mapa final'!$L$17="Menor"),CONCATENATE("R",'Mapa final'!$A$17),"")</f>
        <v/>
      </c>
      <c r="S30" s="263"/>
      <c r="T30" s="263" t="str">
        <f ca="1">IF(AND('Mapa final'!$H$19="Baja",'Mapa final'!$L$19="Menor"),CONCATENATE("R",'Mapa final'!$A$19),"")</f>
        <v/>
      </c>
      <c r="U30" s="264"/>
      <c r="V30" s="262" t="str">
        <f ca="1">IF(AND('Mapa final'!$H$12="Baja",'Mapa final'!$L$12="Moderado"),CONCATENATE("R",'Mapa final'!$A$12),"")</f>
        <v/>
      </c>
      <c r="W30" s="263"/>
      <c r="X30" s="263" t="str">
        <f ca="1">IF(AND('Mapa final'!$H$17="Baja",'Mapa final'!$L$17="Moderado"),CONCATENATE("R",'Mapa final'!$A$17),"")</f>
        <v/>
      </c>
      <c r="Y30" s="263"/>
      <c r="Z30" s="263" t="str">
        <f ca="1">IF(AND('Mapa final'!$H$19="Baja",'Mapa final'!$L$19="Moderado"),CONCATENATE("R",'Mapa final'!$A$19),"")</f>
        <v/>
      </c>
      <c r="AA30" s="264"/>
      <c r="AB30" s="280" t="str">
        <f ca="1">IF(AND('Mapa final'!$H$12="Baja",'Mapa final'!$L$12="Mayor"),CONCATENATE("R",'Mapa final'!$A$12),"")</f>
        <v/>
      </c>
      <c r="AC30" s="281"/>
      <c r="AD30" s="281" t="str">
        <f ca="1">IF(AND('Mapa final'!$H$17="Baja",'Mapa final'!$L$17="Mayor"),CONCATENATE("R",'Mapa final'!$A$17),"")</f>
        <v/>
      </c>
      <c r="AE30" s="281"/>
      <c r="AF30" s="281" t="str">
        <f ca="1">IF(AND('Mapa final'!$H$19="Baja",'Mapa final'!$L$19="Mayor"),CONCATENATE("R",'Mapa final'!$A$19),"")</f>
        <v/>
      </c>
      <c r="AG30" s="282"/>
      <c r="AH30" s="271" t="str">
        <f ca="1">IF(AND('Mapa final'!$H$12="Baja",'Mapa final'!$L$12="Catastrófico"),CONCATENATE("R",'Mapa final'!$A$12),"")</f>
        <v/>
      </c>
      <c r="AI30" s="272"/>
      <c r="AJ30" s="272" t="str">
        <f ca="1">IF(AND('Mapa final'!$H$17="Baja",'Mapa final'!$L$17="Catastrófico"),CONCATENATE("R",'Mapa final'!$A$17),"")</f>
        <v/>
      </c>
      <c r="AK30" s="272"/>
      <c r="AL30" s="272" t="str">
        <f ca="1">IF(AND('Mapa final'!$H$19="Baja",'Mapa final'!$L$19="Catastrófico"),CONCATENATE("R",'Mapa final'!$A$19),"")</f>
        <v/>
      </c>
      <c r="AM30" s="273"/>
      <c r="AN30" s="94"/>
      <c r="AO30" s="323" t="s">
        <v>82</v>
      </c>
      <c r="AP30" s="324"/>
      <c r="AQ30" s="324"/>
      <c r="AR30" s="324"/>
      <c r="AS30" s="324"/>
      <c r="AT30" s="325"/>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row>
    <row r="31" spans="1:80" x14ac:dyDescent="0.25">
      <c r="A31" s="94"/>
      <c r="B31" s="294"/>
      <c r="C31" s="294"/>
      <c r="D31" s="295"/>
      <c r="E31" s="287"/>
      <c r="F31" s="288"/>
      <c r="G31" s="288"/>
      <c r="H31" s="288"/>
      <c r="I31" s="288"/>
      <c r="J31" s="249"/>
      <c r="K31" s="247"/>
      <c r="L31" s="247"/>
      <c r="M31" s="247"/>
      <c r="N31" s="247"/>
      <c r="O31" s="248"/>
      <c r="P31" s="256"/>
      <c r="Q31" s="256"/>
      <c r="R31" s="256"/>
      <c r="S31" s="256"/>
      <c r="T31" s="256"/>
      <c r="U31" s="257"/>
      <c r="V31" s="258"/>
      <c r="W31" s="256"/>
      <c r="X31" s="256"/>
      <c r="Y31" s="256"/>
      <c r="Z31" s="256"/>
      <c r="AA31" s="257"/>
      <c r="AB31" s="274"/>
      <c r="AC31" s="275"/>
      <c r="AD31" s="275"/>
      <c r="AE31" s="275"/>
      <c r="AF31" s="275"/>
      <c r="AG31" s="276"/>
      <c r="AH31" s="267"/>
      <c r="AI31" s="265"/>
      <c r="AJ31" s="265"/>
      <c r="AK31" s="265"/>
      <c r="AL31" s="265"/>
      <c r="AM31" s="266"/>
      <c r="AN31" s="94"/>
      <c r="AO31" s="326"/>
      <c r="AP31" s="327"/>
      <c r="AQ31" s="327"/>
      <c r="AR31" s="327"/>
      <c r="AS31" s="327"/>
      <c r="AT31" s="328"/>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row>
    <row r="32" spans="1:80" x14ac:dyDescent="0.25">
      <c r="A32" s="94"/>
      <c r="B32" s="294"/>
      <c r="C32" s="294"/>
      <c r="D32" s="295"/>
      <c r="E32" s="287"/>
      <c r="F32" s="288"/>
      <c r="G32" s="288"/>
      <c r="H32" s="288"/>
      <c r="I32" s="288"/>
      <c r="J32" s="249" t="str">
        <f ca="1">IF(AND('Mapa final'!$H$22="Baja",'Mapa final'!$L$22="Leve"),CONCATENATE("R",'Mapa final'!$A$22),"")</f>
        <v/>
      </c>
      <c r="K32" s="247"/>
      <c r="L32" s="247" t="str">
        <f ca="1">IF(AND('Mapa final'!$H$26="Baja",'Mapa final'!$L$26="Leve"),CONCATENATE("R",'Mapa final'!$A$26),"")</f>
        <v/>
      </c>
      <c r="M32" s="247"/>
      <c r="N32" s="247" t="str">
        <f>IF(AND('Mapa final'!$H$28="Baja",'Mapa final'!$L$28="Leve"),CONCATENATE("R",'Mapa final'!$A$28),"")</f>
        <v/>
      </c>
      <c r="O32" s="248"/>
      <c r="P32" s="256" t="str">
        <f ca="1">IF(AND('Mapa final'!$H$22="Baja",'Mapa final'!$L$22="Menor"),CONCATENATE("R",'Mapa final'!$A$22),"")</f>
        <v/>
      </c>
      <c r="Q32" s="256"/>
      <c r="R32" s="256" t="str">
        <f ca="1">IF(AND('Mapa final'!$H$26="Baja",'Mapa final'!$L$26="Menor"),CONCATENATE("R",'Mapa final'!$A$26),"")</f>
        <v/>
      </c>
      <c r="S32" s="256"/>
      <c r="T32" s="256" t="str">
        <f>IF(AND('Mapa final'!$H$28="Baja",'Mapa final'!$L$28="Menor"),CONCATENATE("R",'Mapa final'!$A$28),"")</f>
        <v/>
      </c>
      <c r="U32" s="257"/>
      <c r="V32" s="258" t="str">
        <f ca="1">IF(AND('Mapa final'!$H$22="Baja",'Mapa final'!$L$22="Moderado"),CONCATENATE("R",'Mapa final'!$A$22),"")</f>
        <v/>
      </c>
      <c r="W32" s="256"/>
      <c r="X32" s="256" t="str">
        <f ca="1">IF(AND('Mapa final'!$H$26="Baja",'Mapa final'!$L$26="Moderado"),CONCATENATE("R",'Mapa final'!$A$26),"")</f>
        <v/>
      </c>
      <c r="Y32" s="256"/>
      <c r="Z32" s="256" t="str">
        <f>IF(AND('Mapa final'!$H$28="Baja",'Mapa final'!$L$28="Moderado"),CONCATENATE("R",'Mapa final'!$A$28),"")</f>
        <v/>
      </c>
      <c r="AA32" s="257"/>
      <c r="AB32" s="274" t="str">
        <f ca="1">IF(AND('Mapa final'!$H$22="Baja",'Mapa final'!$L$22="Mayor"),CONCATENATE("R",'Mapa final'!$A$22),"")</f>
        <v/>
      </c>
      <c r="AC32" s="275"/>
      <c r="AD32" s="275" t="str">
        <f ca="1">IF(AND('Mapa final'!$H$26="Baja",'Mapa final'!$L$26="Mayor"),CONCATENATE("R",'Mapa final'!$A$26),"")</f>
        <v/>
      </c>
      <c r="AE32" s="275"/>
      <c r="AF32" s="275" t="str">
        <f>IF(AND('Mapa final'!$H$28="Baja",'Mapa final'!$L$28="Mayor"),CONCATENATE("R",'Mapa final'!$A$28),"")</f>
        <v/>
      </c>
      <c r="AG32" s="276"/>
      <c r="AH32" s="267" t="str">
        <f ca="1">IF(AND('Mapa final'!$H$22="Baja",'Mapa final'!$L$22="Catastrófico"),CONCATENATE("R",'Mapa final'!$A$22),"")</f>
        <v/>
      </c>
      <c r="AI32" s="265"/>
      <c r="AJ32" s="265" t="str">
        <f ca="1">IF(AND('Mapa final'!$H$26="Baja",'Mapa final'!$L$26="Catastrófico"),CONCATENATE("R",'Mapa final'!$A$26),"")</f>
        <v/>
      </c>
      <c r="AK32" s="265"/>
      <c r="AL32" s="265" t="str">
        <f>IF(AND('Mapa final'!$H$28="Baja",'Mapa final'!$L$28="Catastrófico"),CONCATENATE("R",'Mapa final'!$A$28),"")</f>
        <v/>
      </c>
      <c r="AM32" s="266"/>
      <c r="AN32" s="94"/>
      <c r="AO32" s="326"/>
      <c r="AP32" s="327"/>
      <c r="AQ32" s="327"/>
      <c r="AR32" s="327"/>
      <c r="AS32" s="327"/>
      <c r="AT32" s="328"/>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row>
    <row r="33" spans="1:80" x14ac:dyDescent="0.25">
      <c r="A33" s="94"/>
      <c r="B33" s="294"/>
      <c r="C33" s="294"/>
      <c r="D33" s="295"/>
      <c r="E33" s="287"/>
      <c r="F33" s="288"/>
      <c r="G33" s="288"/>
      <c r="H33" s="288"/>
      <c r="I33" s="288"/>
      <c r="J33" s="249"/>
      <c r="K33" s="247"/>
      <c r="L33" s="247"/>
      <c r="M33" s="247"/>
      <c r="N33" s="247"/>
      <c r="O33" s="248"/>
      <c r="P33" s="256"/>
      <c r="Q33" s="256"/>
      <c r="R33" s="256"/>
      <c r="S33" s="256"/>
      <c r="T33" s="256"/>
      <c r="U33" s="257"/>
      <c r="V33" s="258"/>
      <c r="W33" s="256"/>
      <c r="X33" s="256"/>
      <c r="Y33" s="256"/>
      <c r="Z33" s="256"/>
      <c r="AA33" s="257"/>
      <c r="AB33" s="274"/>
      <c r="AC33" s="275"/>
      <c r="AD33" s="275"/>
      <c r="AE33" s="275"/>
      <c r="AF33" s="275"/>
      <c r="AG33" s="276"/>
      <c r="AH33" s="267"/>
      <c r="AI33" s="265"/>
      <c r="AJ33" s="265"/>
      <c r="AK33" s="265"/>
      <c r="AL33" s="265"/>
      <c r="AM33" s="266"/>
      <c r="AN33" s="94"/>
      <c r="AO33" s="326"/>
      <c r="AP33" s="327"/>
      <c r="AQ33" s="327"/>
      <c r="AR33" s="327"/>
      <c r="AS33" s="327"/>
      <c r="AT33" s="328"/>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row>
    <row r="34" spans="1:80" ht="15" customHeight="1" x14ac:dyDescent="0.25">
      <c r="A34" s="94"/>
      <c r="B34" s="294"/>
      <c r="C34" s="294"/>
      <c r="D34" s="295"/>
      <c r="E34" s="287"/>
      <c r="F34" s="288"/>
      <c r="G34" s="288"/>
      <c r="H34" s="288"/>
      <c r="I34" s="288"/>
      <c r="J34" s="247" t="str">
        <f ca="1">IF(AND('Mapa final'!$H$26="Baja",'Mapa final'!$L$26="Leve"),CONCATENATE("R",'Mapa final'!$A$26),"")</f>
        <v/>
      </c>
      <c r="K34" s="247"/>
      <c r="L34" s="247" t="str">
        <f ca="1">IF(AND('Mapa final'!$H$31="Baja",'Mapa final'!$L$31="Leve"),CONCATENATE("R",'Mapa final'!$A$31),"")</f>
        <v/>
      </c>
      <c r="M34" s="247"/>
      <c r="N34" s="247" t="str">
        <f ca="1">IF(AND('Mapa final'!$H$33="Baja",'Mapa final'!$L$33="Leve"),CONCATENATE("R",'Mapa final'!$A$33),"")</f>
        <v/>
      </c>
      <c r="O34" s="248"/>
      <c r="P34" s="256" t="str">
        <f ca="1">IF(AND('Mapa final'!$H$31="Alta",'Mapa final'!$L$31="Leve"),CONCATENATE("R",'Mapa final'!$A$31),"")</f>
        <v/>
      </c>
      <c r="Q34" s="256"/>
      <c r="R34" s="256" t="str">
        <f ca="1">IF(AND('Mapa final'!$H$31="Baja",'Mapa final'!$L$31="Menor"),CONCATENATE("R",'Mapa final'!$A$31),"")</f>
        <v/>
      </c>
      <c r="S34" s="256"/>
      <c r="T34" s="256" t="str">
        <f ca="1">IF(AND('Mapa final'!$H$33="Baja",'Mapa final'!$L$33="Menor"),CONCATENATE("R",'Mapa final'!$A$33),"")</f>
        <v/>
      </c>
      <c r="U34" s="257"/>
      <c r="V34" s="256" t="str">
        <f ca="1">IF(AND('Mapa final'!$H$31="Alta",'Mapa final'!$L$31="Leve"),CONCATENATE("R",'Mapa final'!$A$31),"")</f>
        <v/>
      </c>
      <c r="W34" s="256"/>
      <c r="X34" s="256" t="str">
        <f ca="1">IF(AND('Mapa final'!$H$31="Baja",'Mapa final'!$L$31="Moderado"),CONCATENATE("R",'Mapa final'!$A$31),"")</f>
        <v/>
      </c>
      <c r="Y34" s="256"/>
      <c r="Z34" s="256" t="str">
        <f ca="1">IF(AND('Mapa final'!$H$33="Baja",'Mapa final'!$L$33="Moderado"),CONCATENATE("R",'Mapa final'!$A$33),"")</f>
        <v/>
      </c>
      <c r="AA34" s="257"/>
      <c r="AB34" s="274" t="str">
        <f ca="1">IF(AND('Mapa final'!$H$22="Muy Alta",'Mapa final'!$L$22="Leve"),CONCATENATE("R",'Mapa final'!$A$22),"")</f>
        <v/>
      </c>
      <c r="AC34" s="275"/>
      <c r="AD34" s="275" t="str">
        <f ca="1">IF(AND('Mapa final'!$H$31="Baja",'Mapa final'!$L$31="Mayor"),CONCATENATE("R",'Mapa final'!$A$31),"")</f>
        <v>R7</v>
      </c>
      <c r="AE34" s="275"/>
      <c r="AF34" s="275" t="str">
        <f ca="1">IF(AND('Mapa final'!$H$33="Baja",'Mapa final'!$L$33="Mayor"),CONCATENATE("R",'Mapa final'!$A$33),"")</f>
        <v/>
      </c>
      <c r="AG34" s="276"/>
      <c r="AH34" s="265" t="str">
        <f ca="1">IF(AND('Mapa final'!$H$26="Muy Alta",'Mapa final'!$L$26="Catastrófico"),CONCATENATE("R",'Mapa final'!$A$26),"")</f>
        <v/>
      </c>
      <c r="AI34" s="265"/>
      <c r="AJ34" s="265" t="str">
        <f ca="1">IF(AND('Mapa final'!$H$31="Baja",'Mapa final'!$L$31="Catastrófico"),CONCATENATE("R",'Mapa final'!$A$31),"")</f>
        <v/>
      </c>
      <c r="AK34" s="265"/>
      <c r="AL34" s="265" t="str">
        <f ca="1">IF(AND('Mapa final'!$H$33="Baja",'Mapa final'!$L$33="Catastrófico"),CONCATENATE("R",'Mapa final'!$A$33),"")</f>
        <v/>
      </c>
      <c r="AM34" s="266"/>
      <c r="AN34" s="94"/>
      <c r="AO34" s="326"/>
      <c r="AP34" s="327"/>
      <c r="AQ34" s="327"/>
      <c r="AR34" s="327"/>
      <c r="AS34" s="327"/>
      <c r="AT34" s="328"/>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row>
    <row r="35" spans="1:80" ht="15" customHeight="1" x14ac:dyDescent="0.25">
      <c r="A35" s="94"/>
      <c r="B35" s="294"/>
      <c r="C35" s="294"/>
      <c r="D35" s="295"/>
      <c r="E35" s="287"/>
      <c r="F35" s="288"/>
      <c r="G35" s="288"/>
      <c r="H35" s="288"/>
      <c r="I35" s="288"/>
      <c r="J35" s="247"/>
      <c r="K35" s="247"/>
      <c r="L35" s="247"/>
      <c r="M35" s="247"/>
      <c r="N35" s="247"/>
      <c r="O35" s="248"/>
      <c r="P35" s="256"/>
      <c r="Q35" s="256"/>
      <c r="R35" s="256"/>
      <c r="S35" s="256"/>
      <c r="T35" s="256"/>
      <c r="U35" s="257"/>
      <c r="V35" s="256"/>
      <c r="W35" s="256"/>
      <c r="X35" s="256"/>
      <c r="Y35" s="256"/>
      <c r="Z35" s="256"/>
      <c r="AA35" s="257"/>
      <c r="AB35" s="274"/>
      <c r="AC35" s="275"/>
      <c r="AD35" s="275"/>
      <c r="AE35" s="275"/>
      <c r="AF35" s="275"/>
      <c r="AG35" s="276"/>
      <c r="AH35" s="265"/>
      <c r="AI35" s="265"/>
      <c r="AJ35" s="265"/>
      <c r="AK35" s="265"/>
      <c r="AL35" s="265"/>
      <c r="AM35" s="266"/>
      <c r="AN35" s="94"/>
      <c r="AO35" s="326"/>
      <c r="AP35" s="327"/>
      <c r="AQ35" s="327"/>
      <c r="AR35" s="327"/>
      <c r="AS35" s="327"/>
      <c r="AT35" s="328"/>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row>
    <row r="36" spans="1:80" x14ac:dyDescent="0.25">
      <c r="A36" s="94"/>
      <c r="B36" s="294"/>
      <c r="C36" s="294"/>
      <c r="D36" s="295"/>
      <c r="E36" s="287"/>
      <c r="F36" s="288"/>
      <c r="G36" s="288"/>
      <c r="H36" s="288"/>
      <c r="I36" s="288"/>
      <c r="J36" s="249" t="str">
        <f ca="1">IF(AND('Mapa final'!$H$35="Baja",'Mapa final'!$L$35="Leve"),CONCATENATE("R",'Mapa final'!$A$35),"")</f>
        <v/>
      </c>
      <c r="K36" s="247"/>
      <c r="L36" s="247" t="str">
        <f>IF(AND('Mapa final'!$H$38="Baja",'Mapa final'!$L$38="Leve"),CONCATENATE("R",'Mapa final'!$A$38),"")</f>
        <v/>
      </c>
      <c r="M36" s="247"/>
      <c r="N36" s="247" t="str">
        <f>IF(AND('Mapa final'!$H$44="Baja",'Mapa final'!$L$44="Leve"),CONCATENATE("R",'Mapa final'!$A$44),"")</f>
        <v/>
      </c>
      <c r="O36" s="248"/>
      <c r="P36" s="256" t="str">
        <f ca="1">IF(AND('Mapa final'!$H$35="Baja",'Mapa final'!$L$35="Menor"),CONCATENATE("R",'Mapa final'!$A$35),"")</f>
        <v/>
      </c>
      <c r="Q36" s="256"/>
      <c r="R36" s="256" t="str">
        <f>IF(AND('Mapa final'!$H$38="Baja",'Mapa final'!$L$38="Menor"),CONCATENATE("R",'Mapa final'!$A$38),"")</f>
        <v/>
      </c>
      <c r="S36" s="256"/>
      <c r="T36" s="256" t="str">
        <f>IF(AND('Mapa final'!$H$44="Baja",'Mapa final'!$L$44="Menor"),CONCATENATE("R",'Mapa final'!$A$44),"")</f>
        <v/>
      </c>
      <c r="U36" s="257"/>
      <c r="V36" s="258" t="str">
        <f ca="1">IF(AND('Mapa final'!$H$35="Baja",'Mapa final'!$L$35="Moderado"),CONCATENATE("R",'Mapa final'!$A$35),"")</f>
        <v/>
      </c>
      <c r="W36" s="256"/>
      <c r="X36" s="256" t="str">
        <f>IF(AND('Mapa final'!$H$38="Baja",'Mapa final'!$L$38="Moderado"),CONCATENATE("R",'Mapa final'!$A$38),"")</f>
        <v/>
      </c>
      <c r="Y36" s="256"/>
      <c r="Z36" s="256" t="str">
        <f>IF(AND('Mapa final'!$H$44="Baja",'Mapa final'!$L$44="Moderado"),CONCATENATE("R",'Mapa final'!$A$44),"")</f>
        <v/>
      </c>
      <c r="AA36" s="257"/>
      <c r="AB36" s="274" t="str">
        <f ca="1">IF(AND('Mapa final'!$H$35="Baja",'Mapa final'!$L$35="Mayor"),CONCATENATE("R",'Mapa final'!$A$35),"")</f>
        <v/>
      </c>
      <c r="AC36" s="275"/>
      <c r="AD36" s="275" t="str">
        <f>IF(AND('Mapa final'!$H$38="Baja",'Mapa final'!$L$38="Mayor"),CONCATENATE("R",'Mapa final'!$A$38),"")</f>
        <v/>
      </c>
      <c r="AE36" s="275"/>
      <c r="AF36" s="275" t="str">
        <f>IF(AND('Mapa final'!$H$44="Baja",'Mapa final'!$L$44="Mayor"),CONCATENATE("R",'Mapa final'!$A$44),"")</f>
        <v/>
      </c>
      <c r="AG36" s="276"/>
      <c r="AH36" s="267" t="str">
        <f ca="1">IF(AND('Mapa final'!$H$35="Baja",'Mapa final'!$L$35="Catastrófico"),CONCATENATE("R",'Mapa final'!$A$35),"")</f>
        <v/>
      </c>
      <c r="AI36" s="265"/>
      <c r="AJ36" s="265" t="str">
        <f>IF(AND('Mapa final'!$H$38="Baja",'Mapa final'!$L$38="Catastrófico"),CONCATENATE("R",'Mapa final'!$A$38),"")</f>
        <v/>
      </c>
      <c r="AK36" s="265"/>
      <c r="AL36" s="265" t="str">
        <f>IF(AND('Mapa final'!$H$44="Baja",'Mapa final'!$L$44="Catastrófico"),CONCATENATE("R",'Mapa final'!$A$44),"")</f>
        <v/>
      </c>
      <c r="AM36" s="266"/>
      <c r="AN36" s="94"/>
      <c r="AO36" s="326"/>
      <c r="AP36" s="327"/>
      <c r="AQ36" s="327"/>
      <c r="AR36" s="327"/>
      <c r="AS36" s="327"/>
      <c r="AT36" s="328"/>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row>
    <row r="37" spans="1:80" ht="15.75" thickBot="1" x14ac:dyDescent="0.3">
      <c r="A37" s="94"/>
      <c r="B37" s="294"/>
      <c r="C37" s="294"/>
      <c r="D37" s="295"/>
      <c r="E37" s="290"/>
      <c r="F37" s="291"/>
      <c r="G37" s="291"/>
      <c r="H37" s="291"/>
      <c r="I37" s="291"/>
      <c r="J37" s="250"/>
      <c r="K37" s="251"/>
      <c r="L37" s="251"/>
      <c r="M37" s="251"/>
      <c r="N37" s="251"/>
      <c r="O37" s="252"/>
      <c r="P37" s="260"/>
      <c r="Q37" s="260"/>
      <c r="R37" s="260"/>
      <c r="S37" s="260"/>
      <c r="T37" s="260"/>
      <c r="U37" s="261"/>
      <c r="V37" s="259"/>
      <c r="W37" s="260"/>
      <c r="X37" s="260"/>
      <c r="Y37" s="260"/>
      <c r="Z37" s="260"/>
      <c r="AA37" s="261"/>
      <c r="AB37" s="277"/>
      <c r="AC37" s="278"/>
      <c r="AD37" s="278"/>
      <c r="AE37" s="278"/>
      <c r="AF37" s="278"/>
      <c r="AG37" s="279"/>
      <c r="AH37" s="268"/>
      <c r="AI37" s="269"/>
      <c r="AJ37" s="269"/>
      <c r="AK37" s="269"/>
      <c r="AL37" s="269"/>
      <c r="AM37" s="270"/>
      <c r="AN37" s="94"/>
      <c r="AO37" s="329"/>
      <c r="AP37" s="330"/>
      <c r="AQ37" s="330"/>
      <c r="AR37" s="330"/>
      <c r="AS37" s="330"/>
      <c r="AT37" s="331"/>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row>
    <row r="38" spans="1:80" x14ac:dyDescent="0.25">
      <c r="A38" s="94"/>
      <c r="B38" s="294"/>
      <c r="C38" s="294"/>
      <c r="D38" s="295"/>
      <c r="E38" s="284" t="s">
        <v>113</v>
      </c>
      <c r="F38" s="285"/>
      <c r="G38" s="285"/>
      <c r="H38" s="285"/>
      <c r="I38" s="286"/>
      <c r="J38" s="253" t="str">
        <f ca="1">IF(AND('Mapa final'!$H$12="Muy Baja",'Mapa final'!$L$12="Leve"),CONCATENATE("R",'Mapa final'!$A$12),"")</f>
        <v/>
      </c>
      <c r="K38" s="254"/>
      <c r="L38" s="254" t="str">
        <f ca="1">IF(AND('Mapa final'!$H$17="Muy Baja",'Mapa final'!$L$17="Leve"),CONCATENATE("R",'Mapa final'!$A$17),"")</f>
        <v/>
      </c>
      <c r="M38" s="254"/>
      <c r="N38" s="254" t="str">
        <f ca="1">IF(AND('Mapa final'!$H$19="Muy Baja",'Mapa final'!$L$19="Leve"),CONCATENATE("R",'Mapa final'!$A$19),"")</f>
        <v/>
      </c>
      <c r="O38" s="255"/>
      <c r="P38" s="253" t="str">
        <f ca="1">IF(AND('Mapa final'!$H$12="Muy Baja",'Mapa final'!$L$12="Menor"),CONCATENATE("R",'Mapa final'!$A$12),"")</f>
        <v/>
      </c>
      <c r="Q38" s="254"/>
      <c r="R38" s="254" t="str">
        <f ca="1">IF(AND('Mapa final'!$H$17="Muy Baja",'Mapa final'!$L$17="Menor"),CONCATENATE("R",'Mapa final'!$A$17),"")</f>
        <v/>
      </c>
      <c r="S38" s="254"/>
      <c r="T38" s="254" t="str">
        <f ca="1">IF(AND('Mapa final'!$H$19="Muy Baja",'Mapa final'!$L$19="Menor"),CONCATENATE("R",'Mapa final'!$A$19),"")</f>
        <v/>
      </c>
      <c r="U38" s="255"/>
      <c r="V38" s="262" t="str">
        <f ca="1">IF(AND('Mapa final'!$H$12="Muy Baja",'Mapa final'!$L$12="Moderado"),CONCATENATE("R",'Mapa final'!$A$12),"")</f>
        <v/>
      </c>
      <c r="W38" s="263"/>
      <c r="X38" s="263" t="str">
        <f ca="1">IF(AND('Mapa final'!$H$17="Muy Baja",'Mapa final'!$L$17="Moderado"),CONCATENATE("R",'Mapa final'!$A$17),"")</f>
        <v/>
      </c>
      <c r="Y38" s="263"/>
      <c r="Z38" s="263" t="str">
        <f ca="1">IF(AND('Mapa final'!$H$19="Muy Baja",'Mapa final'!$L$19="Moderado"),CONCATENATE("R",'Mapa final'!$A$19),"")</f>
        <v/>
      </c>
      <c r="AA38" s="264"/>
      <c r="AB38" s="280" t="str">
        <f ca="1">IF(AND('Mapa final'!$H$12="Muy Baja",'Mapa final'!$L$12="Mayor"),CONCATENATE("R",'Mapa final'!$A$12),"")</f>
        <v/>
      </c>
      <c r="AC38" s="281"/>
      <c r="AD38" s="281" t="str">
        <f ca="1">IF(AND('Mapa final'!$H$17="Muy Baja",'Mapa final'!$L$17="Mayor"),CONCATENATE("R",'Mapa final'!$A$17),"")</f>
        <v/>
      </c>
      <c r="AE38" s="281"/>
      <c r="AF38" s="281" t="str">
        <f ca="1">IF(AND('Mapa final'!$H$19="Muy Baja",'Mapa final'!$L$19="Mayor"),CONCATENATE("R",'Mapa final'!$A$19),"")</f>
        <v/>
      </c>
      <c r="AG38" s="282"/>
      <c r="AH38" s="271" t="str">
        <f ca="1">IF(AND('Mapa final'!$H$12="Muy Baja",'Mapa final'!$L$12="Catastrófico"),CONCATENATE("R",'Mapa final'!$A$12),"")</f>
        <v/>
      </c>
      <c r="AI38" s="272"/>
      <c r="AJ38" s="272" t="str">
        <f ca="1">IF(AND('Mapa final'!$H$17="Muy Baja",'Mapa final'!$L$17="Catastrófico"),CONCATENATE("R",'Mapa final'!$A$17),"")</f>
        <v/>
      </c>
      <c r="AK38" s="272"/>
      <c r="AL38" s="272" t="str">
        <f ca="1">IF(AND('Mapa final'!$H$19="Muy Baja",'Mapa final'!$L$19="Catastrófico"),CONCATENATE("R",'Mapa final'!$A$19),"")</f>
        <v/>
      </c>
      <c r="AM38" s="273"/>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row>
    <row r="39" spans="1:80" x14ac:dyDescent="0.25">
      <c r="A39" s="94"/>
      <c r="B39" s="294"/>
      <c r="C39" s="294"/>
      <c r="D39" s="295"/>
      <c r="E39" s="287"/>
      <c r="F39" s="288"/>
      <c r="G39" s="288"/>
      <c r="H39" s="288"/>
      <c r="I39" s="289"/>
      <c r="J39" s="249"/>
      <c r="K39" s="247"/>
      <c r="L39" s="247"/>
      <c r="M39" s="247"/>
      <c r="N39" s="247"/>
      <c r="O39" s="248"/>
      <c r="P39" s="249"/>
      <c r="Q39" s="247"/>
      <c r="R39" s="247"/>
      <c r="S39" s="247"/>
      <c r="T39" s="247"/>
      <c r="U39" s="248"/>
      <c r="V39" s="258"/>
      <c r="W39" s="256"/>
      <c r="X39" s="256"/>
      <c r="Y39" s="256"/>
      <c r="Z39" s="256"/>
      <c r="AA39" s="257"/>
      <c r="AB39" s="274"/>
      <c r="AC39" s="275"/>
      <c r="AD39" s="275"/>
      <c r="AE39" s="275"/>
      <c r="AF39" s="275"/>
      <c r="AG39" s="276"/>
      <c r="AH39" s="267"/>
      <c r="AI39" s="265"/>
      <c r="AJ39" s="265"/>
      <c r="AK39" s="265"/>
      <c r="AL39" s="265"/>
      <c r="AM39" s="266"/>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row>
    <row r="40" spans="1:80" ht="15" customHeight="1" x14ac:dyDescent="0.25">
      <c r="A40" s="94"/>
      <c r="B40" s="294"/>
      <c r="C40" s="294"/>
      <c r="D40" s="295"/>
      <c r="E40" s="287"/>
      <c r="F40" s="288"/>
      <c r="G40" s="288"/>
      <c r="H40" s="288"/>
      <c r="I40" s="289"/>
      <c r="J40" s="249" t="str">
        <f ca="1">IF(AND('Mapa final'!$H$22="Muy Baja",'Mapa final'!$L$22="Leve"),CONCATENATE("R",'Mapa final'!$A$22),"")</f>
        <v/>
      </c>
      <c r="K40" s="247"/>
      <c r="L40" s="247" t="str">
        <f ca="1">IF(AND('Mapa final'!$H$26="Muy Baja",'Mapa final'!$L$26="Leve"),CONCATENATE("R",'Mapa final'!$A$26),"")</f>
        <v/>
      </c>
      <c r="M40" s="247"/>
      <c r="N40" s="247" t="str">
        <f>IF(AND('Mapa final'!$H$28="Muy Baja",'Mapa final'!$L$28="Leve"),CONCATENATE("R",'Mapa final'!$A$28),"")</f>
        <v/>
      </c>
      <c r="O40" s="248"/>
      <c r="P40" s="249" t="str">
        <f ca="1">IF(AND('Mapa final'!$H$22="Muy Baja",'Mapa final'!$L$22="Menor"),CONCATENATE("R",'Mapa final'!$A$22),"")</f>
        <v/>
      </c>
      <c r="Q40" s="247"/>
      <c r="R40" s="247" t="str">
        <f ca="1">IF(AND('Mapa final'!$H$26="Muy Baja",'Mapa final'!$L$26="Menor"),CONCATENATE("R",'Mapa final'!$A$26),"")</f>
        <v/>
      </c>
      <c r="S40" s="247"/>
      <c r="T40" s="247" t="str">
        <f>IF(AND('Mapa final'!$H$28="Muy Baja",'Mapa final'!$L$28="Menor"),CONCATENATE("R",'Mapa final'!$A$28),"")</f>
        <v/>
      </c>
      <c r="U40" s="248"/>
      <c r="V40" s="258" t="str">
        <f ca="1">IF(AND('Mapa final'!$H$22="Muy Baja",'Mapa final'!$L$22="Moderado"),CONCATENATE("R",'Mapa final'!$A$22),"")</f>
        <v/>
      </c>
      <c r="W40" s="256"/>
      <c r="X40" s="256" t="str">
        <f ca="1">IF(AND('Mapa final'!$H$26="Muy Baja",'Mapa final'!$L$26="Moderado"),CONCATENATE("R",'Mapa final'!$A$26),"")</f>
        <v/>
      </c>
      <c r="Y40" s="256"/>
      <c r="Z40" s="256" t="str">
        <f>IF(AND('Mapa final'!$H$28="Muy Baja",'Mapa final'!$L$28="Moderado"),CONCATENATE("R",'Mapa final'!$A$28),"")</f>
        <v/>
      </c>
      <c r="AA40" s="257"/>
      <c r="AB40" s="274" t="str">
        <f ca="1">IF(AND('Mapa final'!$H$22="Muy Alta",'Mapa final'!$L$22="Leve"),CONCATENATE("R",'Mapa final'!$A$22),"")</f>
        <v/>
      </c>
      <c r="AC40" s="275"/>
      <c r="AD40" s="275" t="str">
        <f ca="1">IF(AND('Mapa final'!$H$26="Muy Baja",'Mapa final'!$L$26="Mayor"),CONCATENATE("R",'Mapa final'!$A$26),"")</f>
        <v/>
      </c>
      <c r="AE40" s="275"/>
      <c r="AF40" s="275" t="str">
        <f>IF(AND('Mapa final'!$H$28="Muy Baja",'Mapa final'!$L$28="Mayor"),CONCATENATE("R",'Mapa final'!$A$28),"")</f>
        <v/>
      </c>
      <c r="AG40" s="276"/>
      <c r="AH40" s="267" t="str">
        <f ca="1">IF(AND('Mapa final'!$H$22="Muy Baja",'Mapa final'!$L$22="Catastrófico"),CONCATENATE("R",'Mapa final'!$A$22),"")</f>
        <v/>
      </c>
      <c r="AI40" s="265"/>
      <c r="AJ40" s="265" t="str">
        <f ca="1">IF(AND('Mapa final'!$H$26="Muy Baja",'Mapa final'!$L$26="Catastrófico"),CONCATENATE("R",'Mapa final'!$A$26),"")</f>
        <v/>
      </c>
      <c r="AK40" s="265"/>
      <c r="AL40" s="265" t="str">
        <f>IF(AND('Mapa final'!$H$28="Muy Baja",'Mapa final'!$L$28="Catastrófico"),CONCATENATE("R",'Mapa final'!$A$28),"")</f>
        <v/>
      </c>
      <c r="AM40" s="266"/>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row>
    <row r="41" spans="1:80" ht="15" customHeight="1" x14ac:dyDescent="0.25">
      <c r="A41" s="94"/>
      <c r="B41" s="294"/>
      <c r="C41" s="294"/>
      <c r="D41" s="295"/>
      <c r="E41" s="287"/>
      <c r="F41" s="288"/>
      <c r="G41" s="288"/>
      <c r="H41" s="288"/>
      <c r="I41" s="289"/>
      <c r="J41" s="249"/>
      <c r="K41" s="247"/>
      <c r="L41" s="247"/>
      <c r="M41" s="247"/>
      <c r="N41" s="247"/>
      <c r="O41" s="248"/>
      <c r="P41" s="249"/>
      <c r="Q41" s="247"/>
      <c r="R41" s="247"/>
      <c r="S41" s="247"/>
      <c r="T41" s="247"/>
      <c r="U41" s="248"/>
      <c r="V41" s="258"/>
      <c r="W41" s="256"/>
      <c r="X41" s="256"/>
      <c r="Y41" s="256"/>
      <c r="Z41" s="256"/>
      <c r="AA41" s="257"/>
      <c r="AB41" s="274"/>
      <c r="AC41" s="275"/>
      <c r="AD41" s="275"/>
      <c r="AE41" s="275"/>
      <c r="AF41" s="275"/>
      <c r="AG41" s="276"/>
      <c r="AH41" s="267"/>
      <c r="AI41" s="265"/>
      <c r="AJ41" s="265"/>
      <c r="AK41" s="265"/>
      <c r="AL41" s="265"/>
      <c r="AM41" s="266"/>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row>
    <row r="42" spans="1:80" ht="15" customHeight="1" x14ac:dyDescent="0.25">
      <c r="A42" s="94"/>
      <c r="B42" s="294"/>
      <c r="C42" s="294"/>
      <c r="D42" s="295"/>
      <c r="E42" s="287"/>
      <c r="F42" s="288"/>
      <c r="G42" s="288"/>
      <c r="H42" s="288"/>
      <c r="I42" s="289"/>
      <c r="J42" s="247" t="str">
        <f ca="1">IF(AND('Mapa final'!$H$26="Baja",'Mapa final'!$L$26="Leve"),CONCATENATE("R",'Mapa final'!$A$26),"")</f>
        <v/>
      </c>
      <c r="K42" s="247"/>
      <c r="L42" s="247" t="str">
        <f ca="1">IF(AND('Mapa final'!$H$31="Muy Baja",'Mapa final'!$L$31="Leve"),CONCATENATE("R",'Mapa final'!$A$31),"")</f>
        <v/>
      </c>
      <c r="M42" s="247"/>
      <c r="N42" s="247" t="str">
        <f ca="1">IF(AND('Mapa final'!$H$33="Muy Baja",'Mapa final'!$L$33="Leve"),CONCATENATE("R",'Mapa final'!$A$33),"")</f>
        <v/>
      </c>
      <c r="O42" s="248"/>
      <c r="P42" s="247" t="str">
        <f ca="1">IF(AND('Mapa final'!$H$26="Baja",'Mapa final'!$L$26="Leve"),CONCATENATE("R",'Mapa final'!$A$26),"")</f>
        <v/>
      </c>
      <c r="Q42" s="247"/>
      <c r="R42" s="247" t="str">
        <f ca="1">IF(AND('Mapa final'!$H$31="Muy Baja",'Mapa final'!$L$31="Menor"),CONCATENATE("R",'Mapa final'!$A$31),"")</f>
        <v/>
      </c>
      <c r="S42" s="247"/>
      <c r="T42" s="247" t="str">
        <f ca="1">IF(AND('Mapa final'!$H$33="Muy Baja",'Mapa final'!$L$33="Menor"),CONCATENATE("R",'Mapa final'!$A$33),"")</f>
        <v/>
      </c>
      <c r="U42" s="248"/>
      <c r="V42" s="256" t="str">
        <f ca="1">IF(AND('Mapa final'!$H$31="Alta",'Mapa final'!$L$31="Leve"),CONCATENATE("R",'Mapa final'!$A$31),"")</f>
        <v/>
      </c>
      <c r="W42" s="256"/>
      <c r="X42" s="256" t="str">
        <f ca="1">IF(AND('Mapa final'!$H$31="Muy Baja",'Mapa final'!$L$31="Moderado"),CONCATENATE("R",'Mapa final'!$A$31),"")</f>
        <v/>
      </c>
      <c r="Y42" s="256"/>
      <c r="Z42" s="256" t="str">
        <f ca="1">IF(AND('Mapa final'!$H$33="Muy Baja",'Mapa final'!$L$33="Moderado"),CONCATENATE("R",'Mapa final'!$A$33),"")</f>
        <v/>
      </c>
      <c r="AA42" s="257"/>
      <c r="AB42" s="274" t="str">
        <f ca="1">IF(AND('Mapa final'!$H$22="Muy Alta",'Mapa final'!$L$22="Leve"),CONCATENATE("R",'Mapa final'!$A$22),"")</f>
        <v/>
      </c>
      <c r="AC42" s="275"/>
      <c r="AD42" s="275" t="str">
        <f ca="1">IF(AND('Mapa final'!$H$31="Muy Baja",'Mapa final'!$L$31="Mayor"),CONCATENATE("R",'Mapa final'!$A$31),"")</f>
        <v/>
      </c>
      <c r="AE42" s="275"/>
      <c r="AF42" s="275" t="str">
        <f ca="1">IF(AND('Mapa final'!$H$33="Muy Baja",'Mapa final'!$L$33="Mayor"),CONCATENATE("R",'Mapa final'!$A$33),"")</f>
        <v/>
      </c>
      <c r="AG42" s="276"/>
      <c r="AH42" s="265" t="str">
        <f ca="1">IF(AND('Mapa final'!$H$26="Muy Alta",'Mapa final'!$L$26="Catastrófico"),CONCATENATE("R",'Mapa final'!$A$26),"")</f>
        <v/>
      </c>
      <c r="AI42" s="265"/>
      <c r="AJ42" s="265" t="str">
        <f ca="1">IF(AND('Mapa final'!$H$31="Muy Baja",'Mapa final'!$L$31="Catastrófico"),CONCATENATE("R",'Mapa final'!$A$31),"")</f>
        <v/>
      </c>
      <c r="AK42" s="265"/>
      <c r="AL42" s="265" t="str">
        <f ca="1">IF(AND('Mapa final'!$H$33="Muy Baja",'Mapa final'!$L$33="Catastrófico"),CONCATENATE("R",'Mapa final'!$A$33),"")</f>
        <v/>
      </c>
      <c r="AM42" s="266"/>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row>
    <row r="43" spans="1:80" ht="15" customHeight="1" x14ac:dyDescent="0.25">
      <c r="A43" s="94"/>
      <c r="B43" s="294"/>
      <c r="C43" s="294"/>
      <c r="D43" s="295"/>
      <c r="E43" s="287"/>
      <c r="F43" s="288"/>
      <c r="G43" s="288"/>
      <c r="H43" s="288"/>
      <c r="I43" s="289"/>
      <c r="J43" s="247"/>
      <c r="K43" s="247"/>
      <c r="L43" s="247"/>
      <c r="M43" s="247"/>
      <c r="N43" s="247"/>
      <c r="O43" s="248"/>
      <c r="P43" s="247"/>
      <c r="Q43" s="247"/>
      <c r="R43" s="247"/>
      <c r="S43" s="247"/>
      <c r="T43" s="247"/>
      <c r="U43" s="248"/>
      <c r="V43" s="256"/>
      <c r="W43" s="256"/>
      <c r="X43" s="256"/>
      <c r="Y43" s="256"/>
      <c r="Z43" s="256"/>
      <c r="AA43" s="257"/>
      <c r="AB43" s="274"/>
      <c r="AC43" s="275"/>
      <c r="AD43" s="275"/>
      <c r="AE43" s="275"/>
      <c r="AF43" s="275"/>
      <c r="AG43" s="276"/>
      <c r="AH43" s="265"/>
      <c r="AI43" s="265"/>
      <c r="AJ43" s="265"/>
      <c r="AK43" s="265"/>
      <c r="AL43" s="265"/>
      <c r="AM43" s="266"/>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row>
    <row r="44" spans="1:80" x14ac:dyDescent="0.25">
      <c r="A44" s="94"/>
      <c r="B44" s="294"/>
      <c r="C44" s="294"/>
      <c r="D44" s="295"/>
      <c r="E44" s="287"/>
      <c r="F44" s="288"/>
      <c r="G44" s="288"/>
      <c r="H44" s="288"/>
      <c r="I44" s="289"/>
      <c r="J44" s="249" t="str">
        <f ca="1">IF(AND('Mapa final'!$H$35="Muy Baja",'Mapa final'!$L$35="Leve"),CONCATENATE("R",'Mapa final'!$A$35),"")</f>
        <v/>
      </c>
      <c r="K44" s="247"/>
      <c r="L44" s="247" t="str">
        <f>IF(AND('Mapa final'!$H$38="Muy Baja",'Mapa final'!$L$38="Leve"),CONCATENATE("R",'Mapa final'!$A$38),"")</f>
        <v/>
      </c>
      <c r="M44" s="247"/>
      <c r="N44" s="247" t="str">
        <f>IF(AND('Mapa final'!$H$44="Muy Baja",'Mapa final'!$L$44="Leve"),CONCATENATE("R",'Mapa final'!$A$44),"")</f>
        <v/>
      </c>
      <c r="O44" s="248"/>
      <c r="P44" s="249" t="str">
        <f ca="1">IF(AND('Mapa final'!$H$35="Muy Baja",'Mapa final'!$L$35="Menor"),CONCATENATE("R",'Mapa final'!$A$35),"")</f>
        <v/>
      </c>
      <c r="Q44" s="247"/>
      <c r="R44" s="247" t="str">
        <f>IF(AND('Mapa final'!$H$38="Muy Baja",'Mapa final'!$L$38="Menor"),CONCATENATE("R",'Mapa final'!$A$38),"")</f>
        <v/>
      </c>
      <c r="S44" s="247"/>
      <c r="T44" s="247" t="str">
        <f>IF(AND('Mapa final'!$H$44="Muy Baja",'Mapa final'!$L$44="Menor"),CONCATENATE("R",'Mapa final'!$A$44),"")</f>
        <v/>
      </c>
      <c r="U44" s="248"/>
      <c r="V44" s="258" t="str">
        <f ca="1">IF(AND('Mapa final'!$H$35="Muy Baja",'Mapa final'!$L$35="Moderado"),CONCATENATE("R",'Mapa final'!$A$35),"")</f>
        <v/>
      </c>
      <c r="W44" s="256"/>
      <c r="X44" s="256" t="str">
        <f>IF(AND('Mapa final'!$H$38="Muy Baja",'Mapa final'!$L$38="Moderado"),CONCATENATE("R",'Mapa final'!$A$38),"")</f>
        <v/>
      </c>
      <c r="Y44" s="256"/>
      <c r="Z44" s="256" t="str">
        <f>IF(AND('Mapa final'!$H$44="Muy Baja",'Mapa final'!$L$44="Moderado"),CONCATENATE("R",'Mapa final'!$A$44),"")</f>
        <v/>
      </c>
      <c r="AA44" s="257"/>
      <c r="AB44" s="274" t="str">
        <f ca="1">IF(AND('Mapa final'!$H$35="Muy Baja",'Mapa final'!$L$35="Mayor"),CONCATENATE("R",'Mapa final'!$A$35),"")</f>
        <v/>
      </c>
      <c r="AC44" s="275"/>
      <c r="AD44" s="275" t="str">
        <f>IF(AND('Mapa final'!$H$38="Muy Baja",'Mapa final'!$L$38="Mayor"),CONCATENATE("R",'Mapa final'!$A$38),"")</f>
        <v/>
      </c>
      <c r="AE44" s="275"/>
      <c r="AF44" s="275" t="str">
        <f>IF(AND('Mapa final'!$H$44="Muy Baja",'Mapa final'!$L$44="Mayor"),CONCATENATE("R",'Mapa final'!$A$44),"")</f>
        <v/>
      </c>
      <c r="AG44" s="276"/>
      <c r="AH44" s="267" t="str">
        <f ca="1">IF(AND('Mapa final'!$H$35="Muy Baja",'Mapa final'!$L$35="Catastrófico"),CONCATENATE("R",'Mapa final'!$A$35),"")</f>
        <v/>
      </c>
      <c r="AI44" s="265"/>
      <c r="AJ44" s="265" t="str">
        <f>IF(AND('Mapa final'!$H$38="Muy Baja",'Mapa final'!$L$38="Catastrófico"),CONCATENATE("R",'Mapa final'!$A$38),"")</f>
        <v/>
      </c>
      <c r="AK44" s="265"/>
      <c r="AL44" s="265" t="str">
        <f>IF(AND('Mapa final'!$H$44="Muy Baja",'Mapa final'!$L$44="Catastrófico"),CONCATENATE("R",'Mapa final'!$A$44),"")</f>
        <v/>
      </c>
      <c r="AM44" s="266"/>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row>
    <row r="45" spans="1:80" ht="15.75" thickBot="1" x14ac:dyDescent="0.3">
      <c r="A45" s="94"/>
      <c r="B45" s="294"/>
      <c r="C45" s="294"/>
      <c r="D45" s="295"/>
      <c r="E45" s="290"/>
      <c r="F45" s="291"/>
      <c r="G45" s="291"/>
      <c r="H45" s="291"/>
      <c r="I45" s="292"/>
      <c r="J45" s="250"/>
      <c r="K45" s="251"/>
      <c r="L45" s="251"/>
      <c r="M45" s="251"/>
      <c r="N45" s="251"/>
      <c r="O45" s="252"/>
      <c r="P45" s="250"/>
      <c r="Q45" s="251"/>
      <c r="R45" s="251"/>
      <c r="S45" s="251"/>
      <c r="T45" s="251"/>
      <c r="U45" s="252"/>
      <c r="V45" s="259"/>
      <c r="W45" s="260"/>
      <c r="X45" s="260"/>
      <c r="Y45" s="260"/>
      <c r="Z45" s="260"/>
      <c r="AA45" s="261"/>
      <c r="AB45" s="277"/>
      <c r="AC45" s="278"/>
      <c r="AD45" s="278"/>
      <c r="AE45" s="278"/>
      <c r="AF45" s="278"/>
      <c r="AG45" s="279"/>
      <c r="AH45" s="268"/>
      <c r="AI45" s="269"/>
      <c r="AJ45" s="269"/>
      <c r="AK45" s="269"/>
      <c r="AL45" s="269"/>
      <c r="AM45" s="270"/>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row>
    <row r="46" spans="1:80" x14ac:dyDescent="0.25">
      <c r="A46" s="94"/>
      <c r="B46" s="94"/>
      <c r="C46" s="94"/>
      <c r="D46" s="94"/>
      <c r="E46" s="94"/>
      <c r="F46" s="94"/>
      <c r="G46" s="94"/>
      <c r="H46" s="94"/>
      <c r="I46" s="94"/>
      <c r="J46" s="284" t="s">
        <v>112</v>
      </c>
      <c r="K46" s="285"/>
      <c r="L46" s="285"/>
      <c r="M46" s="285"/>
      <c r="N46" s="285"/>
      <c r="O46" s="286"/>
      <c r="P46" s="284" t="s">
        <v>111</v>
      </c>
      <c r="Q46" s="285"/>
      <c r="R46" s="285"/>
      <c r="S46" s="285"/>
      <c r="T46" s="285"/>
      <c r="U46" s="286"/>
      <c r="V46" s="284" t="s">
        <v>110</v>
      </c>
      <c r="W46" s="285"/>
      <c r="X46" s="285"/>
      <c r="Y46" s="285"/>
      <c r="Z46" s="285"/>
      <c r="AA46" s="286"/>
      <c r="AB46" s="284" t="s">
        <v>109</v>
      </c>
      <c r="AC46" s="293"/>
      <c r="AD46" s="285"/>
      <c r="AE46" s="285"/>
      <c r="AF46" s="285"/>
      <c r="AG46" s="286"/>
      <c r="AH46" s="284" t="s">
        <v>108</v>
      </c>
      <c r="AI46" s="285"/>
      <c r="AJ46" s="285"/>
      <c r="AK46" s="285"/>
      <c r="AL46" s="285"/>
      <c r="AM46" s="286"/>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row>
    <row r="47" spans="1:80" x14ac:dyDescent="0.25">
      <c r="A47" s="94"/>
      <c r="B47" s="94"/>
      <c r="C47" s="94"/>
      <c r="D47" s="94"/>
      <c r="E47" s="94"/>
      <c r="F47" s="94"/>
      <c r="G47" s="94"/>
      <c r="H47" s="94"/>
      <c r="I47" s="94"/>
      <c r="J47" s="287"/>
      <c r="K47" s="288"/>
      <c r="L47" s="288"/>
      <c r="M47" s="288"/>
      <c r="N47" s="288"/>
      <c r="O47" s="289"/>
      <c r="P47" s="287"/>
      <c r="Q47" s="288"/>
      <c r="R47" s="288"/>
      <c r="S47" s="288"/>
      <c r="T47" s="288"/>
      <c r="U47" s="289"/>
      <c r="V47" s="287"/>
      <c r="W47" s="288"/>
      <c r="X47" s="288"/>
      <c r="Y47" s="288"/>
      <c r="Z47" s="288"/>
      <c r="AA47" s="289"/>
      <c r="AB47" s="287"/>
      <c r="AC47" s="288"/>
      <c r="AD47" s="288"/>
      <c r="AE47" s="288"/>
      <c r="AF47" s="288"/>
      <c r="AG47" s="289"/>
      <c r="AH47" s="287"/>
      <c r="AI47" s="288"/>
      <c r="AJ47" s="288"/>
      <c r="AK47" s="288"/>
      <c r="AL47" s="288"/>
      <c r="AM47" s="289"/>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row>
    <row r="48" spans="1:80" x14ac:dyDescent="0.25">
      <c r="A48" s="94"/>
      <c r="B48" s="94"/>
      <c r="C48" s="94"/>
      <c r="D48" s="94"/>
      <c r="E48" s="94"/>
      <c r="F48" s="94"/>
      <c r="G48" s="94"/>
      <c r="H48" s="94"/>
      <c r="I48" s="94"/>
      <c r="J48" s="287"/>
      <c r="K48" s="288"/>
      <c r="L48" s="288"/>
      <c r="M48" s="288"/>
      <c r="N48" s="288"/>
      <c r="O48" s="289"/>
      <c r="P48" s="287"/>
      <c r="Q48" s="288"/>
      <c r="R48" s="288"/>
      <c r="S48" s="288"/>
      <c r="T48" s="288"/>
      <c r="U48" s="289"/>
      <c r="V48" s="287"/>
      <c r="W48" s="288"/>
      <c r="X48" s="288"/>
      <c r="Y48" s="288"/>
      <c r="Z48" s="288"/>
      <c r="AA48" s="289"/>
      <c r="AB48" s="287"/>
      <c r="AC48" s="288"/>
      <c r="AD48" s="288"/>
      <c r="AE48" s="288"/>
      <c r="AF48" s="288"/>
      <c r="AG48" s="289"/>
      <c r="AH48" s="287"/>
      <c r="AI48" s="288"/>
      <c r="AJ48" s="288"/>
      <c r="AK48" s="288"/>
      <c r="AL48" s="288"/>
      <c r="AM48" s="289"/>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row>
    <row r="49" spans="1:80" x14ac:dyDescent="0.25">
      <c r="A49" s="94"/>
      <c r="B49" s="94"/>
      <c r="C49" s="94"/>
      <c r="D49" s="94"/>
      <c r="E49" s="94"/>
      <c r="F49" s="94"/>
      <c r="G49" s="94"/>
      <c r="H49" s="94"/>
      <c r="I49" s="94"/>
      <c r="J49" s="287"/>
      <c r="K49" s="288"/>
      <c r="L49" s="288"/>
      <c r="M49" s="288"/>
      <c r="N49" s="288"/>
      <c r="O49" s="289"/>
      <c r="P49" s="287"/>
      <c r="Q49" s="288"/>
      <c r="R49" s="288"/>
      <c r="S49" s="288"/>
      <c r="T49" s="288"/>
      <c r="U49" s="289"/>
      <c r="V49" s="287"/>
      <c r="W49" s="288"/>
      <c r="X49" s="288"/>
      <c r="Y49" s="288"/>
      <c r="Z49" s="288"/>
      <c r="AA49" s="289"/>
      <c r="AB49" s="287"/>
      <c r="AC49" s="288"/>
      <c r="AD49" s="288"/>
      <c r="AE49" s="288"/>
      <c r="AF49" s="288"/>
      <c r="AG49" s="289"/>
      <c r="AH49" s="287"/>
      <c r="AI49" s="288"/>
      <c r="AJ49" s="288"/>
      <c r="AK49" s="288"/>
      <c r="AL49" s="288"/>
      <c r="AM49" s="289"/>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row>
    <row r="50" spans="1:80" x14ac:dyDescent="0.25">
      <c r="A50" s="94"/>
      <c r="B50" s="94"/>
      <c r="C50" s="94"/>
      <c r="D50" s="94"/>
      <c r="E50" s="94"/>
      <c r="F50" s="94"/>
      <c r="G50" s="94"/>
      <c r="H50" s="94"/>
      <c r="I50" s="94"/>
      <c r="J50" s="287"/>
      <c r="K50" s="288"/>
      <c r="L50" s="288"/>
      <c r="M50" s="288"/>
      <c r="N50" s="288"/>
      <c r="O50" s="289"/>
      <c r="P50" s="287"/>
      <c r="Q50" s="288"/>
      <c r="R50" s="288"/>
      <c r="S50" s="288"/>
      <c r="T50" s="288"/>
      <c r="U50" s="289"/>
      <c r="V50" s="287"/>
      <c r="W50" s="288"/>
      <c r="X50" s="288"/>
      <c r="Y50" s="288"/>
      <c r="Z50" s="288"/>
      <c r="AA50" s="289"/>
      <c r="AB50" s="287"/>
      <c r="AC50" s="288"/>
      <c r="AD50" s="288"/>
      <c r="AE50" s="288"/>
      <c r="AF50" s="288"/>
      <c r="AG50" s="289"/>
      <c r="AH50" s="287"/>
      <c r="AI50" s="288"/>
      <c r="AJ50" s="288"/>
      <c r="AK50" s="288"/>
      <c r="AL50" s="288"/>
      <c r="AM50" s="289"/>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row>
    <row r="51" spans="1:80" ht="15.75" thickBot="1" x14ac:dyDescent="0.3">
      <c r="A51" s="94"/>
      <c r="B51" s="94"/>
      <c r="C51" s="94"/>
      <c r="D51" s="94"/>
      <c r="E51" s="94"/>
      <c r="F51" s="94"/>
      <c r="G51" s="94"/>
      <c r="H51" s="94"/>
      <c r="I51" s="94"/>
      <c r="J51" s="290"/>
      <c r="K51" s="291"/>
      <c r="L51" s="291"/>
      <c r="M51" s="291"/>
      <c r="N51" s="291"/>
      <c r="O51" s="292"/>
      <c r="P51" s="290"/>
      <c r="Q51" s="291"/>
      <c r="R51" s="291"/>
      <c r="S51" s="291"/>
      <c r="T51" s="291"/>
      <c r="U51" s="292"/>
      <c r="V51" s="290"/>
      <c r="W51" s="291"/>
      <c r="X51" s="291"/>
      <c r="Y51" s="291"/>
      <c r="Z51" s="291"/>
      <c r="AA51" s="292"/>
      <c r="AB51" s="290"/>
      <c r="AC51" s="291"/>
      <c r="AD51" s="291"/>
      <c r="AE51" s="291"/>
      <c r="AF51" s="291"/>
      <c r="AG51" s="292"/>
      <c r="AH51" s="290"/>
      <c r="AI51" s="291"/>
      <c r="AJ51" s="291"/>
      <c r="AK51" s="291"/>
      <c r="AL51" s="291"/>
      <c r="AM51" s="29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row>
    <row r="52" spans="1:80"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row>
    <row r="53" spans="1:80" ht="15" customHeight="1" x14ac:dyDescent="0.25">
      <c r="A53" s="94"/>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row>
    <row r="54" spans="1:80" ht="15" customHeight="1" x14ac:dyDescent="0.25">
      <c r="A54" s="94"/>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row>
    <row r="55" spans="1:80"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row>
    <row r="56" spans="1:80"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row>
    <row r="57" spans="1:80"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row>
    <row r="58" spans="1:80"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row>
    <row r="59" spans="1:80"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row>
    <row r="60" spans="1:80"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row>
    <row r="61" spans="1:80"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row>
    <row r="62" spans="1:80"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row>
    <row r="63" spans="1:80"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row>
    <row r="64" spans="1:80"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row>
    <row r="65" spans="1:80"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row>
    <row r="66" spans="1:80"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row>
    <row r="67" spans="1:80"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row>
    <row r="68" spans="1:80"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row>
    <row r="69" spans="1:80"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row>
    <row r="70" spans="1:80"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row>
    <row r="71" spans="1:80"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row>
    <row r="72" spans="1:80"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row>
    <row r="73" spans="1:80"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row>
    <row r="74" spans="1:80"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row>
    <row r="75" spans="1:80"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row>
    <row r="76" spans="1:80"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row>
    <row r="77" spans="1:80"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row>
    <row r="78" spans="1:80"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row>
    <row r="79" spans="1:80"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row>
    <row r="80" spans="1:80"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row>
    <row r="81" spans="1:63"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row>
    <row r="82" spans="1:63"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row>
    <row r="83" spans="1:63"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row>
    <row r="84" spans="1:63"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row>
    <row r="85" spans="1:63"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row>
    <row r="86" spans="1:63"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row>
    <row r="87" spans="1:63"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row>
    <row r="88" spans="1:63"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row>
    <row r="89" spans="1:63"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row>
    <row r="90" spans="1:63"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row>
    <row r="91" spans="1:63" x14ac:dyDescent="0.2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row>
    <row r="92" spans="1:63" x14ac:dyDescent="0.2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row>
    <row r="93" spans="1:63" x14ac:dyDescent="0.2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row>
    <row r="94" spans="1:63" x14ac:dyDescent="0.2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row>
    <row r="95" spans="1:63" x14ac:dyDescent="0.25">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row>
    <row r="96" spans="1:63" x14ac:dyDescent="0.2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row>
    <row r="97" spans="1:63"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row>
    <row r="98" spans="1:63" x14ac:dyDescent="0.2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row>
    <row r="99" spans="1:63" x14ac:dyDescent="0.2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row>
    <row r="100" spans="1:63" x14ac:dyDescent="0.25">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row>
    <row r="101" spans="1:63" x14ac:dyDescent="0.2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row>
    <row r="102" spans="1:63" x14ac:dyDescent="0.2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row>
    <row r="103" spans="1:63"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row>
    <row r="104" spans="1:63" x14ac:dyDescent="0.25">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row>
    <row r="105" spans="1:63" x14ac:dyDescent="0.2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row>
    <row r="106" spans="1:63" x14ac:dyDescent="0.25">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row>
    <row r="107" spans="1:63" x14ac:dyDescent="0.25">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row>
    <row r="108" spans="1:63" x14ac:dyDescent="0.25">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row>
    <row r="109" spans="1:63" x14ac:dyDescent="0.25">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row>
    <row r="110" spans="1:63" x14ac:dyDescent="0.25">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row>
    <row r="111" spans="1:63"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row>
    <row r="112" spans="1:63" x14ac:dyDescent="0.25">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row>
    <row r="113" spans="1:63" x14ac:dyDescent="0.25">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row>
    <row r="114" spans="1:63" x14ac:dyDescent="0.25">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row>
    <row r="115" spans="1:63" x14ac:dyDescent="0.2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row>
    <row r="116" spans="1:63" x14ac:dyDescent="0.25">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c r="BI116" s="94"/>
      <c r="BJ116" s="94"/>
      <c r="BK116" s="94"/>
    </row>
    <row r="117" spans="1:63" x14ac:dyDescent="0.25">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row>
    <row r="118" spans="1:63" x14ac:dyDescent="0.25">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row>
    <row r="119" spans="1:63" x14ac:dyDescent="0.25">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row>
    <row r="120" spans="1:63" x14ac:dyDescent="0.25">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c r="BI120" s="94"/>
      <c r="BJ120" s="94"/>
      <c r="BK120" s="94"/>
    </row>
    <row r="121" spans="1:63" x14ac:dyDescent="0.25">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4"/>
      <c r="BJ121" s="94"/>
      <c r="BK121" s="94"/>
    </row>
    <row r="122" spans="1:63" x14ac:dyDescent="0.25">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4"/>
      <c r="BJ122" s="94"/>
      <c r="BK122" s="94"/>
    </row>
    <row r="123" spans="1:63" x14ac:dyDescent="0.25">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c r="BI123" s="94"/>
      <c r="BJ123" s="94"/>
      <c r="BK123" s="94"/>
    </row>
    <row r="124" spans="1:63" x14ac:dyDescent="0.25">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94"/>
    </row>
    <row r="125" spans="1:63" x14ac:dyDescent="0.25">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c r="BI125" s="94"/>
      <c r="BJ125" s="94"/>
      <c r="BK125" s="94"/>
    </row>
    <row r="126" spans="1:63" x14ac:dyDescent="0.25">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row>
    <row r="127" spans="1:63" x14ac:dyDescent="0.25">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c r="BI127" s="94"/>
      <c r="BJ127" s="94"/>
      <c r="BK127" s="94"/>
    </row>
    <row r="128" spans="1:63" x14ac:dyDescent="0.25">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row>
    <row r="129" spans="2:63" x14ac:dyDescent="0.25">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row>
    <row r="130" spans="2:63" x14ac:dyDescent="0.25">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row>
    <row r="131" spans="2:63" x14ac:dyDescent="0.25">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row>
    <row r="132" spans="2:63" x14ac:dyDescent="0.25">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row>
    <row r="133" spans="2:63" x14ac:dyDescent="0.25">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row>
    <row r="134" spans="2:63" x14ac:dyDescent="0.25">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94"/>
      <c r="BH134" s="94"/>
      <c r="BI134" s="94"/>
      <c r="BJ134" s="94"/>
      <c r="BK134" s="94"/>
    </row>
    <row r="135" spans="2:63" x14ac:dyDescent="0.25">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row>
    <row r="136" spans="2:63" x14ac:dyDescent="0.25">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c r="BI136" s="94"/>
      <c r="BJ136" s="94"/>
      <c r="BK136" s="94"/>
    </row>
    <row r="137" spans="2:63" x14ac:dyDescent="0.25">
      <c r="B137" s="94"/>
      <c r="C137" s="94"/>
      <c r="D137" s="94"/>
      <c r="E137" s="94"/>
      <c r="F137" s="94"/>
      <c r="G137" s="94"/>
      <c r="H137" s="94"/>
      <c r="I137" s="94"/>
    </row>
    <row r="138" spans="2:63" x14ac:dyDescent="0.25">
      <c r="B138" s="94"/>
      <c r="C138" s="94"/>
      <c r="D138" s="94"/>
      <c r="E138" s="94"/>
      <c r="F138" s="94"/>
      <c r="G138" s="94"/>
      <c r="H138" s="94"/>
      <c r="I138" s="94"/>
    </row>
    <row r="139" spans="2:63" x14ac:dyDescent="0.25">
      <c r="B139" s="94"/>
      <c r="C139" s="94"/>
      <c r="D139" s="94"/>
      <c r="E139" s="94"/>
      <c r="F139" s="94"/>
      <c r="G139" s="94"/>
      <c r="H139" s="94"/>
      <c r="I139" s="94"/>
    </row>
    <row r="140" spans="2:63" x14ac:dyDescent="0.25">
      <c r="B140" s="94"/>
      <c r="C140" s="94"/>
      <c r="D140" s="94"/>
      <c r="E140" s="94"/>
      <c r="F140" s="94"/>
      <c r="G140" s="94"/>
      <c r="H140" s="94"/>
      <c r="I140" s="94"/>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Z27" sqref="Z2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row>
    <row r="2" spans="1:91" ht="18" customHeight="1" x14ac:dyDescent="0.25">
      <c r="A2" s="94"/>
      <c r="B2" s="361" t="s">
        <v>158</v>
      </c>
      <c r="C2" s="362"/>
      <c r="D2" s="362"/>
      <c r="E2" s="362"/>
      <c r="F2" s="362"/>
      <c r="G2" s="362"/>
      <c r="H2" s="362"/>
      <c r="I2" s="362"/>
      <c r="J2" s="283" t="s">
        <v>2</v>
      </c>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row>
    <row r="3" spans="1:91" ht="18.75" customHeight="1" x14ac:dyDescent="0.25">
      <c r="A3" s="94"/>
      <c r="B3" s="362"/>
      <c r="C3" s="362"/>
      <c r="D3" s="362"/>
      <c r="E3" s="362"/>
      <c r="F3" s="362"/>
      <c r="G3" s="362"/>
      <c r="H3" s="362"/>
      <c r="I3" s="362"/>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row>
    <row r="4" spans="1:91" ht="15" customHeight="1" x14ac:dyDescent="0.25">
      <c r="A4" s="94"/>
      <c r="B4" s="362"/>
      <c r="C4" s="362"/>
      <c r="D4" s="362"/>
      <c r="E4" s="362"/>
      <c r="F4" s="362"/>
      <c r="G4" s="362"/>
      <c r="H4" s="362"/>
      <c r="I4" s="362"/>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row>
    <row r="5" spans="1:91" ht="15.75" thickBot="1" x14ac:dyDescent="0.3">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row>
    <row r="6" spans="1:91" ht="15" customHeight="1" x14ac:dyDescent="0.25">
      <c r="A6" s="94"/>
      <c r="B6" s="294" t="s">
        <v>4</v>
      </c>
      <c r="C6" s="294"/>
      <c r="D6" s="295"/>
      <c r="E6" s="332" t="s">
        <v>116</v>
      </c>
      <c r="F6" s="333"/>
      <c r="G6" s="333"/>
      <c r="H6" s="333"/>
      <c r="I6" s="334"/>
      <c r="J6" s="57" t="str">
        <f>IF(AND('Mapa final'!$Y$12="Muy Alta",'Mapa final'!$AA$12="Leve"),CONCATENATE("R1C",'Mapa final'!$O$12),"")</f>
        <v/>
      </c>
      <c r="K6" s="58"/>
      <c r="L6" s="58"/>
      <c r="M6" s="58"/>
      <c r="N6" s="58"/>
      <c r="O6" s="59"/>
      <c r="P6" s="57"/>
      <c r="Q6" s="58"/>
      <c r="R6" s="58"/>
      <c r="S6" s="58"/>
      <c r="T6" s="58"/>
      <c r="U6" s="59"/>
      <c r="V6" s="57"/>
      <c r="W6" s="58"/>
      <c r="X6" s="58"/>
      <c r="Y6" s="58"/>
      <c r="Z6" s="58"/>
      <c r="AA6" s="59"/>
      <c r="AB6" s="57"/>
      <c r="AC6" s="58"/>
      <c r="AD6" s="58"/>
      <c r="AE6" s="58"/>
      <c r="AF6" s="58"/>
      <c r="AG6" s="59"/>
      <c r="AH6" s="60"/>
      <c r="AI6" s="61"/>
      <c r="AJ6" s="61"/>
      <c r="AK6" s="61"/>
      <c r="AL6" s="61"/>
      <c r="AM6" s="62"/>
      <c r="AN6" s="94"/>
      <c r="AO6" s="352" t="s">
        <v>79</v>
      </c>
      <c r="AP6" s="353"/>
      <c r="AQ6" s="353"/>
      <c r="AR6" s="353"/>
      <c r="AS6" s="353"/>
      <c r="AT6" s="35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row>
    <row r="7" spans="1:91" ht="15" customHeight="1" x14ac:dyDescent="0.25">
      <c r="A7" s="94"/>
      <c r="B7" s="294"/>
      <c r="C7" s="294"/>
      <c r="D7" s="295"/>
      <c r="E7" s="335"/>
      <c r="F7" s="336"/>
      <c r="G7" s="336"/>
      <c r="H7" s="336"/>
      <c r="I7" s="337"/>
      <c r="J7" s="63" t="str">
        <f ca="1">IF(AND('Mapa final'!$Y$17="Muy Alta",'Mapa final'!$AA$17="Leve"),CONCATENATE("R2C",'Mapa final'!$O$17),"")</f>
        <v/>
      </c>
      <c r="K7" s="64"/>
      <c r="L7" s="64"/>
      <c r="M7" s="64"/>
      <c r="N7" s="64"/>
      <c r="O7" s="65"/>
      <c r="P7" s="63"/>
      <c r="Q7" s="64"/>
      <c r="R7" s="64"/>
      <c r="S7" s="64"/>
      <c r="T7" s="64"/>
      <c r="U7" s="65"/>
      <c r="V7" s="63"/>
      <c r="W7" s="64"/>
      <c r="X7" s="64"/>
      <c r="Y7" s="64"/>
      <c r="Z7" s="64"/>
      <c r="AA7" s="65"/>
      <c r="AB7" s="63"/>
      <c r="AC7" s="64"/>
      <c r="AD7" s="64"/>
      <c r="AE7" s="64"/>
      <c r="AF7" s="64"/>
      <c r="AG7" s="65"/>
      <c r="AH7" s="66"/>
      <c r="AI7" s="67"/>
      <c r="AJ7" s="67"/>
      <c r="AK7" s="67"/>
      <c r="AL7" s="67"/>
      <c r="AM7" s="68"/>
      <c r="AN7" s="94"/>
      <c r="AO7" s="355"/>
      <c r="AP7" s="356"/>
      <c r="AQ7" s="356"/>
      <c r="AR7" s="356"/>
      <c r="AS7" s="356"/>
      <c r="AT7" s="357"/>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row>
    <row r="8" spans="1:91" ht="15" customHeight="1" x14ac:dyDescent="0.25">
      <c r="A8" s="94"/>
      <c r="B8" s="294"/>
      <c r="C8" s="294"/>
      <c r="D8" s="295"/>
      <c r="E8" s="335"/>
      <c r="F8" s="336"/>
      <c r="G8" s="336"/>
      <c r="H8" s="336"/>
      <c r="I8" s="337"/>
      <c r="J8" s="63" t="str">
        <f ca="1">IF(AND('Mapa final'!$Y$19="Muy Alta",'Mapa final'!$AA$19="Leve"),CONCATENATE("R3C",'Mapa final'!$O$19),"")</f>
        <v/>
      </c>
      <c r="K8" s="64"/>
      <c r="L8" s="64"/>
      <c r="M8" s="64"/>
      <c r="N8" s="64"/>
      <c r="O8" s="65"/>
      <c r="P8" s="63"/>
      <c r="Q8" s="64"/>
      <c r="R8" s="64"/>
      <c r="S8" s="64"/>
      <c r="T8" s="64"/>
      <c r="U8" s="65"/>
      <c r="V8" s="63"/>
      <c r="W8" s="64"/>
      <c r="X8" s="64"/>
      <c r="Y8" s="64"/>
      <c r="Z8" s="64"/>
      <c r="AA8" s="65"/>
      <c r="AB8" s="63"/>
      <c r="AC8" s="64"/>
      <c r="AD8" s="64"/>
      <c r="AE8" s="64"/>
      <c r="AF8" s="64"/>
      <c r="AG8" s="65"/>
      <c r="AH8" s="66"/>
      <c r="AI8" s="67"/>
      <c r="AJ8" s="67"/>
      <c r="AK8" s="67"/>
      <c r="AL8" s="67"/>
      <c r="AM8" s="68"/>
      <c r="AN8" s="94"/>
      <c r="AO8" s="355"/>
      <c r="AP8" s="356"/>
      <c r="AQ8" s="356"/>
      <c r="AR8" s="356"/>
      <c r="AS8" s="356"/>
      <c r="AT8" s="357"/>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row>
    <row r="9" spans="1:91" ht="15" customHeight="1" x14ac:dyDescent="0.25">
      <c r="A9" s="94"/>
      <c r="B9" s="294"/>
      <c r="C9" s="294"/>
      <c r="D9" s="295"/>
      <c r="E9" s="335"/>
      <c r="F9" s="336"/>
      <c r="G9" s="336"/>
      <c r="H9" s="336"/>
      <c r="I9" s="337"/>
      <c r="J9" s="63" t="str">
        <f ca="1">IF(AND('Mapa final'!$Y$22="Muy Alta",'Mapa final'!$AA$22="Leve"),CONCATENATE("R4C",'Mapa final'!$O$22),"")</f>
        <v/>
      </c>
      <c r="K9" s="64"/>
      <c r="L9" s="64"/>
      <c r="M9" s="64"/>
      <c r="N9" s="64"/>
      <c r="O9" s="65"/>
      <c r="P9" s="63"/>
      <c r="Q9" s="64"/>
      <c r="R9" s="64"/>
      <c r="S9" s="64"/>
      <c r="T9" s="64"/>
      <c r="U9" s="65"/>
      <c r="V9" s="63"/>
      <c r="W9" s="64"/>
      <c r="X9" s="64"/>
      <c r="Y9" s="64"/>
      <c r="Z9" s="64"/>
      <c r="AA9" s="65"/>
      <c r="AB9" s="63"/>
      <c r="AC9" s="64"/>
      <c r="AD9" s="64"/>
      <c r="AE9" s="64"/>
      <c r="AF9" s="64"/>
      <c r="AG9" s="65"/>
      <c r="AH9" s="66"/>
      <c r="AI9" s="67"/>
      <c r="AJ9" s="67"/>
      <c r="AK9" s="67"/>
      <c r="AL9" s="67"/>
      <c r="AM9" s="68"/>
      <c r="AN9" s="94"/>
      <c r="AO9" s="355"/>
      <c r="AP9" s="356"/>
      <c r="AQ9" s="356"/>
      <c r="AR9" s="356"/>
      <c r="AS9" s="356"/>
      <c r="AT9" s="357"/>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row>
    <row r="10" spans="1:91" ht="15" customHeight="1" x14ac:dyDescent="0.25">
      <c r="A10" s="94"/>
      <c r="B10" s="294"/>
      <c r="C10" s="294"/>
      <c r="D10" s="295"/>
      <c r="E10" s="335"/>
      <c r="F10" s="336"/>
      <c r="G10" s="336"/>
      <c r="H10" s="336"/>
      <c r="I10" s="337"/>
      <c r="J10" s="63" t="str">
        <f ca="1">IF(AND('Mapa final'!$Y$26="Muy Alta",'Mapa final'!$AA$26="Leve"),CONCATENATE("R5C",'Mapa final'!$O$26),"")</f>
        <v/>
      </c>
      <c r="K10" s="64"/>
      <c r="L10" s="64"/>
      <c r="M10" s="64"/>
      <c r="N10" s="64"/>
      <c r="O10" s="65"/>
      <c r="P10" s="63"/>
      <c r="Q10" s="64"/>
      <c r="R10" s="64"/>
      <c r="S10" s="64"/>
      <c r="T10" s="64"/>
      <c r="U10" s="65"/>
      <c r="V10" s="63"/>
      <c r="W10" s="64"/>
      <c r="X10" s="64"/>
      <c r="Y10" s="64"/>
      <c r="Z10" s="64"/>
      <c r="AA10" s="65"/>
      <c r="AB10" s="63"/>
      <c r="AC10" s="64"/>
      <c r="AD10" s="64"/>
      <c r="AE10" s="64"/>
      <c r="AF10" s="64"/>
      <c r="AG10" s="65"/>
      <c r="AH10" s="66"/>
      <c r="AI10" s="67"/>
      <c r="AJ10" s="67"/>
      <c r="AK10" s="67"/>
      <c r="AL10" s="67"/>
      <c r="AM10" s="68"/>
      <c r="AN10" s="94"/>
      <c r="AO10" s="355"/>
      <c r="AP10" s="356"/>
      <c r="AQ10" s="356"/>
      <c r="AR10" s="356"/>
      <c r="AS10" s="356"/>
      <c r="AT10" s="357"/>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row>
    <row r="11" spans="1:91" ht="15" customHeight="1" x14ac:dyDescent="0.25">
      <c r="A11" s="94"/>
      <c r="B11" s="294"/>
      <c r="C11" s="294"/>
      <c r="D11" s="295"/>
      <c r="E11" s="335"/>
      <c r="F11" s="336"/>
      <c r="G11" s="336"/>
      <c r="H11" s="336"/>
      <c r="I11" s="337"/>
      <c r="J11" s="63" t="str">
        <f>IF(AND('Mapa final'!$Y$28="Muy Alta",'Mapa final'!$AA$28="Leve"),CONCATENATE("R6C",'Mapa final'!$O$28),"")</f>
        <v/>
      </c>
      <c r="K11" s="64"/>
      <c r="L11" s="64"/>
      <c r="M11" s="64"/>
      <c r="N11" s="64"/>
      <c r="O11" s="65"/>
      <c r="P11" s="63"/>
      <c r="Q11" s="64"/>
      <c r="R11" s="64"/>
      <c r="S11" s="64"/>
      <c r="T11" s="64"/>
      <c r="U11" s="65"/>
      <c r="V11" s="63"/>
      <c r="W11" s="64"/>
      <c r="X11" s="64"/>
      <c r="Y11" s="64"/>
      <c r="Z11" s="64"/>
      <c r="AA11" s="65"/>
      <c r="AB11" s="63"/>
      <c r="AC11" s="64"/>
      <c r="AD11" s="64"/>
      <c r="AE11" s="64"/>
      <c r="AF11" s="64"/>
      <c r="AG11" s="65"/>
      <c r="AH11" s="66"/>
      <c r="AI11" s="67"/>
      <c r="AJ11" s="67"/>
      <c r="AK11" s="67"/>
      <c r="AL11" s="67"/>
      <c r="AM11" s="68"/>
      <c r="AN11" s="94"/>
      <c r="AO11" s="355"/>
      <c r="AP11" s="356"/>
      <c r="AQ11" s="356"/>
      <c r="AR11" s="356"/>
      <c r="AS11" s="356"/>
      <c r="AT11" s="357"/>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row>
    <row r="12" spans="1:91" ht="15" customHeight="1" x14ac:dyDescent="0.25">
      <c r="A12" s="94"/>
      <c r="B12" s="294"/>
      <c r="C12" s="294"/>
      <c r="D12" s="295"/>
      <c r="E12" s="335"/>
      <c r="F12" s="336"/>
      <c r="G12" s="336"/>
      <c r="H12" s="336"/>
      <c r="I12" s="337"/>
      <c r="J12" s="63"/>
      <c r="K12" s="64"/>
      <c r="L12" s="64"/>
      <c r="M12" s="64"/>
      <c r="N12" s="64"/>
      <c r="O12" s="65"/>
      <c r="P12" s="63"/>
      <c r="Q12" s="64"/>
      <c r="R12" s="64"/>
      <c r="S12" s="64"/>
      <c r="T12" s="64"/>
      <c r="U12" s="65"/>
      <c r="V12" s="63"/>
      <c r="W12" s="64"/>
      <c r="X12" s="64"/>
      <c r="Y12" s="64"/>
      <c r="Z12" s="64"/>
      <c r="AA12" s="65"/>
      <c r="AB12" s="63"/>
      <c r="AC12" s="64"/>
      <c r="AD12" s="64"/>
      <c r="AE12" s="64"/>
      <c r="AF12" s="64"/>
      <c r="AG12" s="65"/>
      <c r="AH12" s="66"/>
      <c r="AI12" s="67"/>
      <c r="AJ12" s="67"/>
      <c r="AK12" s="67"/>
      <c r="AL12" s="67"/>
      <c r="AM12" s="68"/>
      <c r="AN12" s="94"/>
      <c r="AO12" s="355"/>
      <c r="AP12" s="356"/>
      <c r="AQ12" s="356"/>
      <c r="AR12" s="356"/>
      <c r="AS12" s="356"/>
      <c r="AT12" s="357"/>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row>
    <row r="13" spans="1:91" ht="15" customHeight="1" x14ac:dyDescent="0.25">
      <c r="A13" s="94"/>
      <c r="B13" s="294"/>
      <c r="C13" s="294"/>
      <c r="D13" s="295"/>
      <c r="E13" s="335"/>
      <c r="F13" s="336"/>
      <c r="G13" s="336"/>
      <c r="H13" s="336"/>
      <c r="I13" s="337"/>
      <c r="J13" s="63"/>
      <c r="K13" s="64"/>
      <c r="L13" s="64"/>
      <c r="M13" s="64"/>
      <c r="N13" s="64"/>
      <c r="O13" s="65"/>
      <c r="P13" s="63"/>
      <c r="Q13" s="64"/>
      <c r="R13" s="64"/>
      <c r="S13" s="64"/>
      <c r="T13" s="64"/>
      <c r="U13" s="65"/>
      <c r="V13" s="63"/>
      <c r="W13" s="64"/>
      <c r="X13" s="64"/>
      <c r="Y13" s="64"/>
      <c r="Z13" s="64"/>
      <c r="AA13" s="65"/>
      <c r="AB13" s="63"/>
      <c r="AC13" s="64"/>
      <c r="AD13" s="64"/>
      <c r="AE13" s="64"/>
      <c r="AF13" s="64"/>
      <c r="AG13" s="65"/>
      <c r="AH13" s="66"/>
      <c r="AI13" s="67"/>
      <c r="AJ13" s="67"/>
      <c r="AK13" s="67"/>
      <c r="AL13" s="67"/>
      <c r="AM13" s="68"/>
      <c r="AN13" s="94"/>
      <c r="AO13" s="355"/>
      <c r="AP13" s="356"/>
      <c r="AQ13" s="356"/>
      <c r="AR13" s="356"/>
      <c r="AS13" s="356"/>
      <c r="AT13" s="357"/>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row>
    <row r="14" spans="1:91" ht="15" customHeight="1" x14ac:dyDescent="0.25">
      <c r="A14" s="94"/>
      <c r="B14" s="294"/>
      <c r="C14" s="294"/>
      <c r="D14" s="295"/>
      <c r="E14" s="335"/>
      <c r="F14" s="336"/>
      <c r="G14" s="336"/>
      <c r="H14" s="336"/>
      <c r="I14" s="337"/>
      <c r="J14" s="63"/>
      <c r="K14" s="64"/>
      <c r="L14" s="64"/>
      <c r="M14" s="64"/>
      <c r="N14" s="64"/>
      <c r="O14" s="65"/>
      <c r="P14" s="63"/>
      <c r="Q14" s="64"/>
      <c r="R14" s="64"/>
      <c r="S14" s="64"/>
      <c r="T14" s="64"/>
      <c r="U14" s="65"/>
      <c r="V14" s="63"/>
      <c r="W14" s="64"/>
      <c r="X14" s="64"/>
      <c r="Y14" s="64"/>
      <c r="Z14" s="64"/>
      <c r="AA14" s="65"/>
      <c r="AB14" s="63"/>
      <c r="AC14" s="64"/>
      <c r="AD14" s="64"/>
      <c r="AE14" s="64"/>
      <c r="AF14" s="64"/>
      <c r="AG14" s="65"/>
      <c r="AH14" s="66"/>
      <c r="AI14" s="67"/>
      <c r="AJ14" s="67"/>
      <c r="AK14" s="67"/>
      <c r="AL14" s="67"/>
      <c r="AM14" s="68"/>
      <c r="AN14" s="94"/>
      <c r="AO14" s="355"/>
      <c r="AP14" s="356"/>
      <c r="AQ14" s="356"/>
      <c r="AR14" s="356"/>
      <c r="AS14" s="356"/>
      <c r="AT14" s="357"/>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row>
    <row r="15" spans="1:91" ht="15.75" customHeight="1" thickBot="1" x14ac:dyDescent="0.3">
      <c r="A15" s="94"/>
      <c r="B15" s="294"/>
      <c r="C15" s="294"/>
      <c r="D15" s="295"/>
      <c r="E15" s="338"/>
      <c r="F15" s="339"/>
      <c r="G15" s="339"/>
      <c r="H15" s="339"/>
      <c r="I15" s="340"/>
      <c r="J15" s="69"/>
      <c r="K15" s="70"/>
      <c r="L15" s="70"/>
      <c r="M15" s="70"/>
      <c r="N15" s="70"/>
      <c r="O15" s="71"/>
      <c r="P15" s="63"/>
      <c r="Q15" s="64"/>
      <c r="R15" s="64"/>
      <c r="S15" s="64"/>
      <c r="T15" s="64"/>
      <c r="U15" s="65"/>
      <c r="V15" s="69"/>
      <c r="W15" s="70"/>
      <c r="X15" s="70"/>
      <c r="Y15" s="70"/>
      <c r="Z15" s="70"/>
      <c r="AA15" s="71"/>
      <c r="AB15" s="63"/>
      <c r="AC15" s="64"/>
      <c r="AD15" s="64"/>
      <c r="AE15" s="64"/>
      <c r="AF15" s="64"/>
      <c r="AG15" s="65"/>
      <c r="AH15" s="72"/>
      <c r="AI15" s="73"/>
      <c r="AJ15" s="73"/>
      <c r="AK15" s="73"/>
      <c r="AL15" s="73"/>
      <c r="AM15" s="74"/>
      <c r="AN15" s="94"/>
      <c r="AO15" s="358"/>
      <c r="AP15" s="359"/>
      <c r="AQ15" s="359"/>
      <c r="AR15" s="359"/>
      <c r="AS15" s="359"/>
      <c r="AT15" s="360"/>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row>
    <row r="16" spans="1:91" ht="15" customHeight="1" x14ac:dyDescent="0.25">
      <c r="A16" s="94"/>
      <c r="B16" s="294"/>
      <c r="C16" s="294"/>
      <c r="D16" s="295"/>
      <c r="E16" s="332" t="s">
        <v>115</v>
      </c>
      <c r="F16" s="333"/>
      <c r="G16" s="333"/>
      <c r="H16" s="333"/>
      <c r="I16" s="333"/>
      <c r="J16" s="75"/>
      <c r="K16" s="76"/>
      <c r="L16" s="76"/>
      <c r="M16" s="76"/>
      <c r="N16" s="76"/>
      <c r="O16" s="77"/>
      <c r="P16" s="75"/>
      <c r="Q16" s="76"/>
      <c r="R16" s="76"/>
      <c r="S16" s="76"/>
      <c r="T16" s="76"/>
      <c r="U16" s="77"/>
      <c r="V16" s="57"/>
      <c r="W16" s="58"/>
      <c r="X16" s="58"/>
      <c r="Y16" s="58"/>
      <c r="Z16" s="58"/>
      <c r="AA16" s="59"/>
      <c r="AB16" s="57"/>
      <c r="AC16" s="58"/>
      <c r="AD16" s="58"/>
      <c r="AE16" s="58"/>
      <c r="AF16" s="58"/>
      <c r="AG16" s="59"/>
      <c r="AH16" s="60"/>
      <c r="AI16" s="61"/>
      <c r="AJ16" s="61"/>
      <c r="AK16" s="61"/>
      <c r="AL16" s="61"/>
      <c r="AM16" s="62"/>
      <c r="AN16" s="94"/>
      <c r="AO16" s="342" t="s">
        <v>80</v>
      </c>
      <c r="AP16" s="343"/>
      <c r="AQ16" s="343"/>
      <c r="AR16" s="343"/>
      <c r="AS16" s="343"/>
      <c r="AT16" s="34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row>
    <row r="17" spans="1:76" ht="15" customHeight="1" x14ac:dyDescent="0.25">
      <c r="A17" s="94"/>
      <c r="B17" s="294"/>
      <c r="C17" s="294"/>
      <c r="D17" s="295"/>
      <c r="E17" s="351"/>
      <c r="F17" s="336"/>
      <c r="G17" s="336"/>
      <c r="H17" s="336"/>
      <c r="I17" s="336"/>
      <c r="J17" s="78"/>
      <c r="K17" s="79"/>
      <c r="L17" s="79"/>
      <c r="M17" s="79"/>
      <c r="N17" s="79"/>
      <c r="O17" s="80"/>
      <c r="P17" s="78"/>
      <c r="Q17" s="79"/>
      <c r="R17" s="79"/>
      <c r="S17" s="79"/>
      <c r="T17" s="79"/>
      <c r="U17" s="80"/>
      <c r="V17" s="63"/>
      <c r="W17" s="64"/>
      <c r="X17" s="64"/>
      <c r="Y17" s="64"/>
      <c r="Z17" s="64"/>
      <c r="AA17" s="65"/>
      <c r="AB17" s="63"/>
      <c r="AC17" s="64"/>
      <c r="AD17" s="64"/>
      <c r="AE17" s="64"/>
      <c r="AF17" s="64"/>
      <c r="AG17" s="65"/>
      <c r="AH17" s="66"/>
      <c r="AI17" s="67"/>
      <c r="AJ17" s="67"/>
      <c r="AK17" s="67"/>
      <c r="AL17" s="67"/>
      <c r="AM17" s="68"/>
      <c r="AN17" s="94"/>
      <c r="AO17" s="345"/>
      <c r="AP17" s="346"/>
      <c r="AQ17" s="346"/>
      <c r="AR17" s="346"/>
      <c r="AS17" s="346"/>
      <c r="AT17" s="347"/>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row>
    <row r="18" spans="1:76" ht="15" customHeight="1" x14ac:dyDescent="0.25">
      <c r="A18" s="94"/>
      <c r="B18" s="294"/>
      <c r="C18" s="294"/>
      <c r="D18" s="295"/>
      <c r="E18" s="335"/>
      <c r="F18" s="336"/>
      <c r="G18" s="336"/>
      <c r="H18" s="336"/>
      <c r="I18" s="336"/>
      <c r="J18" s="78"/>
      <c r="K18" s="79"/>
      <c r="L18" s="79"/>
      <c r="M18" s="79"/>
      <c r="N18" s="79"/>
      <c r="O18" s="80"/>
      <c r="P18" s="78"/>
      <c r="Q18" s="79"/>
      <c r="R18" s="79"/>
      <c r="S18" s="79"/>
      <c r="T18" s="79"/>
      <c r="U18" s="80"/>
      <c r="V18" s="63"/>
      <c r="W18" s="64"/>
      <c r="X18" s="64"/>
      <c r="Y18" s="64"/>
      <c r="Z18" s="64"/>
      <c r="AA18" s="65"/>
      <c r="AB18" s="63"/>
      <c r="AC18" s="64"/>
      <c r="AD18" s="64"/>
      <c r="AE18" s="64"/>
      <c r="AF18" s="64"/>
      <c r="AG18" s="65"/>
      <c r="AH18" s="66"/>
      <c r="AI18" s="67"/>
      <c r="AJ18" s="67"/>
      <c r="AK18" s="67"/>
      <c r="AL18" s="67"/>
      <c r="AM18" s="68"/>
      <c r="AN18" s="94"/>
      <c r="AO18" s="345"/>
      <c r="AP18" s="346"/>
      <c r="AQ18" s="346"/>
      <c r="AR18" s="346"/>
      <c r="AS18" s="346"/>
      <c r="AT18" s="347"/>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row>
    <row r="19" spans="1:76" ht="15" customHeight="1" x14ac:dyDescent="0.25">
      <c r="A19" s="94"/>
      <c r="B19" s="294"/>
      <c r="C19" s="294"/>
      <c r="D19" s="295"/>
      <c r="E19" s="335"/>
      <c r="F19" s="336"/>
      <c r="G19" s="336"/>
      <c r="H19" s="336"/>
      <c r="I19" s="336"/>
      <c r="J19" s="78"/>
      <c r="K19" s="79"/>
      <c r="L19" s="79"/>
      <c r="M19" s="79"/>
      <c r="N19" s="79"/>
      <c r="O19" s="80"/>
      <c r="P19" s="78"/>
      <c r="Q19" s="79"/>
      <c r="R19" s="79"/>
      <c r="S19" s="79"/>
      <c r="T19" s="79"/>
      <c r="U19" s="80"/>
      <c r="V19" s="63"/>
      <c r="W19" s="64"/>
      <c r="X19" s="64"/>
      <c r="Y19" s="64"/>
      <c r="Z19" s="64"/>
      <c r="AA19" s="65"/>
      <c r="AB19" s="63"/>
      <c r="AC19" s="64"/>
      <c r="AD19" s="64"/>
      <c r="AE19" s="64"/>
      <c r="AF19" s="64"/>
      <c r="AG19" s="65"/>
      <c r="AH19" s="66"/>
      <c r="AI19" s="67"/>
      <c r="AJ19" s="67"/>
      <c r="AK19" s="67"/>
      <c r="AL19" s="67"/>
      <c r="AM19" s="68"/>
      <c r="AN19" s="94"/>
      <c r="AO19" s="345"/>
      <c r="AP19" s="346"/>
      <c r="AQ19" s="346"/>
      <c r="AR19" s="346"/>
      <c r="AS19" s="346"/>
      <c r="AT19" s="347"/>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row>
    <row r="20" spans="1:76" ht="15" customHeight="1" x14ac:dyDescent="0.25">
      <c r="A20" s="94"/>
      <c r="B20" s="294"/>
      <c r="C20" s="294"/>
      <c r="D20" s="295"/>
      <c r="E20" s="335"/>
      <c r="F20" s="336"/>
      <c r="G20" s="336"/>
      <c r="H20" s="336"/>
      <c r="I20" s="336"/>
      <c r="J20" s="78"/>
      <c r="K20" s="79"/>
      <c r="L20" s="79"/>
      <c r="M20" s="79"/>
      <c r="N20" s="79"/>
      <c r="O20" s="80"/>
      <c r="P20" s="78"/>
      <c r="Q20" s="79"/>
      <c r="R20" s="79"/>
      <c r="S20" s="79"/>
      <c r="T20" s="79"/>
      <c r="U20" s="80"/>
      <c r="V20" s="63"/>
      <c r="W20" s="64"/>
      <c r="X20" s="64"/>
      <c r="Y20" s="64"/>
      <c r="Z20" s="64"/>
      <c r="AA20" s="65"/>
      <c r="AB20" s="63"/>
      <c r="AC20" s="64"/>
      <c r="AD20" s="64"/>
      <c r="AE20" s="64"/>
      <c r="AF20" s="64"/>
      <c r="AG20" s="65"/>
      <c r="AH20" s="66"/>
      <c r="AI20" s="67"/>
      <c r="AJ20" s="67"/>
      <c r="AK20" s="67"/>
      <c r="AL20" s="67"/>
      <c r="AM20" s="68"/>
      <c r="AN20" s="94"/>
      <c r="AO20" s="345"/>
      <c r="AP20" s="346"/>
      <c r="AQ20" s="346"/>
      <c r="AR20" s="346"/>
      <c r="AS20" s="346"/>
      <c r="AT20" s="347"/>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row>
    <row r="21" spans="1:76" ht="15" customHeight="1" x14ac:dyDescent="0.25">
      <c r="A21" s="94"/>
      <c r="B21" s="294"/>
      <c r="C21" s="294"/>
      <c r="D21" s="295"/>
      <c r="E21" s="335"/>
      <c r="F21" s="336"/>
      <c r="G21" s="336"/>
      <c r="H21" s="336"/>
      <c r="I21" s="336"/>
      <c r="J21" s="78"/>
      <c r="K21" s="79"/>
      <c r="L21" s="79"/>
      <c r="M21" s="79"/>
      <c r="N21" s="79"/>
      <c r="O21" s="80"/>
      <c r="P21" s="78"/>
      <c r="Q21" s="79"/>
      <c r="R21" s="79"/>
      <c r="S21" s="79"/>
      <c r="T21" s="79"/>
      <c r="U21" s="80"/>
      <c r="V21" s="63"/>
      <c r="W21" s="64"/>
      <c r="X21" s="64"/>
      <c r="Y21" s="64"/>
      <c r="Z21" s="64"/>
      <c r="AA21" s="65"/>
      <c r="AB21" s="63"/>
      <c r="AC21" s="64"/>
      <c r="AD21" s="64"/>
      <c r="AE21" s="64"/>
      <c r="AF21" s="64"/>
      <c r="AG21" s="65"/>
      <c r="AH21" s="66"/>
      <c r="AI21" s="67"/>
      <c r="AJ21" s="67"/>
      <c r="AK21" s="67"/>
      <c r="AL21" s="67"/>
      <c r="AM21" s="68"/>
      <c r="AN21" s="94"/>
      <c r="AO21" s="345"/>
      <c r="AP21" s="346"/>
      <c r="AQ21" s="346"/>
      <c r="AR21" s="346"/>
      <c r="AS21" s="346"/>
      <c r="AT21" s="347"/>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row>
    <row r="22" spans="1:76" ht="15" customHeight="1" x14ac:dyDescent="0.25">
      <c r="A22" s="94"/>
      <c r="B22" s="294"/>
      <c r="C22" s="294"/>
      <c r="D22" s="295"/>
      <c r="E22" s="335"/>
      <c r="F22" s="336"/>
      <c r="G22" s="336"/>
      <c r="H22" s="336"/>
      <c r="I22" s="336"/>
      <c r="J22" s="78"/>
      <c r="K22" s="79"/>
      <c r="L22" s="79"/>
      <c r="M22" s="79"/>
      <c r="N22" s="79"/>
      <c r="O22" s="80"/>
      <c r="P22" s="78"/>
      <c r="Q22" s="79"/>
      <c r="R22" s="79"/>
      <c r="S22" s="79"/>
      <c r="T22" s="79"/>
      <c r="U22" s="80"/>
      <c r="V22" s="63"/>
      <c r="W22" s="64"/>
      <c r="X22" s="64"/>
      <c r="Y22" s="64"/>
      <c r="Z22" s="64"/>
      <c r="AA22" s="65"/>
      <c r="AB22" s="63"/>
      <c r="AC22" s="64"/>
      <c r="AD22" s="64"/>
      <c r="AE22" s="64"/>
      <c r="AF22" s="64"/>
      <c r="AG22" s="65"/>
      <c r="AH22" s="66"/>
      <c r="AI22" s="67"/>
      <c r="AJ22" s="67"/>
      <c r="AK22" s="67"/>
      <c r="AL22" s="67"/>
      <c r="AM22" s="68"/>
      <c r="AN22" s="94"/>
      <c r="AO22" s="345"/>
      <c r="AP22" s="346"/>
      <c r="AQ22" s="346"/>
      <c r="AR22" s="346"/>
      <c r="AS22" s="346"/>
      <c r="AT22" s="347"/>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row>
    <row r="23" spans="1:76" ht="15" customHeight="1" x14ac:dyDescent="0.25">
      <c r="A23" s="94"/>
      <c r="B23" s="294"/>
      <c r="C23" s="294"/>
      <c r="D23" s="295"/>
      <c r="E23" s="335"/>
      <c r="F23" s="336"/>
      <c r="G23" s="336"/>
      <c r="H23" s="336"/>
      <c r="I23" s="336"/>
      <c r="J23" s="78" t="str">
        <f ca="1">IF(AND('Mapa final'!$Y$31="Alta",'Mapa final'!$AA$31="Leve"),CONCATENATE("R8C",'Mapa final'!$O$31),"")</f>
        <v/>
      </c>
      <c r="K23" s="79"/>
      <c r="L23" s="79"/>
      <c r="M23" s="79"/>
      <c r="N23" s="79"/>
      <c r="O23" s="80"/>
      <c r="P23" s="78"/>
      <c r="Q23" s="79"/>
      <c r="R23" s="79"/>
      <c r="S23" s="79"/>
      <c r="T23" s="79"/>
      <c r="U23" s="80"/>
      <c r="V23" s="63"/>
      <c r="W23" s="64"/>
      <c r="X23" s="64"/>
      <c r="Y23" s="64"/>
      <c r="Z23" s="64"/>
      <c r="AA23" s="65"/>
      <c r="AB23" s="63"/>
      <c r="AC23" s="64"/>
      <c r="AD23" s="64"/>
      <c r="AE23" s="64"/>
      <c r="AF23" s="64"/>
      <c r="AG23" s="65"/>
      <c r="AH23" s="66"/>
      <c r="AI23" s="67"/>
      <c r="AJ23" s="67"/>
      <c r="AK23" s="67"/>
      <c r="AL23" s="67"/>
      <c r="AM23" s="68"/>
      <c r="AN23" s="94"/>
      <c r="AO23" s="345"/>
      <c r="AP23" s="346"/>
      <c r="AQ23" s="346"/>
      <c r="AR23" s="346"/>
      <c r="AS23" s="346"/>
      <c r="AT23" s="347"/>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row>
    <row r="24" spans="1:76" ht="15" customHeight="1" x14ac:dyDescent="0.25">
      <c r="A24" s="94"/>
      <c r="B24" s="294"/>
      <c r="C24" s="294"/>
      <c r="D24" s="295"/>
      <c r="E24" s="335"/>
      <c r="F24" s="336"/>
      <c r="G24" s="336"/>
      <c r="H24" s="336"/>
      <c r="I24" s="336"/>
      <c r="J24" s="78" t="str">
        <f ca="1">IF(AND('Mapa final'!$Y$33="Alta",'Mapa final'!$AA$33="Leve"),CONCATENATE("R9C",'Mapa final'!$O$33),"")</f>
        <v/>
      </c>
      <c r="K24" s="79"/>
      <c r="L24" s="79"/>
      <c r="M24" s="79"/>
      <c r="N24" s="79"/>
      <c r="O24" s="80"/>
      <c r="P24" s="78"/>
      <c r="Q24" s="79"/>
      <c r="R24" s="79"/>
      <c r="S24" s="79"/>
      <c r="T24" s="79"/>
      <c r="U24" s="80"/>
      <c r="V24" s="63"/>
      <c r="W24" s="64"/>
      <c r="X24" s="64"/>
      <c r="Y24" s="64"/>
      <c r="Z24" s="64"/>
      <c r="AA24" s="65"/>
      <c r="AB24" s="63"/>
      <c r="AC24" s="64"/>
      <c r="AD24" s="64"/>
      <c r="AE24" s="64"/>
      <c r="AF24" s="64"/>
      <c r="AG24" s="65"/>
      <c r="AH24" s="66"/>
      <c r="AI24" s="67"/>
      <c r="AJ24" s="67"/>
      <c r="AK24" s="67"/>
      <c r="AL24" s="67"/>
      <c r="AM24" s="68"/>
      <c r="AN24" s="94"/>
      <c r="AO24" s="345"/>
      <c r="AP24" s="346"/>
      <c r="AQ24" s="346"/>
      <c r="AR24" s="346"/>
      <c r="AS24" s="346"/>
      <c r="AT24" s="347"/>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row>
    <row r="25" spans="1:76" ht="15.75" customHeight="1" thickBot="1" x14ac:dyDescent="0.3">
      <c r="A25" s="94"/>
      <c r="B25" s="294"/>
      <c r="C25" s="294"/>
      <c r="D25" s="295"/>
      <c r="E25" s="338"/>
      <c r="F25" s="339"/>
      <c r="G25" s="339"/>
      <c r="H25" s="339"/>
      <c r="I25" s="339"/>
      <c r="J25" s="81" t="str">
        <f ca="1">IF(AND('Mapa final'!$Y$35="Alta",'Mapa final'!$AA$35="Leve"),CONCATENATE("R10C",'Mapa final'!$O$35),"")</f>
        <v/>
      </c>
      <c r="K25" s="82"/>
      <c r="L25" s="82"/>
      <c r="M25" s="82"/>
      <c r="N25" s="82"/>
      <c r="O25" s="83"/>
      <c r="P25" s="81"/>
      <c r="Q25" s="82"/>
      <c r="R25" s="82"/>
      <c r="S25" s="82"/>
      <c r="T25" s="82"/>
      <c r="U25" s="83"/>
      <c r="V25" s="69"/>
      <c r="W25" s="70"/>
      <c r="X25" s="70"/>
      <c r="Y25" s="70"/>
      <c r="Z25" s="70"/>
      <c r="AA25" s="71"/>
      <c r="AB25" s="69"/>
      <c r="AC25" s="70"/>
      <c r="AD25" s="70"/>
      <c r="AE25" s="70"/>
      <c r="AF25" s="70"/>
      <c r="AG25" s="71"/>
      <c r="AH25" s="72"/>
      <c r="AI25" s="73"/>
      <c r="AJ25" s="73"/>
      <c r="AK25" s="73"/>
      <c r="AL25" s="73"/>
      <c r="AM25" s="74"/>
      <c r="AN25" s="94"/>
      <c r="AO25" s="348"/>
      <c r="AP25" s="349"/>
      <c r="AQ25" s="349"/>
      <c r="AR25" s="349"/>
      <c r="AS25" s="349"/>
      <c r="AT25" s="350"/>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row>
    <row r="26" spans="1:76" ht="15" customHeight="1" x14ac:dyDescent="0.25">
      <c r="A26" s="94"/>
      <c r="B26" s="294"/>
      <c r="C26" s="294"/>
      <c r="D26" s="295"/>
      <c r="E26" s="332" t="s">
        <v>117</v>
      </c>
      <c r="F26" s="333"/>
      <c r="G26" s="333"/>
      <c r="H26" s="333"/>
      <c r="I26" s="334"/>
      <c r="J26" s="75" t="str">
        <f>IF(AND('Mapa final'!$Y$12="Media",'Mapa final'!$AA$12="Leve"),CONCATENATE("R1C",'Mapa final'!$O$12),"")</f>
        <v/>
      </c>
      <c r="K26" s="76"/>
      <c r="L26" s="76"/>
      <c r="M26" s="76"/>
      <c r="N26" s="76"/>
      <c r="O26" s="77"/>
      <c r="P26" s="75"/>
      <c r="Q26" s="76"/>
      <c r="R26" s="76"/>
      <c r="S26" s="76"/>
      <c r="T26" s="76"/>
      <c r="U26" s="77"/>
      <c r="V26" s="75"/>
      <c r="W26" s="76"/>
      <c r="X26" s="76"/>
      <c r="Y26" s="76"/>
      <c r="Z26" s="76"/>
      <c r="AA26" s="77"/>
      <c r="AB26" s="57" t="str">
        <f>IF(AND('Mapa final'!$Y$12="Media",'Mapa final'!$AA$12="Mayor"),CONCATENATE("R1C",'Mapa final'!$O$12),"")</f>
        <v/>
      </c>
      <c r="AC26" s="58" t="str">
        <f>IF(AND('Mapa final'!$Y$13="Media",'Mapa final'!$AA$13="Mayor"),CONCATENATE("R1C",'Mapa final'!$O$13),"")</f>
        <v/>
      </c>
      <c r="AD26" s="58" t="str">
        <f>IF(AND('Mapa final'!$Y$14="Media",'Mapa final'!$AA$14="Mayor"),CONCATENATE("R1C",'Mapa final'!$O$14),"")</f>
        <v/>
      </c>
      <c r="AE26" s="58" t="str">
        <f>IF(AND('Mapa final'!$Y$15="Media",'Mapa final'!$AA$15="Mayor"),CONCATENATE("R1C",'Mapa final'!$O$15),"")</f>
        <v/>
      </c>
      <c r="AF26" s="58" t="str">
        <f>IF(AND('Mapa final'!$Y$16="Media",'Mapa final'!$AA$16="Mayor"),CONCATENATE("R1C",'Mapa final'!$O$16),"")</f>
        <v/>
      </c>
      <c r="AG26" s="59"/>
      <c r="AH26" s="60" t="str">
        <f>IF(AND('Mapa final'!$Y$12="Media",'Mapa final'!$AA$12="Catastrófico"),CONCATENATE("R1C",'Mapa final'!$O$12),"")</f>
        <v/>
      </c>
      <c r="AI26" s="61" t="str">
        <f>IF(AND('Mapa final'!$Y$13="Media",'Mapa final'!$AA$13="Catastrófico"),CONCATENATE("R1C",'Mapa final'!$O$13),"")</f>
        <v/>
      </c>
      <c r="AJ26" s="61"/>
      <c r="AK26" s="61"/>
      <c r="AL26" s="61"/>
      <c r="AM26" s="62"/>
      <c r="AN26" s="94"/>
      <c r="AO26" s="372" t="s">
        <v>81</v>
      </c>
      <c r="AP26" s="373"/>
      <c r="AQ26" s="373"/>
      <c r="AR26" s="373"/>
      <c r="AS26" s="373"/>
      <c r="AT26" s="37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row>
    <row r="27" spans="1:76" ht="15" customHeight="1" x14ac:dyDescent="0.25">
      <c r="A27" s="94"/>
      <c r="B27" s="294"/>
      <c r="C27" s="294"/>
      <c r="D27" s="295"/>
      <c r="E27" s="351"/>
      <c r="F27" s="336"/>
      <c r="G27" s="336"/>
      <c r="H27" s="336"/>
      <c r="I27" s="337"/>
      <c r="J27" s="78" t="str">
        <f ca="1">IF(AND('Mapa final'!$Y$17="Media",'Mapa final'!$AA$17="Leve"),CONCATENATE("R2C",'Mapa final'!$O$17),"")</f>
        <v/>
      </c>
      <c r="K27" s="79"/>
      <c r="L27" s="79"/>
      <c r="M27" s="79"/>
      <c r="N27" s="79"/>
      <c r="O27" s="80"/>
      <c r="P27" s="78"/>
      <c r="Q27" s="79"/>
      <c r="R27" s="79"/>
      <c r="S27" s="79"/>
      <c r="T27" s="79"/>
      <c r="U27" s="80"/>
      <c r="V27" s="78"/>
      <c r="W27" s="79"/>
      <c r="X27" s="79"/>
      <c r="Y27" s="79"/>
      <c r="Z27" s="79"/>
      <c r="AA27" s="80"/>
      <c r="AB27" s="63" t="str">
        <f ca="1">IF(AND('Mapa final'!$Y$17="Media",'Mapa final'!$AA$17="Mayor"),CONCATENATE("R2C",'Mapa final'!$O$17),"")</f>
        <v>R2C1</v>
      </c>
      <c r="AC27" s="64"/>
      <c r="AD27" s="64"/>
      <c r="AE27" s="64"/>
      <c r="AF27" s="64"/>
      <c r="AG27" s="65"/>
      <c r="AH27" s="66" t="str">
        <f ca="1">IF(AND('Mapa final'!$Y$17="Media",'Mapa final'!$AA$17="Catastrófico"),CONCATENATE("R2C",'Mapa final'!$O$17),"")</f>
        <v/>
      </c>
      <c r="AI27" s="67" t="str">
        <f>IF(AND('Mapa final'!$Y$18="Media",'Mapa final'!$AA$18="Catastrófico"),CONCATENATE("R2C",'Mapa final'!$O$18),"")</f>
        <v/>
      </c>
      <c r="AJ27" s="67"/>
      <c r="AK27" s="67"/>
      <c r="AL27" s="67"/>
      <c r="AM27" s="68"/>
      <c r="AN27" s="94"/>
      <c r="AO27" s="375"/>
      <c r="AP27" s="376"/>
      <c r="AQ27" s="376"/>
      <c r="AR27" s="376"/>
      <c r="AS27" s="376"/>
      <c r="AT27" s="377"/>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row>
    <row r="28" spans="1:76" ht="15" customHeight="1" x14ac:dyDescent="0.25">
      <c r="A28" s="94"/>
      <c r="B28" s="294"/>
      <c r="C28" s="294"/>
      <c r="D28" s="295"/>
      <c r="E28" s="335"/>
      <c r="F28" s="336"/>
      <c r="G28" s="336"/>
      <c r="H28" s="336"/>
      <c r="I28" s="337"/>
      <c r="J28" s="78" t="str">
        <f ca="1">IF(AND('Mapa final'!$Y$19="Media",'Mapa final'!$AA$19="Leve"),CONCATENATE("R3C",'Mapa final'!$O$19),"")</f>
        <v/>
      </c>
      <c r="K28" s="79"/>
      <c r="L28" s="79"/>
      <c r="M28" s="79"/>
      <c r="N28" s="79"/>
      <c r="O28" s="80"/>
      <c r="P28" s="78"/>
      <c r="Q28" s="79"/>
      <c r="R28" s="79"/>
      <c r="S28" s="79"/>
      <c r="T28" s="79"/>
      <c r="U28" s="80"/>
      <c r="V28" s="78"/>
      <c r="W28" s="79"/>
      <c r="X28" s="79"/>
      <c r="Y28" s="79"/>
      <c r="Z28" s="79"/>
      <c r="AA28" s="80"/>
      <c r="AB28" s="63" t="str">
        <f ca="1">IF(AND('Mapa final'!$Y$19="Media",'Mapa final'!$AA$19="Mayor"),CONCATENATE("R3C",'Mapa final'!$O$19),"")</f>
        <v/>
      </c>
      <c r="AC28" s="64"/>
      <c r="AD28" s="64"/>
      <c r="AE28" s="64"/>
      <c r="AF28" s="64"/>
      <c r="AG28" s="65"/>
      <c r="AH28" s="66" t="str">
        <f ca="1">IF(AND('Mapa final'!$Y$19="Media",'Mapa final'!$AA$19="Catastrófico"),CONCATENATE("R3C",'Mapa final'!$O$19),"")</f>
        <v/>
      </c>
      <c r="AI28" s="67" t="str">
        <f ca="1">IF(AND('Mapa final'!$Y$20="Media",'Mapa final'!$AA$20="Catastrófico"),CONCATENATE("R3C",'Mapa final'!$O$20),"")</f>
        <v/>
      </c>
      <c r="AJ28" s="67"/>
      <c r="AK28" s="67"/>
      <c r="AL28" s="67"/>
      <c r="AM28" s="68"/>
      <c r="AN28" s="94"/>
      <c r="AO28" s="375"/>
      <c r="AP28" s="376"/>
      <c r="AQ28" s="376"/>
      <c r="AR28" s="376"/>
      <c r="AS28" s="376"/>
      <c r="AT28" s="377"/>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row>
    <row r="29" spans="1:76" ht="15" customHeight="1" x14ac:dyDescent="0.25">
      <c r="A29" s="94"/>
      <c r="B29" s="294"/>
      <c r="C29" s="294"/>
      <c r="D29" s="295"/>
      <c r="E29" s="335"/>
      <c r="F29" s="336"/>
      <c r="G29" s="336"/>
      <c r="H29" s="336"/>
      <c r="I29" s="337"/>
      <c r="J29" s="78" t="str">
        <f ca="1">IF(AND('Mapa final'!$Y$22="Media",'Mapa final'!$AA$22="Leve"),CONCATENATE("R4C",'Mapa final'!$O$22),"")</f>
        <v/>
      </c>
      <c r="K29" s="79"/>
      <c r="L29" s="79"/>
      <c r="M29" s="79"/>
      <c r="N29" s="79"/>
      <c r="O29" s="80"/>
      <c r="P29" s="78"/>
      <c r="Q29" s="79"/>
      <c r="R29" s="79"/>
      <c r="S29" s="79"/>
      <c r="T29" s="79"/>
      <c r="U29" s="80"/>
      <c r="V29" s="78"/>
      <c r="W29" s="79"/>
      <c r="X29" s="79"/>
      <c r="Y29" s="79"/>
      <c r="Z29" s="79"/>
      <c r="AA29" s="80"/>
      <c r="AB29" s="63" t="str">
        <f ca="1">IF(AND('Mapa final'!$Y$22="Media",'Mapa final'!$AA$22="Mayor"),CONCATENATE("R4C",'Mapa final'!$O$22),"")</f>
        <v/>
      </c>
      <c r="AC29" s="64"/>
      <c r="AD29" s="64"/>
      <c r="AE29" s="64"/>
      <c r="AF29" s="64"/>
      <c r="AG29" s="65"/>
      <c r="AH29" s="66" t="str">
        <f ca="1">IF(AND('Mapa final'!$Y$22="Media",'Mapa final'!$AA$22="Catastrófico"),CONCATENATE("R4C",'Mapa final'!$O$22),"")</f>
        <v/>
      </c>
      <c r="AI29" s="67" t="str">
        <f ca="1">IF(AND('Mapa final'!$Y$23="Media",'Mapa final'!$AA$23="Catastrófico"),CONCATENATE("R4C",'Mapa final'!$O$23),"")</f>
        <v/>
      </c>
      <c r="AJ29" s="67"/>
      <c r="AK29" s="67"/>
      <c r="AL29" s="67"/>
      <c r="AM29" s="68"/>
      <c r="AN29" s="94"/>
      <c r="AO29" s="375"/>
      <c r="AP29" s="376"/>
      <c r="AQ29" s="376"/>
      <c r="AR29" s="376"/>
      <c r="AS29" s="376"/>
      <c r="AT29" s="377"/>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row>
    <row r="30" spans="1:76" ht="15" customHeight="1" x14ac:dyDescent="0.25">
      <c r="A30" s="94"/>
      <c r="B30" s="294"/>
      <c r="C30" s="294"/>
      <c r="D30" s="295"/>
      <c r="E30" s="335"/>
      <c r="F30" s="336"/>
      <c r="G30" s="336"/>
      <c r="H30" s="336"/>
      <c r="I30" s="337"/>
      <c r="J30" s="78" t="str">
        <f ca="1">IF(AND('Mapa final'!$Y$26="Media",'Mapa final'!$AA$26="Leve"),CONCATENATE("R5C",'Mapa final'!$O$26),"")</f>
        <v/>
      </c>
      <c r="K30" s="79"/>
      <c r="L30" s="79"/>
      <c r="M30" s="79"/>
      <c r="N30" s="79"/>
      <c r="O30" s="80"/>
      <c r="P30" s="78"/>
      <c r="Q30" s="79"/>
      <c r="R30" s="79"/>
      <c r="S30" s="79"/>
      <c r="T30" s="79"/>
      <c r="U30" s="80"/>
      <c r="V30" s="78"/>
      <c r="W30" s="79"/>
      <c r="X30" s="79"/>
      <c r="Y30" s="79"/>
      <c r="Z30" s="79"/>
      <c r="AA30" s="80"/>
      <c r="AB30" s="63" t="str">
        <f ca="1">IF(AND('Mapa final'!$Y$26="Media",'Mapa final'!$AA$26="Mayor"),CONCATENATE("R5C",'Mapa final'!$O$26),"")</f>
        <v/>
      </c>
      <c r="AC30" s="64"/>
      <c r="AD30" s="64"/>
      <c r="AE30" s="64"/>
      <c r="AF30" s="64"/>
      <c r="AG30" s="65"/>
      <c r="AH30" s="66" t="str">
        <f ca="1">IF(AND('Mapa final'!$Y$26="Media",'Mapa final'!$AA$26="Catastrófico"),CONCATENATE("R5C",'Mapa final'!$O$26),"")</f>
        <v>R5C1</v>
      </c>
      <c r="AI30" s="67" t="str">
        <f ca="1">IF(AND('Mapa final'!$Y$27="Media",'Mapa final'!$AA$27="Catastrófico"),CONCATENATE("R5C",'Mapa final'!$O$27),"")</f>
        <v/>
      </c>
      <c r="AJ30" s="67"/>
      <c r="AK30" s="67"/>
      <c r="AL30" s="67"/>
      <c r="AM30" s="68"/>
      <c r="AN30" s="94"/>
      <c r="AO30" s="375"/>
      <c r="AP30" s="376"/>
      <c r="AQ30" s="376"/>
      <c r="AR30" s="376"/>
      <c r="AS30" s="376"/>
      <c r="AT30" s="377"/>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row>
    <row r="31" spans="1:76" ht="15" customHeight="1" x14ac:dyDescent="0.25">
      <c r="A31" s="94"/>
      <c r="B31" s="294"/>
      <c r="C31" s="294"/>
      <c r="D31" s="295"/>
      <c r="E31" s="335"/>
      <c r="F31" s="336"/>
      <c r="G31" s="336"/>
      <c r="H31" s="336"/>
      <c r="I31" s="337"/>
      <c r="J31" s="78" t="str">
        <f>IF(AND('Mapa final'!$Y$28="Media",'Mapa final'!$AA$28="Leve"),CONCATENATE("R6C",'Mapa final'!$O$28),"")</f>
        <v/>
      </c>
      <c r="K31" s="79"/>
      <c r="L31" s="79"/>
      <c r="M31" s="79"/>
      <c r="N31" s="79"/>
      <c r="O31" s="80"/>
      <c r="P31" s="78"/>
      <c r="Q31" s="79"/>
      <c r="R31" s="79"/>
      <c r="S31" s="79"/>
      <c r="T31" s="79"/>
      <c r="U31" s="80"/>
      <c r="V31" s="78"/>
      <c r="W31" s="79"/>
      <c r="X31" s="79"/>
      <c r="Y31" s="79"/>
      <c r="Z31" s="79"/>
      <c r="AA31" s="80"/>
      <c r="AB31" s="63" t="str">
        <f>IF(AND('Mapa final'!$Y$28="Media",'Mapa final'!$AA$28="Mayor"),CONCATENATE("R6C",'Mapa final'!$O$28),"")</f>
        <v/>
      </c>
      <c r="AC31" s="64"/>
      <c r="AD31" s="64"/>
      <c r="AE31" s="64"/>
      <c r="AF31" s="64"/>
      <c r="AG31" s="65"/>
      <c r="AH31" s="66" t="str">
        <f>IF(AND('Mapa final'!$Y$28="Media",'Mapa final'!$AA$28="Catastrófico"),CONCATENATE("R6C",'Mapa final'!$O$28),"")</f>
        <v/>
      </c>
      <c r="AI31" s="67" t="str">
        <f>IF(AND('Mapa final'!$Y$29="Media",'Mapa final'!$AA$29="Catastrófico"),CONCATENATE("R6C",'Mapa final'!$O$29),"")</f>
        <v/>
      </c>
      <c r="AJ31" s="67"/>
      <c r="AK31" s="67"/>
      <c r="AL31" s="67"/>
      <c r="AM31" s="68"/>
      <c r="AN31" s="94"/>
      <c r="AO31" s="375"/>
      <c r="AP31" s="376"/>
      <c r="AQ31" s="376"/>
      <c r="AR31" s="376"/>
      <c r="AS31" s="376"/>
      <c r="AT31" s="377"/>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row>
    <row r="32" spans="1:76" ht="15" customHeight="1" x14ac:dyDescent="0.25">
      <c r="A32" s="94"/>
      <c r="B32" s="294"/>
      <c r="C32" s="294"/>
      <c r="D32" s="295"/>
      <c r="E32" s="335"/>
      <c r="F32" s="336"/>
      <c r="G32" s="336"/>
      <c r="H32" s="336"/>
      <c r="I32" s="337"/>
      <c r="J32" s="78"/>
      <c r="K32" s="79"/>
      <c r="L32" s="79"/>
      <c r="M32" s="79"/>
      <c r="N32" s="79"/>
      <c r="O32" s="80"/>
      <c r="P32" s="78"/>
      <c r="Q32" s="79"/>
      <c r="R32" s="79"/>
      <c r="S32" s="79"/>
      <c r="T32" s="79"/>
      <c r="U32" s="80"/>
      <c r="V32" s="78"/>
      <c r="W32" s="79"/>
      <c r="X32" s="79"/>
      <c r="Y32" s="79"/>
      <c r="Z32" s="79"/>
      <c r="AA32" s="80"/>
      <c r="AB32" s="63"/>
      <c r="AC32" s="64"/>
      <c r="AD32" s="64"/>
      <c r="AE32" s="64"/>
      <c r="AF32" s="64"/>
      <c r="AG32" s="65"/>
      <c r="AH32" s="66"/>
      <c r="AI32" s="67"/>
      <c r="AJ32" s="67"/>
      <c r="AK32" s="67"/>
      <c r="AL32" s="67"/>
      <c r="AM32" s="68"/>
      <c r="AN32" s="94"/>
      <c r="AO32" s="375"/>
      <c r="AP32" s="376"/>
      <c r="AQ32" s="376"/>
      <c r="AR32" s="376"/>
      <c r="AS32" s="376"/>
      <c r="AT32" s="377"/>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row>
    <row r="33" spans="1:80" ht="15" customHeight="1" x14ac:dyDescent="0.25">
      <c r="A33" s="94"/>
      <c r="B33" s="294"/>
      <c r="C33" s="294"/>
      <c r="D33" s="295"/>
      <c r="E33" s="335"/>
      <c r="F33" s="336"/>
      <c r="G33" s="336"/>
      <c r="H33" s="336"/>
      <c r="I33" s="337"/>
      <c r="J33" s="78" t="str">
        <f ca="1">IF(AND('Mapa final'!$Y$31="Media",'Mapa final'!$AA$31="Leve"),CONCATENATE("R8C",'Mapa final'!$O$31),"")</f>
        <v/>
      </c>
      <c r="K33" s="79"/>
      <c r="L33" s="79"/>
      <c r="M33" s="79"/>
      <c r="N33" s="79"/>
      <c r="O33" s="80"/>
      <c r="P33" s="78"/>
      <c r="Q33" s="79"/>
      <c r="R33" s="79"/>
      <c r="S33" s="79"/>
      <c r="T33" s="79"/>
      <c r="U33" s="80"/>
      <c r="V33" s="78"/>
      <c r="W33" s="79"/>
      <c r="X33" s="79"/>
      <c r="Y33" s="79"/>
      <c r="Z33" s="79"/>
      <c r="AA33" s="80"/>
      <c r="AB33" s="63" t="str">
        <f ca="1">IF(AND('Mapa final'!$Y$31="Media",'Mapa final'!$AA$31="Mayor"),CONCATENATE("R8C",'Mapa final'!$O$31),"")</f>
        <v/>
      </c>
      <c r="AC33" s="64"/>
      <c r="AD33" s="64"/>
      <c r="AE33" s="64"/>
      <c r="AF33" s="64"/>
      <c r="AG33" s="65"/>
      <c r="AH33" s="66" t="str">
        <f ca="1">IF(AND('Mapa final'!$Y$31="Media",'Mapa final'!$AA$31="Catastrófico"),CONCATENATE("R8C",'Mapa final'!$O$31),"")</f>
        <v/>
      </c>
      <c r="AI33" s="67" t="str">
        <f ca="1">IF(AND('Mapa final'!$Y$32="Media",'Mapa final'!$AA$32="Catastrófico"),CONCATENATE("R8C",'Mapa final'!$O$32),"")</f>
        <v/>
      </c>
      <c r="AJ33" s="67"/>
      <c r="AK33" s="67"/>
      <c r="AL33" s="67"/>
      <c r="AM33" s="68"/>
      <c r="AN33" s="94"/>
      <c r="AO33" s="375"/>
      <c r="AP33" s="376"/>
      <c r="AQ33" s="376"/>
      <c r="AR33" s="376"/>
      <c r="AS33" s="376"/>
      <c r="AT33" s="377"/>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row>
    <row r="34" spans="1:80" ht="15" customHeight="1" x14ac:dyDescent="0.25">
      <c r="A34" s="94"/>
      <c r="B34" s="294"/>
      <c r="C34" s="294"/>
      <c r="D34" s="295"/>
      <c r="E34" s="335"/>
      <c r="F34" s="336"/>
      <c r="G34" s="336"/>
      <c r="H34" s="336"/>
      <c r="I34" s="337"/>
      <c r="J34" s="78" t="str">
        <f ca="1">IF(AND('Mapa final'!$Y$33="Media",'Mapa final'!$AA$33="Leve"),CONCATENATE("R9C",'Mapa final'!$O$33),"")</f>
        <v/>
      </c>
      <c r="K34" s="79"/>
      <c r="L34" s="79"/>
      <c r="M34" s="79"/>
      <c r="N34" s="79"/>
      <c r="O34" s="80"/>
      <c r="P34" s="78"/>
      <c r="Q34" s="79"/>
      <c r="R34" s="79"/>
      <c r="S34" s="79"/>
      <c r="T34" s="79"/>
      <c r="U34" s="80"/>
      <c r="V34" s="78"/>
      <c r="W34" s="79"/>
      <c r="X34" s="79"/>
      <c r="Y34" s="79"/>
      <c r="Z34" s="79"/>
      <c r="AA34" s="80"/>
      <c r="AB34" s="63" t="str">
        <f ca="1">IF(AND('Mapa final'!$Y$33="Media",'Mapa final'!$AA$33="Mayor"),CONCATENATE("R9C",'Mapa final'!$O$33),"")</f>
        <v/>
      </c>
      <c r="AC34" s="64"/>
      <c r="AD34" s="64"/>
      <c r="AE34" s="64"/>
      <c r="AF34" s="64"/>
      <c r="AG34" s="65"/>
      <c r="AH34" s="66" t="str">
        <f ca="1">IF(AND('Mapa final'!$Y$33="Media",'Mapa final'!$AA$33="Catastrófico"),CONCATENATE("R9C",'Mapa final'!$O$33),"")</f>
        <v/>
      </c>
      <c r="AI34" s="67" t="str">
        <f ca="1">IF(AND('Mapa final'!$Y$34="Media",'Mapa final'!$AA$34="Catastrófico"),CONCATENATE("R9C",'Mapa final'!$O$34),"")</f>
        <v/>
      </c>
      <c r="AJ34" s="67"/>
      <c r="AK34" s="67"/>
      <c r="AL34" s="67"/>
      <c r="AM34" s="68"/>
      <c r="AN34" s="94"/>
      <c r="AO34" s="375"/>
      <c r="AP34" s="376"/>
      <c r="AQ34" s="376"/>
      <c r="AR34" s="376"/>
      <c r="AS34" s="376"/>
      <c r="AT34" s="377"/>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row>
    <row r="35" spans="1:80" ht="15.75" customHeight="1" thickBot="1" x14ac:dyDescent="0.3">
      <c r="A35" s="94"/>
      <c r="B35" s="294"/>
      <c r="C35" s="294"/>
      <c r="D35" s="295"/>
      <c r="E35" s="338"/>
      <c r="F35" s="339"/>
      <c r="G35" s="339"/>
      <c r="H35" s="339"/>
      <c r="I35" s="340"/>
      <c r="J35" s="78" t="str">
        <f ca="1">IF(AND('Mapa final'!$Y$35="Media",'Mapa final'!$AA$35="Leve"),CONCATENATE("R10C",'Mapa final'!$O$35),"")</f>
        <v/>
      </c>
      <c r="K35" s="79" t="str">
        <f ca="1">IF(AND('Mapa final'!$Y$36="Media",'Mapa final'!$AA$36="Leve"),CONCATENATE("R10C",'Mapa final'!$O$36),"")</f>
        <v/>
      </c>
      <c r="L35" s="79" t="str">
        <f ca="1">IF(AND('Mapa final'!$Y$37="Media",'Mapa final'!$AA$37="Leve"),CONCATENATE("R10C",'Mapa final'!$O$37),"")</f>
        <v/>
      </c>
      <c r="M35" s="79"/>
      <c r="N35" s="79"/>
      <c r="O35" s="80"/>
      <c r="P35" s="78" t="str">
        <f ca="1">IF(AND('Mapa final'!$Y$35="Media",'Mapa final'!$AA$35="Menor"),CONCATENATE("R10C",'Mapa final'!$O$35),"")</f>
        <v/>
      </c>
      <c r="Q35" s="79" t="str">
        <f ca="1">IF(AND('Mapa final'!$Y$36="Media",'Mapa final'!$AA$36="Menor"),CONCATENATE("R10C",'Mapa final'!$O$36),"")</f>
        <v/>
      </c>
      <c r="R35" s="79" t="str">
        <f ca="1">IF(AND('Mapa final'!$Y$37="Media",'Mapa final'!$AA$37="Menor"),CONCATENATE("R10C",'Mapa final'!$O$37),"")</f>
        <v>R10C3</v>
      </c>
      <c r="S35" s="79"/>
      <c r="T35" s="79"/>
      <c r="U35" s="80"/>
      <c r="V35" s="78" t="str">
        <f ca="1">IF(AND('Mapa final'!$Y$35="Media",'Mapa final'!$AA$35="Moderado"),CONCATENATE("R10C",'Mapa final'!$O$35),"")</f>
        <v>R10C1</v>
      </c>
      <c r="W35" s="79" t="str">
        <f ca="1">IF(AND('Mapa final'!$Y$36="Media",'Mapa final'!$AA$36="Moderado"),CONCATENATE("R10C",'Mapa final'!$O$36),"")</f>
        <v>R10C2</v>
      </c>
      <c r="X35" s="79" t="str">
        <f ca="1">IF(AND('Mapa final'!$Y$37="Media",'Mapa final'!$AA$37="Moderado"),CONCATENATE("R10C",'Mapa final'!$O$37),"")</f>
        <v/>
      </c>
      <c r="Y35" s="79"/>
      <c r="Z35" s="79"/>
      <c r="AA35" s="80"/>
      <c r="AB35" s="69" t="str">
        <f ca="1">IF(AND('Mapa final'!$Y$35="Media",'Mapa final'!$AA$35="Mayor"),CONCATENATE("R10C",'Mapa final'!$O$35),"")</f>
        <v/>
      </c>
      <c r="AC35" s="70"/>
      <c r="AD35" s="70"/>
      <c r="AE35" s="70"/>
      <c r="AF35" s="70"/>
      <c r="AG35" s="71"/>
      <c r="AH35" s="72" t="str">
        <f ca="1">IF(AND('Mapa final'!$Y$35="Media",'Mapa final'!$AA$35="Catastrófico"),CONCATENATE("R10C",'Mapa final'!$O$35),"")</f>
        <v/>
      </c>
      <c r="AI35" s="73" t="str">
        <f ca="1">IF(AND('Mapa final'!$Y$36="Media",'Mapa final'!$AA$36="Catastrófico"),CONCATENATE("R10C",'Mapa final'!$O$36),"")</f>
        <v/>
      </c>
      <c r="AJ35" s="73"/>
      <c r="AK35" s="73"/>
      <c r="AL35" s="73"/>
      <c r="AM35" s="74"/>
      <c r="AN35" s="94"/>
      <c r="AO35" s="378"/>
      <c r="AP35" s="379"/>
      <c r="AQ35" s="379"/>
      <c r="AR35" s="379"/>
      <c r="AS35" s="379"/>
      <c r="AT35" s="380"/>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row>
    <row r="36" spans="1:80" ht="15" customHeight="1" x14ac:dyDescent="0.25">
      <c r="A36" s="94"/>
      <c r="B36" s="294"/>
      <c r="C36" s="294"/>
      <c r="D36" s="295"/>
      <c r="E36" s="332" t="s">
        <v>114</v>
      </c>
      <c r="F36" s="333"/>
      <c r="G36" s="333"/>
      <c r="H36" s="333"/>
      <c r="I36" s="333"/>
      <c r="J36" s="84"/>
      <c r="K36" s="85"/>
      <c r="L36" s="85"/>
      <c r="M36" s="85"/>
      <c r="N36" s="85"/>
      <c r="O36" s="86"/>
      <c r="P36" s="75"/>
      <c r="Q36" s="76"/>
      <c r="R36" s="76"/>
      <c r="S36" s="76"/>
      <c r="T36" s="76"/>
      <c r="U36" s="77"/>
      <c r="V36" s="75"/>
      <c r="W36" s="76"/>
      <c r="X36" s="76"/>
      <c r="Y36" s="76"/>
      <c r="Z36" s="76"/>
      <c r="AA36" s="77"/>
      <c r="AB36" s="57" t="str">
        <f>IF(AND('Mapa final'!$Y$12="Baja",'Mapa final'!$AA$12="Mayor"),CONCATENATE("R1C",'Mapa final'!$O$12),"")</f>
        <v/>
      </c>
      <c r="AC36" s="58" t="str">
        <f>IF(AND('Mapa final'!$Y$13="Baja",'Mapa final'!$AA$13="Mayor"),CONCATENATE("R1C",'Mapa final'!$O$13),"")</f>
        <v/>
      </c>
      <c r="AD36" s="58"/>
      <c r="AE36" s="58"/>
      <c r="AF36" s="58"/>
      <c r="AG36" s="59"/>
      <c r="AH36" s="60" t="str">
        <f>IF(AND('Mapa final'!$Y$12="Baja",'Mapa final'!$AA$12="Catastrófico"),CONCATENATE("R1C",'Mapa final'!$O$12),"")</f>
        <v/>
      </c>
      <c r="AI36" s="61" t="str">
        <f>IF(AND('Mapa final'!$Y$13="Baja",'Mapa final'!$AA$13="Catastrófico"),CONCATENATE("R1C",'Mapa final'!$O$13),"")</f>
        <v/>
      </c>
      <c r="AJ36" s="61"/>
      <c r="AK36" s="61"/>
      <c r="AL36" s="61"/>
      <c r="AM36" s="62"/>
      <c r="AN36" s="94"/>
      <c r="AO36" s="363" t="s">
        <v>82</v>
      </c>
      <c r="AP36" s="364"/>
      <c r="AQ36" s="364"/>
      <c r="AR36" s="364"/>
      <c r="AS36" s="364"/>
      <c r="AT36" s="365"/>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row>
    <row r="37" spans="1:80" ht="15" customHeight="1" x14ac:dyDescent="0.25">
      <c r="A37" s="94"/>
      <c r="B37" s="294"/>
      <c r="C37" s="294"/>
      <c r="D37" s="295"/>
      <c r="E37" s="351"/>
      <c r="F37" s="336"/>
      <c r="G37" s="336"/>
      <c r="H37" s="336"/>
      <c r="I37" s="336"/>
      <c r="J37" s="87"/>
      <c r="K37" s="88"/>
      <c r="L37" s="88"/>
      <c r="M37" s="88"/>
      <c r="N37" s="88"/>
      <c r="O37" s="89"/>
      <c r="P37" s="78"/>
      <c r="Q37" s="79"/>
      <c r="R37" s="79"/>
      <c r="S37" s="79"/>
      <c r="T37" s="79"/>
      <c r="U37" s="80"/>
      <c r="V37" s="78"/>
      <c r="W37" s="79"/>
      <c r="X37" s="79"/>
      <c r="Y37" s="79"/>
      <c r="Z37" s="79"/>
      <c r="AA37" s="80"/>
      <c r="AB37" s="63" t="str">
        <f ca="1">IF(AND('Mapa final'!$Y$17="Baja",'Mapa final'!$AA$17="Mayor"),CONCATENATE("R2C",'Mapa final'!$O$17),"")</f>
        <v/>
      </c>
      <c r="AC37" s="64" t="str">
        <f>IF(AND('Mapa final'!$Y$18="Baja",'Mapa final'!$AA$18="Mayor"),CONCATENATE("R2C",'Mapa final'!$O$18),"")</f>
        <v/>
      </c>
      <c r="AD37" s="64"/>
      <c r="AE37" s="64"/>
      <c r="AF37" s="64"/>
      <c r="AG37" s="65"/>
      <c r="AH37" s="66" t="str">
        <f ca="1">IF(AND('Mapa final'!$Y$17="Baja",'Mapa final'!$AA$17="Catastrófico"),CONCATENATE("R2C",'Mapa final'!$O$17),"")</f>
        <v/>
      </c>
      <c r="AI37" s="67" t="str">
        <f>IF(AND('Mapa final'!$Y$18="Baja",'Mapa final'!$AA$18="Catastrófico"),CONCATENATE("R2C",'Mapa final'!$O$18),"")</f>
        <v/>
      </c>
      <c r="AJ37" s="67"/>
      <c r="AK37" s="67"/>
      <c r="AL37" s="67"/>
      <c r="AM37" s="68"/>
      <c r="AN37" s="94"/>
      <c r="AO37" s="366"/>
      <c r="AP37" s="367"/>
      <c r="AQ37" s="367"/>
      <c r="AR37" s="367"/>
      <c r="AS37" s="367"/>
      <c r="AT37" s="368"/>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row>
    <row r="38" spans="1:80" ht="15" customHeight="1" x14ac:dyDescent="0.25">
      <c r="A38" s="94"/>
      <c r="B38" s="294"/>
      <c r="C38" s="294"/>
      <c r="D38" s="295"/>
      <c r="E38" s="335"/>
      <c r="F38" s="336"/>
      <c r="G38" s="336"/>
      <c r="H38" s="336"/>
      <c r="I38" s="336"/>
      <c r="J38" s="87"/>
      <c r="K38" s="88"/>
      <c r="L38" s="88"/>
      <c r="M38" s="88"/>
      <c r="N38" s="88"/>
      <c r="O38" s="89"/>
      <c r="P38" s="78"/>
      <c r="Q38" s="79"/>
      <c r="R38" s="79"/>
      <c r="S38" s="79"/>
      <c r="T38" s="79"/>
      <c r="U38" s="80"/>
      <c r="V38" s="78"/>
      <c r="W38" s="79"/>
      <c r="X38" s="79"/>
      <c r="Y38" s="79"/>
      <c r="Z38" s="79"/>
      <c r="AA38" s="80"/>
      <c r="AB38" s="63" t="str">
        <f ca="1">IF(AND('Mapa final'!$Y$19="Baja",'Mapa final'!$AA$19="Mayor"),CONCATENATE("R3C",'Mapa final'!$O$19),"")</f>
        <v>R3C1</v>
      </c>
      <c r="AC38" s="64" t="str">
        <f ca="1">IF(AND('Mapa final'!$Y$20="Baja",'Mapa final'!$AA$20="Mayor"),CONCATENATE("R3C",'Mapa final'!$O$20),"")</f>
        <v>R3C2</v>
      </c>
      <c r="AD38" s="64"/>
      <c r="AE38" s="64"/>
      <c r="AF38" s="64"/>
      <c r="AG38" s="65"/>
      <c r="AH38" s="66" t="str">
        <f ca="1">IF(AND('Mapa final'!$Y$19="Baja",'Mapa final'!$AA$19="Catastrófico"),CONCATENATE("R3C",'Mapa final'!$O$19),"")</f>
        <v/>
      </c>
      <c r="AI38" s="67" t="str">
        <f ca="1">IF(AND('Mapa final'!$Y$20="Baja",'Mapa final'!$AA$20="Catastrófico"),CONCATENATE("R3C",'Mapa final'!$O$20),"")</f>
        <v/>
      </c>
      <c r="AJ38" s="67"/>
      <c r="AK38" s="67"/>
      <c r="AL38" s="67"/>
      <c r="AM38" s="68"/>
      <c r="AN38" s="94"/>
      <c r="AO38" s="366"/>
      <c r="AP38" s="367"/>
      <c r="AQ38" s="367"/>
      <c r="AR38" s="367"/>
      <c r="AS38" s="367"/>
      <c r="AT38" s="368"/>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row>
    <row r="39" spans="1:80" ht="15" customHeight="1" x14ac:dyDescent="0.25">
      <c r="A39" s="94"/>
      <c r="B39" s="294"/>
      <c r="C39" s="294"/>
      <c r="D39" s="295"/>
      <c r="E39" s="335"/>
      <c r="F39" s="336"/>
      <c r="G39" s="336"/>
      <c r="H39" s="336"/>
      <c r="I39" s="336"/>
      <c r="J39" s="87"/>
      <c r="K39" s="88"/>
      <c r="L39" s="88"/>
      <c r="M39" s="88"/>
      <c r="N39" s="88"/>
      <c r="O39" s="89"/>
      <c r="P39" s="78"/>
      <c r="Q39" s="79"/>
      <c r="R39" s="79"/>
      <c r="S39" s="79"/>
      <c r="T39" s="79"/>
      <c r="U39" s="80"/>
      <c r="V39" s="78"/>
      <c r="W39" s="79"/>
      <c r="X39" s="79"/>
      <c r="Y39" s="79"/>
      <c r="Z39" s="79"/>
      <c r="AA39" s="80"/>
      <c r="AB39" s="63" t="str">
        <f ca="1">IF(AND('Mapa final'!$Y$22="Baja",'Mapa final'!$AA$22="Mayor"),CONCATENATE("R4C",'Mapa final'!$O$22),"")</f>
        <v>R4C1</v>
      </c>
      <c r="AC39" s="64" t="str">
        <f ca="1">IF(AND('Mapa final'!$Y$23="Baja",'Mapa final'!$AA$23="Mayor"),CONCATENATE("R4C",'Mapa final'!$O$23),"")</f>
        <v>R4C2</v>
      </c>
      <c r="AD39" s="64"/>
      <c r="AE39" s="64"/>
      <c r="AF39" s="64"/>
      <c r="AG39" s="65"/>
      <c r="AH39" s="66" t="str">
        <f ca="1">IF(AND('Mapa final'!$Y$22="Baja",'Mapa final'!$AA$22="Catastrófico"),CONCATENATE("R4C",'Mapa final'!$O$22),"")</f>
        <v/>
      </c>
      <c r="AI39" s="67" t="str">
        <f ca="1">IF(AND('Mapa final'!$Y$23="Baja",'Mapa final'!$AA$23="Catastrófico"),CONCATENATE("R4C",'Mapa final'!$O$23),"")</f>
        <v/>
      </c>
      <c r="AJ39" s="67"/>
      <c r="AK39" s="67"/>
      <c r="AL39" s="67"/>
      <c r="AM39" s="68"/>
      <c r="AN39" s="94"/>
      <c r="AO39" s="366"/>
      <c r="AP39" s="367"/>
      <c r="AQ39" s="367"/>
      <c r="AR39" s="367"/>
      <c r="AS39" s="367"/>
      <c r="AT39" s="368"/>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row>
    <row r="40" spans="1:80" ht="15" customHeight="1" x14ac:dyDescent="0.25">
      <c r="A40" s="94"/>
      <c r="B40" s="294"/>
      <c r="C40" s="294"/>
      <c r="D40" s="295"/>
      <c r="E40" s="335"/>
      <c r="F40" s="336"/>
      <c r="G40" s="336"/>
      <c r="H40" s="336"/>
      <c r="I40" s="336"/>
      <c r="J40" s="87"/>
      <c r="K40" s="88"/>
      <c r="L40" s="88"/>
      <c r="M40" s="88"/>
      <c r="N40" s="88"/>
      <c r="O40" s="89"/>
      <c r="P40" s="78"/>
      <c r="Q40" s="79"/>
      <c r="R40" s="79"/>
      <c r="S40" s="79"/>
      <c r="T40" s="79"/>
      <c r="U40" s="80"/>
      <c r="V40" s="78"/>
      <c r="W40" s="79"/>
      <c r="X40" s="79"/>
      <c r="Y40" s="79"/>
      <c r="Z40" s="79"/>
      <c r="AA40" s="80"/>
      <c r="AB40" s="63" t="str">
        <f ca="1">IF(AND('Mapa final'!$Y$26="Baja",'Mapa final'!$AA$26="Mayor"),CONCATENATE("R5C",'Mapa final'!$O$26),"")</f>
        <v/>
      </c>
      <c r="AC40" s="64" t="str">
        <f ca="1">IF(AND('Mapa final'!$Y$27="Baja",'Mapa final'!$AA$27="Mayor"),CONCATENATE("R5C",'Mapa final'!$O$27),"")</f>
        <v>R5C2</v>
      </c>
      <c r="AD40" s="64"/>
      <c r="AE40" s="64"/>
      <c r="AF40" s="64"/>
      <c r="AG40" s="65"/>
      <c r="AH40" s="66" t="str">
        <f ca="1">IF(AND('Mapa final'!$Y$26="Baja",'Mapa final'!$AA$26="Catastrófico"),CONCATENATE("R5C",'Mapa final'!$O$26),"")</f>
        <v/>
      </c>
      <c r="AI40" s="67" t="str">
        <f ca="1">IF(AND('Mapa final'!$Y$27="Baja",'Mapa final'!$AA$27="Catastrófico"),CONCATENATE("R5C",'Mapa final'!$O$27),"")</f>
        <v/>
      </c>
      <c r="AJ40" s="67"/>
      <c r="AK40" s="67"/>
      <c r="AL40" s="67"/>
      <c r="AM40" s="68"/>
      <c r="AN40" s="94"/>
      <c r="AO40" s="366"/>
      <c r="AP40" s="367"/>
      <c r="AQ40" s="367"/>
      <c r="AR40" s="367"/>
      <c r="AS40" s="367"/>
      <c r="AT40" s="368"/>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row>
    <row r="41" spans="1:80" ht="15" customHeight="1" x14ac:dyDescent="0.25">
      <c r="A41" s="94"/>
      <c r="B41" s="294"/>
      <c r="C41" s="294"/>
      <c r="D41" s="295"/>
      <c r="E41" s="335"/>
      <c r="F41" s="336"/>
      <c r="G41" s="336"/>
      <c r="H41" s="336"/>
      <c r="I41" s="336"/>
      <c r="J41" s="87"/>
      <c r="K41" s="88"/>
      <c r="L41" s="88"/>
      <c r="M41" s="88"/>
      <c r="N41" s="88"/>
      <c r="O41" s="89"/>
      <c r="P41" s="78"/>
      <c r="Q41" s="79"/>
      <c r="R41" s="79"/>
      <c r="S41" s="79"/>
      <c r="T41" s="79"/>
      <c r="U41" s="80"/>
      <c r="V41" s="78"/>
      <c r="W41" s="79"/>
      <c r="X41" s="79"/>
      <c r="Y41" s="79"/>
      <c r="Z41" s="79"/>
      <c r="AA41" s="80"/>
      <c r="AB41" s="63" t="str">
        <f>IF(AND('Mapa final'!$Y$28="Baja",'Mapa final'!$AA$28="Mayor"),CONCATENATE("R6C",'Mapa final'!$O$28),"")</f>
        <v/>
      </c>
      <c r="AC41" s="64" t="str">
        <f>IF(AND('Mapa final'!$Y$29="Baja",'Mapa final'!$AA$29="Mayor"),CONCATENATE("R6C",'Mapa final'!$O$29),"")</f>
        <v/>
      </c>
      <c r="AD41" s="64"/>
      <c r="AE41" s="64"/>
      <c r="AF41" s="64"/>
      <c r="AG41" s="65"/>
      <c r="AH41" s="66" t="str">
        <f>IF(AND('Mapa final'!$Y$28="Baja",'Mapa final'!$AA$28="Catastrófico"),CONCATENATE("R6C",'Mapa final'!$O$28),"")</f>
        <v/>
      </c>
      <c r="AI41" s="67" t="str">
        <f>IF(AND('Mapa final'!$Y$29="Baja",'Mapa final'!$AA$29="Catastrófico"),CONCATENATE("R6C",'Mapa final'!$O$29),"")</f>
        <v/>
      </c>
      <c r="AJ41" s="67"/>
      <c r="AK41" s="67"/>
      <c r="AL41" s="67"/>
      <c r="AM41" s="68"/>
      <c r="AN41" s="94"/>
      <c r="AO41" s="366"/>
      <c r="AP41" s="367"/>
      <c r="AQ41" s="367"/>
      <c r="AR41" s="367"/>
      <c r="AS41" s="367"/>
      <c r="AT41" s="368"/>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row>
    <row r="42" spans="1:80" ht="15" customHeight="1" x14ac:dyDescent="0.25">
      <c r="A42" s="94"/>
      <c r="B42" s="294"/>
      <c r="C42" s="294"/>
      <c r="D42" s="295"/>
      <c r="E42" s="335"/>
      <c r="F42" s="336"/>
      <c r="G42" s="336"/>
      <c r="H42" s="336"/>
      <c r="I42" s="336"/>
      <c r="J42" s="87"/>
      <c r="K42" s="88"/>
      <c r="L42" s="88"/>
      <c r="M42" s="88"/>
      <c r="N42" s="88"/>
      <c r="O42" s="89"/>
      <c r="P42" s="78"/>
      <c r="Q42" s="79"/>
      <c r="R42" s="79"/>
      <c r="S42" s="79"/>
      <c r="T42" s="79"/>
      <c r="U42" s="80"/>
      <c r="V42" s="78"/>
      <c r="W42" s="79"/>
      <c r="X42" s="79"/>
      <c r="Y42" s="79"/>
      <c r="Z42" s="79"/>
      <c r="AA42" s="80"/>
      <c r="AB42" s="63"/>
      <c r="AC42" s="64"/>
      <c r="AD42" s="64"/>
      <c r="AE42" s="64"/>
      <c r="AF42" s="64"/>
      <c r="AG42" s="65"/>
      <c r="AH42" s="66"/>
      <c r="AI42" s="67"/>
      <c r="AJ42" s="67"/>
      <c r="AK42" s="67"/>
      <c r="AL42" s="67"/>
      <c r="AM42" s="68"/>
      <c r="AN42" s="94"/>
      <c r="AO42" s="366"/>
      <c r="AP42" s="367"/>
      <c r="AQ42" s="367"/>
      <c r="AR42" s="367"/>
      <c r="AS42" s="367"/>
      <c r="AT42" s="368"/>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row>
    <row r="43" spans="1:80" ht="15" customHeight="1" x14ac:dyDescent="0.25">
      <c r="A43" s="94"/>
      <c r="B43" s="294"/>
      <c r="C43" s="294"/>
      <c r="D43" s="295"/>
      <c r="E43" s="335"/>
      <c r="F43" s="336"/>
      <c r="G43" s="336"/>
      <c r="H43" s="336"/>
      <c r="I43" s="336"/>
      <c r="J43" s="87"/>
      <c r="K43" s="88"/>
      <c r="L43" s="88"/>
      <c r="M43" s="88"/>
      <c r="N43" s="88"/>
      <c r="O43" s="89"/>
      <c r="P43" s="78"/>
      <c r="Q43" s="79"/>
      <c r="R43" s="79"/>
      <c r="S43" s="79"/>
      <c r="T43" s="79"/>
      <c r="U43" s="80"/>
      <c r="V43" s="78" t="str">
        <f ca="1">IF(AND('Mapa final'!$Y$31="Baja",'Mapa final'!$AA$31="Moderado"),CONCATENATE("R8C",'Mapa final'!$O$31),"")</f>
        <v/>
      </c>
      <c r="W43" s="79" t="str">
        <f ca="1">IF(AND('Mapa final'!$Y$32="Baja",'Mapa final'!$AA$32="Moderado"),CONCATENATE("R8C",'Mapa final'!$O$32),"")</f>
        <v>R8C2</v>
      </c>
      <c r="X43" s="79"/>
      <c r="Y43" s="79"/>
      <c r="Z43" s="79"/>
      <c r="AA43" s="80"/>
      <c r="AB43" s="63" t="str">
        <f ca="1">IF(AND('Mapa final'!$Y$31="Baja",'Mapa final'!$AA$31="Mayor"),CONCATENATE("R8C",'Mapa final'!$O$31),"")</f>
        <v>R8C1</v>
      </c>
      <c r="AC43" s="64" t="str">
        <f ca="1">IF(AND('Mapa final'!$Y$32="Baja",'Mapa final'!$AA$32="Mayor"),CONCATENATE("R8C",'Mapa final'!$O$32),"")</f>
        <v/>
      </c>
      <c r="AD43" s="64"/>
      <c r="AE43" s="64"/>
      <c r="AF43" s="64"/>
      <c r="AG43" s="65"/>
      <c r="AH43" s="66" t="str">
        <f ca="1">IF(AND('Mapa final'!$Y$31="Baja",'Mapa final'!$AA$31="Catastrófico"),CONCATENATE("R8C",'Mapa final'!$O$31),"")</f>
        <v/>
      </c>
      <c r="AI43" s="67" t="str">
        <f ca="1">IF(AND('Mapa final'!$Y$32="Baja",'Mapa final'!$AA$32="Catastrófico"),CONCATENATE("R8C",'Mapa final'!$O$32),"")</f>
        <v/>
      </c>
      <c r="AJ43" s="67"/>
      <c r="AK43" s="67"/>
      <c r="AL43" s="67"/>
      <c r="AM43" s="68"/>
      <c r="AN43" s="94"/>
      <c r="AO43" s="366"/>
      <c r="AP43" s="367"/>
      <c r="AQ43" s="367"/>
      <c r="AR43" s="367"/>
      <c r="AS43" s="367"/>
      <c r="AT43" s="368"/>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row>
    <row r="44" spans="1:80" ht="15" customHeight="1" x14ac:dyDescent="0.25">
      <c r="A44" s="94"/>
      <c r="B44" s="294"/>
      <c r="C44" s="294"/>
      <c r="D44" s="295"/>
      <c r="E44" s="335"/>
      <c r="F44" s="336"/>
      <c r="G44" s="336"/>
      <c r="H44" s="336"/>
      <c r="I44" s="336"/>
      <c r="J44" s="87"/>
      <c r="K44" s="88"/>
      <c r="L44" s="88"/>
      <c r="M44" s="88"/>
      <c r="N44" s="88"/>
      <c r="O44" s="89"/>
      <c r="P44" s="78"/>
      <c r="Q44" s="79"/>
      <c r="R44" s="79"/>
      <c r="S44" s="79"/>
      <c r="T44" s="79"/>
      <c r="U44" s="80"/>
      <c r="V44" s="78" t="str">
        <f ca="1">IF(AND('Mapa final'!$Y$33="Baja",'Mapa final'!$AA$33="Moderado"),CONCATENATE("R9C",'Mapa final'!$O$33),"")</f>
        <v>R9C1</v>
      </c>
      <c r="W44" s="79" t="str">
        <f ca="1">IF(AND('Mapa final'!$Y$34="Baja",'Mapa final'!$AA$34="Moderado"),CONCATENATE("R9C",'Mapa final'!$O$34),"")</f>
        <v/>
      </c>
      <c r="X44" s="79"/>
      <c r="Y44" s="79"/>
      <c r="Z44" s="79"/>
      <c r="AA44" s="80"/>
      <c r="AB44" s="63" t="str">
        <f ca="1">IF(AND('Mapa final'!$Y$33="Baja",'Mapa final'!$AA$33="Mayor"),CONCATENATE("R9C",'Mapa final'!$O$33),"")</f>
        <v/>
      </c>
      <c r="AC44" s="64" t="str">
        <f ca="1">IF(AND('Mapa final'!$Y$34="Baja",'Mapa final'!$AA$34="Mayor"),CONCATENATE("R9C",'Mapa final'!$O$34),"")</f>
        <v>R9C2</v>
      </c>
      <c r="AD44" s="64"/>
      <c r="AE44" s="64"/>
      <c r="AF44" s="64"/>
      <c r="AG44" s="65"/>
      <c r="AH44" s="66" t="str">
        <f ca="1">IF(AND('Mapa final'!$Y$33="Baja",'Mapa final'!$AA$33="Catastrófico"),CONCATENATE("R9C",'Mapa final'!$O$33),"")</f>
        <v/>
      </c>
      <c r="AI44" s="67" t="str">
        <f ca="1">IF(AND('Mapa final'!$Y$34="Baja",'Mapa final'!$AA$34="Catastrófico"),CONCATENATE("R9C",'Mapa final'!$O$34),"")</f>
        <v/>
      </c>
      <c r="AJ44" s="67"/>
      <c r="AK44" s="67"/>
      <c r="AL44" s="67"/>
      <c r="AM44" s="68"/>
      <c r="AN44" s="94"/>
      <c r="AO44" s="366"/>
      <c r="AP44" s="367"/>
      <c r="AQ44" s="367"/>
      <c r="AR44" s="367"/>
      <c r="AS44" s="367"/>
      <c r="AT44" s="368"/>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row>
    <row r="45" spans="1:80" ht="15.75" customHeight="1" thickBot="1" x14ac:dyDescent="0.3">
      <c r="A45" s="94"/>
      <c r="B45" s="294"/>
      <c r="C45" s="294"/>
      <c r="D45" s="295"/>
      <c r="E45" s="338"/>
      <c r="F45" s="339"/>
      <c r="G45" s="339"/>
      <c r="H45" s="339"/>
      <c r="I45" s="339"/>
      <c r="J45" s="90"/>
      <c r="K45" s="91"/>
      <c r="L45" s="91"/>
      <c r="M45" s="91"/>
      <c r="N45" s="91"/>
      <c r="O45" s="92"/>
      <c r="P45" s="78"/>
      <c r="Q45" s="79"/>
      <c r="R45" s="79"/>
      <c r="S45" s="79"/>
      <c r="T45" s="79"/>
      <c r="U45" s="80"/>
      <c r="V45" s="81" t="str">
        <f ca="1">IF(AND('Mapa final'!$Y$35="Baja",'Mapa final'!$AA$35="Moderado"),CONCATENATE("R10C",'Mapa final'!$O$35),"")</f>
        <v/>
      </c>
      <c r="W45" s="82" t="str">
        <f ca="1">IF(AND('Mapa final'!$Y$36="Baja",'Mapa final'!$AA$36="Moderado"),CONCATENATE("R10C",'Mapa final'!$O$36),"")</f>
        <v/>
      </c>
      <c r="X45" s="82"/>
      <c r="Y45" s="82"/>
      <c r="Z45" s="82"/>
      <c r="AA45" s="83"/>
      <c r="AB45" s="69" t="str">
        <f ca="1">IF(AND('Mapa final'!$Y$35="Baja",'Mapa final'!$AA$35="Mayor"),CONCATENATE("R10C",'Mapa final'!$O$35),"")</f>
        <v/>
      </c>
      <c r="AC45" s="70" t="str">
        <f ca="1">IF(AND('Mapa final'!$Y$36="Baja",'Mapa final'!$AA$36="Mayor"),CONCATENATE("R10C",'Mapa final'!$O$36),"")</f>
        <v/>
      </c>
      <c r="AD45" s="70"/>
      <c r="AE45" s="70"/>
      <c r="AF45" s="70"/>
      <c r="AG45" s="71"/>
      <c r="AH45" s="72" t="str">
        <f ca="1">IF(AND('Mapa final'!$Y$35="Baja",'Mapa final'!$AA$35="Catastrófico"),CONCATENATE("R10C",'Mapa final'!$O$35),"")</f>
        <v/>
      </c>
      <c r="AI45" s="73" t="str">
        <f ca="1">IF(AND('Mapa final'!$Y$36="Baja",'Mapa final'!$AA$36="Catastrófico"),CONCATENATE("R10C",'Mapa final'!$O$36),"")</f>
        <v/>
      </c>
      <c r="AJ45" s="73"/>
      <c r="AK45" s="73"/>
      <c r="AL45" s="73"/>
      <c r="AM45" s="74"/>
      <c r="AN45" s="94"/>
      <c r="AO45" s="369"/>
      <c r="AP45" s="370"/>
      <c r="AQ45" s="370"/>
      <c r="AR45" s="370"/>
      <c r="AS45" s="370"/>
      <c r="AT45" s="371"/>
    </row>
    <row r="46" spans="1:80" ht="46.5" customHeight="1" x14ac:dyDescent="0.35">
      <c r="A46" s="94"/>
      <c r="B46" s="294"/>
      <c r="C46" s="294"/>
      <c r="D46" s="295"/>
      <c r="E46" s="332" t="s">
        <v>113</v>
      </c>
      <c r="F46" s="333"/>
      <c r="G46" s="333"/>
      <c r="H46" s="333"/>
      <c r="I46" s="334"/>
      <c r="J46" s="84" t="str">
        <f>IF(AND('Mapa final'!$Y$12="Muy Baja",'Mapa final'!$AA$12="Leve"),CONCATENATE("R1C",'Mapa final'!$O$12),"")</f>
        <v/>
      </c>
      <c r="K46" s="85" t="str">
        <f>IF(AND('Mapa final'!$Y$13="Muy Baja",'Mapa final'!$AA$13="Leve"),CONCATENATE("R1C",'Mapa final'!$O$13),"")</f>
        <v/>
      </c>
      <c r="L46" s="85" t="str">
        <f>IF(AND('Mapa final'!$Y$14="Muy Baja",'Mapa final'!$AA$14="Leve"),CONCATENATE("R1C",'Mapa final'!$O$14),"")</f>
        <v/>
      </c>
      <c r="M46" s="85" t="str">
        <f>IF(AND('Mapa final'!$Y$15="Muy Baja",'Mapa final'!$AA$15="Leve"),CONCATENATE("R1C",'Mapa final'!$O$15),"")</f>
        <v>R1C3</v>
      </c>
      <c r="N46" s="85"/>
      <c r="O46" s="86"/>
      <c r="P46" s="84" t="str">
        <f>IF(AND('Mapa final'!$Y$12="Muy Baja",'Mapa final'!$AA$12="Menor"),CONCATENATE("R1C",'Mapa final'!$O$12),"")</f>
        <v/>
      </c>
      <c r="Q46" s="85" t="str">
        <f>IF(AND('Mapa final'!$Y$13="Muy Baja",'Mapa final'!$AA$13="Menor"),CONCATENATE("R1C",'Mapa final'!$O$13),"")</f>
        <v/>
      </c>
      <c r="R46" s="85" t="str">
        <f>IF(AND('Mapa final'!$Y$14="Muy Baja",'Mapa final'!$AA$14="Menor"),CONCATENATE("R1C",'Mapa final'!$O$14),"")</f>
        <v/>
      </c>
      <c r="S46" s="85" t="str">
        <f>IF(AND('Mapa final'!$Y$15="Muy Baja",'Mapa final'!$AA$15="Menor"),CONCATENATE("R1C",'Mapa final'!$O$15),"")</f>
        <v/>
      </c>
      <c r="T46" s="85" t="str">
        <f>IF(AND('Mapa final'!$Y$16="Muy Baja",'Mapa final'!$AA$16="Menor"),CONCATENATE("R1C",'Mapa final'!$O$16),"")</f>
        <v/>
      </c>
      <c r="U46" s="86"/>
      <c r="V46" s="75" t="str">
        <f>IF(AND('Mapa final'!$Y$12="Muy Baja",'Mapa final'!$AA$12="Moderado"),CONCATENATE("R1C",'Mapa final'!$O$12),"")</f>
        <v/>
      </c>
      <c r="W46" s="93" t="str">
        <f>IF(AND('Mapa final'!$Y$13="Muy Baja",'Mapa final'!$AA$13="Moderado"),CONCATENATE("R1C",'Mapa final'!$O$13),"")</f>
        <v/>
      </c>
      <c r="X46" s="76" t="str">
        <f>IF(AND('Mapa final'!$Y$14="Muy Baja",'Mapa final'!$AA$14="Moderado"),CONCATENATE("R1C",'Mapa final'!$O$14),"")</f>
        <v/>
      </c>
      <c r="Y46" s="76" t="str">
        <f>IF(AND('Mapa final'!$Y$15="Muy Baja",'Mapa final'!$AA$15="Moderado"),CONCATENATE("R1C",'Mapa final'!$O$15),"")</f>
        <v/>
      </c>
      <c r="Z46" s="76" t="str">
        <f>IF(AND('Mapa final'!$Y$16="Muy Baja",'Mapa final'!$AA$16="Moderado"),CONCATENATE("R1C",'Mapa final'!$O$16),"")</f>
        <v/>
      </c>
      <c r="AA46" s="77"/>
      <c r="AB46" s="57" t="str">
        <f>IF(AND('Mapa final'!$Y$12="Muy Baja",'Mapa final'!$AA$12="Mayor"),CONCATENATE("R1C",'Mapa final'!$O$12),"")</f>
        <v/>
      </c>
      <c r="AC46" s="58" t="str">
        <f>IF(AND('Mapa final'!$Y$13="Muy Baja",'Mapa final'!$AA$13="Mayor"),CONCATENATE("R1C",'Mapa final'!$O$13),"")</f>
        <v/>
      </c>
      <c r="AD46" s="58" t="str">
        <f>IF(AND('Mapa final'!$Y$14="Muy Baja",'Mapa final'!$AA$14="Mayor"),CONCATENATE("R1C",'Mapa final'!$O$14),"")</f>
        <v/>
      </c>
      <c r="AE46" s="58" t="str">
        <f>IF(AND('Mapa final'!$Y$15="Muy Baja",'Mapa final'!$AA$15="Mayor"),CONCATENATE("R1C",'Mapa final'!$O$15),"")</f>
        <v/>
      </c>
      <c r="AF46" s="58" t="str">
        <f>IF(AND('Mapa final'!$Y$16="Muy Baja",'Mapa final'!$AA$16="Mayor"),CONCATENATE("R1C",'Mapa final'!$O$16),"")</f>
        <v/>
      </c>
      <c r="AG46" s="59"/>
      <c r="AH46" s="60" t="str">
        <f>IF(AND('Mapa final'!$Y$12="Muy Baja",'Mapa final'!$AA$12="Catastrófico"),CONCATENATE("R1C",'Mapa final'!$O$12),"")</f>
        <v/>
      </c>
      <c r="AI46" s="61" t="str">
        <f>IF(AND('Mapa final'!$Y$13="Muy Baja",'Mapa final'!$AA$13="Catastrófico"),CONCATENATE("R1C",'Mapa final'!$O$13),"")</f>
        <v/>
      </c>
      <c r="AJ46" s="61" t="str">
        <f>IF(AND('Mapa final'!$Y$14="Muy Baja",'Mapa final'!$AA$14="Catastrófico"),CONCATENATE("R1C",'Mapa final'!$O$14),"")</f>
        <v/>
      </c>
      <c r="AK46" s="61" t="str">
        <f>IF(AND('Mapa final'!$Y$15="Muy Baja",'Mapa final'!$AA$15="Catastrófico"),CONCATENATE("R1C",'Mapa final'!$O$15),"")</f>
        <v/>
      </c>
      <c r="AL46" s="61" t="str">
        <f>IF(AND('Mapa final'!$Y$16="Muy Baja",'Mapa final'!$AA$16="Catastrófico"),CONCATENATE("R1C",'Mapa final'!$O$16),"")</f>
        <v/>
      </c>
      <c r="AM46" s="62"/>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row>
    <row r="47" spans="1:80" ht="46.5" customHeight="1" x14ac:dyDescent="0.25">
      <c r="A47" s="94"/>
      <c r="B47" s="294"/>
      <c r="C47" s="294"/>
      <c r="D47" s="295"/>
      <c r="E47" s="351"/>
      <c r="F47" s="336"/>
      <c r="G47" s="336"/>
      <c r="H47" s="336"/>
      <c r="I47" s="337"/>
      <c r="J47" s="87" t="str">
        <f ca="1">IF(AND('Mapa final'!$Y$17="Muy Baja",'Mapa final'!$AA$17="Leve"),CONCATENATE("R2C",'Mapa final'!$O$17),"")</f>
        <v/>
      </c>
      <c r="K47" s="88" t="str">
        <f>IF(AND('Mapa final'!$Y$18="Muy Baja",'Mapa final'!$AA$18="Leve"),CONCATENATE("R2C",'Mapa final'!$O$18),"")</f>
        <v/>
      </c>
      <c r="L47" s="88"/>
      <c r="M47" s="88"/>
      <c r="N47" s="88"/>
      <c r="O47" s="89"/>
      <c r="P47" s="87" t="str">
        <f ca="1">IF(AND('Mapa final'!$Y$17="Muy Baja",'Mapa final'!$AA$17="Menor"),CONCATENATE("R2C",'Mapa final'!$O$17),"")</f>
        <v/>
      </c>
      <c r="Q47" s="88"/>
      <c r="R47" s="88"/>
      <c r="S47" s="88"/>
      <c r="T47" s="88"/>
      <c r="U47" s="89"/>
      <c r="V47" s="78"/>
      <c r="W47" s="79"/>
      <c r="X47" s="79"/>
      <c r="Y47" s="79"/>
      <c r="Z47" s="79"/>
      <c r="AA47" s="80"/>
      <c r="AB47" s="63"/>
      <c r="AC47" s="64"/>
      <c r="AD47" s="64"/>
      <c r="AE47" s="64"/>
      <c r="AF47" s="64"/>
      <c r="AG47" s="65"/>
      <c r="AH47" s="66"/>
      <c r="AI47" s="67"/>
      <c r="AJ47" s="67"/>
      <c r="AK47" s="67"/>
      <c r="AL47" s="67"/>
      <c r="AM47" s="68"/>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row>
    <row r="48" spans="1:80" ht="15" customHeight="1" x14ac:dyDescent="0.25">
      <c r="A48" s="94"/>
      <c r="B48" s="294"/>
      <c r="C48" s="294"/>
      <c r="D48" s="295"/>
      <c r="E48" s="351"/>
      <c r="F48" s="336"/>
      <c r="G48" s="336"/>
      <c r="H48" s="336"/>
      <c r="I48" s="337"/>
      <c r="J48" s="87"/>
      <c r="K48" s="88"/>
      <c r="L48" s="88"/>
      <c r="M48" s="88"/>
      <c r="N48" s="88"/>
      <c r="O48" s="89"/>
      <c r="P48" s="87" t="str">
        <f ca="1">IF(AND('Mapa final'!$Y$19="Muy Baja",'Mapa final'!$AA$19="Menor"),CONCATENATE("R3C",'Mapa final'!$O$19),"")</f>
        <v/>
      </c>
      <c r="Q48" s="88"/>
      <c r="R48" s="88"/>
      <c r="S48" s="88"/>
      <c r="T48" s="88"/>
      <c r="U48" s="89"/>
      <c r="V48" s="78"/>
      <c r="W48" s="79"/>
      <c r="X48" s="79"/>
      <c r="Y48" s="79"/>
      <c r="Z48" s="79"/>
      <c r="AA48" s="80"/>
      <c r="AB48" s="63" t="str">
        <f ca="1">IF(AND('Mapa final'!$Y$19="Muy Baja",'Mapa final'!$AA$19="Mayor"),CONCATENATE("R3C",'Mapa final'!$O$19),"")</f>
        <v/>
      </c>
      <c r="AC48" s="64" t="str">
        <f ca="1">IF(AND('Mapa final'!$Y$20="Muy Baja",'Mapa final'!$AA$20="Mayor"),CONCATENATE("R3C",'Mapa final'!$O$20),"")</f>
        <v/>
      </c>
      <c r="AD48" s="64" t="str">
        <f ca="1">IF(AND('Mapa final'!$Y$21="Muy Baja",'Mapa final'!$AA$21="Mayor"),CONCATENATE("R3C",'Mapa final'!$O$21),"")</f>
        <v>R3C3</v>
      </c>
      <c r="AE48" s="64"/>
      <c r="AF48" s="64"/>
      <c r="AG48" s="65"/>
      <c r="AH48" s="66"/>
      <c r="AI48" s="67"/>
      <c r="AJ48" s="67"/>
      <c r="AK48" s="67"/>
      <c r="AL48" s="67"/>
      <c r="AM48" s="68"/>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row>
    <row r="49" spans="1:80" ht="15" customHeight="1" x14ac:dyDescent="0.25">
      <c r="A49" s="94"/>
      <c r="B49" s="294"/>
      <c r="C49" s="294"/>
      <c r="D49" s="295"/>
      <c r="E49" s="335"/>
      <c r="F49" s="336"/>
      <c r="G49" s="336"/>
      <c r="H49" s="336"/>
      <c r="I49" s="337"/>
      <c r="J49" s="87"/>
      <c r="K49" s="88"/>
      <c r="L49" s="88"/>
      <c r="M49" s="88"/>
      <c r="N49" s="88"/>
      <c r="O49" s="89"/>
      <c r="P49" s="87" t="str">
        <f ca="1">IF(AND('Mapa final'!$Y$22="Muy Baja",'Mapa final'!$AA$22="Menor"),CONCATENATE("R4C",'Mapa final'!$O$22),"")</f>
        <v/>
      </c>
      <c r="Q49" s="88"/>
      <c r="R49" s="88"/>
      <c r="S49" s="88"/>
      <c r="T49" s="88"/>
      <c r="U49" s="89"/>
      <c r="V49" s="78"/>
      <c r="W49" s="79"/>
      <c r="X49" s="79"/>
      <c r="Y49" s="79"/>
      <c r="Z49" s="79"/>
      <c r="AA49" s="80"/>
      <c r="AB49" s="63" t="str">
        <f ca="1">IF(AND('Mapa final'!$Y$22="Muy Baja",'Mapa final'!$AA$22="Mayor"),CONCATENATE("R4C",'Mapa final'!$O$22),"")</f>
        <v/>
      </c>
      <c r="AC49" s="64" t="str">
        <f ca="1">IF(AND('Mapa final'!$Y$23="Muy Baja",'Mapa final'!$AA$23="Mayor"),CONCATENATE("R4C",'Mapa final'!$O$23),"")</f>
        <v/>
      </c>
      <c r="AD49" s="64" t="str">
        <f ca="1">IF(AND('Mapa final'!$Y$24="Muy Baja",'Mapa final'!$AA$24="Mayor"),CONCATENATE("R4C",'Mapa final'!$O$24),"")</f>
        <v>R4C3</v>
      </c>
      <c r="AE49" s="64" t="str">
        <f ca="1">IF(AND('Mapa final'!$Y$25="Muy Baja",'Mapa final'!$AA$25="Mayor"),CONCATENATE("R4C",'Mapa final'!$O$25),"")</f>
        <v>R4C4</v>
      </c>
      <c r="AF49" s="64"/>
      <c r="AG49" s="65"/>
      <c r="AH49" s="66"/>
      <c r="AI49" s="67"/>
      <c r="AJ49" s="67"/>
      <c r="AK49" s="67"/>
      <c r="AL49" s="67"/>
      <c r="AM49" s="68"/>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row>
    <row r="50" spans="1:80" ht="15" customHeight="1" x14ac:dyDescent="0.25">
      <c r="A50" s="94"/>
      <c r="B50" s="294"/>
      <c r="C50" s="294"/>
      <c r="D50" s="295"/>
      <c r="E50" s="335"/>
      <c r="F50" s="336"/>
      <c r="G50" s="336"/>
      <c r="H50" s="336"/>
      <c r="I50" s="337"/>
      <c r="J50" s="87"/>
      <c r="K50" s="88"/>
      <c r="L50" s="88"/>
      <c r="M50" s="88"/>
      <c r="N50" s="88"/>
      <c r="O50" s="89"/>
      <c r="P50" s="87" t="str">
        <f ca="1">IF(AND('Mapa final'!$Y$26="Muy Baja",'Mapa final'!$AA$26="Menor"),CONCATENATE("R5C",'Mapa final'!$O$26),"")</f>
        <v/>
      </c>
      <c r="Q50" s="88"/>
      <c r="R50" s="88"/>
      <c r="S50" s="88"/>
      <c r="T50" s="88"/>
      <c r="U50" s="89"/>
      <c r="V50" s="78"/>
      <c r="W50" s="79"/>
      <c r="X50" s="79"/>
      <c r="Y50" s="79"/>
      <c r="Z50" s="79"/>
      <c r="AA50" s="80"/>
      <c r="AB50" s="63" t="str">
        <f ca="1">IF(AND('Mapa final'!$Y$26="Muy Baja",'Mapa final'!$AA$26="Mayor"),CONCATENATE("R5C",'Mapa final'!$O$26),"")</f>
        <v/>
      </c>
      <c r="AC50" s="64" t="str">
        <f ca="1">IF(AND('Mapa final'!$Y$27="Muy Baja",'Mapa final'!$AA$27="Mayor"),CONCATENATE("R5C",'Mapa final'!$O$27),"")</f>
        <v/>
      </c>
      <c r="AD50" s="64"/>
      <c r="AE50" s="64"/>
      <c r="AF50" s="64"/>
      <c r="AG50" s="65"/>
      <c r="AH50" s="66"/>
      <c r="AI50" s="67"/>
      <c r="AJ50" s="67"/>
      <c r="AK50" s="67"/>
      <c r="AL50" s="67"/>
      <c r="AM50" s="6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row>
    <row r="51" spans="1:80" ht="15" customHeight="1" x14ac:dyDescent="0.25">
      <c r="A51" s="94"/>
      <c r="B51" s="294"/>
      <c r="C51" s="294"/>
      <c r="D51" s="295"/>
      <c r="E51" s="335"/>
      <c r="F51" s="336"/>
      <c r="G51" s="336"/>
      <c r="H51" s="336"/>
      <c r="I51" s="337"/>
      <c r="J51" s="87"/>
      <c r="K51" s="88"/>
      <c r="L51" s="88"/>
      <c r="M51" s="88"/>
      <c r="N51" s="88"/>
      <c r="O51" s="89"/>
      <c r="P51" s="87" t="str">
        <f>IF(AND('Mapa final'!$Y$28="Muy Baja",'Mapa final'!$AA$28="Menor"),CONCATENATE("R6C",'Mapa final'!$O$28),"")</f>
        <v/>
      </c>
      <c r="Q51" s="88"/>
      <c r="R51" s="88"/>
      <c r="S51" s="88"/>
      <c r="T51" s="88"/>
      <c r="U51" s="89"/>
      <c r="V51" s="78"/>
      <c r="W51" s="79"/>
      <c r="X51" s="79"/>
      <c r="Y51" s="79"/>
      <c r="Z51" s="79"/>
      <c r="AA51" s="80"/>
      <c r="AB51" s="63" t="str">
        <f>IF(AND('Mapa final'!$Y$28="Muy Baja",'Mapa final'!$AA$28="Mayor"),CONCATENATE("R6C",'Mapa final'!$O$28),"")</f>
        <v/>
      </c>
      <c r="AC51" s="64" t="str">
        <f>IF(AND('Mapa final'!$Y$29="Muy Baja",'Mapa final'!$AA$29="Mayor"),CONCATENATE("R6C",'Mapa final'!$O$29),"")</f>
        <v/>
      </c>
      <c r="AD51" s="64"/>
      <c r="AE51" s="64"/>
      <c r="AF51" s="64"/>
      <c r="AG51" s="65"/>
      <c r="AH51" s="66" t="str">
        <f>IF(AND('Mapa final'!$Y$28="Muy Baja",'Mapa final'!$AA$28="Catastrófico"),CONCATENATE("R6C",'Mapa final'!$O$28),"")</f>
        <v/>
      </c>
      <c r="AI51" s="67" t="str">
        <f>IF(AND('Mapa final'!$Y$29="Muy Baja",'Mapa final'!$AA$29="Catastrófico"),CONCATENATE("R6C",'Mapa final'!$O$29),"")</f>
        <v/>
      </c>
      <c r="AJ51" s="67" t="str">
        <f>IF(AND('Mapa final'!$Y$30="Muy Baja",'Mapa final'!$AA$30="Catastrófico"),CONCATENATE("R6C",'Mapa final'!$O$30),"")</f>
        <v/>
      </c>
      <c r="AK51" s="67"/>
      <c r="AL51" s="67"/>
      <c r="AM51" s="6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row>
    <row r="52" spans="1:80" ht="15" customHeight="1" x14ac:dyDescent="0.25">
      <c r="A52" s="94"/>
      <c r="B52" s="294"/>
      <c r="C52" s="294"/>
      <c r="D52" s="295"/>
      <c r="E52" s="335"/>
      <c r="F52" s="336"/>
      <c r="G52" s="336"/>
      <c r="H52" s="336"/>
      <c r="I52" s="337"/>
      <c r="J52" s="87"/>
      <c r="K52" s="88"/>
      <c r="L52" s="88"/>
      <c r="M52" s="88"/>
      <c r="N52" s="88"/>
      <c r="O52" s="89"/>
      <c r="P52" s="87"/>
      <c r="Q52" s="88"/>
      <c r="R52" s="88"/>
      <c r="S52" s="88"/>
      <c r="T52" s="88"/>
      <c r="U52" s="89"/>
      <c r="V52" s="78"/>
      <c r="W52" s="79"/>
      <c r="X52" s="79"/>
      <c r="Y52" s="79"/>
      <c r="Z52" s="79"/>
      <c r="AA52" s="80"/>
      <c r="AB52" s="63"/>
      <c r="AC52" s="64"/>
      <c r="AD52" s="64"/>
      <c r="AE52" s="64"/>
      <c r="AF52" s="64"/>
      <c r="AG52" s="65"/>
      <c r="AH52" s="66"/>
      <c r="AI52" s="67"/>
      <c r="AJ52" s="67"/>
      <c r="AK52" s="67"/>
      <c r="AL52" s="67"/>
      <c r="AM52" s="6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row>
    <row r="53" spans="1:80" ht="15" customHeight="1" x14ac:dyDescent="0.25">
      <c r="A53" s="94"/>
      <c r="B53" s="294"/>
      <c r="C53" s="294"/>
      <c r="D53" s="295"/>
      <c r="E53" s="335"/>
      <c r="F53" s="336"/>
      <c r="G53" s="336"/>
      <c r="H53" s="336"/>
      <c r="I53" s="337"/>
      <c r="J53" s="87" t="str">
        <f ca="1">IF(AND('Mapa final'!$Y$31="Muy Baja",'Mapa final'!$AA$31="Leve"),CONCATENATE("R8C",'Mapa final'!$O$31),"")</f>
        <v/>
      </c>
      <c r="K53" s="88" t="str">
        <f ca="1">IF(AND('Mapa final'!$Y$32="Muy Baja",'Mapa final'!$AA$32="Leve"),CONCATENATE("R8C",'Mapa final'!$O$32),"")</f>
        <v/>
      </c>
      <c r="L53" s="88"/>
      <c r="M53" s="88"/>
      <c r="N53" s="88"/>
      <c r="O53" s="89"/>
      <c r="P53" s="87" t="str">
        <f ca="1">IF(AND('Mapa final'!$Y$31="Muy Baja",'Mapa final'!$AA$31="Menor"),CONCATENATE("R8C",'Mapa final'!$O$31),"")</f>
        <v/>
      </c>
      <c r="Q53" s="88"/>
      <c r="R53" s="88"/>
      <c r="S53" s="88"/>
      <c r="T53" s="88"/>
      <c r="U53" s="89"/>
      <c r="V53" s="78"/>
      <c r="W53" s="79"/>
      <c r="X53" s="79"/>
      <c r="Y53" s="79"/>
      <c r="Z53" s="79"/>
      <c r="AA53" s="80"/>
      <c r="AB53" s="63" t="str">
        <f ca="1">IF(AND('Mapa final'!$Y$31="Muy Baja",'Mapa final'!$AA$31="Mayor"),CONCATENATE("R8C",'Mapa final'!$O$31),"")</f>
        <v/>
      </c>
      <c r="AC53" s="64" t="str">
        <f ca="1">IF(AND('Mapa final'!$Y$32="Muy Baja",'Mapa final'!$AA$32="Mayor"),CONCATENATE("R8C",'Mapa final'!$O$32),"")</f>
        <v/>
      </c>
      <c r="AD53" s="64"/>
      <c r="AE53" s="64"/>
      <c r="AF53" s="64"/>
      <c r="AG53" s="65"/>
      <c r="AH53" s="66"/>
      <c r="AI53" s="67"/>
      <c r="AJ53" s="67"/>
      <c r="AK53" s="67"/>
      <c r="AL53" s="67"/>
      <c r="AM53" s="6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row>
    <row r="54" spans="1:80" ht="15" customHeight="1" x14ac:dyDescent="0.25">
      <c r="A54" s="94"/>
      <c r="B54" s="294"/>
      <c r="C54" s="294"/>
      <c r="D54" s="295"/>
      <c r="E54" s="335"/>
      <c r="F54" s="336"/>
      <c r="G54" s="336"/>
      <c r="H54" s="336"/>
      <c r="I54" s="337"/>
      <c r="J54" s="87" t="str">
        <f ca="1">IF(AND('Mapa final'!$Y$33="Muy Baja",'Mapa final'!$AA$33="Leve"),CONCATENATE("R9C",'Mapa final'!$O$33),"")</f>
        <v/>
      </c>
      <c r="K54" s="88" t="str">
        <f ca="1">IF(AND('Mapa final'!$Y$34="Muy Baja",'Mapa final'!$AA$34="Leve"),CONCATENATE("R9C",'Mapa final'!$O$34),"")</f>
        <v/>
      </c>
      <c r="L54" s="88"/>
      <c r="M54" s="88"/>
      <c r="N54" s="88"/>
      <c r="O54" s="89"/>
      <c r="P54" s="87" t="str">
        <f ca="1">IF(AND('Mapa final'!$Y$33="Muy Baja",'Mapa final'!$AA$33="Menor"),CONCATENATE("R9C",'Mapa final'!$O$33),"")</f>
        <v/>
      </c>
      <c r="Q54" s="88"/>
      <c r="R54" s="88"/>
      <c r="S54" s="88"/>
      <c r="T54" s="88"/>
      <c r="U54" s="89"/>
      <c r="V54" s="78"/>
      <c r="W54" s="79"/>
      <c r="X54" s="79"/>
      <c r="Y54" s="79"/>
      <c r="Z54" s="79"/>
      <c r="AA54" s="80"/>
      <c r="AB54" s="63" t="str">
        <f ca="1">IF(AND('Mapa final'!$Y$33="Muy Baja",'Mapa final'!$AA$33="Mayor"),CONCATENATE("R9C",'Mapa final'!$O$33),"")</f>
        <v/>
      </c>
      <c r="AC54" s="64" t="str">
        <f ca="1">IF(AND('Mapa final'!$Y$34="Muy Baja",'Mapa final'!$AA$34="Mayor"),CONCATENATE("R9C",'Mapa final'!$O$34),"")</f>
        <v/>
      </c>
      <c r="AD54" s="64"/>
      <c r="AE54" s="64"/>
      <c r="AF54" s="64"/>
      <c r="AG54" s="65"/>
      <c r="AH54" s="66"/>
      <c r="AI54" s="67"/>
      <c r="AJ54" s="67"/>
      <c r="AK54" s="67"/>
      <c r="AL54" s="67"/>
      <c r="AM54" s="68"/>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row>
    <row r="55" spans="1:80" ht="15.75" customHeight="1" thickBot="1" x14ac:dyDescent="0.3">
      <c r="A55" s="94"/>
      <c r="B55" s="294"/>
      <c r="C55" s="294"/>
      <c r="D55" s="295"/>
      <c r="E55" s="338"/>
      <c r="F55" s="339"/>
      <c r="G55" s="339"/>
      <c r="H55" s="339"/>
      <c r="I55" s="340"/>
      <c r="J55" s="90" t="str">
        <f ca="1">IF(AND('Mapa final'!$Y$35="Muy Baja",'Mapa final'!$AA$35="Leve"),CONCATENATE("R10C",'Mapa final'!$O$35),"")</f>
        <v/>
      </c>
      <c r="K55" s="91" t="str">
        <f ca="1">IF(AND('Mapa final'!$Y$36="Muy Baja",'Mapa final'!$AA$36="Leve"),CONCATENATE("R10C",'Mapa final'!$O$36),"")</f>
        <v/>
      </c>
      <c r="L55" s="91"/>
      <c r="M55" s="91"/>
      <c r="N55" s="91"/>
      <c r="O55" s="92"/>
      <c r="P55" s="90" t="str">
        <f ca="1">IF(AND('Mapa final'!$Y$35="Muy Baja",'Mapa final'!$AA$35="Menor"),CONCATENATE("R10C",'Mapa final'!$O$35),"")</f>
        <v/>
      </c>
      <c r="Q55" s="91"/>
      <c r="R55" s="91"/>
      <c r="S55" s="91"/>
      <c r="T55" s="91"/>
      <c r="U55" s="92"/>
      <c r="V55" s="81"/>
      <c r="W55" s="82"/>
      <c r="X55" s="82"/>
      <c r="Y55" s="82"/>
      <c r="Z55" s="82"/>
      <c r="AA55" s="83"/>
      <c r="AB55" s="69" t="str">
        <f ca="1">IF(AND('Mapa final'!$Y$35="Muy Baja",'Mapa final'!$AA$35="Mayor"),CONCATENATE("R10C",'Mapa final'!$O$35),"")</f>
        <v/>
      </c>
      <c r="AC55" s="70" t="str">
        <f ca="1">IF(AND('Mapa final'!$Y$36="Muy Baja",'Mapa final'!$AA$36="Mayor"),CONCATENATE("R10C",'Mapa final'!$O$36),"")</f>
        <v/>
      </c>
      <c r="AD55" s="70"/>
      <c r="AE55" s="70"/>
      <c r="AF55" s="70"/>
      <c r="AG55" s="71"/>
      <c r="AH55" s="72"/>
      <c r="AI55" s="73"/>
      <c r="AJ55" s="73"/>
      <c r="AK55" s="73"/>
      <c r="AL55" s="73"/>
      <c r="AM55" s="7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row>
    <row r="56" spans="1:80" x14ac:dyDescent="0.25">
      <c r="A56" s="94"/>
      <c r="B56" s="94"/>
      <c r="C56" s="94"/>
      <c r="D56" s="94"/>
      <c r="E56" s="94"/>
      <c r="F56" s="94"/>
      <c r="G56" s="94"/>
      <c r="H56" s="94"/>
      <c r="I56" s="94"/>
      <c r="J56" s="332" t="s">
        <v>112</v>
      </c>
      <c r="K56" s="333"/>
      <c r="L56" s="333"/>
      <c r="M56" s="333"/>
      <c r="N56" s="333"/>
      <c r="O56" s="334"/>
      <c r="P56" s="332" t="s">
        <v>111</v>
      </c>
      <c r="Q56" s="333"/>
      <c r="R56" s="333"/>
      <c r="S56" s="333"/>
      <c r="T56" s="333"/>
      <c r="U56" s="334"/>
      <c r="V56" s="332" t="s">
        <v>110</v>
      </c>
      <c r="W56" s="333"/>
      <c r="X56" s="333"/>
      <c r="Y56" s="333"/>
      <c r="Z56" s="333"/>
      <c r="AA56" s="334"/>
      <c r="AB56" s="332" t="s">
        <v>109</v>
      </c>
      <c r="AC56" s="341"/>
      <c r="AD56" s="333"/>
      <c r="AE56" s="333"/>
      <c r="AF56" s="333"/>
      <c r="AG56" s="334"/>
      <c r="AH56" s="332" t="s">
        <v>108</v>
      </c>
      <c r="AI56" s="333"/>
      <c r="AJ56" s="333"/>
      <c r="AK56" s="333"/>
      <c r="AL56" s="333"/>
      <c r="AM56" s="33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row>
    <row r="57" spans="1:80" x14ac:dyDescent="0.25">
      <c r="A57" s="94"/>
      <c r="B57" s="94"/>
      <c r="C57" s="94"/>
      <c r="D57" s="94"/>
      <c r="E57" s="94"/>
      <c r="F57" s="94"/>
      <c r="G57" s="94"/>
      <c r="H57" s="94"/>
      <c r="I57" s="94"/>
      <c r="J57" s="335"/>
      <c r="K57" s="336"/>
      <c r="L57" s="336"/>
      <c r="M57" s="336"/>
      <c r="N57" s="336"/>
      <c r="O57" s="337"/>
      <c r="P57" s="335"/>
      <c r="Q57" s="336"/>
      <c r="R57" s="336"/>
      <c r="S57" s="336"/>
      <c r="T57" s="336"/>
      <c r="U57" s="337"/>
      <c r="V57" s="335"/>
      <c r="W57" s="336"/>
      <c r="X57" s="336"/>
      <c r="Y57" s="336"/>
      <c r="Z57" s="336"/>
      <c r="AA57" s="337"/>
      <c r="AB57" s="335"/>
      <c r="AC57" s="336"/>
      <c r="AD57" s="336"/>
      <c r="AE57" s="336"/>
      <c r="AF57" s="336"/>
      <c r="AG57" s="337"/>
      <c r="AH57" s="335"/>
      <c r="AI57" s="336"/>
      <c r="AJ57" s="336"/>
      <c r="AK57" s="336"/>
      <c r="AL57" s="336"/>
      <c r="AM57" s="337"/>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row>
    <row r="58" spans="1:80" x14ac:dyDescent="0.25">
      <c r="A58" s="94"/>
      <c r="B58" s="94"/>
      <c r="C58" s="94"/>
      <c r="D58" s="94"/>
      <c r="E58" s="94"/>
      <c r="F58" s="94"/>
      <c r="G58" s="94"/>
      <c r="H58" s="94"/>
      <c r="I58" s="94"/>
      <c r="J58" s="335"/>
      <c r="K58" s="336"/>
      <c r="L58" s="336"/>
      <c r="M58" s="336"/>
      <c r="N58" s="336"/>
      <c r="O58" s="337"/>
      <c r="P58" s="335"/>
      <c r="Q58" s="336"/>
      <c r="R58" s="336"/>
      <c r="S58" s="336"/>
      <c r="T58" s="336"/>
      <c r="U58" s="337"/>
      <c r="V58" s="335"/>
      <c r="W58" s="336"/>
      <c r="X58" s="336"/>
      <c r="Y58" s="336"/>
      <c r="Z58" s="336"/>
      <c r="AA58" s="337"/>
      <c r="AB58" s="335"/>
      <c r="AC58" s="336"/>
      <c r="AD58" s="336"/>
      <c r="AE58" s="336"/>
      <c r="AF58" s="336"/>
      <c r="AG58" s="337"/>
      <c r="AH58" s="335"/>
      <c r="AI58" s="336"/>
      <c r="AJ58" s="336"/>
      <c r="AK58" s="336"/>
      <c r="AL58" s="336"/>
      <c r="AM58" s="337"/>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row>
    <row r="59" spans="1:80" x14ac:dyDescent="0.25">
      <c r="A59" s="94"/>
      <c r="B59" s="94"/>
      <c r="C59" s="94"/>
      <c r="D59" s="94"/>
      <c r="E59" s="94"/>
      <c r="F59" s="94"/>
      <c r="G59" s="94"/>
      <c r="H59" s="94"/>
      <c r="I59" s="94"/>
      <c r="J59" s="335"/>
      <c r="K59" s="336"/>
      <c r="L59" s="336"/>
      <c r="M59" s="336"/>
      <c r="N59" s="336"/>
      <c r="O59" s="337"/>
      <c r="P59" s="335"/>
      <c r="Q59" s="336"/>
      <c r="R59" s="336"/>
      <c r="S59" s="336"/>
      <c r="T59" s="336"/>
      <c r="U59" s="337"/>
      <c r="V59" s="335"/>
      <c r="W59" s="336"/>
      <c r="X59" s="336"/>
      <c r="Y59" s="336"/>
      <c r="Z59" s="336"/>
      <c r="AA59" s="337"/>
      <c r="AB59" s="335"/>
      <c r="AC59" s="336"/>
      <c r="AD59" s="336"/>
      <c r="AE59" s="336"/>
      <c r="AF59" s="336"/>
      <c r="AG59" s="337"/>
      <c r="AH59" s="335"/>
      <c r="AI59" s="336"/>
      <c r="AJ59" s="336"/>
      <c r="AK59" s="336"/>
      <c r="AL59" s="336"/>
      <c r="AM59" s="337"/>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row>
    <row r="60" spans="1:80" x14ac:dyDescent="0.25">
      <c r="A60" s="94"/>
      <c r="B60" s="94"/>
      <c r="C60" s="94"/>
      <c r="D60" s="94"/>
      <c r="E60" s="94"/>
      <c r="F60" s="94"/>
      <c r="G60" s="94"/>
      <c r="H60" s="94"/>
      <c r="I60" s="94"/>
      <c r="J60" s="335"/>
      <c r="K60" s="336"/>
      <c r="L60" s="336"/>
      <c r="M60" s="336"/>
      <c r="N60" s="336"/>
      <c r="O60" s="337"/>
      <c r="P60" s="335"/>
      <c r="Q60" s="336"/>
      <c r="R60" s="336"/>
      <c r="S60" s="336"/>
      <c r="T60" s="336"/>
      <c r="U60" s="337"/>
      <c r="V60" s="335"/>
      <c r="W60" s="336"/>
      <c r="X60" s="336"/>
      <c r="Y60" s="336"/>
      <c r="Z60" s="336"/>
      <c r="AA60" s="337"/>
      <c r="AB60" s="335"/>
      <c r="AC60" s="336"/>
      <c r="AD60" s="336"/>
      <c r="AE60" s="336"/>
      <c r="AF60" s="336"/>
      <c r="AG60" s="337"/>
      <c r="AH60" s="335"/>
      <c r="AI60" s="336"/>
      <c r="AJ60" s="336"/>
      <c r="AK60" s="336"/>
      <c r="AL60" s="336"/>
      <c r="AM60" s="337"/>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row>
    <row r="61" spans="1:80" ht="15.75" thickBot="1" x14ac:dyDescent="0.3">
      <c r="A61" s="94"/>
      <c r="B61" s="94"/>
      <c r="C61" s="94"/>
      <c r="D61" s="94"/>
      <c r="E61" s="94"/>
      <c r="F61" s="94"/>
      <c r="G61" s="94"/>
      <c r="H61" s="94"/>
      <c r="I61" s="94"/>
      <c r="J61" s="338"/>
      <c r="K61" s="339"/>
      <c r="L61" s="339"/>
      <c r="M61" s="339"/>
      <c r="N61" s="339"/>
      <c r="O61" s="340"/>
      <c r="P61" s="338"/>
      <c r="Q61" s="339"/>
      <c r="R61" s="339"/>
      <c r="S61" s="339"/>
      <c r="T61" s="339"/>
      <c r="U61" s="340"/>
      <c r="V61" s="338"/>
      <c r="W61" s="339"/>
      <c r="X61" s="339"/>
      <c r="Y61" s="339"/>
      <c r="Z61" s="339"/>
      <c r="AA61" s="340"/>
      <c r="AB61" s="338"/>
      <c r="AC61" s="339"/>
      <c r="AD61" s="339"/>
      <c r="AE61" s="339"/>
      <c r="AF61" s="339"/>
      <c r="AG61" s="340"/>
      <c r="AH61" s="338"/>
      <c r="AI61" s="339"/>
      <c r="AJ61" s="339"/>
      <c r="AK61" s="339"/>
      <c r="AL61" s="339"/>
      <c r="AM61" s="340"/>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row>
    <row r="62" spans="1:80"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row>
    <row r="63" spans="1:80" ht="15" customHeight="1" x14ac:dyDescent="0.25">
      <c r="A63" s="94"/>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4"/>
      <c r="AV63" s="94"/>
      <c r="AW63" s="94"/>
      <c r="AX63" s="94"/>
      <c r="AY63" s="94"/>
      <c r="AZ63" s="94"/>
      <c r="BA63" s="94"/>
      <c r="BB63" s="94"/>
      <c r="BC63" s="94"/>
      <c r="BD63" s="94"/>
      <c r="BE63" s="94"/>
      <c r="BF63" s="94"/>
      <c r="BG63" s="94"/>
      <c r="BH63" s="94"/>
    </row>
    <row r="64" spans="1:80" ht="15" customHeight="1" x14ac:dyDescent="0.25">
      <c r="A64" s="94"/>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4"/>
      <c r="AV64" s="94"/>
      <c r="AW64" s="94"/>
      <c r="AX64" s="94"/>
      <c r="AY64" s="94"/>
      <c r="AZ64" s="94"/>
      <c r="BA64" s="94"/>
      <c r="BB64" s="94"/>
      <c r="BC64" s="94"/>
      <c r="BD64" s="94"/>
      <c r="BE64" s="94"/>
      <c r="BF64" s="94"/>
      <c r="BG64" s="94"/>
      <c r="BH64" s="94"/>
    </row>
    <row r="65" spans="1:60"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row>
    <row r="66" spans="1:60"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row>
    <row r="67" spans="1:60"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row>
    <row r="68" spans="1:60"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row>
    <row r="69" spans="1:60"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row>
    <row r="70" spans="1:60"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row>
    <row r="71" spans="1:60"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row>
    <row r="72" spans="1:60"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row>
    <row r="73" spans="1:60"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row>
    <row r="74" spans="1:60"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row>
    <row r="75" spans="1:60"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row>
    <row r="76" spans="1:60"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row>
    <row r="77" spans="1:60"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row>
    <row r="78" spans="1:60"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row>
    <row r="79" spans="1:60"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row>
    <row r="80" spans="1:60"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row>
    <row r="81" spans="1:60"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row>
    <row r="82" spans="1:60"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row>
    <row r="83" spans="1:60"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row>
    <row r="84" spans="1:60"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row>
    <row r="85" spans="1:60"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row>
    <row r="86" spans="1:60"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row>
    <row r="87" spans="1:60"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row>
    <row r="88" spans="1:60"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row>
    <row r="89" spans="1:60"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row>
    <row r="90" spans="1:60"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row>
    <row r="91" spans="1:60" x14ac:dyDescent="0.2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row>
    <row r="92" spans="1:60" x14ac:dyDescent="0.2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row>
    <row r="93" spans="1:60" x14ac:dyDescent="0.2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row>
    <row r="94" spans="1:60" x14ac:dyDescent="0.2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row>
    <row r="95" spans="1:60" x14ac:dyDescent="0.25">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row>
    <row r="96" spans="1:60" x14ac:dyDescent="0.2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row>
    <row r="97" spans="1:60"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row>
    <row r="98" spans="1:60" x14ac:dyDescent="0.2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row>
    <row r="99" spans="1:60" x14ac:dyDescent="0.2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row>
    <row r="100" spans="1:60" x14ac:dyDescent="0.25">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row>
    <row r="101" spans="1:60" x14ac:dyDescent="0.2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row>
    <row r="102" spans="1:60" x14ac:dyDescent="0.2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row>
    <row r="103" spans="1:60"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row>
    <row r="104" spans="1:60" x14ac:dyDescent="0.25">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row>
    <row r="105" spans="1:60" x14ac:dyDescent="0.2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row>
    <row r="106" spans="1:60" x14ac:dyDescent="0.25">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row>
    <row r="107" spans="1:60" x14ac:dyDescent="0.25">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row>
    <row r="108" spans="1:60" x14ac:dyDescent="0.25">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row>
    <row r="109" spans="1:60" x14ac:dyDescent="0.25">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row>
    <row r="110" spans="1:60" x14ac:dyDescent="0.25">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row>
    <row r="111" spans="1:60"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row>
    <row r="112" spans="1:60" x14ac:dyDescent="0.25">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row>
    <row r="113" spans="1:60" x14ac:dyDescent="0.25">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row>
    <row r="114" spans="1:60" x14ac:dyDescent="0.25">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row>
    <row r="115" spans="1:60" x14ac:dyDescent="0.2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row>
    <row r="116" spans="1:60" x14ac:dyDescent="0.25">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row>
    <row r="117" spans="1:60" x14ac:dyDescent="0.25">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row>
    <row r="118" spans="1:60" x14ac:dyDescent="0.25">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row>
    <row r="119" spans="1:60" x14ac:dyDescent="0.25">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row>
    <row r="120" spans="1:60" x14ac:dyDescent="0.25">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row>
    <row r="121" spans="1:60" x14ac:dyDescent="0.25">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row>
    <row r="122" spans="1:60" x14ac:dyDescent="0.2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row>
    <row r="123" spans="1:60" x14ac:dyDescent="0.25">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row>
    <row r="124" spans="1:60" x14ac:dyDescent="0.25">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row>
    <row r="125" spans="1:60" x14ac:dyDescent="0.25">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row>
    <row r="126" spans="1:60" x14ac:dyDescent="0.25">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row>
    <row r="127" spans="1:60" x14ac:dyDescent="0.2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row>
    <row r="128" spans="1:60" x14ac:dyDescent="0.25">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row>
    <row r="129" spans="1:60" x14ac:dyDescent="0.2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row>
    <row r="130" spans="1:60" x14ac:dyDescent="0.2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row>
    <row r="131" spans="1:60" x14ac:dyDescent="0.2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row>
    <row r="132" spans="1:60" x14ac:dyDescent="0.2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row>
    <row r="133" spans="1:60" x14ac:dyDescent="0.25">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row>
    <row r="134" spans="1:60" x14ac:dyDescent="0.25">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94"/>
      <c r="BH134" s="94"/>
    </row>
    <row r="135" spans="1:60" x14ac:dyDescent="0.2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row>
    <row r="136" spans="1:60" x14ac:dyDescent="0.2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row>
    <row r="137" spans="1:60" x14ac:dyDescent="0.25">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row>
    <row r="138" spans="1:60" x14ac:dyDescent="0.25">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row>
    <row r="139" spans="1:60" x14ac:dyDescent="0.25">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row>
    <row r="140" spans="1:60" x14ac:dyDescent="0.25">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row>
    <row r="141" spans="1:60" x14ac:dyDescent="0.25">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row>
    <row r="142" spans="1:60" x14ac:dyDescent="0.25">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row>
    <row r="143" spans="1:60" x14ac:dyDescent="0.25">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row>
    <row r="144" spans="1:60" x14ac:dyDescent="0.2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row>
    <row r="145" spans="1:60" x14ac:dyDescent="0.25">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row>
    <row r="146" spans="1:60" x14ac:dyDescent="0.25">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row>
    <row r="147" spans="1:60" x14ac:dyDescent="0.25">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row>
    <row r="148" spans="1:60" x14ac:dyDescent="0.25">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row>
    <row r="149" spans="1:60" x14ac:dyDescent="0.25">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row>
    <row r="150" spans="1:60" x14ac:dyDescent="0.25">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row>
    <row r="151" spans="1:60" x14ac:dyDescent="0.25">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row>
    <row r="152" spans="1:60" x14ac:dyDescent="0.25">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row>
    <row r="153" spans="1:60" x14ac:dyDescent="0.25">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row>
    <row r="154" spans="1:60" x14ac:dyDescent="0.25">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row>
    <row r="155" spans="1:60" x14ac:dyDescent="0.25">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row>
    <row r="156" spans="1:60" x14ac:dyDescent="0.25">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row>
    <row r="157" spans="1:60" x14ac:dyDescent="0.25">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row>
    <row r="158" spans="1:60" x14ac:dyDescent="0.25">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row>
    <row r="159" spans="1:60" x14ac:dyDescent="0.25">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row>
    <row r="160" spans="1:60" x14ac:dyDescent="0.25">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row>
    <row r="161" spans="1:60" x14ac:dyDescent="0.25">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row>
    <row r="162" spans="1:60" x14ac:dyDescent="0.25">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row>
    <row r="163" spans="1:60" x14ac:dyDescent="0.25">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row>
    <row r="164" spans="1:60" x14ac:dyDescent="0.25">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row>
    <row r="165" spans="1:60" x14ac:dyDescent="0.25">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row>
    <row r="166" spans="1:60" x14ac:dyDescent="0.25">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row>
    <row r="167" spans="1:60" x14ac:dyDescent="0.25">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row>
    <row r="168" spans="1:60" x14ac:dyDescent="0.25">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row>
    <row r="169" spans="1:60" x14ac:dyDescent="0.25">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row>
    <row r="170" spans="1:60" x14ac:dyDescent="0.25">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row>
    <row r="171" spans="1:60" x14ac:dyDescent="0.25">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row>
    <row r="172" spans="1:60" x14ac:dyDescent="0.25">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row>
    <row r="173" spans="1:60" x14ac:dyDescent="0.25">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row>
    <row r="174" spans="1:60" x14ac:dyDescent="0.25">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row>
    <row r="175" spans="1:60" x14ac:dyDescent="0.25">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row>
    <row r="176" spans="1:60" x14ac:dyDescent="0.25">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row>
    <row r="177" spans="1:60" x14ac:dyDescent="0.25">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row>
    <row r="178" spans="1:60" x14ac:dyDescent="0.25">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row>
    <row r="179" spans="1:60" x14ac:dyDescent="0.25">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row>
    <row r="180" spans="1:60" x14ac:dyDescent="0.25">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row>
    <row r="181" spans="1:60" x14ac:dyDescent="0.25">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row>
    <row r="182" spans="1:60" x14ac:dyDescent="0.25">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row>
    <row r="183" spans="1:60" x14ac:dyDescent="0.25">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row>
    <row r="184" spans="1:60" x14ac:dyDescent="0.25">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row>
    <row r="185" spans="1:60" x14ac:dyDescent="0.25">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row>
    <row r="186" spans="1:60" x14ac:dyDescent="0.25">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row>
    <row r="187" spans="1:60" x14ac:dyDescent="0.25">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row>
    <row r="188" spans="1:60" x14ac:dyDescent="0.25">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row>
    <row r="189" spans="1:60" x14ac:dyDescent="0.25">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row>
    <row r="190" spans="1:60" x14ac:dyDescent="0.25">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row>
    <row r="191" spans="1:60" x14ac:dyDescent="0.25">
      <c r="A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row>
    <row r="192" spans="1:60" x14ac:dyDescent="0.25">
      <c r="A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row>
    <row r="193" spans="1:60" x14ac:dyDescent="0.25">
      <c r="A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row>
    <row r="194" spans="1:60" x14ac:dyDescent="0.25">
      <c r="A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row>
    <row r="195" spans="1:60" x14ac:dyDescent="0.25">
      <c r="A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row>
    <row r="196" spans="1:60" x14ac:dyDescent="0.25">
      <c r="A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row>
    <row r="197" spans="1:60" x14ac:dyDescent="0.25">
      <c r="A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c r="BB197" s="94"/>
      <c r="BC197" s="94"/>
      <c r="BD197" s="94"/>
      <c r="BE197" s="94"/>
      <c r="BF197" s="94"/>
      <c r="BG197" s="94"/>
      <c r="BH197" s="94"/>
    </row>
    <row r="198" spans="1:60" x14ac:dyDescent="0.25">
      <c r="A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row>
    <row r="199" spans="1:60" x14ac:dyDescent="0.25">
      <c r="A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c r="BB199" s="94"/>
      <c r="BC199" s="94"/>
      <c r="BD199" s="94"/>
      <c r="BE199" s="94"/>
      <c r="BF199" s="94"/>
      <c r="BG199" s="94"/>
      <c r="BH199" s="94"/>
    </row>
    <row r="200" spans="1:60" x14ac:dyDescent="0.25">
      <c r="A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row>
    <row r="201" spans="1:60" x14ac:dyDescent="0.25">
      <c r="A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row>
    <row r="202" spans="1:60" x14ac:dyDescent="0.25">
      <c r="A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row>
    <row r="203" spans="1:60" x14ac:dyDescent="0.25">
      <c r="A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row>
    <row r="204" spans="1:60" x14ac:dyDescent="0.25">
      <c r="A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row>
    <row r="205" spans="1:60" x14ac:dyDescent="0.25">
      <c r="A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row>
    <row r="206" spans="1:60" x14ac:dyDescent="0.25">
      <c r="A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row>
    <row r="207" spans="1:60" x14ac:dyDescent="0.25">
      <c r="A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row>
    <row r="208" spans="1:60" x14ac:dyDescent="0.25">
      <c r="A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row>
    <row r="209" spans="1:60" x14ac:dyDescent="0.25">
      <c r="A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c r="AY209" s="94"/>
      <c r="AZ209" s="94"/>
      <c r="BA209" s="94"/>
      <c r="BB209" s="94"/>
      <c r="BC209" s="94"/>
      <c r="BD209" s="94"/>
      <c r="BE209" s="94"/>
      <c r="BF209" s="94"/>
      <c r="BG209" s="94"/>
      <c r="BH209" s="94"/>
    </row>
    <row r="210" spans="1:60" x14ac:dyDescent="0.25">
      <c r="A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row>
    <row r="211" spans="1:60" x14ac:dyDescent="0.25">
      <c r="A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c r="AG211" s="94"/>
      <c r="AH211" s="94"/>
      <c r="AI211" s="94"/>
      <c r="AJ211" s="94"/>
      <c r="AK211" s="94"/>
      <c r="AL211" s="94"/>
      <c r="AM211" s="94"/>
      <c r="AN211" s="94"/>
      <c r="AO211" s="94"/>
      <c r="AP211" s="94"/>
      <c r="AQ211" s="94"/>
      <c r="AR211" s="94"/>
      <c r="AS211" s="94"/>
      <c r="AT211" s="94"/>
      <c r="AU211" s="94"/>
      <c r="AV211" s="94"/>
      <c r="AW211" s="94"/>
      <c r="AX211" s="94"/>
      <c r="AY211" s="94"/>
      <c r="AZ211" s="94"/>
      <c r="BA211" s="94"/>
      <c r="BB211" s="94"/>
      <c r="BC211" s="94"/>
      <c r="BD211" s="94"/>
      <c r="BE211" s="94"/>
      <c r="BF211" s="94"/>
      <c r="BG211" s="94"/>
      <c r="BH211" s="94"/>
    </row>
    <row r="212" spans="1:60" x14ac:dyDescent="0.25">
      <c r="A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row>
    <row r="213" spans="1:60" x14ac:dyDescent="0.25">
      <c r="A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row>
    <row r="214" spans="1:60" x14ac:dyDescent="0.25">
      <c r="A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c r="AG214" s="94"/>
      <c r="AH214" s="94"/>
      <c r="AI214" s="94"/>
      <c r="AJ214" s="94"/>
      <c r="AK214" s="94"/>
      <c r="AL214" s="94"/>
      <c r="AM214" s="94"/>
      <c r="AN214" s="94"/>
      <c r="AO214" s="94"/>
      <c r="AP214" s="94"/>
      <c r="AQ214" s="94"/>
      <c r="AR214" s="94"/>
      <c r="AS214" s="94"/>
      <c r="AT214" s="94"/>
      <c r="AU214" s="94"/>
      <c r="AV214" s="94"/>
      <c r="AW214" s="94"/>
      <c r="AX214" s="94"/>
      <c r="AY214" s="94"/>
      <c r="AZ214" s="94"/>
      <c r="BA214" s="94"/>
      <c r="BB214" s="94"/>
      <c r="BC214" s="94"/>
      <c r="BD214" s="94"/>
      <c r="BE214" s="94"/>
      <c r="BF214" s="94"/>
      <c r="BG214" s="94"/>
      <c r="BH214" s="94"/>
    </row>
    <row r="215" spans="1:60" x14ac:dyDescent="0.25">
      <c r="A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c r="AG215" s="94"/>
      <c r="AH215" s="94"/>
      <c r="AI215" s="94"/>
      <c r="AJ215" s="94"/>
      <c r="AK215" s="94"/>
      <c r="AL215" s="94"/>
      <c r="AM215" s="94"/>
      <c r="AN215" s="94"/>
      <c r="AO215" s="94"/>
      <c r="AP215" s="94"/>
      <c r="AQ215" s="94"/>
      <c r="AR215" s="94"/>
      <c r="AS215" s="94"/>
      <c r="AT215" s="94"/>
      <c r="AU215" s="94"/>
      <c r="AV215" s="94"/>
      <c r="AW215" s="94"/>
      <c r="AX215" s="94"/>
      <c r="AY215" s="94"/>
      <c r="AZ215" s="94"/>
      <c r="BA215" s="94"/>
      <c r="BB215" s="94"/>
      <c r="BC215" s="94"/>
      <c r="BD215" s="94"/>
      <c r="BE215" s="94"/>
      <c r="BF215" s="94"/>
      <c r="BG215" s="94"/>
      <c r="BH215" s="94"/>
    </row>
    <row r="216" spans="1:60" x14ac:dyDescent="0.25">
      <c r="A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row>
    <row r="217" spans="1:60" x14ac:dyDescent="0.25">
      <c r="A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4"/>
      <c r="AZ217" s="94"/>
      <c r="BA217" s="94"/>
      <c r="BB217" s="94"/>
      <c r="BC217" s="94"/>
      <c r="BD217" s="94"/>
      <c r="BE217" s="94"/>
      <c r="BF217" s="94"/>
      <c r="BG217" s="94"/>
      <c r="BH217" s="94"/>
    </row>
    <row r="218" spans="1:60" x14ac:dyDescent="0.25">
      <c r="A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row>
    <row r="219" spans="1:60" x14ac:dyDescent="0.25">
      <c r="A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row>
    <row r="220" spans="1:60" x14ac:dyDescent="0.25">
      <c r="A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c r="AQ220" s="94"/>
      <c r="AR220" s="94"/>
      <c r="AS220" s="94"/>
      <c r="AT220" s="94"/>
      <c r="AU220" s="94"/>
      <c r="AV220" s="94"/>
      <c r="AW220" s="94"/>
      <c r="AX220" s="94"/>
      <c r="AY220" s="94"/>
      <c r="AZ220" s="94"/>
      <c r="BA220" s="94"/>
      <c r="BB220" s="94"/>
      <c r="BC220" s="94"/>
      <c r="BD220" s="94"/>
      <c r="BE220" s="94"/>
      <c r="BF220" s="94"/>
      <c r="BG220" s="94"/>
      <c r="BH220" s="94"/>
    </row>
    <row r="221" spans="1:60" x14ac:dyDescent="0.25">
      <c r="A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94"/>
      <c r="BF221" s="94"/>
      <c r="BG221" s="94"/>
      <c r="BH221" s="94"/>
    </row>
    <row r="222" spans="1:60" x14ac:dyDescent="0.25">
      <c r="A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row>
    <row r="223" spans="1:60" x14ac:dyDescent="0.25">
      <c r="A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4"/>
      <c r="AJ223" s="94"/>
      <c r="AK223" s="94"/>
      <c r="AL223" s="94"/>
      <c r="AM223" s="94"/>
      <c r="AN223" s="94"/>
      <c r="AO223" s="94"/>
      <c r="AP223" s="94"/>
      <c r="AQ223" s="94"/>
      <c r="AR223" s="94"/>
      <c r="AS223" s="94"/>
      <c r="AT223" s="94"/>
      <c r="AU223" s="94"/>
      <c r="AV223" s="94"/>
      <c r="AW223" s="94"/>
      <c r="AX223" s="94"/>
      <c r="AY223" s="94"/>
      <c r="AZ223" s="94"/>
      <c r="BA223" s="94"/>
      <c r="BB223" s="94"/>
      <c r="BC223" s="94"/>
      <c r="BD223" s="94"/>
      <c r="BE223" s="94"/>
      <c r="BF223" s="94"/>
      <c r="BG223" s="94"/>
      <c r="BH223" s="94"/>
    </row>
    <row r="224" spans="1:60" x14ac:dyDescent="0.25">
      <c r="A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4"/>
      <c r="AJ224" s="94"/>
      <c r="AK224" s="94"/>
      <c r="AL224" s="94"/>
      <c r="AM224" s="94"/>
      <c r="AN224" s="94"/>
      <c r="AO224" s="94"/>
      <c r="AP224" s="94"/>
      <c r="AQ224" s="94"/>
      <c r="AR224" s="94"/>
      <c r="AS224" s="94"/>
      <c r="AT224" s="94"/>
      <c r="AU224" s="94"/>
      <c r="AV224" s="94"/>
      <c r="AW224" s="94"/>
      <c r="AX224" s="94"/>
      <c r="AY224" s="94"/>
      <c r="AZ224" s="94"/>
      <c r="BA224" s="94"/>
      <c r="BB224" s="94"/>
      <c r="BC224" s="94"/>
      <c r="BD224" s="94"/>
      <c r="BE224" s="94"/>
      <c r="BF224" s="94"/>
      <c r="BG224" s="94"/>
      <c r="BH224" s="94"/>
    </row>
    <row r="225" spans="1:60" x14ac:dyDescent="0.25">
      <c r="A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4"/>
      <c r="AK225" s="94"/>
      <c r="AL225" s="94"/>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row>
    <row r="226" spans="1:60" x14ac:dyDescent="0.25">
      <c r="A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4"/>
      <c r="AK226" s="94"/>
      <c r="AL226" s="94"/>
      <c r="AM226" s="94"/>
      <c r="AN226" s="94"/>
      <c r="AO226" s="94"/>
      <c r="AP226" s="94"/>
      <c r="AQ226" s="94"/>
      <c r="AR226" s="94"/>
      <c r="AS226" s="94"/>
      <c r="AT226" s="94"/>
      <c r="AU226" s="94"/>
      <c r="AV226" s="94"/>
      <c r="AW226" s="94"/>
      <c r="AX226" s="94"/>
      <c r="AY226" s="94"/>
      <c r="AZ226" s="94"/>
      <c r="BA226" s="94"/>
      <c r="BB226" s="94"/>
      <c r="BC226" s="94"/>
      <c r="BD226" s="94"/>
      <c r="BE226" s="94"/>
      <c r="BF226" s="94"/>
      <c r="BG226" s="94"/>
      <c r="BH226" s="94"/>
    </row>
    <row r="227" spans="1:60" x14ac:dyDescent="0.25">
      <c r="A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c r="AG227" s="94"/>
      <c r="AH227" s="94"/>
      <c r="AI227" s="94"/>
      <c r="AJ227" s="94"/>
      <c r="AK227" s="94"/>
      <c r="AL227" s="94"/>
      <c r="AM227" s="94"/>
      <c r="AN227" s="94"/>
      <c r="AO227" s="94"/>
      <c r="AP227" s="94"/>
      <c r="AQ227" s="94"/>
      <c r="AR227" s="94"/>
      <c r="AS227" s="94"/>
      <c r="AT227" s="94"/>
      <c r="AU227" s="94"/>
      <c r="AV227" s="94"/>
      <c r="AW227" s="94"/>
      <c r="AX227" s="94"/>
      <c r="AY227" s="94"/>
      <c r="AZ227" s="94"/>
      <c r="BA227" s="94"/>
      <c r="BB227" s="94"/>
      <c r="BC227" s="94"/>
      <c r="BD227" s="94"/>
      <c r="BE227" s="94"/>
      <c r="BF227" s="94"/>
      <c r="BG227" s="94"/>
      <c r="BH227" s="94"/>
    </row>
    <row r="228" spans="1:60" x14ac:dyDescent="0.25">
      <c r="A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c r="AG228" s="94"/>
      <c r="AH228" s="94"/>
      <c r="AI228" s="94"/>
      <c r="AJ228" s="94"/>
      <c r="AK228" s="94"/>
      <c r="AL228" s="94"/>
      <c r="AM228" s="94"/>
      <c r="AN228" s="94"/>
      <c r="AO228" s="94"/>
      <c r="AP228" s="94"/>
      <c r="AQ228" s="94"/>
      <c r="AR228" s="94"/>
      <c r="AS228" s="94"/>
      <c r="AT228" s="94"/>
      <c r="AU228" s="94"/>
      <c r="AV228" s="94"/>
      <c r="AW228" s="94"/>
      <c r="AX228" s="94"/>
      <c r="AY228" s="94"/>
      <c r="AZ228" s="94"/>
      <c r="BA228" s="94"/>
      <c r="BB228" s="94"/>
      <c r="BC228" s="94"/>
      <c r="BD228" s="94"/>
      <c r="BE228" s="94"/>
      <c r="BF228" s="94"/>
      <c r="BG228" s="94"/>
      <c r="BH228" s="94"/>
    </row>
    <row r="229" spans="1:60" x14ac:dyDescent="0.25">
      <c r="A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c r="AI229" s="94"/>
      <c r="AJ229" s="94"/>
      <c r="AK229" s="94"/>
      <c r="AL229" s="94"/>
      <c r="AM229" s="94"/>
      <c r="AN229" s="94"/>
      <c r="AO229" s="94"/>
      <c r="AP229" s="94"/>
      <c r="AQ229" s="94"/>
      <c r="AR229" s="94"/>
      <c r="AS229" s="94"/>
      <c r="AT229" s="94"/>
      <c r="AU229" s="94"/>
      <c r="AV229" s="94"/>
      <c r="AW229" s="94"/>
      <c r="AX229" s="94"/>
      <c r="AY229" s="94"/>
      <c r="AZ229" s="94"/>
      <c r="BA229" s="94"/>
      <c r="BB229" s="94"/>
      <c r="BC229" s="94"/>
      <c r="BD229" s="94"/>
      <c r="BE229" s="94"/>
      <c r="BF229" s="94"/>
      <c r="BG229" s="94"/>
      <c r="BH229" s="94"/>
    </row>
    <row r="230" spans="1:60" x14ac:dyDescent="0.25">
      <c r="A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c r="AI230" s="94"/>
      <c r="AJ230" s="94"/>
      <c r="AK230" s="94"/>
      <c r="AL230" s="94"/>
      <c r="AM230" s="94"/>
      <c r="AN230" s="94"/>
      <c r="AO230" s="94"/>
      <c r="AP230" s="94"/>
      <c r="AQ230" s="94"/>
      <c r="AR230" s="94"/>
      <c r="AS230" s="94"/>
      <c r="AT230" s="94"/>
      <c r="AU230" s="94"/>
      <c r="AV230" s="94"/>
      <c r="AW230" s="94"/>
      <c r="AX230" s="94"/>
      <c r="AY230" s="94"/>
      <c r="AZ230" s="94"/>
      <c r="BA230" s="94"/>
      <c r="BB230" s="94"/>
      <c r="BC230" s="94"/>
      <c r="BD230" s="94"/>
      <c r="BE230" s="94"/>
      <c r="BF230" s="94"/>
      <c r="BG230" s="94"/>
      <c r="BH230" s="94"/>
    </row>
    <row r="231" spans="1:60" x14ac:dyDescent="0.25">
      <c r="A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c r="AG231" s="94"/>
      <c r="AH231" s="94"/>
      <c r="AI231" s="94"/>
      <c r="AJ231" s="94"/>
      <c r="AK231" s="94"/>
      <c r="AL231" s="94"/>
      <c r="AM231" s="94"/>
      <c r="AN231" s="94"/>
      <c r="AO231" s="94"/>
      <c r="AP231" s="94"/>
      <c r="AQ231" s="94"/>
      <c r="AR231" s="94"/>
      <c r="AS231" s="94"/>
      <c r="AT231" s="94"/>
      <c r="AU231" s="94"/>
      <c r="AV231" s="94"/>
      <c r="AW231" s="94"/>
      <c r="AX231" s="94"/>
      <c r="AY231" s="94"/>
      <c r="AZ231" s="94"/>
      <c r="BA231" s="94"/>
      <c r="BB231" s="94"/>
      <c r="BC231" s="94"/>
      <c r="BD231" s="94"/>
      <c r="BE231" s="94"/>
      <c r="BF231" s="94"/>
      <c r="BG231" s="94"/>
      <c r="BH231" s="94"/>
    </row>
    <row r="232" spans="1:60" x14ac:dyDescent="0.25">
      <c r="A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F232" s="94"/>
      <c r="BG232" s="94"/>
      <c r="BH232" s="94"/>
    </row>
    <row r="233" spans="1:60" x14ac:dyDescent="0.25">
      <c r="A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4"/>
      <c r="AK233" s="94"/>
      <c r="AL233" s="94"/>
      <c r="AM233" s="94"/>
      <c r="AN233" s="94"/>
      <c r="AO233" s="94"/>
      <c r="AP233" s="94"/>
      <c r="AQ233" s="94"/>
      <c r="AR233" s="94"/>
      <c r="AS233" s="94"/>
      <c r="AT233" s="94"/>
      <c r="AU233" s="94"/>
      <c r="AV233" s="94"/>
      <c r="AW233" s="94"/>
      <c r="AX233" s="94"/>
      <c r="AY233" s="94"/>
      <c r="AZ233" s="94"/>
      <c r="BA233" s="94"/>
      <c r="BB233" s="94"/>
      <c r="BC233" s="94"/>
      <c r="BD233" s="94"/>
      <c r="BE233" s="94"/>
      <c r="BF233" s="94"/>
      <c r="BG233" s="94"/>
      <c r="BH233" s="94"/>
    </row>
    <row r="234" spans="1:60" x14ac:dyDescent="0.25">
      <c r="A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4"/>
      <c r="AL234" s="94"/>
      <c r="AM234" s="94"/>
      <c r="AN234" s="94"/>
      <c r="AO234" s="94"/>
      <c r="AP234" s="94"/>
      <c r="AQ234" s="94"/>
      <c r="AR234" s="94"/>
      <c r="AS234" s="94"/>
      <c r="AT234" s="94"/>
      <c r="AU234" s="94"/>
      <c r="AV234" s="94"/>
      <c r="AW234" s="94"/>
      <c r="AX234" s="94"/>
      <c r="AY234" s="94"/>
      <c r="AZ234" s="94"/>
      <c r="BA234" s="94"/>
      <c r="BB234" s="94"/>
      <c r="BC234" s="94"/>
      <c r="BD234" s="94"/>
      <c r="BE234" s="94"/>
      <c r="BF234" s="94"/>
      <c r="BG234" s="94"/>
      <c r="BH234" s="94"/>
    </row>
    <row r="235" spans="1:60" x14ac:dyDescent="0.25">
      <c r="A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4"/>
      <c r="AH235" s="94"/>
      <c r="AI235" s="94"/>
      <c r="AJ235" s="94"/>
      <c r="AK235" s="94"/>
      <c r="AL235" s="94"/>
      <c r="AM235" s="94"/>
      <c r="AN235" s="94"/>
      <c r="AO235" s="94"/>
      <c r="AP235" s="94"/>
      <c r="AQ235" s="94"/>
      <c r="AR235" s="94"/>
      <c r="AS235" s="94"/>
      <c r="AT235" s="94"/>
      <c r="AU235" s="94"/>
      <c r="AV235" s="94"/>
      <c r="AW235" s="94"/>
      <c r="AX235" s="94"/>
      <c r="AY235" s="94"/>
      <c r="AZ235" s="94"/>
      <c r="BA235" s="94"/>
      <c r="BB235" s="94"/>
      <c r="BC235" s="94"/>
      <c r="BD235" s="94"/>
      <c r="BE235" s="94"/>
      <c r="BF235" s="94"/>
      <c r="BG235" s="94"/>
      <c r="BH235" s="94"/>
    </row>
    <row r="236" spans="1:60" x14ac:dyDescent="0.25">
      <c r="A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c r="AG236" s="94"/>
      <c r="AH236" s="94"/>
      <c r="AI236" s="94"/>
      <c r="AJ236" s="94"/>
      <c r="AK236" s="94"/>
      <c r="AL236" s="94"/>
      <c r="AM236" s="94"/>
      <c r="AN236" s="94"/>
      <c r="AO236" s="94"/>
      <c r="AP236" s="94"/>
      <c r="AQ236" s="94"/>
      <c r="AR236" s="94"/>
      <c r="AS236" s="94"/>
      <c r="AT236" s="94"/>
      <c r="AU236" s="94"/>
      <c r="AV236" s="94"/>
      <c r="AW236" s="94"/>
      <c r="AX236" s="94"/>
      <c r="AY236" s="94"/>
      <c r="AZ236" s="94"/>
      <c r="BA236" s="94"/>
      <c r="BB236" s="94"/>
      <c r="BC236" s="94"/>
      <c r="BD236" s="94"/>
      <c r="BE236" s="94"/>
      <c r="BF236" s="94"/>
      <c r="BG236" s="94"/>
      <c r="BH236" s="94"/>
    </row>
    <row r="237" spans="1:60" x14ac:dyDescent="0.25">
      <c r="A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c r="AG237" s="94"/>
      <c r="AH237" s="94"/>
      <c r="AI237" s="94"/>
      <c r="AJ237" s="94"/>
      <c r="AK237" s="94"/>
      <c r="AL237" s="94"/>
      <c r="AM237" s="94"/>
      <c r="AN237" s="94"/>
      <c r="AO237" s="94"/>
      <c r="AP237" s="94"/>
      <c r="AQ237" s="94"/>
      <c r="AR237" s="94"/>
      <c r="AS237" s="94"/>
      <c r="AT237" s="94"/>
      <c r="AU237" s="94"/>
      <c r="AV237" s="94"/>
      <c r="AW237" s="94"/>
      <c r="AX237" s="94"/>
      <c r="AY237" s="94"/>
      <c r="AZ237" s="94"/>
      <c r="BA237" s="94"/>
      <c r="BB237" s="94"/>
      <c r="BC237" s="94"/>
      <c r="BD237" s="94"/>
      <c r="BE237" s="94"/>
      <c r="BF237" s="94"/>
      <c r="BG237" s="94"/>
      <c r="BH237" s="94"/>
    </row>
    <row r="238" spans="1:60" x14ac:dyDescent="0.25">
      <c r="A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c r="AG238" s="94"/>
      <c r="AH238" s="94"/>
      <c r="AI238" s="94"/>
      <c r="AJ238" s="94"/>
      <c r="AK238" s="94"/>
      <c r="AL238" s="94"/>
      <c r="AM238" s="94"/>
      <c r="AN238" s="94"/>
      <c r="AO238" s="94"/>
      <c r="AP238" s="94"/>
      <c r="AQ238" s="94"/>
      <c r="AR238" s="94"/>
      <c r="AS238" s="94"/>
      <c r="AT238" s="94"/>
      <c r="AU238" s="94"/>
      <c r="AV238" s="94"/>
      <c r="AW238" s="94"/>
      <c r="AX238" s="94"/>
      <c r="AY238" s="94"/>
      <c r="AZ238" s="94"/>
      <c r="BA238" s="94"/>
      <c r="BB238" s="94"/>
      <c r="BC238" s="94"/>
      <c r="BD238" s="94"/>
      <c r="BE238" s="94"/>
      <c r="BF238" s="94"/>
      <c r="BG238" s="94"/>
      <c r="BH238" s="94"/>
    </row>
    <row r="239" spans="1:60" x14ac:dyDescent="0.25">
      <c r="A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c r="AI239" s="94"/>
      <c r="AJ239" s="94"/>
      <c r="AK239" s="94"/>
      <c r="AL239" s="94"/>
      <c r="AM239" s="94"/>
      <c r="AN239" s="94"/>
      <c r="AO239" s="94"/>
      <c r="AP239" s="94"/>
      <c r="AQ239" s="94"/>
      <c r="AR239" s="94"/>
      <c r="AS239" s="94"/>
      <c r="AT239" s="94"/>
      <c r="AU239" s="94"/>
      <c r="AV239" s="94"/>
      <c r="AW239" s="94"/>
      <c r="AX239" s="94"/>
      <c r="AY239" s="94"/>
      <c r="AZ239" s="94"/>
      <c r="BA239" s="94"/>
      <c r="BB239" s="94"/>
      <c r="BC239" s="94"/>
      <c r="BD239" s="94"/>
      <c r="BE239" s="94"/>
      <c r="BF239" s="94"/>
      <c r="BG239" s="94"/>
      <c r="BH239" s="94"/>
    </row>
    <row r="240" spans="1:60" x14ac:dyDescent="0.25">
      <c r="A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4"/>
      <c r="AJ240" s="94"/>
      <c r="AK240" s="94"/>
      <c r="AL240" s="94"/>
      <c r="AM240" s="94"/>
      <c r="AN240" s="94"/>
      <c r="AO240" s="94"/>
      <c r="AP240" s="94"/>
      <c r="AQ240" s="94"/>
      <c r="AR240" s="94"/>
      <c r="AS240" s="94"/>
      <c r="AT240" s="94"/>
      <c r="AU240" s="94"/>
      <c r="AV240" s="94"/>
      <c r="AW240" s="94"/>
      <c r="AX240" s="94"/>
      <c r="AY240" s="94"/>
      <c r="AZ240" s="94"/>
      <c r="BA240" s="94"/>
      <c r="BB240" s="94"/>
      <c r="BC240" s="94"/>
      <c r="BD240" s="94"/>
      <c r="BE240" s="94"/>
      <c r="BF240" s="94"/>
      <c r="BG240" s="94"/>
      <c r="BH240" s="94"/>
    </row>
    <row r="241" spans="1:60" x14ac:dyDescent="0.25">
      <c r="A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c r="AI241" s="94"/>
      <c r="AJ241" s="94"/>
      <c r="AK241" s="94"/>
      <c r="AL241" s="94"/>
      <c r="AM241" s="94"/>
      <c r="AN241" s="94"/>
      <c r="AO241" s="94"/>
      <c r="AP241" s="94"/>
      <c r="AQ241" s="94"/>
      <c r="AR241" s="94"/>
      <c r="AS241" s="94"/>
      <c r="AT241" s="94"/>
      <c r="AU241" s="94"/>
      <c r="AV241" s="94"/>
      <c r="AW241" s="94"/>
      <c r="AX241" s="94"/>
      <c r="AY241" s="94"/>
      <c r="AZ241" s="94"/>
      <c r="BA241" s="94"/>
      <c r="BB241" s="94"/>
      <c r="BC241" s="94"/>
      <c r="BD241" s="94"/>
      <c r="BE241" s="94"/>
      <c r="BF241" s="94"/>
      <c r="BG241" s="94"/>
      <c r="BH241" s="94"/>
    </row>
    <row r="242" spans="1:60" x14ac:dyDescent="0.25">
      <c r="A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4"/>
      <c r="AK242" s="94"/>
      <c r="AL242" s="94"/>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row>
    <row r="243" spans="1:60" x14ac:dyDescent="0.25">
      <c r="A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c r="AG243" s="94"/>
      <c r="AH243" s="94"/>
      <c r="AI243" s="94"/>
      <c r="AJ243" s="94"/>
      <c r="AK243" s="94"/>
      <c r="AL243" s="94"/>
      <c r="AM243" s="94"/>
      <c r="AN243" s="94"/>
      <c r="AO243" s="94"/>
      <c r="AP243" s="94"/>
      <c r="AQ243" s="94"/>
      <c r="AR243" s="94"/>
      <c r="AS243" s="94"/>
      <c r="AT243" s="94"/>
      <c r="AU243" s="94"/>
      <c r="AV243" s="94"/>
      <c r="AW243" s="94"/>
      <c r="AX243" s="94"/>
      <c r="AY243" s="94"/>
      <c r="AZ243" s="94"/>
      <c r="BA243" s="94"/>
      <c r="BB243" s="94"/>
      <c r="BC243" s="94"/>
      <c r="BD243" s="94"/>
      <c r="BE243" s="94"/>
      <c r="BF243" s="94"/>
      <c r="BG243" s="94"/>
      <c r="BH243" s="94"/>
    </row>
    <row r="244" spans="1:60" x14ac:dyDescent="0.25">
      <c r="A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4"/>
      <c r="AK244" s="94"/>
      <c r="AL244" s="94"/>
      <c r="AM244" s="94"/>
      <c r="AN244" s="94"/>
      <c r="AO244" s="94"/>
      <c r="AP244" s="94"/>
      <c r="AQ244" s="94"/>
      <c r="AR244" s="94"/>
      <c r="AS244" s="94"/>
      <c r="AT244" s="94"/>
      <c r="AU244" s="94"/>
      <c r="AV244" s="94"/>
      <c r="AW244" s="94"/>
      <c r="AX244" s="94"/>
      <c r="AY244" s="94"/>
      <c r="AZ244" s="94"/>
      <c r="BA244" s="94"/>
      <c r="BB244" s="94"/>
      <c r="BC244" s="94"/>
      <c r="BD244" s="94"/>
      <c r="BE244" s="94"/>
      <c r="BF244" s="94"/>
      <c r="BG244" s="94"/>
      <c r="BH244" s="94"/>
    </row>
    <row r="245" spans="1:60" x14ac:dyDescent="0.25">
      <c r="A245" s="94"/>
    </row>
    <row r="246" spans="1:60" x14ac:dyDescent="0.25">
      <c r="A246" s="94"/>
    </row>
    <row r="247" spans="1:60" x14ac:dyDescent="0.25">
      <c r="A247" s="94"/>
    </row>
    <row r="248" spans="1:60" x14ac:dyDescent="0.25">
      <c r="A248" s="94"/>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 zoomScale="90" zoomScaleNormal="90" workbookViewId="0">
      <selection activeCell="C3" sqref="C3"/>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4"/>
      <c r="B1" s="381" t="s">
        <v>55</v>
      </c>
      <c r="C1" s="381"/>
      <c r="D1" s="381"/>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37"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row>
    <row r="3" spans="1:37" ht="25.5" x14ac:dyDescent="0.25">
      <c r="A3" s="94"/>
      <c r="B3" s="11"/>
      <c r="C3" s="12" t="s">
        <v>52</v>
      </c>
      <c r="D3" s="12" t="s">
        <v>4</v>
      </c>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37" ht="51" x14ac:dyDescent="0.25">
      <c r="A4" s="94"/>
      <c r="B4" s="13" t="s">
        <v>51</v>
      </c>
      <c r="C4" s="14" t="s">
        <v>102</v>
      </c>
      <c r="D4" s="15">
        <v>0.2</v>
      </c>
      <c r="E4" s="94"/>
      <c r="F4" s="94"/>
      <c r="G4" s="94"/>
      <c r="H4" s="94"/>
      <c r="I4" s="94"/>
      <c r="J4" s="94"/>
      <c r="K4" s="94"/>
      <c r="L4" s="94"/>
      <c r="M4" s="94"/>
      <c r="N4" s="94"/>
      <c r="O4" s="94"/>
      <c r="P4" s="94"/>
      <c r="Q4" s="94"/>
      <c r="R4" s="94"/>
      <c r="S4" s="94"/>
      <c r="T4" s="94"/>
      <c r="U4" s="94"/>
      <c r="V4" s="94"/>
      <c r="W4" s="94"/>
      <c r="X4" s="94"/>
      <c r="Y4" s="94"/>
      <c r="Z4" s="94"/>
      <c r="AA4" s="94"/>
      <c r="AB4" s="94"/>
      <c r="AC4" s="94"/>
      <c r="AD4" s="94"/>
      <c r="AE4" s="94"/>
    </row>
    <row r="5" spans="1:37" ht="51" x14ac:dyDescent="0.25">
      <c r="A5" s="94"/>
      <c r="B5" s="16" t="s">
        <v>53</v>
      </c>
      <c r="C5" s="17" t="s">
        <v>103</v>
      </c>
      <c r="D5" s="18">
        <v>0.4</v>
      </c>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1:37" ht="51" x14ac:dyDescent="0.25">
      <c r="A6" s="94"/>
      <c r="B6" s="19" t="s">
        <v>107</v>
      </c>
      <c r="C6" s="17" t="s">
        <v>104</v>
      </c>
      <c r="D6" s="18">
        <v>0.6</v>
      </c>
      <c r="E6" s="94"/>
      <c r="F6" s="94"/>
      <c r="G6" s="94"/>
      <c r="H6" s="94"/>
      <c r="I6" s="94"/>
      <c r="J6" s="94"/>
      <c r="K6" s="94"/>
      <c r="L6" s="94"/>
      <c r="M6" s="94"/>
      <c r="N6" s="94"/>
      <c r="O6" s="94"/>
      <c r="P6" s="94"/>
      <c r="Q6" s="94"/>
      <c r="R6" s="94"/>
      <c r="S6" s="94"/>
      <c r="T6" s="94"/>
      <c r="U6" s="94"/>
      <c r="V6" s="94"/>
      <c r="W6" s="94"/>
      <c r="X6" s="94"/>
      <c r="Y6" s="94"/>
      <c r="Z6" s="94"/>
      <c r="AA6" s="94"/>
      <c r="AB6" s="94"/>
      <c r="AC6" s="94"/>
      <c r="AD6" s="94"/>
      <c r="AE6" s="94"/>
    </row>
    <row r="7" spans="1:37" ht="76.5" x14ac:dyDescent="0.25">
      <c r="A7" s="94"/>
      <c r="B7" s="20" t="s">
        <v>6</v>
      </c>
      <c r="C7" s="17" t="s">
        <v>105</v>
      </c>
      <c r="D7" s="18">
        <v>0.8</v>
      </c>
      <c r="E7" s="94"/>
      <c r="F7" s="94"/>
      <c r="G7" s="94"/>
      <c r="H7" s="94"/>
      <c r="I7" s="94"/>
      <c r="J7" s="94"/>
      <c r="K7" s="94"/>
      <c r="L7" s="94"/>
      <c r="M7" s="94"/>
      <c r="N7" s="94"/>
      <c r="O7" s="94"/>
      <c r="P7" s="94"/>
      <c r="Q7" s="94"/>
      <c r="R7" s="94"/>
      <c r="S7" s="94"/>
      <c r="T7" s="94"/>
      <c r="U7" s="94"/>
      <c r="V7" s="94"/>
      <c r="W7" s="94"/>
      <c r="X7" s="94"/>
      <c r="Y7" s="94"/>
      <c r="Z7" s="94"/>
      <c r="AA7" s="94"/>
      <c r="AB7" s="94"/>
      <c r="AC7" s="94"/>
      <c r="AD7" s="94"/>
      <c r="AE7" s="94"/>
    </row>
    <row r="8" spans="1:37" ht="51" x14ac:dyDescent="0.25">
      <c r="A8" s="94"/>
      <c r="B8" s="21" t="s">
        <v>54</v>
      </c>
      <c r="C8" s="17" t="s">
        <v>106</v>
      </c>
      <c r="D8" s="18">
        <v>1</v>
      </c>
      <c r="E8" s="94"/>
      <c r="F8" s="94"/>
      <c r="G8" s="94"/>
      <c r="H8" s="94"/>
      <c r="I8" s="94"/>
      <c r="J8" s="94"/>
      <c r="K8" s="94"/>
      <c r="L8" s="94"/>
      <c r="M8" s="94"/>
      <c r="N8" s="94"/>
      <c r="O8" s="94"/>
      <c r="P8" s="94"/>
      <c r="Q8" s="94"/>
      <c r="R8" s="94"/>
      <c r="S8" s="94"/>
      <c r="T8" s="94"/>
      <c r="U8" s="94"/>
      <c r="V8" s="94"/>
      <c r="W8" s="94"/>
      <c r="X8" s="94"/>
      <c r="Y8" s="94"/>
      <c r="Z8" s="94"/>
      <c r="AA8" s="94"/>
      <c r="AB8" s="94"/>
      <c r="AC8" s="94"/>
      <c r="AD8" s="94"/>
      <c r="AE8" s="94"/>
    </row>
    <row r="9" spans="1:37" x14ac:dyDescent="0.25">
      <c r="A9" s="94"/>
      <c r="B9" s="118"/>
      <c r="C9" s="118"/>
      <c r="D9" s="118"/>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row>
    <row r="10" spans="1:37" ht="16.5" x14ac:dyDescent="0.25">
      <c r="A10" s="94"/>
      <c r="B10" s="119"/>
      <c r="C10" s="118"/>
      <c r="D10" s="118"/>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row>
    <row r="11" spans="1:37" x14ac:dyDescent="0.25">
      <c r="A11" s="94"/>
      <c r="B11" s="118"/>
      <c r="C11" s="118"/>
      <c r="D11" s="118"/>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7" x14ac:dyDescent="0.25">
      <c r="A12" s="94"/>
      <c r="B12" s="118"/>
      <c r="C12" s="118"/>
      <c r="D12" s="118"/>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7" x14ac:dyDescent="0.25">
      <c r="A13" s="94"/>
      <c r="B13" s="118"/>
      <c r="C13" s="118"/>
      <c r="D13" s="118"/>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row>
    <row r="14" spans="1:37" x14ac:dyDescent="0.25">
      <c r="A14" s="94"/>
      <c r="B14" s="118"/>
      <c r="C14" s="118"/>
      <c r="D14" s="118"/>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row>
    <row r="15" spans="1:37" x14ac:dyDescent="0.25">
      <c r="A15" s="94"/>
      <c r="B15" s="118"/>
      <c r="C15" s="118"/>
      <c r="D15" s="118"/>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row>
    <row r="16" spans="1:37" x14ac:dyDescent="0.25">
      <c r="A16" s="94"/>
      <c r="B16" s="118"/>
      <c r="C16" s="118"/>
      <c r="D16" s="118"/>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row>
    <row r="17" spans="1:37" x14ac:dyDescent="0.25">
      <c r="A17" s="94"/>
      <c r="B17" s="118"/>
      <c r="C17" s="118"/>
      <c r="D17" s="118"/>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row>
    <row r="18" spans="1:37" x14ac:dyDescent="0.25">
      <c r="A18" s="94"/>
      <c r="B18" s="118"/>
      <c r="C18" s="118"/>
      <c r="D18" s="118"/>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row>
    <row r="19" spans="1:37" x14ac:dyDescent="0.2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row>
    <row r="20" spans="1:37" x14ac:dyDescent="0.2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row>
    <row r="21" spans="1:37" x14ac:dyDescent="0.25">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row>
    <row r="22" spans="1:37" x14ac:dyDescent="0.25">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row>
    <row r="23" spans="1:37" x14ac:dyDescent="0.25">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row>
    <row r="24" spans="1:37" x14ac:dyDescent="0.2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row>
    <row r="25" spans="1:37" x14ac:dyDescent="0.25">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row>
    <row r="26" spans="1:37" x14ac:dyDescent="0.2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row>
    <row r="27" spans="1:37" x14ac:dyDescent="0.2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row>
    <row r="28" spans="1:37" x14ac:dyDescent="0.2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row>
    <row r="29" spans="1:37" x14ac:dyDescent="0.2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row>
    <row r="30" spans="1:37" x14ac:dyDescent="0.2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1:37" x14ac:dyDescent="0.2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row r="32" spans="1:37" x14ac:dyDescent="0.2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row>
    <row r="33" spans="1:31" x14ac:dyDescent="0.25">
      <c r="A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row>
    <row r="34" spans="1:31" x14ac:dyDescent="0.25">
      <c r="A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row>
    <row r="35" spans="1:31" x14ac:dyDescent="0.25">
      <c r="A35" s="94"/>
    </row>
    <row r="36" spans="1:31" x14ac:dyDescent="0.25">
      <c r="A36" s="94"/>
    </row>
    <row r="37" spans="1:31" x14ac:dyDescent="0.25">
      <c r="A37" s="94"/>
    </row>
    <row r="38" spans="1:31" x14ac:dyDescent="0.25">
      <c r="A38" s="94"/>
    </row>
    <row r="39" spans="1:31" x14ac:dyDescent="0.25">
      <c r="A39" s="94"/>
    </row>
    <row r="40" spans="1:31" x14ac:dyDescent="0.25">
      <c r="A40" s="94"/>
    </row>
    <row r="41" spans="1:31" x14ac:dyDescent="0.25">
      <c r="A41" s="94"/>
    </row>
    <row r="42" spans="1:31" x14ac:dyDescent="0.25">
      <c r="A42" s="94"/>
    </row>
    <row r="43" spans="1:31" x14ac:dyDescent="0.25">
      <c r="A43" s="94"/>
    </row>
    <row r="44" spans="1:31" x14ac:dyDescent="0.25">
      <c r="A44" s="94"/>
    </row>
    <row r="45" spans="1:31" x14ac:dyDescent="0.25">
      <c r="A45" s="94"/>
    </row>
    <row r="46" spans="1:31" x14ac:dyDescent="0.25">
      <c r="A46" s="94"/>
    </row>
    <row r="47" spans="1:31" x14ac:dyDescent="0.25">
      <c r="A47" s="94"/>
    </row>
    <row r="48" spans="1:31" x14ac:dyDescent="0.25">
      <c r="A48" s="94"/>
    </row>
    <row r="49" spans="1:1" x14ac:dyDescent="0.25">
      <c r="A49" s="94"/>
    </row>
    <row r="50" spans="1:1" x14ac:dyDescent="0.25">
      <c r="A50" s="94"/>
    </row>
    <row r="51" spans="1:1" x14ac:dyDescent="0.25">
      <c r="A51" s="94"/>
    </row>
    <row r="52" spans="1:1" x14ac:dyDescent="0.25">
      <c r="A52" s="94"/>
    </row>
    <row r="53" spans="1:1" x14ac:dyDescent="0.25">
      <c r="A53" s="94"/>
    </row>
    <row r="54" spans="1:1" x14ac:dyDescent="0.25">
      <c r="A54" s="94"/>
    </row>
    <row r="55" spans="1:1" x14ac:dyDescent="0.25">
      <c r="A55" s="9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4"/>
      <c r="B1" s="382" t="s">
        <v>63</v>
      </c>
      <c r="C1" s="382"/>
      <c r="D1" s="382"/>
      <c r="E1" s="94"/>
      <c r="F1" s="94"/>
      <c r="G1" s="94"/>
      <c r="H1" s="94"/>
      <c r="I1" s="94"/>
      <c r="J1" s="94"/>
      <c r="K1" s="94"/>
      <c r="L1" s="94"/>
      <c r="M1" s="94"/>
      <c r="N1" s="94"/>
      <c r="O1" s="94"/>
      <c r="P1" s="94"/>
      <c r="Q1" s="94"/>
      <c r="R1" s="94"/>
      <c r="S1" s="94"/>
      <c r="T1" s="94"/>
      <c r="U1" s="94"/>
    </row>
    <row r="2" spans="1:21" x14ac:dyDescent="0.25">
      <c r="A2" s="94"/>
      <c r="B2" s="94"/>
      <c r="C2" s="94"/>
      <c r="D2" s="94"/>
      <c r="E2" s="94"/>
      <c r="F2" s="94"/>
      <c r="G2" s="94"/>
      <c r="H2" s="94"/>
      <c r="I2" s="94"/>
      <c r="J2" s="94"/>
      <c r="K2" s="94"/>
      <c r="L2" s="94"/>
      <c r="M2" s="94"/>
      <c r="N2" s="94"/>
      <c r="O2" s="94"/>
      <c r="P2" s="94"/>
      <c r="Q2" s="94"/>
      <c r="R2" s="94"/>
      <c r="S2" s="94"/>
      <c r="T2" s="94"/>
      <c r="U2" s="94"/>
    </row>
    <row r="3" spans="1:21" ht="30" x14ac:dyDescent="0.25">
      <c r="A3" s="94"/>
      <c r="B3" s="115"/>
      <c r="C3" s="37" t="s">
        <v>56</v>
      </c>
      <c r="D3" s="37" t="s">
        <v>57</v>
      </c>
      <c r="E3" s="94"/>
      <c r="F3" s="94"/>
      <c r="G3" s="94"/>
      <c r="H3" s="94"/>
      <c r="I3" s="94"/>
      <c r="J3" s="94"/>
      <c r="K3" s="94"/>
      <c r="L3" s="94"/>
      <c r="M3" s="94"/>
      <c r="N3" s="94"/>
      <c r="O3" s="94"/>
      <c r="P3" s="94"/>
      <c r="Q3" s="94"/>
      <c r="R3" s="94"/>
      <c r="S3" s="94"/>
      <c r="T3" s="94"/>
      <c r="U3" s="94"/>
    </row>
    <row r="4" spans="1:21" ht="54" customHeight="1" x14ac:dyDescent="0.25">
      <c r="A4" s="114" t="s">
        <v>83</v>
      </c>
      <c r="B4" s="40" t="s">
        <v>101</v>
      </c>
      <c r="C4" s="45" t="s">
        <v>156</v>
      </c>
      <c r="D4" s="38" t="s">
        <v>97</v>
      </c>
      <c r="E4" s="94"/>
      <c r="F4" s="94"/>
      <c r="G4" s="94"/>
      <c r="H4" s="94"/>
      <c r="I4" s="94"/>
      <c r="J4" s="94"/>
      <c r="K4" s="94"/>
      <c r="L4" s="94"/>
      <c r="M4" s="94"/>
      <c r="N4" s="94"/>
      <c r="O4" s="94"/>
      <c r="P4" s="94"/>
      <c r="Q4" s="94"/>
      <c r="R4" s="94"/>
      <c r="S4" s="94"/>
      <c r="T4" s="94"/>
      <c r="U4" s="94"/>
    </row>
    <row r="5" spans="1:21" ht="116.25" customHeight="1" x14ac:dyDescent="0.25">
      <c r="A5" s="114" t="s">
        <v>84</v>
      </c>
      <c r="B5" s="41" t="s">
        <v>59</v>
      </c>
      <c r="C5" s="46" t="s">
        <v>93</v>
      </c>
      <c r="D5" s="39" t="s">
        <v>98</v>
      </c>
      <c r="E5" s="94"/>
      <c r="F5" s="94"/>
      <c r="G5" s="94"/>
      <c r="H5" s="94"/>
      <c r="I5" s="94"/>
      <c r="J5" s="94"/>
      <c r="K5" s="94"/>
      <c r="L5" s="94"/>
      <c r="M5" s="94"/>
      <c r="N5" s="94"/>
      <c r="O5" s="94"/>
      <c r="P5" s="94"/>
      <c r="Q5" s="94"/>
      <c r="R5" s="94"/>
      <c r="S5" s="94"/>
      <c r="T5" s="94"/>
      <c r="U5" s="94"/>
    </row>
    <row r="6" spans="1:21" ht="67.5" x14ac:dyDescent="0.25">
      <c r="A6" s="114" t="s">
        <v>81</v>
      </c>
      <c r="B6" s="42" t="s">
        <v>60</v>
      </c>
      <c r="C6" s="46" t="s">
        <v>94</v>
      </c>
      <c r="D6" s="39" t="s">
        <v>100</v>
      </c>
      <c r="E6" s="94"/>
      <c r="F6" s="94"/>
      <c r="G6" s="94"/>
      <c r="H6" s="94"/>
      <c r="I6" s="94"/>
      <c r="J6" s="94"/>
      <c r="K6" s="94"/>
      <c r="L6" s="94"/>
      <c r="M6" s="94"/>
      <c r="N6" s="94"/>
      <c r="O6" s="94"/>
      <c r="P6" s="94"/>
      <c r="Q6" s="94"/>
      <c r="R6" s="94"/>
      <c r="S6" s="94"/>
      <c r="T6" s="94"/>
      <c r="U6" s="94"/>
    </row>
    <row r="7" spans="1:21" ht="101.25" x14ac:dyDescent="0.25">
      <c r="A7" s="114" t="s">
        <v>7</v>
      </c>
      <c r="B7" s="43" t="s">
        <v>61</v>
      </c>
      <c r="C7" s="46" t="s">
        <v>95</v>
      </c>
      <c r="D7" s="39" t="s">
        <v>99</v>
      </c>
      <c r="E7" s="94"/>
      <c r="F7" s="94"/>
      <c r="G7" s="94"/>
      <c r="H7" s="94"/>
      <c r="I7" s="94"/>
      <c r="J7" s="94"/>
      <c r="K7" s="94"/>
      <c r="L7" s="94"/>
      <c r="M7" s="94"/>
      <c r="N7" s="94"/>
      <c r="O7" s="94"/>
      <c r="P7" s="94"/>
      <c r="Q7" s="94"/>
      <c r="R7" s="94"/>
      <c r="S7" s="94"/>
      <c r="T7" s="94"/>
      <c r="U7" s="94"/>
    </row>
    <row r="8" spans="1:21" ht="67.5" x14ac:dyDescent="0.25">
      <c r="A8" s="114" t="s">
        <v>85</v>
      </c>
      <c r="B8" s="44" t="s">
        <v>62</v>
      </c>
      <c r="C8" s="46" t="s">
        <v>96</v>
      </c>
      <c r="D8" s="39" t="s">
        <v>118</v>
      </c>
      <c r="E8" s="94"/>
      <c r="F8" s="94"/>
      <c r="G8" s="94"/>
      <c r="H8" s="94"/>
      <c r="I8" s="94"/>
      <c r="J8" s="94"/>
      <c r="K8" s="94"/>
      <c r="L8" s="94"/>
      <c r="M8" s="94"/>
      <c r="N8" s="94"/>
      <c r="O8" s="94"/>
      <c r="P8" s="94"/>
      <c r="Q8" s="94"/>
      <c r="R8" s="94"/>
      <c r="S8" s="94"/>
      <c r="T8" s="94"/>
      <c r="U8" s="94"/>
    </row>
    <row r="9" spans="1:21" ht="20.25" x14ac:dyDescent="0.25">
      <c r="A9" s="114"/>
      <c r="B9" s="114"/>
      <c r="C9" s="116"/>
      <c r="D9" s="116"/>
      <c r="E9" s="94"/>
      <c r="F9" s="94"/>
      <c r="G9" s="94"/>
      <c r="H9" s="94"/>
      <c r="I9" s="94"/>
      <c r="J9" s="94"/>
      <c r="K9" s="94"/>
      <c r="L9" s="94"/>
      <c r="M9" s="94"/>
      <c r="N9" s="94"/>
      <c r="O9" s="94"/>
      <c r="P9" s="94"/>
      <c r="Q9" s="94"/>
      <c r="R9" s="94"/>
      <c r="S9" s="94"/>
      <c r="T9" s="94"/>
      <c r="U9" s="94"/>
    </row>
    <row r="10" spans="1:21" ht="16.5" x14ac:dyDescent="0.25">
      <c r="A10" s="114"/>
      <c r="B10" s="117"/>
      <c r="C10" s="117"/>
      <c r="D10" s="117"/>
      <c r="E10" s="94"/>
      <c r="F10" s="94"/>
      <c r="G10" s="94"/>
      <c r="H10" s="94"/>
      <c r="I10" s="94"/>
      <c r="J10" s="94"/>
      <c r="K10" s="94"/>
      <c r="L10" s="94"/>
      <c r="M10" s="94"/>
      <c r="N10" s="94"/>
      <c r="O10" s="94"/>
      <c r="P10" s="94"/>
      <c r="Q10" s="94"/>
      <c r="R10" s="94"/>
      <c r="S10" s="94"/>
      <c r="T10" s="94"/>
      <c r="U10" s="94"/>
    </row>
    <row r="11" spans="1:21" x14ac:dyDescent="0.25">
      <c r="A11" s="114"/>
      <c r="B11" s="114" t="s">
        <v>91</v>
      </c>
      <c r="C11" s="114" t="s">
        <v>144</v>
      </c>
      <c r="D11" s="114" t="s">
        <v>151</v>
      </c>
      <c r="E11" s="94"/>
      <c r="F11" s="94"/>
      <c r="G11" s="94"/>
      <c r="H11" s="94"/>
      <c r="I11" s="94"/>
      <c r="J11" s="94"/>
      <c r="K11" s="94"/>
      <c r="L11" s="94"/>
      <c r="M11" s="94"/>
      <c r="N11" s="94"/>
      <c r="O11" s="94"/>
      <c r="P11" s="94"/>
      <c r="Q11" s="94"/>
      <c r="R11" s="94"/>
      <c r="S11" s="94"/>
      <c r="T11" s="94"/>
      <c r="U11" s="94"/>
    </row>
    <row r="12" spans="1:21" x14ac:dyDescent="0.25">
      <c r="A12" s="114"/>
      <c r="B12" s="114" t="s">
        <v>89</v>
      </c>
      <c r="C12" s="114" t="s">
        <v>148</v>
      </c>
      <c r="D12" s="114" t="s">
        <v>152</v>
      </c>
      <c r="E12" s="94"/>
      <c r="F12" s="94"/>
      <c r="G12" s="94"/>
      <c r="H12" s="94"/>
      <c r="I12" s="94"/>
      <c r="J12" s="94"/>
      <c r="K12" s="94"/>
      <c r="L12" s="94"/>
      <c r="M12" s="94"/>
      <c r="N12" s="94"/>
      <c r="O12" s="94"/>
      <c r="P12" s="94"/>
      <c r="Q12" s="94"/>
      <c r="R12" s="94"/>
      <c r="S12" s="94"/>
      <c r="T12" s="94"/>
      <c r="U12" s="94"/>
    </row>
    <row r="13" spans="1:21" x14ac:dyDescent="0.25">
      <c r="A13" s="114"/>
      <c r="B13" s="114"/>
      <c r="C13" s="114" t="s">
        <v>147</v>
      </c>
      <c r="D13" s="114" t="s">
        <v>153</v>
      </c>
      <c r="E13" s="94"/>
      <c r="F13" s="94"/>
      <c r="G13" s="94"/>
      <c r="H13" s="94"/>
      <c r="I13" s="94"/>
      <c r="J13" s="94"/>
      <c r="K13" s="94"/>
      <c r="L13" s="94"/>
      <c r="M13" s="94"/>
      <c r="N13" s="94"/>
      <c r="O13" s="94"/>
      <c r="P13" s="94"/>
      <c r="Q13" s="94"/>
      <c r="R13" s="94"/>
      <c r="S13" s="94"/>
      <c r="T13" s="94"/>
      <c r="U13" s="94"/>
    </row>
    <row r="14" spans="1:21" x14ac:dyDescent="0.25">
      <c r="A14" s="114"/>
      <c r="B14" s="114"/>
      <c r="C14" s="114" t="s">
        <v>149</v>
      </c>
      <c r="D14" s="114" t="s">
        <v>154</v>
      </c>
      <c r="E14" s="94"/>
      <c r="F14" s="94"/>
      <c r="G14" s="94"/>
      <c r="H14" s="94"/>
      <c r="I14" s="94"/>
      <c r="J14" s="94"/>
      <c r="K14" s="94"/>
      <c r="L14" s="94"/>
      <c r="M14" s="94"/>
      <c r="N14" s="94"/>
      <c r="O14" s="94"/>
      <c r="P14" s="94"/>
      <c r="Q14" s="94"/>
      <c r="R14" s="94"/>
      <c r="S14" s="94"/>
      <c r="T14" s="94"/>
      <c r="U14" s="94"/>
    </row>
    <row r="15" spans="1:21" x14ac:dyDescent="0.25">
      <c r="A15" s="114"/>
      <c r="B15" s="114"/>
      <c r="C15" s="114" t="s">
        <v>150</v>
      </c>
      <c r="D15" s="114" t="s">
        <v>155</v>
      </c>
      <c r="E15" s="94"/>
      <c r="F15" s="94"/>
      <c r="G15" s="94"/>
      <c r="H15" s="94"/>
      <c r="I15" s="94"/>
      <c r="J15" s="94"/>
      <c r="K15" s="94"/>
      <c r="L15" s="94"/>
      <c r="M15" s="94"/>
      <c r="N15" s="94"/>
      <c r="O15" s="94"/>
      <c r="P15" s="94"/>
      <c r="Q15" s="94"/>
      <c r="R15" s="94"/>
      <c r="S15" s="94"/>
      <c r="T15" s="94"/>
      <c r="U15" s="94"/>
    </row>
    <row r="16" spans="1:21" x14ac:dyDescent="0.25">
      <c r="A16" s="114"/>
      <c r="B16" s="114"/>
      <c r="C16" s="114"/>
      <c r="D16" s="114"/>
      <c r="E16" s="94"/>
      <c r="F16" s="94"/>
      <c r="G16" s="94"/>
      <c r="H16" s="94"/>
      <c r="I16" s="94"/>
      <c r="J16" s="94"/>
      <c r="K16" s="94"/>
      <c r="L16" s="94"/>
      <c r="M16" s="94"/>
      <c r="N16" s="94"/>
      <c r="O16" s="94"/>
    </row>
    <row r="17" spans="1:15" x14ac:dyDescent="0.25">
      <c r="A17" s="114"/>
      <c r="B17" s="114"/>
      <c r="C17" s="114"/>
      <c r="D17" s="114"/>
      <c r="E17" s="94"/>
      <c r="F17" s="94"/>
      <c r="G17" s="94"/>
      <c r="H17" s="94"/>
      <c r="I17" s="94"/>
      <c r="J17" s="94"/>
      <c r="K17" s="94"/>
      <c r="L17" s="94"/>
      <c r="M17" s="94"/>
      <c r="N17" s="94"/>
      <c r="O17" s="94"/>
    </row>
    <row r="18" spans="1:15" x14ac:dyDescent="0.25">
      <c r="A18" s="114"/>
      <c r="B18" s="118"/>
      <c r="C18" s="118"/>
      <c r="D18" s="118"/>
      <c r="E18" s="94"/>
      <c r="F18" s="94"/>
      <c r="G18" s="94"/>
      <c r="H18" s="94"/>
      <c r="I18" s="94"/>
      <c r="J18" s="94"/>
      <c r="K18" s="94"/>
      <c r="L18" s="94"/>
      <c r="M18" s="94"/>
      <c r="N18" s="94"/>
      <c r="O18" s="94"/>
    </row>
    <row r="19" spans="1:15" x14ac:dyDescent="0.25">
      <c r="A19" s="114"/>
      <c r="B19" s="118"/>
      <c r="C19" s="118"/>
      <c r="D19" s="118"/>
      <c r="E19" s="94"/>
      <c r="F19" s="94"/>
      <c r="G19" s="94"/>
      <c r="H19" s="94"/>
      <c r="I19" s="94"/>
      <c r="J19" s="94"/>
      <c r="K19" s="94"/>
      <c r="L19" s="94"/>
      <c r="M19" s="94"/>
      <c r="N19" s="94"/>
      <c r="O19" s="94"/>
    </row>
    <row r="20" spans="1:15" x14ac:dyDescent="0.25">
      <c r="A20" s="114"/>
      <c r="B20" s="118"/>
      <c r="C20" s="118"/>
      <c r="D20" s="118"/>
      <c r="E20" s="94"/>
      <c r="F20" s="94"/>
      <c r="G20" s="94"/>
      <c r="H20" s="94"/>
      <c r="I20" s="94"/>
      <c r="J20" s="94"/>
      <c r="K20" s="94"/>
      <c r="L20" s="94"/>
      <c r="M20" s="94"/>
      <c r="N20" s="94"/>
      <c r="O20" s="94"/>
    </row>
    <row r="21" spans="1:15" x14ac:dyDescent="0.25">
      <c r="A21" s="114"/>
      <c r="B21" s="118"/>
      <c r="C21" s="118"/>
      <c r="D21" s="118"/>
      <c r="E21" s="94"/>
      <c r="F21" s="94"/>
      <c r="G21" s="94"/>
      <c r="H21" s="94"/>
      <c r="I21" s="94"/>
      <c r="J21" s="94"/>
      <c r="K21" s="94"/>
      <c r="L21" s="94"/>
      <c r="M21" s="94"/>
      <c r="N21" s="94"/>
      <c r="O21" s="94"/>
    </row>
    <row r="22" spans="1:15" ht="20.25" x14ac:dyDescent="0.25">
      <c r="A22" s="114"/>
      <c r="B22" s="114"/>
      <c r="C22" s="116"/>
      <c r="D22" s="116"/>
      <c r="E22" s="94"/>
      <c r="F22" s="94"/>
      <c r="G22" s="94"/>
      <c r="H22" s="94"/>
      <c r="I22" s="94"/>
      <c r="J22" s="94"/>
      <c r="K22" s="94"/>
      <c r="L22" s="94"/>
      <c r="M22" s="94"/>
      <c r="N22" s="94"/>
      <c r="O22" s="94"/>
    </row>
    <row r="23" spans="1:15" ht="20.25" x14ac:dyDescent="0.25">
      <c r="A23" s="114"/>
      <c r="B23" s="114"/>
      <c r="C23" s="116"/>
      <c r="D23" s="116"/>
      <c r="E23" s="94"/>
      <c r="F23" s="94"/>
      <c r="G23" s="94"/>
      <c r="H23" s="94"/>
      <c r="I23" s="94"/>
      <c r="J23" s="94"/>
      <c r="K23" s="94"/>
      <c r="L23" s="94"/>
      <c r="M23" s="94"/>
      <c r="N23" s="94"/>
      <c r="O23" s="94"/>
    </row>
    <row r="24" spans="1:15" ht="20.25" x14ac:dyDescent="0.25">
      <c r="A24" s="114"/>
      <c r="B24" s="114"/>
      <c r="C24" s="116"/>
      <c r="D24" s="116"/>
      <c r="E24" s="94"/>
      <c r="F24" s="94"/>
      <c r="G24" s="94"/>
      <c r="H24" s="94"/>
      <c r="I24" s="94"/>
      <c r="J24" s="94"/>
      <c r="K24" s="94"/>
      <c r="L24" s="94"/>
      <c r="M24" s="94"/>
      <c r="N24" s="94"/>
      <c r="O24" s="94"/>
    </row>
    <row r="25" spans="1:15" ht="20.25" x14ac:dyDescent="0.25">
      <c r="A25" s="114"/>
      <c r="B25" s="114"/>
      <c r="C25" s="116"/>
      <c r="D25" s="116"/>
      <c r="E25" s="94"/>
      <c r="F25" s="94"/>
      <c r="G25" s="94"/>
      <c r="H25" s="94"/>
      <c r="I25" s="94"/>
      <c r="J25" s="94"/>
      <c r="K25" s="94"/>
      <c r="L25" s="94"/>
      <c r="M25" s="94"/>
      <c r="N25" s="94"/>
      <c r="O25" s="94"/>
    </row>
    <row r="26" spans="1:15" ht="20.25" x14ac:dyDescent="0.25">
      <c r="A26" s="114"/>
      <c r="B26" s="114"/>
      <c r="C26" s="116"/>
      <c r="D26" s="116"/>
      <c r="E26" s="94"/>
      <c r="F26" s="94"/>
      <c r="G26" s="94"/>
      <c r="H26" s="94"/>
      <c r="I26" s="94"/>
      <c r="J26" s="94"/>
      <c r="K26" s="94"/>
      <c r="L26" s="94"/>
      <c r="M26" s="94"/>
      <c r="N26" s="94"/>
      <c r="O26" s="94"/>
    </row>
    <row r="27" spans="1:15" ht="20.25" x14ac:dyDescent="0.25">
      <c r="A27" s="114"/>
      <c r="B27" s="114"/>
      <c r="C27" s="116"/>
      <c r="D27" s="116"/>
      <c r="E27" s="94"/>
      <c r="F27" s="94"/>
      <c r="G27" s="94"/>
      <c r="H27" s="94"/>
      <c r="I27" s="94"/>
      <c r="J27" s="94"/>
      <c r="K27" s="94"/>
      <c r="L27" s="94"/>
      <c r="M27" s="94"/>
      <c r="N27" s="94"/>
      <c r="O27" s="94"/>
    </row>
    <row r="28" spans="1:15" ht="20.25" x14ac:dyDescent="0.25">
      <c r="A28" s="114"/>
      <c r="B28" s="114"/>
      <c r="C28" s="116"/>
      <c r="D28" s="116"/>
      <c r="E28" s="94"/>
      <c r="F28" s="94"/>
      <c r="G28" s="94"/>
      <c r="H28" s="94"/>
      <c r="I28" s="94"/>
      <c r="J28" s="94"/>
      <c r="K28" s="94"/>
      <c r="L28" s="94"/>
      <c r="M28" s="94"/>
      <c r="N28" s="94"/>
      <c r="O28" s="94"/>
    </row>
    <row r="29" spans="1:15" ht="20.25" x14ac:dyDescent="0.25">
      <c r="A29" s="114"/>
      <c r="B29" s="114"/>
      <c r="C29" s="116"/>
      <c r="D29" s="116"/>
      <c r="E29" s="94"/>
      <c r="F29" s="94"/>
      <c r="G29" s="94"/>
      <c r="H29" s="94"/>
      <c r="I29" s="94"/>
      <c r="J29" s="94"/>
      <c r="K29" s="94"/>
      <c r="L29" s="94"/>
      <c r="M29" s="94"/>
      <c r="N29" s="94"/>
      <c r="O29" s="94"/>
    </row>
    <row r="30" spans="1:15" ht="20.25" x14ac:dyDescent="0.25">
      <c r="A30" s="114"/>
      <c r="B30" s="114"/>
      <c r="C30" s="116"/>
      <c r="D30" s="116"/>
      <c r="E30" s="94"/>
      <c r="F30" s="94"/>
      <c r="G30" s="94"/>
      <c r="H30" s="94"/>
      <c r="I30" s="94"/>
      <c r="J30" s="94"/>
      <c r="K30" s="94"/>
      <c r="L30" s="94"/>
      <c r="M30" s="94"/>
      <c r="N30" s="94"/>
      <c r="O30" s="94"/>
    </row>
    <row r="31" spans="1:15" ht="20.25" x14ac:dyDescent="0.25">
      <c r="A31" s="114"/>
      <c r="B31" s="114"/>
      <c r="C31" s="116"/>
      <c r="D31" s="116"/>
      <c r="E31" s="94"/>
      <c r="F31" s="94"/>
      <c r="G31" s="94"/>
      <c r="H31" s="94"/>
      <c r="I31" s="94"/>
      <c r="J31" s="94"/>
      <c r="K31" s="94"/>
      <c r="L31" s="94"/>
      <c r="M31" s="94"/>
      <c r="N31" s="94"/>
      <c r="O31" s="94"/>
    </row>
    <row r="32" spans="1:15" ht="20.25" x14ac:dyDescent="0.25">
      <c r="A32" s="114"/>
      <c r="B32" s="114"/>
      <c r="C32" s="116"/>
      <c r="D32" s="116"/>
      <c r="E32" s="94"/>
      <c r="F32" s="94"/>
      <c r="G32" s="94"/>
      <c r="H32" s="94"/>
      <c r="I32" s="94"/>
      <c r="J32" s="94"/>
      <c r="K32" s="94"/>
      <c r="L32" s="94"/>
      <c r="M32" s="94"/>
      <c r="N32" s="94"/>
      <c r="O32" s="94"/>
    </row>
    <row r="33" spans="1:15" ht="20.25" x14ac:dyDescent="0.25">
      <c r="A33" s="114"/>
      <c r="B33" s="114"/>
      <c r="C33" s="116"/>
      <c r="D33" s="116"/>
      <c r="E33" s="94"/>
      <c r="F33" s="94"/>
      <c r="G33" s="94"/>
      <c r="H33" s="94"/>
      <c r="I33" s="94"/>
      <c r="J33" s="94"/>
      <c r="K33" s="94"/>
      <c r="L33" s="94"/>
      <c r="M33" s="94"/>
      <c r="N33" s="94"/>
      <c r="O33" s="94"/>
    </row>
    <row r="34" spans="1:15" ht="20.25" x14ac:dyDescent="0.25">
      <c r="A34" s="114"/>
      <c r="B34" s="114"/>
      <c r="C34" s="116"/>
      <c r="D34" s="116"/>
      <c r="E34" s="94"/>
      <c r="F34" s="94"/>
      <c r="G34" s="94"/>
      <c r="H34" s="94"/>
      <c r="I34" s="94"/>
      <c r="J34" s="94"/>
      <c r="K34" s="94"/>
      <c r="L34" s="94"/>
      <c r="M34" s="94"/>
      <c r="N34" s="94"/>
      <c r="O34" s="94"/>
    </row>
    <row r="35" spans="1:15" ht="20.25" x14ac:dyDescent="0.25">
      <c r="A35" s="114"/>
      <c r="B35" s="114"/>
      <c r="C35" s="116"/>
      <c r="D35" s="116"/>
      <c r="E35" s="94"/>
      <c r="F35" s="94"/>
      <c r="G35" s="94"/>
      <c r="H35" s="94"/>
      <c r="I35" s="94"/>
      <c r="J35" s="94"/>
      <c r="K35" s="94"/>
      <c r="L35" s="94"/>
      <c r="M35" s="94"/>
      <c r="N35" s="94"/>
      <c r="O35" s="94"/>
    </row>
    <row r="36" spans="1:15" ht="20.25" x14ac:dyDescent="0.25">
      <c r="A36" s="114"/>
      <c r="B36" s="114"/>
      <c r="C36" s="116"/>
      <c r="D36" s="116"/>
      <c r="E36" s="94"/>
      <c r="F36" s="94"/>
      <c r="G36" s="94"/>
      <c r="H36" s="94"/>
      <c r="I36" s="94"/>
      <c r="J36" s="94"/>
      <c r="K36" s="94"/>
      <c r="L36" s="94"/>
      <c r="M36" s="94"/>
      <c r="N36" s="94"/>
      <c r="O36" s="94"/>
    </row>
    <row r="37" spans="1:15" ht="20.25" x14ac:dyDescent="0.25">
      <c r="A37" s="114"/>
      <c r="B37" s="114"/>
      <c r="C37" s="116"/>
      <c r="D37" s="116"/>
      <c r="E37" s="94"/>
      <c r="F37" s="94"/>
      <c r="G37" s="94"/>
      <c r="H37" s="94"/>
      <c r="I37" s="94"/>
      <c r="J37" s="94"/>
      <c r="K37" s="94"/>
      <c r="L37" s="94"/>
      <c r="M37" s="94"/>
      <c r="N37" s="94"/>
      <c r="O37" s="94"/>
    </row>
    <row r="38" spans="1:15" ht="20.25" x14ac:dyDescent="0.25">
      <c r="A38" s="114"/>
      <c r="B38" s="114"/>
      <c r="C38" s="116"/>
      <c r="D38" s="116"/>
      <c r="E38" s="94"/>
      <c r="F38" s="94"/>
      <c r="G38" s="94"/>
      <c r="H38" s="94"/>
      <c r="I38" s="94"/>
      <c r="J38" s="94"/>
      <c r="K38" s="94"/>
      <c r="L38" s="94"/>
      <c r="M38" s="94"/>
      <c r="N38" s="94"/>
      <c r="O38" s="94"/>
    </row>
    <row r="39" spans="1:15" ht="20.25" x14ac:dyDescent="0.25">
      <c r="A39" s="114"/>
      <c r="B39" s="114"/>
      <c r="C39" s="116"/>
      <c r="D39" s="116"/>
      <c r="E39" s="94"/>
      <c r="F39" s="94"/>
      <c r="G39" s="94"/>
      <c r="H39" s="94"/>
      <c r="I39" s="94"/>
      <c r="J39" s="94"/>
      <c r="K39" s="94"/>
      <c r="L39" s="94"/>
      <c r="M39" s="94"/>
      <c r="N39" s="94"/>
      <c r="O39" s="94"/>
    </row>
    <row r="40" spans="1:15" ht="20.25" x14ac:dyDescent="0.25">
      <c r="A40" s="114"/>
      <c r="B40" s="114"/>
      <c r="C40" s="116"/>
      <c r="D40" s="116"/>
      <c r="E40" s="94"/>
      <c r="F40" s="94"/>
      <c r="G40" s="94"/>
      <c r="H40" s="94"/>
      <c r="I40" s="94"/>
      <c r="J40" s="94"/>
      <c r="K40" s="94"/>
      <c r="L40" s="94"/>
      <c r="M40" s="94"/>
      <c r="N40" s="94"/>
      <c r="O40" s="94"/>
    </row>
    <row r="41" spans="1:15" ht="20.25" x14ac:dyDescent="0.25">
      <c r="A41" s="114"/>
      <c r="B41" s="114"/>
      <c r="C41" s="116"/>
      <c r="D41" s="116"/>
      <c r="E41" s="94"/>
      <c r="F41" s="94"/>
      <c r="G41" s="94"/>
      <c r="H41" s="94"/>
      <c r="I41" s="94"/>
      <c r="J41" s="94"/>
      <c r="K41" s="94"/>
      <c r="L41" s="94"/>
      <c r="M41" s="94"/>
      <c r="N41" s="94"/>
      <c r="O41" s="94"/>
    </row>
    <row r="42" spans="1:15" ht="20.25" x14ac:dyDescent="0.25">
      <c r="A42" s="114"/>
      <c r="B42" s="114"/>
      <c r="C42" s="116"/>
      <c r="D42" s="116"/>
      <c r="E42" s="94"/>
      <c r="F42" s="94"/>
      <c r="G42" s="94"/>
      <c r="H42" s="94"/>
      <c r="I42" s="94"/>
      <c r="J42" s="94"/>
      <c r="K42" s="94"/>
      <c r="L42" s="94"/>
      <c r="M42" s="94"/>
      <c r="N42" s="94"/>
      <c r="O42" s="94"/>
    </row>
    <row r="43" spans="1:15" ht="20.25" x14ac:dyDescent="0.25">
      <c r="A43" s="114"/>
      <c r="B43" s="114"/>
      <c r="C43" s="116"/>
      <c r="D43" s="116"/>
      <c r="E43" s="94"/>
      <c r="F43" s="94"/>
      <c r="G43" s="94"/>
      <c r="H43" s="94"/>
      <c r="I43" s="94"/>
      <c r="J43" s="94"/>
      <c r="K43" s="94"/>
      <c r="L43" s="94"/>
      <c r="M43" s="94"/>
      <c r="N43" s="94"/>
      <c r="O43" s="94"/>
    </row>
    <row r="44" spans="1:15" ht="20.25" x14ac:dyDescent="0.25">
      <c r="A44" s="114"/>
      <c r="B44" s="114"/>
      <c r="C44" s="116"/>
      <c r="D44" s="116"/>
      <c r="E44" s="94"/>
      <c r="F44" s="94"/>
      <c r="G44" s="94"/>
      <c r="H44" s="94"/>
      <c r="I44" s="94"/>
      <c r="J44" s="94"/>
      <c r="K44" s="94"/>
      <c r="L44" s="94"/>
      <c r="M44" s="94"/>
      <c r="N44" s="94"/>
      <c r="O44" s="94"/>
    </row>
    <row r="45" spans="1:15" ht="20.25" x14ac:dyDescent="0.25">
      <c r="A45" s="114"/>
      <c r="B45" s="114"/>
      <c r="C45" s="116"/>
      <c r="D45" s="116"/>
      <c r="E45" s="94"/>
      <c r="F45" s="94"/>
      <c r="G45" s="94"/>
      <c r="H45" s="94"/>
      <c r="I45" s="94"/>
      <c r="J45" s="94"/>
      <c r="K45" s="94"/>
      <c r="L45" s="94"/>
      <c r="M45" s="94"/>
      <c r="N45" s="94"/>
      <c r="O45" s="94"/>
    </row>
    <row r="46" spans="1:15" ht="20.25" x14ac:dyDescent="0.25">
      <c r="A46" s="114"/>
      <c r="B46" s="114"/>
      <c r="C46" s="116"/>
      <c r="D46" s="116"/>
      <c r="E46" s="94"/>
      <c r="F46" s="94"/>
      <c r="G46" s="94"/>
      <c r="H46" s="94"/>
      <c r="I46" s="94"/>
      <c r="J46" s="94"/>
      <c r="K46" s="94"/>
      <c r="L46" s="94"/>
      <c r="M46" s="94"/>
      <c r="N46" s="94"/>
      <c r="O46" s="94"/>
    </row>
    <row r="47" spans="1:15" ht="20.25" x14ac:dyDescent="0.25">
      <c r="A47" s="114"/>
      <c r="B47" s="114"/>
      <c r="C47" s="116"/>
      <c r="D47" s="116"/>
      <c r="E47" s="94"/>
      <c r="F47" s="94"/>
      <c r="G47" s="94"/>
      <c r="H47" s="94"/>
      <c r="I47" s="94"/>
      <c r="J47" s="94"/>
      <c r="K47" s="94"/>
      <c r="L47" s="94"/>
      <c r="M47" s="94"/>
      <c r="N47" s="94"/>
      <c r="O47" s="94"/>
    </row>
    <row r="48" spans="1:15" ht="20.25" x14ac:dyDescent="0.25">
      <c r="A48" s="114"/>
      <c r="B48" s="114"/>
      <c r="C48" s="116"/>
      <c r="D48" s="116"/>
      <c r="E48" s="94"/>
      <c r="F48" s="94"/>
      <c r="G48" s="94"/>
      <c r="H48" s="94"/>
      <c r="I48" s="94"/>
      <c r="J48" s="94"/>
      <c r="K48" s="94"/>
      <c r="L48" s="94"/>
      <c r="M48" s="94"/>
      <c r="N48" s="94"/>
      <c r="O48" s="94"/>
    </row>
    <row r="49" spans="1:15" ht="20.25" x14ac:dyDescent="0.25">
      <c r="A49" s="114"/>
      <c r="B49" s="114"/>
      <c r="C49" s="116"/>
      <c r="D49" s="116"/>
      <c r="E49" s="94"/>
      <c r="F49" s="94"/>
      <c r="G49" s="94"/>
      <c r="H49" s="94"/>
      <c r="I49" s="94"/>
      <c r="J49" s="94"/>
      <c r="K49" s="94"/>
      <c r="L49" s="94"/>
      <c r="M49" s="94"/>
      <c r="N49" s="94"/>
      <c r="O49" s="94"/>
    </row>
    <row r="50" spans="1:15" ht="20.25" x14ac:dyDescent="0.25">
      <c r="A50" s="114"/>
      <c r="B50" s="114"/>
      <c r="C50" s="116"/>
      <c r="D50" s="116"/>
      <c r="E50" s="94"/>
      <c r="F50" s="94"/>
      <c r="G50" s="94"/>
      <c r="H50" s="94"/>
      <c r="I50" s="94"/>
      <c r="J50" s="94"/>
      <c r="K50" s="94"/>
      <c r="L50" s="94"/>
      <c r="M50" s="94"/>
      <c r="N50" s="94"/>
      <c r="O50" s="94"/>
    </row>
    <row r="51" spans="1:15" ht="20.25" x14ac:dyDescent="0.25">
      <c r="A51" s="114"/>
      <c r="B51" s="114"/>
      <c r="C51" s="116"/>
      <c r="D51" s="116"/>
      <c r="E51" s="94"/>
      <c r="F51" s="94"/>
      <c r="G51" s="94"/>
      <c r="H51" s="94"/>
      <c r="I51" s="94"/>
      <c r="J51" s="94"/>
      <c r="K51" s="94"/>
      <c r="L51" s="94"/>
      <c r="M51" s="94"/>
      <c r="N51" s="94"/>
      <c r="O51" s="94"/>
    </row>
    <row r="52" spans="1:15" ht="20.25" x14ac:dyDescent="0.25">
      <c r="A52" s="114"/>
      <c r="B52" s="23"/>
      <c r="C52" s="35"/>
      <c r="D52" s="35"/>
    </row>
    <row r="53" spans="1:15" ht="20.25" x14ac:dyDescent="0.25">
      <c r="A53" s="114"/>
      <c r="B53" s="23"/>
      <c r="C53" s="35"/>
      <c r="D53" s="35"/>
    </row>
    <row r="54" spans="1:15" ht="20.25" x14ac:dyDescent="0.25">
      <c r="A54" s="114"/>
      <c r="B54" s="23"/>
      <c r="C54" s="35"/>
      <c r="D54" s="35"/>
    </row>
    <row r="55" spans="1:15" ht="20.25" x14ac:dyDescent="0.25">
      <c r="A55" s="114"/>
      <c r="B55" s="23"/>
      <c r="C55" s="35"/>
      <c r="D55" s="35"/>
    </row>
    <row r="56" spans="1:15" ht="20.25" x14ac:dyDescent="0.25">
      <c r="A56" s="114"/>
      <c r="B56" s="23"/>
      <c r="C56" s="35"/>
      <c r="D56" s="35"/>
    </row>
    <row r="57" spans="1:15" ht="20.25" x14ac:dyDescent="0.25">
      <c r="A57" s="114"/>
      <c r="B57" s="23"/>
      <c r="C57" s="35"/>
      <c r="D57" s="35"/>
    </row>
    <row r="58" spans="1:15" ht="20.25" x14ac:dyDescent="0.25">
      <c r="A58" s="114"/>
      <c r="B58" s="23"/>
      <c r="C58" s="35"/>
      <c r="D58" s="35"/>
    </row>
    <row r="59" spans="1:15" ht="20.25" x14ac:dyDescent="0.25">
      <c r="A59" s="114"/>
      <c r="B59" s="23"/>
      <c r="C59" s="35"/>
      <c r="D59" s="35"/>
    </row>
    <row r="60" spans="1:15" ht="20.25" x14ac:dyDescent="0.25">
      <c r="A60" s="114"/>
      <c r="B60" s="23"/>
      <c r="C60" s="35"/>
      <c r="D60" s="35"/>
    </row>
    <row r="61" spans="1:15" ht="20.25" x14ac:dyDescent="0.25">
      <c r="A61" s="114"/>
      <c r="B61" s="23"/>
      <c r="C61" s="35"/>
      <c r="D61" s="35"/>
    </row>
    <row r="62" spans="1:15" ht="20.25" x14ac:dyDescent="0.25">
      <c r="A62" s="114"/>
      <c r="B62" s="23"/>
      <c r="C62" s="35"/>
      <c r="D62" s="35"/>
    </row>
    <row r="63" spans="1:15" ht="20.25" x14ac:dyDescent="0.25">
      <c r="A63" s="114"/>
      <c r="B63" s="23"/>
      <c r="C63" s="35"/>
      <c r="D63" s="35"/>
    </row>
    <row r="64" spans="1:15" ht="20.25" x14ac:dyDescent="0.25">
      <c r="A64" s="114"/>
      <c r="B64" s="23"/>
      <c r="C64" s="35"/>
      <c r="D64" s="35"/>
    </row>
    <row r="65" spans="1:4" ht="20.25" x14ac:dyDescent="0.25">
      <c r="A65" s="114"/>
      <c r="B65" s="23"/>
      <c r="C65" s="35"/>
      <c r="D65" s="35"/>
    </row>
    <row r="66" spans="1:4" ht="20.25" x14ac:dyDescent="0.25">
      <c r="A66" s="114"/>
      <c r="B66" s="23"/>
      <c r="C66" s="35"/>
      <c r="D66" s="35"/>
    </row>
    <row r="67" spans="1:4" ht="20.25" x14ac:dyDescent="0.25">
      <c r="A67" s="114"/>
      <c r="B67" s="23"/>
      <c r="C67" s="35"/>
      <c r="D67" s="35"/>
    </row>
    <row r="68" spans="1:4" ht="20.25" x14ac:dyDescent="0.25">
      <c r="A68" s="114"/>
      <c r="B68" s="23"/>
      <c r="C68" s="35"/>
      <c r="D68" s="35"/>
    </row>
    <row r="69" spans="1:4" ht="20.25" x14ac:dyDescent="0.25">
      <c r="A69" s="114"/>
      <c r="B69" s="23"/>
      <c r="C69" s="35"/>
      <c r="D69" s="35"/>
    </row>
    <row r="70" spans="1:4" ht="20.25" x14ac:dyDescent="0.25">
      <c r="A70" s="114"/>
      <c r="B70" s="23"/>
      <c r="C70" s="35"/>
      <c r="D70" s="35"/>
    </row>
    <row r="71" spans="1:4" ht="20.25" x14ac:dyDescent="0.25">
      <c r="A71" s="114"/>
      <c r="B71" s="23"/>
      <c r="C71" s="35"/>
      <c r="D71" s="35"/>
    </row>
    <row r="72" spans="1:4" ht="20.25" x14ac:dyDescent="0.25">
      <c r="A72" s="114"/>
      <c r="B72" s="23"/>
      <c r="C72" s="35"/>
      <c r="D72" s="35"/>
    </row>
    <row r="73" spans="1:4" ht="20.25" x14ac:dyDescent="0.25">
      <c r="A73" s="114"/>
      <c r="B73" s="23"/>
      <c r="C73" s="35"/>
      <c r="D73" s="35"/>
    </row>
    <row r="74" spans="1:4" ht="20.25" x14ac:dyDescent="0.25">
      <c r="A74" s="114"/>
      <c r="B74" s="23"/>
      <c r="C74" s="35"/>
      <c r="D74" s="35"/>
    </row>
    <row r="75" spans="1:4" ht="20.25" x14ac:dyDescent="0.25">
      <c r="A75" s="114"/>
      <c r="B75" s="23"/>
      <c r="C75" s="35"/>
      <c r="D75" s="35"/>
    </row>
    <row r="76" spans="1:4" ht="20.25" x14ac:dyDescent="0.25">
      <c r="A76" s="114"/>
      <c r="B76" s="23"/>
      <c r="C76" s="35"/>
      <c r="D76" s="35"/>
    </row>
    <row r="77" spans="1:4" ht="20.25" x14ac:dyDescent="0.25">
      <c r="A77" s="114"/>
      <c r="B77" s="23"/>
      <c r="C77" s="35"/>
      <c r="D77" s="35"/>
    </row>
    <row r="78" spans="1:4" ht="20.25" x14ac:dyDescent="0.25">
      <c r="A78" s="114"/>
      <c r="B78" s="23"/>
      <c r="C78" s="35"/>
      <c r="D78" s="35"/>
    </row>
    <row r="79" spans="1:4" ht="20.25" x14ac:dyDescent="0.25">
      <c r="A79" s="114"/>
      <c r="B79" s="23"/>
      <c r="C79" s="35"/>
      <c r="D79" s="35"/>
    </row>
    <row r="80" spans="1:4" ht="20.25" x14ac:dyDescent="0.25">
      <c r="A80" s="114"/>
      <c r="B80" s="23"/>
      <c r="C80" s="35"/>
      <c r="D80" s="35"/>
    </row>
    <row r="81" spans="1:4" ht="20.25" x14ac:dyDescent="0.25">
      <c r="A81" s="114"/>
      <c r="B81" s="23"/>
      <c r="C81" s="35"/>
      <c r="D81" s="35"/>
    </row>
    <row r="82" spans="1:4" ht="20.25" x14ac:dyDescent="0.25">
      <c r="A82" s="114"/>
      <c r="B82" s="23"/>
      <c r="C82" s="35"/>
      <c r="D82" s="35"/>
    </row>
    <row r="83" spans="1:4" ht="20.25" x14ac:dyDescent="0.25">
      <c r="A83" s="114"/>
      <c r="B83" s="23"/>
      <c r="C83" s="35"/>
      <c r="D83" s="35"/>
    </row>
    <row r="84" spans="1:4" ht="20.25" x14ac:dyDescent="0.25">
      <c r="A84" s="114"/>
      <c r="B84" s="23"/>
      <c r="C84" s="35"/>
      <c r="D84" s="35"/>
    </row>
    <row r="85" spans="1:4" ht="20.25" x14ac:dyDescent="0.25">
      <c r="A85" s="114"/>
      <c r="B85" s="23"/>
      <c r="C85" s="35"/>
      <c r="D85" s="35"/>
    </row>
    <row r="86" spans="1:4" ht="20.25" x14ac:dyDescent="0.25">
      <c r="A86" s="114"/>
      <c r="B86" s="23"/>
      <c r="C86" s="35"/>
      <c r="D86" s="35"/>
    </row>
    <row r="87" spans="1:4" ht="20.25" x14ac:dyDescent="0.25">
      <c r="A87" s="114"/>
      <c r="B87" s="23"/>
      <c r="C87" s="35"/>
      <c r="D87" s="35"/>
    </row>
    <row r="88" spans="1:4" ht="20.25" x14ac:dyDescent="0.25">
      <c r="A88" s="114"/>
      <c r="B88" s="23"/>
      <c r="C88" s="35"/>
      <c r="D88" s="35"/>
    </row>
    <row r="89" spans="1:4" ht="20.25" x14ac:dyDescent="0.25">
      <c r="A89" s="114"/>
      <c r="B89" s="23"/>
      <c r="C89" s="35"/>
      <c r="D89" s="35"/>
    </row>
    <row r="90" spans="1:4" ht="20.25" x14ac:dyDescent="0.25">
      <c r="A90" s="114"/>
      <c r="B90" s="23"/>
      <c r="C90" s="35"/>
      <c r="D90" s="35"/>
    </row>
    <row r="91" spans="1:4" ht="20.25" x14ac:dyDescent="0.25">
      <c r="A91" s="114"/>
      <c r="B91" s="23"/>
      <c r="C91" s="35"/>
      <c r="D91" s="35"/>
    </row>
    <row r="92" spans="1:4" ht="20.25" x14ac:dyDescent="0.25">
      <c r="A92" s="114"/>
      <c r="B92" s="23"/>
      <c r="C92" s="35"/>
      <c r="D92" s="35"/>
    </row>
    <row r="93" spans="1:4" ht="20.25" x14ac:dyDescent="0.25">
      <c r="A93" s="114"/>
      <c r="B93" s="23"/>
      <c r="C93" s="35"/>
      <c r="D93" s="35"/>
    </row>
    <row r="94" spans="1:4" ht="20.25" x14ac:dyDescent="0.25">
      <c r="A94" s="114"/>
      <c r="B94" s="23"/>
      <c r="C94" s="35"/>
      <c r="D94" s="35"/>
    </row>
    <row r="95" spans="1:4" ht="20.25" x14ac:dyDescent="0.25">
      <c r="A95" s="114"/>
      <c r="B95" s="23"/>
      <c r="C95" s="35"/>
      <c r="D95" s="35"/>
    </row>
    <row r="96" spans="1:4" ht="20.25" x14ac:dyDescent="0.25">
      <c r="A96" s="114"/>
      <c r="B96" s="23"/>
      <c r="C96" s="35"/>
      <c r="D96" s="35"/>
    </row>
    <row r="97" spans="1:4" ht="20.25" x14ac:dyDescent="0.25">
      <c r="A97" s="114"/>
      <c r="B97" s="23"/>
      <c r="C97" s="35"/>
      <c r="D97" s="35"/>
    </row>
    <row r="98" spans="1:4" ht="20.25" x14ac:dyDescent="0.25">
      <c r="A98" s="114"/>
      <c r="B98" s="23"/>
      <c r="C98" s="35"/>
      <c r="D98" s="35"/>
    </row>
    <row r="99" spans="1:4" ht="20.25" x14ac:dyDescent="0.25">
      <c r="A99" s="114"/>
      <c r="B99" s="23"/>
      <c r="C99" s="35"/>
      <c r="D99" s="35"/>
    </row>
    <row r="100" spans="1:4" ht="20.25" x14ac:dyDescent="0.25">
      <c r="A100" s="114"/>
      <c r="B100" s="23"/>
      <c r="C100" s="35"/>
      <c r="D100" s="35"/>
    </row>
    <row r="101" spans="1:4" ht="20.25" x14ac:dyDescent="0.25">
      <c r="A101" s="114"/>
      <c r="B101" s="23"/>
      <c r="C101" s="35"/>
      <c r="D101" s="35"/>
    </row>
    <row r="102" spans="1:4" ht="20.25" x14ac:dyDescent="0.25">
      <c r="A102" s="114"/>
      <c r="B102" s="23"/>
      <c r="C102" s="35"/>
      <c r="D102" s="35"/>
    </row>
    <row r="103" spans="1:4" ht="20.25" x14ac:dyDescent="0.25">
      <c r="A103" s="114"/>
      <c r="B103" s="23"/>
      <c r="C103" s="35"/>
      <c r="D103" s="35"/>
    </row>
    <row r="104" spans="1:4" ht="20.25" x14ac:dyDescent="0.25">
      <c r="A104" s="114"/>
      <c r="B104" s="23"/>
      <c r="C104" s="35"/>
      <c r="D104" s="35"/>
    </row>
    <row r="105" spans="1:4" ht="20.25" x14ac:dyDescent="0.25">
      <c r="A105" s="114"/>
      <c r="B105" s="23"/>
      <c r="C105" s="35"/>
      <c r="D105" s="35"/>
    </row>
    <row r="106" spans="1:4" ht="20.25" x14ac:dyDescent="0.25">
      <c r="A106" s="114"/>
      <c r="B106" s="23"/>
      <c r="C106" s="35"/>
      <c r="D106" s="35"/>
    </row>
    <row r="107" spans="1:4" ht="20.25" x14ac:dyDescent="0.25">
      <c r="A107" s="114"/>
      <c r="B107" s="23"/>
      <c r="C107" s="35"/>
      <c r="D107" s="35"/>
    </row>
    <row r="108" spans="1:4" ht="20.25" x14ac:dyDescent="0.25">
      <c r="A108" s="114"/>
      <c r="B108" s="23"/>
      <c r="C108" s="35"/>
      <c r="D108" s="35"/>
    </row>
    <row r="109" spans="1:4" ht="20.25" x14ac:dyDescent="0.25">
      <c r="A109" s="114"/>
      <c r="B109" s="23"/>
      <c r="C109" s="35"/>
      <c r="D109" s="35"/>
    </row>
    <row r="110" spans="1:4" ht="20.25" x14ac:dyDescent="0.25">
      <c r="A110" s="114"/>
      <c r="B110" s="23"/>
      <c r="C110" s="35"/>
      <c r="D110" s="35"/>
    </row>
    <row r="111" spans="1:4" ht="20.25" x14ac:dyDescent="0.25">
      <c r="A111" s="114"/>
      <c r="B111" s="23"/>
      <c r="C111" s="35"/>
      <c r="D111" s="35"/>
    </row>
    <row r="112" spans="1:4" ht="20.25" x14ac:dyDescent="0.25">
      <c r="A112" s="114"/>
      <c r="B112" s="23"/>
      <c r="C112" s="35"/>
      <c r="D112" s="35"/>
    </row>
    <row r="113" spans="1:4" ht="20.25" x14ac:dyDescent="0.25">
      <c r="A113" s="114"/>
      <c r="B113" s="23"/>
      <c r="C113" s="35"/>
      <c r="D113" s="35"/>
    </row>
    <row r="114" spans="1:4" ht="20.25" x14ac:dyDescent="0.25">
      <c r="A114" s="114"/>
      <c r="B114" s="23"/>
      <c r="C114" s="35"/>
      <c r="D114" s="35"/>
    </row>
    <row r="115" spans="1:4" ht="20.25" x14ac:dyDescent="0.25">
      <c r="A115" s="114"/>
      <c r="B115" s="23"/>
      <c r="C115" s="35"/>
      <c r="D115" s="35"/>
    </row>
    <row r="116" spans="1:4" ht="20.25" x14ac:dyDescent="0.25">
      <c r="A116" s="114"/>
      <c r="B116" s="23"/>
      <c r="C116" s="35"/>
      <c r="D116" s="35"/>
    </row>
    <row r="117" spans="1:4" ht="20.25" x14ac:dyDescent="0.25">
      <c r="A117" s="114"/>
      <c r="B117" s="23"/>
      <c r="C117" s="35"/>
      <c r="D117" s="35"/>
    </row>
    <row r="118" spans="1:4" ht="20.25" x14ac:dyDescent="0.25">
      <c r="A118" s="114"/>
      <c r="B118" s="23"/>
      <c r="C118" s="35"/>
      <c r="D118" s="35"/>
    </row>
    <row r="119" spans="1:4" ht="20.25" x14ac:dyDescent="0.25">
      <c r="A119" s="114"/>
      <c r="B119" s="23"/>
      <c r="C119" s="35"/>
      <c r="D119" s="35"/>
    </row>
    <row r="120" spans="1:4" ht="20.25" x14ac:dyDescent="0.25">
      <c r="A120" s="114"/>
      <c r="B120" s="23"/>
      <c r="C120" s="35"/>
      <c r="D120" s="35"/>
    </row>
    <row r="121" spans="1:4" ht="20.25" x14ac:dyDescent="0.25">
      <c r="A121" s="114"/>
      <c r="B121" s="23"/>
      <c r="C121" s="35"/>
      <c r="D121" s="35"/>
    </row>
    <row r="122" spans="1:4" ht="20.25" x14ac:dyDescent="0.25">
      <c r="A122" s="114"/>
      <c r="B122" s="23"/>
      <c r="C122" s="35"/>
      <c r="D122" s="35"/>
    </row>
    <row r="123" spans="1:4" ht="20.25" x14ac:dyDescent="0.25">
      <c r="A123" s="114"/>
      <c r="B123" s="23"/>
      <c r="C123" s="35"/>
      <c r="D123" s="35"/>
    </row>
    <row r="124" spans="1:4" ht="20.25" x14ac:dyDescent="0.25">
      <c r="A124" s="114"/>
      <c r="B124" s="23"/>
      <c r="C124" s="35"/>
      <c r="D124" s="35"/>
    </row>
    <row r="125" spans="1:4" ht="20.25" x14ac:dyDescent="0.25">
      <c r="A125" s="114"/>
      <c r="B125" s="23"/>
      <c r="C125" s="35"/>
      <c r="D125" s="35"/>
    </row>
    <row r="126" spans="1:4" ht="20.25" x14ac:dyDescent="0.25">
      <c r="A126" s="114"/>
      <c r="B126" s="23"/>
      <c r="C126" s="35"/>
      <c r="D126" s="35"/>
    </row>
    <row r="127" spans="1:4" ht="20.25" x14ac:dyDescent="0.25">
      <c r="A127" s="114"/>
      <c r="B127" s="23"/>
      <c r="C127" s="35"/>
      <c r="D127" s="35"/>
    </row>
    <row r="128" spans="1:4" ht="20.25" x14ac:dyDescent="0.25">
      <c r="A128" s="114"/>
      <c r="B128" s="23"/>
      <c r="C128" s="35"/>
      <c r="D128" s="35"/>
    </row>
    <row r="129" spans="1:4" ht="20.25" x14ac:dyDescent="0.25">
      <c r="A129" s="114"/>
      <c r="B129" s="23"/>
      <c r="C129" s="35"/>
      <c r="D129" s="35"/>
    </row>
    <row r="130" spans="1:4" ht="20.25" x14ac:dyDescent="0.25">
      <c r="A130" s="114"/>
      <c r="B130" s="23"/>
      <c r="C130" s="35"/>
      <c r="D130" s="35"/>
    </row>
    <row r="131" spans="1:4" ht="20.25" x14ac:dyDescent="0.25">
      <c r="A131" s="114"/>
      <c r="B131" s="23"/>
      <c r="C131" s="35"/>
      <c r="D131" s="35"/>
    </row>
    <row r="132" spans="1:4" ht="20.25" x14ac:dyDescent="0.25">
      <c r="A132" s="114"/>
      <c r="B132" s="23"/>
      <c r="C132" s="35"/>
      <c r="D132" s="35"/>
    </row>
    <row r="133" spans="1:4" ht="20.25" x14ac:dyDescent="0.25">
      <c r="A133" s="114"/>
      <c r="B133" s="23"/>
      <c r="C133" s="35"/>
      <c r="D133" s="35"/>
    </row>
    <row r="134" spans="1:4" ht="20.25" x14ac:dyDescent="0.25">
      <c r="A134" s="114"/>
      <c r="B134" s="23"/>
      <c r="C134" s="35"/>
      <c r="D134" s="35"/>
    </row>
    <row r="135" spans="1:4" ht="20.25" x14ac:dyDescent="0.25">
      <c r="A135" s="114"/>
      <c r="B135" s="23"/>
      <c r="C135" s="35"/>
      <c r="D135" s="35"/>
    </row>
    <row r="136" spans="1:4" ht="20.25" x14ac:dyDescent="0.25">
      <c r="A136" s="114"/>
      <c r="B136" s="23"/>
      <c r="C136" s="35"/>
      <c r="D136" s="35"/>
    </row>
    <row r="137" spans="1:4" ht="20.25" x14ac:dyDescent="0.25">
      <c r="A137" s="114"/>
      <c r="B137" s="23"/>
      <c r="C137" s="35"/>
      <c r="D137" s="35"/>
    </row>
    <row r="138" spans="1:4" ht="20.25" x14ac:dyDescent="0.25">
      <c r="A138" s="114"/>
      <c r="B138" s="23"/>
      <c r="C138" s="35"/>
      <c r="D138" s="35"/>
    </row>
    <row r="139" spans="1:4" ht="20.25" x14ac:dyDescent="0.25">
      <c r="A139" s="114"/>
      <c r="B139" s="23"/>
      <c r="C139" s="35"/>
      <c r="D139" s="35"/>
    </row>
    <row r="140" spans="1:4" ht="20.25" x14ac:dyDescent="0.25">
      <c r="A140" s="114"/>
      <c r="B140" s="23"/>
      <c r="C140" s="35"/>
      <c r="D140" s="35"/>
    </row>
    <row r="141" spans="1:4" ht="20.25" x14ac:dyDescent="0.25">
      <c r="A141" s="114"/>
      <c r="B141" s="23"/>
      <c r="C141" s="35"/>
      <c r="D141" s="35"/>
    </row>
    <row r="142" spans="1:4" ht="20.25" x14ac:dyDescent="0.25">
      <c r="A142" s="114"/>
      <c r="B142" s="23"/>
      <c r="C142" s="35"/>
      <c r="D142" s="35"/>
    </row>
    <row r="143" spans="1:4" ht="20.25" x14ac:dyDescent="0.25">
      <c r="A143" s="114"/>
      <c r="B143" s="23"/>
      <c r="C143" s="35"/>
      <c r="D143" s="35"/>
    </row>
    <row r="144" spans="1:4" ht="20.25" x14ac:dyDescent="0.25">
      <c r="A144" s="114"/>
      <c r="B144" s="23"/>
      <c r="C144" s="35"/>
      <c r="D144" s="35"/>
    </row>
    <row r="145" spans="1:4" ht="20.25" x14ac:dyDescent="0.25">
      <c r="A145" s="114"/>
      <c r="B145" s="23"/>
      <c r="C145" s="35"/>
      <c r="D145" s="35"/>
    </row>
    <row r="146" spans="1:4" ht="20.25" x14ac:dyDescent="0.25">
      <c r="A146" s="114"/>
      <c r="B146" s="23"/>
      <c r="C146" s="35"/>
      <c r="D146" s="35"/>
    </row>
    <row r="147" spans="1:4" ht="20.25" x14ac:dyDescent="0.25">
      <c r="A147" s="114"/>
      <c r="B147" s="23"/>
      <c r="C147" s="35"/>
      <c r="D147" s="35"/>
    </row>
    <row r="148" spans="1:4" ht="20.25" x14ac:dyDescent="0.25">
      <c r="A148" s="114"/>
      <c r="B148" s="23"/>
      <c r="C148" s="35"/>
      <c r="D148" s="35"/>
    </row>
    <row r="149" spans="1:4" ht="20.25" x14ac:dyDescent="0.25">
      <c r="A149" s="114"/>
      <c r="B149" s="23"/>
      <c r="C149" s="35"/>
      <c r="D149" s="35"/>
    </row>
    <row r="150" spans="1:4" ht="20.25" x14ac:dyDescent="0.25">
      <c r="A150" s="114"/>
      <c r="B150" s="23"/>
      <c r="C150" s="35"/>
      <c r="D150" s="35"/>
    </row>
    <row r="151" spans="1:4" ht="20.25" x14ac:dyDescent="0.25">
      <c r="A151" s="114"/>
      <c r="B151" s="23"/>
      <c r="C151" s="35"/>
      <c r="D151" s="35"/>
    </row>
    <row r="152" spans="1:4" ht="20.25" x14ac:dyDescent="0.25">
      <c r="A152" s="114"/>
      <c r="B152" s="23"/>
      <c r="C152" s="35"/>
      <c r="D152" s="35"/>
    </row>
    <row r="153" spans="1:4" ht="20.25" x14ac:dyDescent="0.25">
      <c r="A153" s="114"/>
      <c r="B153" s="23"/>
      <c r="C153" s="35"/>
      <c r="D153" s="35"/>
    </row>
    <row r="154" spans="1:4" ht="20.25" x14ac:dyDescent="0.25">
      <c r="A154" s="114"/>
      <c r="B154" s="23"/>
      <c r="C154" s="35"/>
      <c r="D154" s="35"/>
    </row>
    <row r="155" spans="1:4" ht="20.25" x14ac:dyDescent="0.25">
      <c r="A155" s="114"/>
      <c r="B155" s="23"/>
      <c r="C155" s="35"/>
      <c r="D155" s="35"/>
    </row>
    <row r="156" spans="1:4" ht="20.25" x14ac:dyDescent="0.25">
      <c r="A156" s="114"/>
      <c r="B156" s="23"/>
      <c r="C156" s="35"/>
      <c r="D156" s="35"/>
    </row>
    <row r="157" spans="1:4" ht="20.25" x14ac:dyDescent="0.25">
      <c r="A157" s="114"/>
      <c r="B157" s="23"/>
      <c r="C157" s="35"/>
      <c r="D157" s="35"/>
    </row>
    <row r="158" spans="1:4" ht="20.25" x14ac:dyDescent="0.25">
      <c r="A158" s="114"/>
      <c r="B158" s="23"/>
      <c r="C158" s="35"/>
      <c r="D158" s="35"/>
    </row>
    <row r="159" spans="1:4" ht="20.25" x14ac:dyDescent="0.25">
      <c r="A159" s="114"/>
      <c r="B159" s="23"/>
      <c r="C159" s="35"/>
      <c r="D159" s="35"/>
    </row>
    <row r="160" spans="1:4" ht="20.25" x14ac:dyDescent="0.25">
      <c r="A160" s="114"/>
      <c r="B160" s="23"/>
      <c r="C160" s="35"/>
      <c r="D160" s="35"/>
    </row>
    <row r="161" spans="1:4" ht="20.25" x14ac:dyDescent="0.25">
      <c r="A161" s="114"/>
      <c r="B161" s="23"/>
      <c r="C161" s="35"/>
      <c r="D161" s="35"/>
    </row>
    <row r="162" spans="1:4" ht="20.25" x14ac:dyDescent="0.25">
      <c r="A162" s="114"/>
      <c r="B162" s="23"/>
      <c r="C162" s="35"/>
      <c r="D162" s="35"/>
    </row>
    <row r="163" spans="1:4" ht="20.25" x14ac:dyDescent="0.25">
      <c r="A163" s="114"/>
      <c r="B163" s="23"/>
      <c r="C163" s="35"/>
      <c r="D163" s="35"/>
    </row>
    <row r="164" spans="1:4" ht="20.25" x14ac:dyDescent="0.25">
      <c r="A164" s="114"/>
      <c r="B164" s="23"/>
      <c r="C164" s="35"/>
      <c r="D164" s="35"/>
    </row>
    <row r="165" spans="1:4" ht="20.25" x14ac:dyDescent="0.25">
      <c r="A165" s="114"/>
      <c r="B165" s="23"/>
      <c r="C165" s="35"/>
      <c r="D165" s="35"/>
    </row>
    <row r="166" spans="1:4" ht="20.25" x14ac:dyDescent="0.25">
      <c r="A166" s="114"/>
      <c r="B166" s="23"/>
      <c r="C166" s="35"/>
      <c r="D166" s="35"/>
    </row>
    <row r="167" spans="1:4" ht="20.25" x14ac:dyDescent="0.25">
      <c r="A167" s="114"/>
      <c r="B167" s="23"/>
      <c r="C167" s="35"/>
      <c r="D167" s="35"/>
    </row>
    <row r="168" spans="1:4" ht="20.25" x14ac:dyDescent="0.25">
      <c r="A168" s="114"/>
      <c r="B168" s="23"/>
      <c r="C168" s="35"/>
      <c r="D168" s="35"/>
    </row>
    <row r="169" spans="1:4" ht="20.25" x14ac:dyDescent="0.25">
      <c r="A169" s="114"/>
      <c r="B169" s="23"/>
      <c r="C169" s="35"/>
      <c r="D169" s="35"/>
    </row>
    <row r="170" spans="1:4" ht="20.25" x14ac:dyDescent="0.25">
      <c r="A170" s="114"/>
      <c r="B170" s="23"/>
      <c r="C170" s="35"/>
      <c r="D170" s="35"/>
    </row>
    <row r="171" spans="1:4" ht="20.25" x14ac:dyDescent="0.25">
      <c r="A171" s="114"/>
      <c r="B171" s="23"/>
      <c r="C171" s="35"/>
      <c r="D171" s="35"/>
    </row>
    <row r="172" spans="1:4" ht="20.25" x14ac:dyDescent="0.25">
      <c r="A172" s="114"/>
      <c r="B172" s="23"/>
      <c r="C172" s="35"/>
      <c r="D172" s="35"/>
    </row>
    <row r="173" spans="1:4" ht="20.25" x14ac:dyDescent="0.25">
      <c r="A173" s="114"/>
      <c r="B173" s="23"/>
      <c r="C173" s="35"/>
      <c r="D173" s="35"/>
    </row>
    <row r="174" spans="1:4" ht="20.25" x14ac:dyDescent="0.25">
      <c r="A174" s="114"/>
      <c r="B174" s="23"/>
      <c r="C174" s="35"/>
      <c r="D174" s="35"/>
    </row>
    <row r="175" spans="1:4" ht="20.25" x14ac:dyDescent="0.25">
      <c r="A175" s="114"/>
      <c r="B175" s="23"/>
      <c r="C175" s="35"/>
      <c r="D175" s="35"/>
    </row>
    <row r="176" spans="1:4" ht="20.25" x14ac:dyDescent="0.25">
      <c r="A176" s="114"/>
      <c r="B176" s="23"/>
      <c r="C176" s="35"/>
      <c r="D176" s="35"/>
    </row>
    <row r="177" spans="1:4" ht="20.25" x14ac:dyDescent="0.25">
      <c r="A177" s="114"/>
      <c r="B177" s="23"/>
      <c r="C177" s="35"/>
      <c r="D177" s="35"/>
    </row>
    <row r="178" spans="1:4" ht="20.25" x14ac:dyDescent="0.25">
      <c r="A178" s="114"/>
      <c r="B178" s="23"/>
      <c r="C178" s="35"/>
      <c r="D178" s="35"/>
    </row>
    <row r="179" spans="1:4" ht="20.25" x14ac:dyDescent="0.25">
      <c r="A179" s="114"/>
      <c r="B179" s="23"/>
      <c r="C179" s="35"/>
      <c r="D179" s="35"/>
    </row>
    <row r="180" spans="1:4" ht="20.25" x14ac:dyDescent="0.25">
      <c r="A180" s="114"/>
      <c r="B180" s="23"/>
      <c r="C180" s="35"/>
      <c r="D180" s="35"/>
    </row>
    <row r="181" spans="1:4" ht="20.25" x14ac:dyDescent="0.25">
      <c r="A181" s="114"/>
      <c r="B181" s="23"/>
      <c r="C181" s="35"/>
      <c r="D181" s="35"/>
    </row>
    <row r="182" spans="1:4" ht="20.25" x14ac:dyDescent="0.25">
      <c r="A182" s="114"/>
      <c r="B182" s="23"/>
      <c r="C182" s="35"/>
      <c r="D182" s="35"/>
    </row>
    <row r="183" spans="1:4" ht="20.25" x14ac:dyDescent="0.25">
      <c r="A183" s="114"/>
      <c r="B183" s="23"/>
      <c r="C183" s="35"/>
      <c r="D183" s="35"/>
    </row>
    <row r="184" spans="1:4" ht="20.25" x14ac:dyDescent="0.25">
      <c r="A184" s="114"/>
      <c r="B184" s="23"/>
      <c r="C184" s="35"/>
      <c r="D184" s="35"/>
    </row>
    <row r="185" spans="1:4" ht="20.25" x14ac:dyDescent="0.25">
      <c r="A185" s="114"/>
      <c r="B185" s="23"/>
      <c r="C185" s="35"/>
      <c r="D185" s="35"/>
    </row>
    <row r="186" spans="1:4" ht="20.25" x14ac:dyDescent="0.25">
      <c r="A186" s="114"/>
      <c r="B186" s="23"/>
      <c r="C186" s="35"/>
      <c r="D186" s="35"/>
    </row>
    <row r="187" spans="1:4" ht="20.25" x14ac:dyDescent="0.25">
      <c r="A187" s="114"/>
      <c r="B187" s="23"/>
      <c r="C187" s="35"/>
      <c r="D187" s="35"/>
    </row>
    <row r="188" spans="1:4" ht="20.25" x14ac:dyDescent="0.25">
      <c r="A188" s="114"/>
      <c r="B188" s="23"/>
      <c r="C188" s="35"/>
      <c r="D188" s="35"/>
    </row>
    <row r="189" spans="1:4" ht="20.25" x14ac:dyDescent="0.25">
      <c r="A189" s="114"/>
      <c r="B189" s="23"/>
      <c r="C189" s="35"/>
      <c r="D189" s="35"/>
    </row>
    <row r="190" spans="1:4" ht="20.25" x14ac:dyDescent="0.25">
      <c r="A190" s="114"/>
      <c r="B190" s="23"/>
      <c r="C190" s="35"/>
      <c r="D190" s="35"/>
    </row>
    <row r="191" spans="1:4" ht="20.25" x14ac:dyDescent="0.25">
      <c r="A191" s="114"/>
      <c r="B191" s="23"/>
      <c r="C191" s="35"/>
      <c r="D191" s="35"/>
    </row>
    <row r="192" spans="1:4" ht="20.25" x14ac:dyDescent="0.25">
      <c r="A192" s="114"/>
      <c r="B192" s="23"/>
      <c r="C192" s="35"/>
      <c r="D192" s="35"/>
    </row>
    <row r="193" spans="1:4" ht="20.25" x14ac:dyDescent="0.25">
      <c r="A193" s="114"/>
      <c r="B193" s="23"/>
      <c r="C193" s="35"/>
      <c r="D193" s="35"/>
    </row>
    <row r="194" spans="1:4" ht="20.25" x14ac:dyDescent="0.25">
      <c r="A194" s="114"/>
      <c r="B194" s="23"/>
      <c r="C194" s="35"/>
      <c r="D194" s="35"/>
    </row>
    <row r="195" spans="1:4" ht="20.25" x14ac:dyDescent="0.25">
      <c r="A195" s="114"/>
      <c r="B195" s="23"/>
      <c r="C195" s="35"/>
      <c r="D195" s="35"/>
    </row>
    <row r="196" spans="1:4" ht="20.25" x14ac:dyDescent="0.25">
      <c r="A196" s="114"/>
      <c r="B196" s="23"/>
      <c r="C196" s="35"/>
      <c r="D196" s="35"/>
    </row>
    <row r="197" spans="1:4" ht="20.25" x14ac:dyDescent="0.25">
      <c r="A197" s="114"/>
      <c r="B197" s="23"/>
      <c r="C197" s="35"/>
      <c r="D197" s="35"/>
    </row>
    <row r="198" spans="1:4" ht="20.25" x14ac:dyDescent="0.25">
      <c r="A198" s="114"/>
      <c r="B198" s="23"/>
      <c r="C198" s="35"/>
      <c r="D198" s="35"/>
    </row>
    <row r="199" spans="1:4" ht="20.25" x14ac:dyDescent="0.25">
      <c r="A199" s="114"/>
      <c r="B199" s="23"/>
      <c r="C199" s="35"/>
      <c r="D199" s="35"/>
    </row>
    <row r="200" spans="1:4" ht="20.25" x14ac:dyDescent="0.25">
      <c r="A200" s="114"/>
      <c r="B200" s="23"/>
      <c r="C200" s="35"/>
      <c r="D200" s="35"/>
    </row>
    <row r="201" spans="1:4" ht="20.25" x14ac:dyDescent="0.25">
      <c r="A201" s="114"/>
      <c r="B201" s="23"/>
      <c r="C201" s="35"/>
      <c r="D201" s="35"/>
    </row>
    <row r="202" spans="1:4" ht="20.25" x14ac:dyDescent="0.25">
      <c r="A202" s="114"/>
      <c r="B202" s="23"/>
      <c r="C202" s="35"/>
      <c r="D202" s="35"/>
    </row>
    <row r="203" spans="1:4" ht="20.25" x14ac:dyDescent="0.25">
      <c r="A203" s="114"/>
      <c r="B203" s="23"/>
      <c r="C203" s="35"/>
      <c r="D203" s="35"/>
    </row>
    <row r="204" spans="1:4" ht="20.25" x14ac:dyDescent="0.25">
      <c r="A204" s="114"/>
      <c r="B204" s="23"/>
      <c r="C204" s="35"/>
      <c r="D204" s="35"/>
    </row>
    <row r="205" spans="1:4" ht="20.25" x14ac:dyDescent="0.25">
      <c r="A205" s="114"/>
      <c r="B205" s="23"/>
      <c r="C205" s="35"/>
      <c r="D205" s="35"/>
    </row>
    <row r="206" spans="1:4" ht="20.25" x14ac:dyDescent="0.25">
      <c r="A206" s="114"/>
      <c r="B206" s="23"/>
      <c r="C206" s="35"/>
      <c r="D206" s="35"/>
    </row>
    <row r="207" spans="1:4" ht="20.25" x14ac:dyDescent="0.25">
      <c r="A207" s="114"/>
      <c r="B207" s="23"/>
      <c r="C207" s="35"/>
      <c r="D207" s="35"/>
    </row>
    <row r="208" spans="1:4" x14ac:dyDescent="0.25">
      <c r="A208" s="94"/>
      <c r="B208" s="23"/>
      <c r="C208" s="23"/>
      <c r="D208" s="23"/>
    </row>
    <row r="209" spans="1:8" ht="20.25" x14ac:dyDescent="0.25">
      <c r="A209" s="94"/>
      <c r="B209" s="31" t="s">
        <v>88</v>
      </c>
      <c r="C209" s="31" t="s">
        <v>143</v>
      </c>
      <c r="D209" s="34" t="s">
        <v>88</v>
      </c>
      <c r="E209" s="34" t="s">
        <v>143</v>
      </c>
    </row>
    <row r="210" spans="1:8" ht="21" x14ac:dyDescent="0.35">
      <c r="A210" s="94"/>
      <c r="B210" s="32" t="s">
        <v>90</v>
      </c>
      <c r="C210" s="32"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94"/>
      <c r="B211" s="32" t="s">
        <v>90</v>
      </c>
      <c r="C211" s="32" t="s">
        <v>93</v>
      </c>
      <c r="E211" t="s">
        <v>58</v>
      </c>
      <c r="F211" t="str">
        <f t="shared" ref="F211:F221" si="0">IF(NOT(ISBLANK(D211)),D211,IF(NOT(ISBLANK(E211)),"     "&amp;E211,FALSE))</f>
        <v xml:space="preserve">     Afectación menor a 10 SMLMV .</v>
      </c>
    </row>
    <row r="212" spans="1:8" ht="21" x14ac:dyDescent="0.35">
      <c r="A212" s="94"/>
      <c r="B212" s="32" t="s">
        <v>90</v>
      </c>
      <c r="C212" s="32" t="s">
        <v>94</v>
      </c>
      <c r="E212" t="s">
        <v>93</v>
      </c>
      <c r="F212" t="str">
        <f t="shared" si="0"/>
        <v xml:space="preserve">     Entre 10 y 50 SMLMV </v>
      </c>
    </row>
    <row r="213" spans="1:8" ht="21" x14ac:dyDescent="0.35">
      <c r="A213" s="94"/>
      <c r="B213" s="32" t="s">
        <v>90</v>
      </c>
      <c r="C213" s="32" t="s">
        <v>95</v>
      </c>
      <c r="E213" t="s">
        <v>94</v>
      </c>
      <c r="F213" t="str">
        <f t="shared" si="0"/>
        <v xml:space="preserve">     Entre 50 y 100 SMLMV </v>
      </c>
    </row>
    <row r="214" spans="1:8" ht="21" x14ac:dyDescent="0.35">
      <c r="A214" s="94"/>
      <c r="B214" s="32" t="s">
        <v>90</v>
      </c>
      <c r="C214" s="32" t="s">
        <v>96</v>
      </c>
      <c r="E214" t="s">
        <v>95</v>
      </c>
      <c r="F214" t="str">
        <f t="shared" si="0"/>
        <v xml:space="preserve">     Entre 100 y 500 SMLMV </v>
      </c>
    </row>
    <row r="215" spans="1:8" ht="21" x14ac:dyDescent="0.35">
      <c r="A215" s="94"/>
      <c r="B215" s="32" t="s">
        <v>57</v>
      </c>
      <c r="C215" s="32" t="s">
        <v>97</v>
      </c>
      <c r="E215" t="s">
        <v>96</v>
      </c>
      <c r="F215" t="str">
        <f t="shared" si="0"/>
        <v xml:space="preserve">     Mayor a 500 SMLMV </v>
      </c>
    </row>
    <row r="216" spans="1:8" ht="21" x14ac:dyDescent="0.35">
      <c r="A216" s="94"/>
      <c r="B216" s="32" t="s">
        <v>57</v>
      </c>
      <c r="C216" s="32" t="s">
        <v>98</v>
      </c>
      <c r="D216" t="s">
        <v>57</v>
      </c>
      <c r="F216" t="str">
        <f t="shared" si="0"/>
        <v>Pérdida Reputacional</v>
      </c>
    </row>
    <row r="217" spans="1:8" ht="21" x14ac:dyDescent="0.35">
      <c r="A217" s="94"/>
      <c r="B217" s="32" t="s">
        <v>57</v>
      </c>
      <c r="C217" s="32" t="s">
        <v>100</v>
      </c>
      <c r="E217" t="s">
        <v>97</v>
      </c>
      <c r="F217" t="str">
        <f t="shared" si="0"/>
        <v xml:space="preserve">     El riesgo afecta la imagen de alguna área de la organización</v>
      </c>
    </row>
    <row r="218" spans="1:8" ht="21" x14ac:dyDescent="0.35">
      <c r="A218" s="94"/>
      <c r="B218" s="32" t="s">
        <v>57</v>
      </c>
      <c r="C218" s="32" t="s">
        <v>99</v>
      </c>
      <c r="E218" t="s">
        <v>98</v>
      </c>
      <c r="F218" t="str">
        <f t="shared" si="0"/>
        <v xml:space="preserve">     El riesgo afecta la imagen de la entidad internamente, de conocimiento general, nivel interno, de junta dircetiva y accionistas y/o de provedores</v>
      </c>
    </row>
    <row r="219" spans="1:8" ht="21" x14ac:dyDescent="0.35">
      <c r="A219" s="94"/>
      <c r="B219" s="32" t="s">
        <v>57</v>
      </c>
      <c r="C219" s="32" t="s">
        <v>118</v>
      </c>
      <c r="E219" t="s">
        <v>100</v>
      </c>
      <c r="F219" t="str">
        <f t="shared" si="0"/>
        <v xml:space="preserve">     El riesgo afecta la imagen de la entidad con algunos usuarios de relevancia frente al logro de los objetivos</v>
      </c>
    </row>
    <row r="220" spans="1:8" x14ac:dyDescent="0.25">
      <c r="A220" s="94"/>
      <c r="B220" s="33"/>
      <c r="C220" s="33"/>
      <c r="E220" t="s">
        <v>99</v>
      </c>
      <c r="F220" t="str">
        <f t="shared" si="0"/>
        <v xml:space="preserve">     El riesgo afecta la imagen de de la entidad con efecto publicitario sostenido a nivel de sector administrativo, nivel departamental o municipal</v>
      </c>
    </row>
    <row r="221" spans="1:8" x14ac:dyDescent="0.25">
      <c r="A221" s="94"/>
      <c r="B221" s="33" t="e" cm="1">
        <f t="array" aca="1" ref="B221:B223" ca="1">_xlfn.UNIQUE(Tabla1[[#All],[Criterios]])</f>
        <v>#NAME?</v>
      </c>
      <c r="C221" s="33"/>
      <c r="E221" t="s">
        <v>118</v>
      </c>
      <c r="F221" t="str">
        <f t="shared" si="0"/>
        <v xml:space="preserve">     El riesgo afecta la imagen de la entidad a nivel nacional, con efecto publicitarios sostenible a nivel país</v>
      </c>
    </row>
    <row r="222" spans="1:8" x14ac:dyDescent="0.25">
      <c r="A222" s="94"/>
      <c r="B222" s="33" t="e">
        <f ca="1"/>
        <v>#NAME?</v>
      </c>
      <c r="C222" s="33"/>
    </row>
    <row r="223" spans="1:8" x14ac:dyDescent="0.25">
      <c r="B223" s="33" t="e">
        <f ca="1"/>
        <v>#NAME?</v>
      </c>
      <c r="C223" s="33"/>
      <c r="F223" s="36" t="s">
        <v>145</v>
      </c>
    </row>
    <row r="224" spans="1:8" x14ac:dyDescent="0.25">
      <c r="B224" s="22"/>
      <c r="C224" s="22"/>
      <c r="F224" s="36" t="s">
        <v>146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election activeCell="G4" sqref="G4"/>
    </sheetView>
  </sheetViews>
  <sheetFormatPr baseColWidth="10" defaultColWidth="14.28515625" defaultRowHeight="12.75" x14ac:dyDescent="0.2"/>
  <cols>
    <col min="1" max="2" width="14.28515625" style="99"/>
    <col min="3" max="3" width="17" style="99" customWidth="1"/>
    <col min="4" max="4" width="14.28515625" style="99"/>
    <col min="5" max="5" width="46" style="99" customWidth="1"/>
    <col min="6" max="16384" width="14.28515625" style="99"/>
  </cols>
  <sheetData>
    <row r="1" spans="2:6" ht="24" customHeight="1" thickBot="1" x14ac:dyDescent="0.25">
      <c r="B1" s="383" t="s">
        <v>78</v>
      </c>
      <c r="C1" s="384"/>
      <c r="D1" s="384"/>
      <c r="E1" s="384"/>
      <c r="F1" s="385"/>
    </row>
    <row r="2" spans="2:6" ht="16.5" thickBot="1" x14ac:dyDescent="0.3">
      <c r="B2" s="100"/>
      <c r="C2" s="100"/>
      <c r="D2" s="100"/>
      <c r="E2" s="100"/>
      <c r="F2" s="100"/>
    </row>
    <row r="3" spans="2:6" ht="16.5" thickBot="1" x14ac:dyDescent="0.25">
      <c r="B3" s="387" t="s">
        <v>64</v>
      </c>
      <c r="C3" s="388"/>
      <c r="D3" s="388"/>
      <c r="E3" s="112" t="s">
        <v>65</v>
      </c>
      <c r="F3" s="113" t="s">
        <v>66</v>
      </c>
    </row>
    <row r="4" spans="2:6" ht="31.5" x14ac:dyDescent="0.2">
      <c r="B4" s="389" t="s">
        <v>67</v>
      </c>
      <c r="C4" s="391" t="s">
        <v>13</v>
      </c>
      <c r="D4" s="101" t="s">
        <v>14</v>
      </c>
      <c r="E4" s="102" t="s">
        <v>68</v>
      </c>
      <c r="F4" s="103">
        <v>0.25</v>
      </c>
    </row>
    <row r="5" spans="2:6" ht="47.25" x14ac:dyDescent="0.2">
      <c r="B5" s="390"/>
      <c r="C5" s="392"/>
      <c r="D5" s="104" t="s">
        <v>15</v>
      </c>
      <c r="E5" s="105" t="s">
        <v>69</v>
      </c>
      <c r="F5" s="106">
        <v>0.15</v>
      </c>
    </row>
    <row r="6" spans="2:6" ht="47.25" x14ac:dyDescent="0.2">
      <c r="B6" s="390"/>
      <c r="C6" s="392"/>
      <c r="D6" s="104" t="s">
        <v>16</v>
      </c>
      <c r="E6" s="105" t="s">
        <v>70</v>
      </c>
      <c r="F6" s="106">
        <v>0.1</v>
      </c>
    </row>
    <row r="7" spans="2:6" ht="63" x14ac:dyDescent="0.2">
      <c r="B7" s="390"/>
      <c r="C7" s="392" t="s">
        <v>17</v>
      </c>
      <c r="D7" s="104" t="s">
        <v>10</v>
      </c>
      <c r="E7" s="105" t="s">
        <v>71</v>
      </c>
      <c r="F7" s="106">
        <v>0.25</v>
      </c>
    </row>
    <row r="8" spans="2:6" ht="31.5" x14ac:dyDescent="0.2">
      <c r="B8" s="390"/>
      <c r="C8" s="392"/>
      <c r="D8" s="104" t="s">
        <v>9</v>
      </c>
      <c r="E8" s="105" t="s">
        <v>72</v>
      </c>
      <c r="F8" s="106">
        <v>0.15</v>
      </c>
    </row>
    <row r="9" spans="2:6" ht="47.25" x14ac:dyDescent="0.2">
      <c r="B9" s="390" t="s">
        <v>160</v>
      </c>
      <c r="C9" s="392" t="s">
        <v>18</v>
      </c>
      <c r="D9" s="104" t="s">
        <v>19</v>
      </c>
      <c r="E9" s="105" t="s">
        <v>73</v>
      </c>
      <c r="F9" s="107" t="s">
        <v>74</v>
      </c>
    </row>
    <row r="10" spans="2:6" ht="63" x14ac:dyDescent="0.2">
      <c r="B10" s="390"/>
      <c r="C10" s="392"/>
      <c r="D10" s="104" t="s">
        <v>20</v>
      </c>
      <c r="E10" s="105" t="s">
        <v>75</v>
      </c>
      <c r="F10" s="107" t="s">
        <v>74</v>
      </c>
    </row>
    <row r="11" spans="2:6" ht="47.25" x14ac:dyDescent="0.2">
      <c r="B11" s="390"/>
      <c r="C11" s="392" t="s">
        <v>21</v>
      </c>
      <c r="D11" s="104" t="s">
        <v>22</v>
      </c>
      <c r="E11" s="105" t="s">
        <v>76</v>
      </c>
      <c r="F11" s="107" t="s">
        <v>74</v>
      </c>
    </row>
    <row r="12" spans="2:6" ht="47.25" x14ac:dyDescent="0.2">
      <c r="B12" s="390"/>
      <c r="C12" s="392"/>
      <c r="D12" s="104" t="s">
        <v>23</v>
      </c>
      <c r="E12" s="105" t="s">
        <v>77</v>
      </c>
      <c r="F12" s="107" t="s">
        <v>74</v>
      </c>
    </row>
    <row r="13" spans="2:6" ht="31.5" x14ac:dyDescent="0.2">
      <c r="B13" s="390"/>
      <c r="C13" s="392" t="s">
        <v>24</v>
      </c>
      <c r="D13" s="104" t="s">
        <v>119</v>
      </c>
      <c r="E13" s="105" t="s">
        <v>122</v>
      </c>
      <c r="F13" s="107" t="s">
        <v>74</v>
      </c>
    </row>
    <row r="14" spans="2:6" ht="32.25" thickBot="1" x14ac:dyDescent="0.25">
      <c r="B14" s="393"/>
      <c r="C14" s="394"/>
      <c r="D14" s="108" t="s">
        <v>120</v>
      </c>
      <c r="E14" s="109" t="s">
        <v>121</v>
      </c>
      <c r="F14" s="110" t="s">
        <v>74</v>
      </c>
    </row>
    <row r="15" spans="2:6" ht="49.5" customHeight="1" x14ac:dyDescent="0.2">
      <c r="B15" s="386" t="s">
        <v>157</v>
      </c>
      <c r="C15" s="386"/>
      <c r="D15" s="386"/>
      <c r="E15" s="386"/>
      <c r="F15" s="386"/>
    </row>
    <row r="16" spans="2:6" ht="27" customHeight="1" x14ac:dyDescent="0.25">
      <c r="B16" s="11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2025-07-17T21:28:12Z</dcterms:modified>
</cp:coreProperties>
</file>