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hidePivotFieldList="1" defaultThemeVersion="124226"/>
  <mc:AlternateContent xmlns:mc="http://schemas.openxmlformats.org/markup-compatibility/2006">
    <mc:Choice Requires="x15">
      <x15ac:absPath xmlns:x15ac="http://schemas.microsoft.com/office/spreadsheetml/2010/11/ac" url="C:\Gobernación 2025\MIGP 2025\MAPA RIESGOS INSTITUCIONALES\Mapa Riesgos Institucionles 2025\"/>
    </mc:Choice>
  </mc:AlternateContent>
  <bookViews>
    <workbookView xWindow="0" yWindow="0" windowWidth="28800" windowHeight="11745" tabRatio="882" activeTab="1"/>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externalReferences>
    <externalReference r:id="rId10"/>
    <externalReference r:id="rId11"/>
    <externalReference r:id="rId12"/>
  </externalReferences>
  <calcPr calcId="162913"/>
  <pivotCaches>
    <pivotCache cacheId="9" r:id="rId13"/>
  </pivotCaches>
</workbook>
</file>

<file path=xl/calcChain.xml><?xml version="1.0" encoding="utf-8"?>
<calcChain xmlns="http://schemas.openxmlformats.org/spreadsheetml/2006/main">
  <c r="AD22" i="18" l="1"/>
  <c r="L6" i="18" l="1"/>
  <c r="L8" i="18"/>
  <c r="T16" i="1" l="1"/>
  <c r="H27" i="1" l="1"/>
  <c r="I27" i="1" s="1"/>
  <c r="T27" i="1"/>
  <c r="AM27" i="1"/>
  <c r="AR27" i="1"/>
  <c r="X27" i="1" l="1"/>
  <c r="Y27" i="1" s="1"/>
  <c r="Z27" i="1" l="1"/>
  <c r="T13" i="1"/>
  <c r="AM13" i="1"/>
  <c r="AR13" i="1"/>
  <c r="K13" i="1"/>
  <c r="Q21" i="1" l="1"/>
  <c r="H20" i="1"/>
  <c r="T12" i="1" l="1"/>
  <c r="AR20" i="1" l="1"/>
  <c r="AM20" i="1"/>
  <c r="T20" i="1"/>
  <c r="Q20" i="1"/>
  <c r="I20" i="1"/>
  <c r="X20" i="1" l="1"/>
  <c r="Z20" i="1" l="1"/>
  <c r="Y20" i="1"/>
  <c r="M20" i="1" l="1"/>
  <c r="AB20" i="1" s="1"/>
  <c r="AA20" i="1" s="1"/>
  <c r="AC20" i="1" s="1"/>
  <c r="N20" i="1" l="1"/>
  <c r="AR14" i="1" l="1"/>
  <c r="AR15" i="1"/>
  <c r="AR16" i="1"/>
  <c r="AR17" i="1"/>
  <c r="AR18" i="1"/>
  <c r="AR19" i="1"/>
  <c r="AR21" i="1"/>
  <c r="AR32" i="1"/>
  <c r="AR33" i="1"/>
  <c r="AR34" i="1"/>
  <c r="AR12" i="1"/>
  <c r="AM14" i="1"/>
  <c r="AM15" i="1"/>
  <c r="AM16" i="1"/>
  <c r="AM17" i="1"/>
  <c r="AM18" i="1"/>
  <c r="AM19" i="1"/>
  <c r="AM21" i="1"/>
  <c r="AM32" i="1"/>
  <c r="AM33" i="1"/>
  <c r="AM34" i="1"/>
  <c r="AM12" i="1"/>
  <c r="T34" i="1"/>
  <c r="Q34" i="1"/>
  <c r="H34" i="1"/>
  <c r="I34" i="1" s="1"/>
  <c r="T33" i="1"/>
  <c r="T32" i="1"/>
  <c r="Q32" i="1"/>
  <c r="H32" i="1"/>
  <c r="H18" i="1"/>
  <c r="Q12" i="1"/>
  <c r="H12" i="1"/>
  <c r="I12" i="1" s="1"/>
  <c r="K26" i="1"/>
  <c r="K33" i="1"/>
  <c r="K25" i="1"/>
  <c r="K15" i="1"/>
  <c r="K24" i="1"/>
  <c r="K19" i="1"/>
  <c r="K17" i="1"/>
  <c r="K22" i="1"/>
  <c r="K23" i="1"/>
  <c r="X34" i="1" l="1"/>
  <c r="I32" i="1"/>
  <c r="X32" i="1" s="1"/>
  <c r="F221" i="13"/>
  <c r="F211" i="13"/>
  <c r="F212" i="13"/>
  <c r="F213" i="13"/>
  <c r="F214" i="13"/>
  <c r="F215" i="13"/>
  <c r="F216" i="13"/>
  <c r="F217" i="13"/>
  <c r="F218" i="13"/>
  <c r="F219" i="13"/>
  <c r="F220" i="13"/>
  <c r="F210" i="13"/>
  <c r="B221" i="13" a="1"/>
  <c r="Z34" i="1" l="1"/>
  <c r="Y34" i="1"/>
  <c r="Y32" i="1"/>
  <c r="Z32" i="1"/>
  <c r="X33" i="1" s="1"/>
  <c r="Z33" i="1" s="1"/>
  <c r="B221" i="13"/>
  <c r="Y33" i="1" l="1"/>
  <c r="AE56" i="19"/>
  <c r="AD56" i="19"/>
  <c r="AF56" i="19"/>
  <c r="AG56" i="19"/>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26" i="1" l="1"/>
  <c r="Q26" i="1"/>
  <c r="T25" i="1"/>
  <c r="Q25" i="1"/>
  <c r="T24" i="1"/>
  <c r="Q24" i="1"/>
  <c r="T23" i="1"/>
  <c r="Q23" i="1"/>
  <c r="T22" i="1"/>
  <c r="Q22" i="1"/>
  <c r="T21" i="1"/>
  <c r="H21" i="1"/>
  <c r="I21" i="1" s="1"/>
  <c r="T19" i="1"/>
  <c r="T18" i="1"/>
  <c r="Q18" i="1"/>
  <c r="I18" i="1"/>
  <c r="T17" i="1"/>
  <c r="H16" i="1"/>
  <c r="I16" i="1" s="1"/>
  <c r="T15" i="1"/>
  <c r="T14" i="1"/>
  <c r="Q14" i="1"/>
  <c r="H14" i="1"/>
  <c r="I14" i="1" s="1"/>
  <c r="X21" i="1" l="1"/>
  <c r="X18" i="1"/>
  <c r="X14" i="1"/>
  <c r="Y21" i="1" l="1"/>
  <c r="Z21" i="1"/>
  <c r="X22" i="1" s="1"/>
  <c r="Z22" i="1" s="1"/>
  <c r="X23" i="1" s="1"/>
  <c r="Y18" i="1"/>
  <c r="Z18" i="1"/>
  <c r="X19" i="1" s="1"/>
  <c r="Z19" i="1" s="1"/>
  <c r="Y14" i="1"/>
  <c r="Z14" i="1"/>
  <c r="X15" i="1" s="1"/>
  <c r="Y15" i="1" s="1"/>
  <c r="Y22" i="1" l="1"/>
  <c r="Z15" i="1"/>
  <c r="X16" i="1" s="1"/>
  <c r="Y19" i="1"/>
  <c r="Z23" i="1"/>
  <c r="X24" i="1" s="1"/>
  <c r="Y23" i="1"/>
  <c r="Z16" i="1" l="1"/>
  <c r="X17" i="1" s="1"/>
  <c r="Y16" i="1"/>
  <c r="Y24" i="1"/>
  <c r="Z24" i="1"/>
  <c r="X25" i="1" s="1"/>
  <c r="Z17" i="1" l="1"/>
  <c r="Y17" i="1"/>
  <c r="Y25" i="1"/>
  <c r="Z25" i="1"/>
  <c r="X26" i="1" s="1"/>
  <c r="Y26" i="1" l="1"/>
  <c r="Z26" i="1"/>
  <c r="X12" i="1"/>
  <c r="Y12" i="1" s="1"/>
  <c r="Z12" i="1" l="1"/>
  <c r="X13" i="1" s="1"/>
  <c r="Y13" i="1" l="1"/>
  <c r="Z13" i="1"/>
  <c r="AH34" i="18" l="1"/>
  <c r="AH42" i="18"/>
  <c r="AH18" i="18"/>
  <c r="AB10" i="18"/>
  <c r="J26" i="18"/>
  <c r="V18" i="18"/>
  <c r="V42" i="18"/>
  <c r="J42" i="18"/>
  <c r="P10" i="18"/>
  <c r="AB26" i="18"/>
  <c r="J34" i="18"/>
  <c r="J18" i="18"/>
  <c r="AH10" i="18"/>
  <c r="AB34" i="18"/>
  <c r="P26" i="18"/>
  <c r="P34" i="18"/>
  <c r="V34" i="18"/>
  <c r="AH26" i="18"/>
  <c r="J10" i="18"/>
  <c r="P18" i="18"/>
  <c r="AB42" i="18"/>
  <c r="V10" i="18"/>
  <c r="AB18" i="18"/>
  <c r="P42" i="18"/>
  <c r="V26" i="18"/>
  <c r="AB19" i="1" l="1"/>
  <c r="AB22" i="1"/>
  <c r="AA19" i="1" l="1"/>
  <c r="AB54" i="19"/>
  <c r="AB43" i="19"/>
  <c r="V43" i="19"/>
  <c r="AA22" i="1"/>
  <c r="AB23" i="1"/>
  <c r="AC53" i="19" l="1"/>
  <c r="AC19" i="1"/>
  <c r="AA23" i="1"/>
  <c r="AB24" i="1"/>
  <c r="AC22" i="1"/>
  <c r="AA24" i="1" l="1"/>
  <c r="AB25" i="1"/>
  <c r="AC23" i="1"/>
  <c r="AA25" i="1" l="1"/>
  <c r="AB26" i="1"/>
  <c r="AA26" i="1" s="1"/>
  <c r="AE55" i="19"/>
  <c r="AC24" i="1"/>
  <c r="AC26" i="1" l="1"/>
  <c r="AG55" i="19"/>
  <c r="AF55" i="19"/>
  <c r="AC25" i="1"/>
  <c r="B223" i="13"/>
  <c r="B222" i="13"/>
  <c r="K27" i="1" l="1"/>
  <c r="L27" i="1" s="1"/>
  <c r="M27" i="1" s="1"/>
  <c r="AB27" i="1" s="1"/>
  <c r="AA27" i="1" s="1"/>
  <c r="AC27" i="1" s="1"/>
  <c r="K32" i="1"/>
  <c r="L32" i="1" s="1"/>
  <c r="K34" i="1"/>
  <c r="L34" i="1" s="1"/>
  <c r="K18" i="1"/>
  <c r="L18" i="1" s="1"/>
  <c r="K16" i="1"/>
  <c r="L16" i="1" s="1"/>
  <c r="K14" i="1"/>
  <c r="L14" i="1" s="1"/>
  <c r="K21" i="1"/>
  <c r="L21" i="1" s="1"/>
  <c r="K12" i="1"/>
  <c r="L12" i="1" s="1"/>
  <c r="R38" i="18" l="1"/>
  <c r="L30" i="18"/>
  <c r="L38" i="18"/>
  <c r="R40" i="18"/>
  <c r="L32" i="18"/>
  <c r="L40" i="18"/>
  <c r="X40" i="18"/>
  <c r="R32" i="18"/>
  <c r="X24" i="18"/>
  <c r="L24" i="18"/>
  <c r="L16" i="18"/>
  <c r="X32" i="18"/>
  <c r="R24" i="18"/>
  <c r="R16" i="18"/>
  <c r="X30" i="18"/>
  <c r="R14" i="18"/>
  <c r="X38" i="18"/>
  <c r="R30" i="18"/>
  <c r="X22" i="18"/>
  <c r="L22" i="18"/>
  <c r="L14" i="18"/>
  <c r="R22" i="18"/>
  <c r="AD40" i="18"/>
  <c r="AD24" i="18"/>
  <c r="X16" i="18"/>
  <c r="AD32" i="18"/>
  <c r="AD16" i="18"/>
  <c r="AD38" i="18"/>
  <c r="X14" i="18"/>
  <c r="AD30" i="18"/>
  <c r="AD14" i="18"/>
  <c r="AJ40" i="18"/>
  <c r="AJ24" i="18"/>
  <c r="AJ8" i="18"/>
  <c r="AJ32" i="18"/>
  <c r="AJ16" i="18"/>
  <c r="AJ22" i="18"/>
  <c r="AJ6" i="18"/>
  <c r="AJ38" i="18"/>
  <c r="AJ30" i="18"/>
  <c r="AJ14" i="18"/>
  <c r="AD8" i="18"/>
  <c r="AD6" i="18"/>
  <c r="R8" i="18"/>
  <c r="X8" i="18"/>
  <c r="R6" i="18"/>
  <c r="X6" i="18"/>
  <c r="N27" i="1"/>
  <c r="AB38" i="18"/>
  <c r="V30" i="18"/>
  <c r="M12" i="1"/>
  <c r="AB12" i="1" s="1"/>
  <c r="AB13" i="1" s="1"/>
  <c r="AH30" i="18"/>
  <c r="P38" i="18"/>
  <c r="N12" i="1"/>
  <c r="AH6" i="18"/>
  <c r="AH22" i="18"/>
  <c r="J30" i="18"/>
  <c r="V38" i="18"/>
  <c r="P30" i="18"/>
  <c r="P22" i="18"/>
  <c r="AB6" i="18"/>
  <c r="V6" i="18"/>
  <c r="AB30" i="18"/>
  <c r="J38" i="18"/>
  <c r="V14" i="18"/>
  <c r="J14" i="18"/>
  <c r="AB14" i="18"/>
  <c r="J22" i="18"/>
  <c r="V22" i="18"/>
  <c r="AB22" i="18"/>
  <c r="J6" i="18"/>
  <c r="AH38" i="18"/>
  <c r="P6" i="18"/>
  <c r="P14" i="18"/>
  <c r="AH14" i="18"/>
  <c r="X10" i="18"/>
  <c r="M21" i="1"/>
  <c r="AB21" i="1" s="1"/>
  <c r="AA21" i="1" s="1"/>
  <c r="X42" i="18"/>
  <c r="AJ42" i="18"/>
  <c r="L42" i="18"/>
  <c r="AJ18" i="18"/>
  <c r="R18" i="18"/>
  <c r="AD26" i="18"/>
  <c r="R26" i="18"/>
  <c r="L10" i="18"/>
  <c r="L34" i="18"/>
  <c r="AD10" i="18"/>
  <c r="AJ34" i="18"/>
  <c r="AD18" i="18"/>
  <c r="L18" i="18"/>
  <c r="AD34" i="18"/>
  <c r="X26" i="18"/>
  <c r="X18" i="18"/>
  <c r="X34" i="18"/>
  <c r="AD42" i="18"/>
  <c r="R34" i="18"/>
  <c r="R10" i="18"/>
  <c r="T34" i="18"/>
  <c r="R42" i="18"/>
  <c r="N21" i="1"/>
  <c r="L26" i="18"/>
  <c r="AJ26" i="18"/>
  <c r="AJ10" i="18"/>
  <c r="AF22" i="18"/>
  <c r="M14" i="1"/>
  <c r="AB14" i="1" s="1"/>
  <c r="AB17" i="1" s="1"/>
  <c r="AA17" i="1" s="1"/>
  <c r="AC17" i="1" s="1"/>
  <c r="AF38" i="18"/>
  <c r="N38" i="18"/>
  <c r="Z30" i="18"/>
  <c r="T6" i="18"/>
  <c r="AL38" i="18"/>
  <c r="AL6" i="18"/>
  <c r="AL14" i="18"/>
  <c r="Z6" i="18"/>
  <c r="N14" i="1"/>
  <c r="AL22" i="18"/>
  <c r="N6" i="18"/>
  <c r="AF14" i="18"/>
  <c r="N30" i="18"/>
  <c r="Z22" i="18"/>
  <c r="AF6" i="18"/>
  <c r="T14" i="18"/>
  <c r="T30" i="18"/>
  <c r="T22" i="18"/>
  <c r="Z38" i="18"/>
  <c r="AL30" i="18"/>
  <c r="N14" i="18"/>
  <c r="T38" i="18"/>
  <c r="Z14" i="18"/>
  <c r="N22" i="18"/>
  <c r="AF30" i="18"/>
  <c r="AH16" i="18"/>
  <c r="V32" i="18"/>
  <c r="AB16" i="18"/>
  <c r="AH8" i="18"/>
  <c r="AB40" i="18"/>
  <c r="P32" i="18"/>
  <c r="P8" i="18"/>
  <c r="P40" i="18"/>
  <c r="M16" i="1"/>
  <c r="AH24" i="18"/>
  <c r="AH40" i="18"/>
  <c r="P16" i="18"/>
  <c r="V16" i="18"/>
  <c r="V40" i="18"/>
  <c r="AH32" i="18"/>
  <c r="N16" i="1"/>
  <c r="J40" i="18"/>
  <c r="AB32" i="18"/>
  <c r="AB24" i="18"/>
  <c r="J16" i="18"/>
  <c r="J32" i="18"/>
  <c r="P24" i="18"/>
  <c r="V8" i="18"/>
  <c r="J8" i="18"/>
  <c r="J24" i="18"/>
  <c r="V24" i="18"/>
  <c r="AB8" i="18"/>
  <c r="T32" i="18"/>
  <c r="T40" i="18"/>
  <c r="N40" i="18"/>
  <c r="AF8" i="18"/>
  <c r="T8" i="18"/>
  <c r="AL24" i="18"/>
  <c r="Z32" i="18"/>
  <c r="M18" i="1"/>
  <c r="AB18" i="1" s="1"/>
  <c r="AA18" i="1" s="1"/>
  <c r="Z8" i="18"/>
  <c r="N24" i="18"/>
  <c r="AL32" i="18"/>
  <c r="AL8" i="18"/>
  <c r="AL16" i="18"/>
  <c r="N8" i="18"/>
  <c r="N16" i="18"/>
  <c r="AF24" i="18"/>
  <c r="Z40" i="18"/>
  <c r="Z16" i="18"/>
  <c r="AF40" i="18"/>
  <c r="AL40" i="18"/>
  <c r="T24" i="18"/>
  <c r="T16" i="18"/>
  <c r="Z24" i="18"/>
  <c r="AF16" i="18"/>
  <c r="AF32" i="18"/>
  <c r="N32" i="18"/>
  <c r="N18" i="1"/>
  <c r="N34" i="18"/>
  <c r="AF10" i="18"/>
  <c r="Z26" i="18"/>
  <c r="N10" i="18"/>
  <c r="AF42" i="18"/>
  <c r="AF26" i="18"/>
  <c r="T10" i="18"/>
  <c r="AL42" i="18"/>
  <c r="N26" i="18"/>
  <c r="T26" i="18"/>
  <c r="T42" i="18"/>
  <c r="Z42" i="18"/>
  <c r="AF18" i="18"/>
  <c r="Z34" i="18"/>
  <c r="Z18" i="18"/>
  <c r="AF34" i="18"/>
  <c r="AL34" i="18"/>
  <c r="AL18" i="18"/>
  <c r="N42" i="18"/>
  <c r="T18" i="18"/>
  <c r="AL10" i="18"/>
  <c r="N18" i="18"/>
  <c r="AL26" i="18"/>
  <c r="Z10" i="18"/>
  <c r="AH12" i="18"/>
  <c r="J28" i="18"/>
  <c r="P28" i="18"/>
  <c r="AH36" i="18"/>
  <c r="AH20" i="18"/>
  <c r="J44" i="18"/>
  <c r="P36" i="18"/>
  <c r="N34" i="1"/>
  <c r="V12" i="18"/>
  <c r="AB12" i="18"/>
  <c r="M34" i="1"/>
  <c r="AB34" i="1" s="1"/>
  <c r="AA34" i="1" s="1"/>
  <c r="AH28" i="18"/>
  <c r="V44" i="18"/>
  <c r="P44" i="18"/>
  <c r="P20" i="18"/>
  <c r="J36" i="18"/>
  <c r="J12" i="18"/>
  <c r="AH44" i="18"/>
  <c r="J20" i="18"/>
  <c r="V20" i="18"/>
  <c r="AB44" i="18"/>
  <c r="AB28" i="18"/>
  <c r="V28" i="18"/>
  <c r="AB36" i="18"/>
  <c r="V36" i="18"/>
  <c r="P12" i="18"/>
  <c r="M32" i="1"/>
  <c r="AB32" i="1" s="1"/>
  <c r="AA32" i="1" s="1"/>
  <c r="AB20" i="18"/>
  <c r="N32" i="1"/>
  <c r="AA13" i="1" l="1"/>
  <c r="AC13" i="1" s="1"/>
  <c r="AB16" i="1"/>
  <c r="AA16" i="1" s="1"/>
  <c r="AC16" i="1" s="1"/>
  <c r="AB55" i="19"/>
  <c r="AC21" i="1"/>
  <c r="V44" i="19"/>
  <c r="AB44" i="19"/>
  <c r="AB47" i="19"/>
  <c r="V47" i="19"/>
  <c r="AC34" i="1"/>
  <c r="AB58" i="19"/>
  <c r="AB33" i="1"/>
  <c r="AA33" i="1" s="1"/>
  <c r="AA12" i="1"/>
  <c r="AB57" i="19"/>
  <c r="AC32" i="1"/>
  <c r="V46" i="19"/>
  <c r="AB46" i="19"/>
  <c r="AB53" i="19"/>
  <c r="V42" i="19"/>
  <c r="AC18" i="1"/>
  <c r="AA14" i="1"/>
  <c r="AB15" i="1"/>
  <c r="AA15" i="1" s="1"/>
  <c r="AB40" i="19" l="1"/>
  <c r="AB51" i="19"/>
  <c r="AB39" i="19"/>
  <c r="AC14" i="1"/>
  <c r="AB50" i="19"/>
  <c r="AB48" i="19"/>
  <c r="AB37" i="19"/>
  <c r="AC12" i="1"/>
  <c r="AC48" i="19"/>
  <c r="AC33" i="1"/>
  <c r="AC57" i="19"/>
  <c r="AB56" i="19"/>
  <c r="V45" i="19"/>
  <c r="AB45" i="19"/>
  <c r="AC15" i="1"/>
  <c r="AD51" i="19" l="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<sst xmlns="http://schemas.openxmlformats.org/spreadsheetml/2006/main" count="574" uniqueCount="311">
  <si>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</si>
  <si>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</si>
  <si>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</si>
  <si>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</si>
  <si>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</si>
  <si>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</si>
  <si>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</si>
  <si>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</si>
  <si>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</si>
  <si>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</si>
  <si>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</si>
  <si>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</si>
  <si>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</si>
  <si>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</si>
  <si>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</si>
  <si>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</si>
  <si>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</si>
  <si>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</si>
  <si>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</si>
  <si>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</si>
  <si>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</si>
  <si>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</si>
  <si>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</si>
  <si>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</si>
  <si>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</si>
  <si>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</si>
  <si>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</si>
  <si>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</si>
  <si>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</si>
  <si>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</si>
  <si>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</si>
  <si>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</si>
  <si>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</si>
  <si>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</si>
  <si>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</si>
  <si>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</si>
  <si>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</si>
  <si>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</si>
  <si>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</si>
  <si>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</si>
  <si>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</si>
  <si>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</si>
  <si>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</si>
  <si>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</si>
  <si>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</si>
  <si>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</si>
  <si>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</si>
  <si>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</si>
  <si>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</si>
  <si>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</si>
  <si>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</si>
  <si>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</si>
  <si>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</si>
  <si>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</si>
  <si>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</si>
  <si>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</si>
  <si>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</si>
  <si>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</si>
  <si>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</si>
  <si>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</si>
  <si>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</si>
  <si>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</si>
  <si>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</si>
  <si>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</si>
  <si>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</si>
  <si>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</si>
  <si>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</si>
  <si>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</si>
  <si>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</si>
  <si>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</si>
  <si>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</si>
  <si>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</si>
  <si>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</si>
  <si>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</si>
  <si>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</si>
  <si>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</si>
  <si>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</si>
  <si>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</si>
  <si>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</si>
  <si>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</si>
  <si>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</si>
  <si>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</si>
  <si>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</si>
  <si>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</si>
  <si>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</si>
  <si>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</si>
  <si>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</si>
  <si>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</si>
  <si>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</si>
  <si>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</si>
  <si>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</si>
  <si>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</si>
  <si>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</si>
  <si>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</si>
  <si>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</si>
  <si>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</si>
  <si>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</si>
  <si>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</si>
  <si>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</si>
  <si>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</si>
  <si>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</si>
  <si>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</si>
  <si>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</si>
  <si>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</si>
  <si>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</si>
  <si>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</si>
  <si>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</si>
  <si>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</si>
  <si>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</si>
  <si>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</si>
  <si>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</si>
  <si>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</si>
  <si>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</si>
  <si>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</si>
  <si>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</si>
  <si>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</si>
  <si>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</si>
  <si>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</si>
  <si>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</si>
  <si>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</si>
  <si>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</si>
  <si>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</si>
  <si>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</si>
  <si>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</si>
  <si>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</si>
  <si>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</si>
  <si>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</si>
  <si>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</si>
  <si>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</si>
  <si>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</si>
  <si>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</si>
  <si>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</si>
  <si>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</si>
  <si>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</si>
  <si>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</si>
  <si>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</si>
  <si>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</si>
  <si>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</si>
  <si>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</si>
  <si>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</si>
  <si>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</si>
  <si>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</si>
  <si>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</si>
  <si>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</si>
  <si>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</si>
  <si>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</si>
  <si>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</si>
  <si>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</si>
  <si>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</si>
  <si>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</si>
  <si>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</si>
  <si>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</si>
  <si>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</si>
  <si>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</si>
  <si>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</si>
  <si>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</si>
  <si>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</si>
  <si>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</si>
  <si>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</si>
  <si>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</si>
  <si>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</si>
  <si>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</si>
  <si>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</si>
  <si>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</si>
  <si>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</si>
  <si>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</si>
  <si>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</si>
  <si>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</si>
  <si>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</si>
  <si>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</si>
  <si>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</si>
  <si>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</si>
  <si>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</si>
  <si>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</si>
  <si>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</si>
  <si>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</si>
  <si>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</si>
  <si>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</si>
  <si>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</si>
  <si>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</si>
  <si>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</si>
  <si>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</si>
  <si>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</si>
  <si>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</si>
  <si>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</si>
  <si>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</si>
  <si>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</si>
  <si>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</si>
  <si>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</si>
  <si>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</si>
  <si>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</si>
  <si>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</si>
  <si>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</si>
  <si>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</si>
  <si>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</si>
  <si>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</si>
  <si>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</si>
  <si>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</si>
  <si>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</si>
  <si>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</si>
  <si>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</si>
  <si>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</si>
  <si>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</si>
  <si>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</si>
  <si>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</si>
  <si>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</si>
  <si>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</si>
  <si>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</si>
  <si>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</si>
  <si>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</si>
  <si>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</si>
  <si>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</si>
  <si>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</si>
  <si>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Bajo indice de la gestión en la administración departamental</t>
  </si>
  <si>
    <t xml:space="preserve">Incumplimiento de las metas del Plan de Desarrollo </t>
  </si>
  <si>
    <t>Elaboró:</t>
  </si>
  <si>
    <t>Revisó:</t>
  </si>
  <si>
    <t>Aprobó:</t>
  </si>
  <si>
    <t>Mapa de Riesgos de Gestión</t>
  </si>
  <si>
    <t>MATRIZ</t>
  </si>
  <si>
    <t>Código</t>
  </si>
  <si>
    <t>Versión</t>
  </si>
  <si>
    <t>Fecha</t>
  </si>
  <si>
    <t>Página</t>
  </si>
  <si>
    <t>1 de 1</t>
  </si>
  <si>
    <t>Contratista</t>
  </si>
  <si>
    <t>Monitoreo del Riesgo e Indicadores</t>
  </si>
  <si>
    <t>Semeste I</t>
  </si>
  <si>
    <t>Semestre II</t>
  </si>
  <si>
    <t>Numerador</t>
  </si>
  <si>
    <t>Denominador</t>
  </si>
  <si>
    <t>Resultado</t>
  </si>
  <si>
    <t>Descripción del Logro</t>
  </si>
  <si>
    <t>Evidencias</t>
  </si>
  <si>
    <t>CULTURA</t>
  </si>
  <si>
    <t>Liderar el desarrollo artístico y cultural del Departamento, generando articulación con las políticas nacionales que contribuyan en el fomento y promoción de las expresiones artísticas, así como el reconocimiento, valoración, apropiación y salvaguardia del patrimonio cultural garantizando la participación ciudadana.</t>
  </si>
  <si>
    <t>Aplica para todos los municipios del Departamento, todas las instituciones públicas y privadas relacionadas con el sector cultural del nivel departamental y con proyección nacional e internacional</t>
  </si>
  <si>
    <t>Multa y sanciones por parte de los entes de control.  
Procesos de responsabilidad disciplinaria y penal</t>
  </si>
  <si>
    <t>Falta de documentos técnicos que establezcan los procesos y procedimientos para garantizar la seguridad y  preservación adecuada de elementos arqueológicos que se encuentran bajo responsabilidad de la Gobernación del Quindío</t>
  </si>
  <si>
    <t>Tener actualizado el plan de manejo y manipulación de piezas arqueológicas, fichas técnicas, inventarios, registros ante el ICAH  y demás documentos de caracterización, manejo y seguridad de las piezas arqueológicas</t>
  </si>
  <si>
    <t xml:space="preserve">Posibilidad de afectación económica por imposición de multas y sanciones, así como posibilidad de procesos penales, derivados de la inadecuada conservación y seguridad de las piezas arqueológicas que se encuentran bajo responsabilidad de la Gobernación del Quindío.
Posibilidad de afectación reputacional  por la inadecuada preservación y/o pérdida de piezas arqueológicas que hacen parte de la identidad y memoria ancestral de los quindianos, de su historia, tradición y cultura.  </t>
  </si>
  <si>
    <t xml:space="preserve">Multas y sanciones por parte de los entes de control como consecuencia de acciones u omisiones que generen uso diferente a instalaciones públicas y posibles daños o deterioros a piezas arqueológicas u obras de arte </t>
  </si>
  <si>
    <t xml:space="preserve">Falta de reglamentos de funcionamiento, acondicionamiento y mantenimientos, así como de las  condiciones técnicas con los que deben contar las salas Antonio Valencia y  Roberto Henao Buriticá, y los mogadores instalados en el Hall de la Asamblea Departamental, dispuestas para eventos culturales y exposiciones artísticas </t>
  </si>
  <si>
    <t>Posibilidad de afectación económica y reputacional  en caso de que el uso inadecuado o falta de mantenimiento de las  salas y mogadores ocasione daño, deterioro o pérdida de la infraestructura de los mismos, las vitrinas, los exhibidores, caballetes  y demas elementos que preservan las obras las obras artísticas que se exhiben en estos espacios</t>
  </si>
  <si>
    <t xml:space="preserve">Revisar los documentos existentes en materia de reglamentos de destinación, uso, acondicionamiento y mantenimiento de las salas y mogadores, así como de las vitrinas, exhibidores,caballetes y demas elementos mediante los cuales se exhiben y preservan las obras artísticas   </t>
  </si>
  <si>
    <t xml:space="preserve">Multas y sanciones por parte de los entes de control como consecuencia de la inoportunidad en la ejecucion de las convocatorias de Concertación y Estimulos </t>
  </si>
  <si>
    <t xml:space="preserve">Posibilidad de afectación económica por imposición de multas y/o sanciones como consecuencia de un mal desarrollo de las convocatorias que debe desarrollar la Secretaría de Cultura. 
Posibilidad de afectación reputacional, sobre todo en el sector cultural, ya que las convocatorias de Concertacion y Estímulos son las más esperadas por el sector cultural, dados los beneficios que estas traen a este sector. </t>
  </si>
  <si>
    <t xml:space="preserve">Demandas, multas y sanciones por parte de los entesde control asi como desprestigio ante la comunidad por la no realización y/o apoyo a los eventos culturales programados desde la secretaría o por posibles accidentes que se puedan presentar durante la realización de los mismos  </t>
  </si>
  <si>
    <t>Falta de manuales para el manejo de eventos de participación masiva que deben ser creados en coordinación con la Unidad de Gestiópn del Riesgo Departamental</t>
  </si>
  <si>
    <t>Posibilidad de afectación económica y reputacional en caso  de que se presenten alteraciones en la realización de eventos de participación masiva, ya sea por eventos naturales (vendaval, inundación, etc) por alteración del orden público o por cualquier otra alteración que ponga en riesgo la realización de los eventos y/o  la integridad de quienes participen en ellos.</t>
  </si>
  <si>
    <t>Regular la realización de eventos de participación masiva, a traves de documentos técnicos que establezcan los planes de contingencia de acuerdo a cada uno de los tipos de eventos que se realizan desde la Secretaría de Cultura en coordinación con la UDGRD</t>
  </si>
  <si>
    <t>En casos de que sean eventos de participación masiva que deban ser contratados con operadores logísticos, verificar poólizas, la idoneidad, capacidad de reacción ante siniestros, planes de contingencia y demás documentos jurídicos y técnicos del operador seleccionado, que garanticen la seguridad de los asistentes.</t>
  </si>
  <si>
    <t>Sansiones disciplinarias y económincas por posible detrimentro patrimonial</t>
  </si>
  <si>
    <t>Posibilidad de deterioro por mal uso, perdida o destinacion diferente de los elementos dados en comodato.</t>
  </si>
  <si>
    <t>Seguimiento ineficiente a los elementos dados bajo la figura de comodato a las diferentes bibliotecas del departamento</t>
  </si>
  <si>
    <t>Definir los lineamientos de los elementos que son necesarios entregar bajo la figura de comodato y cuales bajo la figura de entrega real y material a las diferentes bibliotecas, que por su rápida depreciación y poca vida útil, es más conveniente entregar de manera definitiva, evitando que se encuentre en inventario una relación extensa de bienes que no está nrealmente bajo la custodia, manipulacion y servicio de la Gobernación</t>
  </si>
  <si>
    <t>Percepción por parte de la comunidad de utilización de medios de comunicación públicos para fines privados y/o proselitistas</t>
  </si>
  <si>
    <t xml:space="preserve">Posibilidad de afectación reputacional como consecuencia de que la comunidad perciba que los espacios radiales otorgados por las diferentes emisoras comunitarias sea utilizado con fines privados o proselitistas  </t>
  </si>
  <si>
    <t xml:space="preserve">Falta de transparencia e imparcialidad en las comuicaciones que se emitan a través de las diferentes emisoras comunitarias del departamento </t>
  </si>
  <si>
    <t>Baja continuidad en los  procesos seguimiento y evaluación al  Plan de Desarrollo (física y financiera), a nivel de la alta dirección y  al interior de las diferentes Secretarias y Entes Descentralizados que aportan al cumplimiento del Plan de Desarrrollo</t>
  </si>
  <si>
    <t xml:space="preserve">Posibilidad de afectación económica y reputacional por incumplimiento de las metas del Plan de Desarrollo debido a la incorrecta formulacion  de los indicadores de   las metas producto  por desconocimiento del sector cultural  referentes a los servicios  acorde al KTP del plan del PDD 2024-2027  a la baja continuidad en los  procesos de  seguimiento y evaluación al  mismo tanto (físico y financiero) a nivel de la alta dirección y  al interior de las diferentes Secretarias y Entes Descentralizados </t>
  </si>
  <si>
    <t>Realizar seguimiento a través de comités técnicos mensuales para evaluar la ejecución de recursos y la gestión de los mismos. En caso de que las metas presenten bajo cumplimiento, se replantean las acciones a realizar para su cumplimiento por parte de la unidad ejecutora con acompañamiento de la Secretaría de Planeación. Como evidencia se dejan actas y listados de asistencia del comité técnico</t>
  </si>
  <si>
    <t>Respuesta inoportuna de los derechos de petición.</t>
  </si>
  <si>
    <t xml:space="preserve">Deficiencia o desconocimiento de los procesos de gestión y trámites de los documentos por parte de las personas responsables de dar respuesta a los mismos 
</t>
  </si>
  <si>
    <t xml:space="preserve">Socializar con cada uno de los integrantes de la secretaría las metas que cada uno debe cumplir, de lo cual se dejará constancia ya sea en un acta o un informe, para que cada uno de ellos, entregue de manera periódica y oportuna los informes de las actividades que realiza de manera que puedan ser cuantificables y evidenciables para que sirvan de insumo para la construcción de los diferentes informes que se deben entregar no solo a los órganismos de control interno sino los externos y en los cuales se ven reflejados  los índices de gestión y cumplimiento. </t>
  </si>
  <si>
    <t xml:space="preserve">Secretario de Cultura y Director de Cultura, Arte y Patrimonio </t>
  </si>
  <si>
    <t>Secretarios de Despacho, Directores y Jefes  de Oficina</t>
  </si>
  <si>
    <t xml:space="preserve">* Realizar  documento del  plan de manejo y manipulacion de piezas arqueologicas 
* Realizar los documentos que correspondan  para el seguimiento del al invetario  de las piezas arqueologicas </t>
  </si>
  <si>
    <t xml:space="preserve">*Certificación por parte de los supervisores de los contratos de la idoneidad del personal contratado y el cumplimiento del manual de contratación </t>
  </si>
  <si>
    <t>Secretario de Cultura, Director de Cultura, Arte y Patrimonio y jefe de patrimonio</t>
  </si>
  <si>
    <t xml:space="preserve">*Actualización del manual y guía curatorial, de acuerdo con el plan docenal de cultura "Cultura para la Vida" e implementación de formatos de préstamo y devolución de las salas </t>
  </si>
  <si>
    <t>*Solicitar a la Secretaría Administrativa un diagnóstico del estado de las instalaciones de las salas y la intervención para reparaciones si hay lugar a ello</t>
  </si>
  <si>
    <t>*Solicitar a la UDGRD  el diseño y lineamientos de planes de contingencia que se deben adoptar para la realización de eventos</t>
  </si>
  <si>
    <t xml:space="preserve">*Verificación de pólizas de cumplimiento y/o garantías cuando haya lugar a la solicitud de las mismas </t>
  </si>
  <si>
    <t xml:space="preserve">*Documento técnico de reorientación de metas </t>
  </si>
  <si>
    <t xml:space="preserve">*Realizar comité técnico - jurídico con la secretaría jurídica y de contratación, secretaría administrativa y dirección de almacén para emitir un concepto que defina los lineamientos para entrega definitiva de dotaciones a las bibliotecas públicas que conforman la Red Departamental de Bibliotecas 
 * Realizar dotaciones a las bibliotecas que conforman la red departamental por medio de acta entrega aprobado por el area administrativa y Juridica del departamento </t>
  </si>
  <si>
    <t>La  ausencia de un procedimiento definido y estandarizado en el Modelo Integrado de Planeación y Gestión - MIPG,  conlleva a la desarticulación entre las secretarias implicadas para la contratacion de los convenios, por falta de procesos que orienten los requisitos para el cumplimiento del mismo.</t>
  </si>
  <si>
    <t>Realizar seguimiento del cumplimiento al procedimiento formalizado en MIPG, mediante dos (02) Comités Técnicos programados, uno en cada semestre de la vigencia, en Consejo de Gobierno, donde se identifiquen oportunidades de mejora, debilidades y propuestas.</t>
  </si>
  <si>
    <t xml:space="preserve">*Mapa de procesos y formatos establecidos y formalizados en MIPG  y acta de socialización de los mismos, en comité realizado con las secretarías sectoriales </t>
  </si>
  <si>
    <t xml:space="preserve">Generar un filtro dentro de la Secretaría de Cultura, conformado por el secretario de cultura o quiien este delegue como su representante y los profesionales de medios adscritos a la secretaría que el secretario delegue para conformar dicho comité, con el fin de que las comunicaciones del sector cultural que deban ser difundidas a través  de las diferentes emisoras comunitarias, sean veraces, imparciales, confiables y su contenido no implique mensajes con tintes proselitistas 
  </t>
  </si>
  <si>
    <t xml:space="preserve">Los secretarios de Despacho, Directores y Jefes  de las diferentes Secretarias de Despacho realizan procesos de Seguimiento y evaluación cuatrimestrales  al estado de cumplimiento del Plan de Acción del Modelo Integrado de Planeación y de gestión MIPG vigencia 2024, se  dejara evidencia actas de reunion y socializaciones con todo el personal  de la secretaria. </t>
  </si>
  <si>
    <t xml:space="preserve">Posibilidad de afectación reputacional producto  del  bajo indice de la gestión en la administración departamental debido al desconocimiento de la operatividad del MIPG por parte de los directivos, servidores publicos y contratistas con el consiguiente   desarrollo de procesos desordenados  e ineficientes al interior de las dependencias
</t>
  </si>
  <si>
    <t xml:space="preserve">*Crear un comité de comunicaciones al interior de la secretaría de cultura conformado por el secretario de cultura o quiien este delegue como su representante y los profesionales de medios adscritos a la secretaría  para conformarlo y que estará encargado de hacer el filtro a las comunicaciones que serán emitidas a través de los diferentes medios, propendiendo porque sean imparciales, transparentes e institucionales  
</t>
  </si>
  <si>
    <t>Convocar a  un comité técnico entre las Secretarías participantes (Hacienda, Juridica y Contratacion y Planeacion) con el fin de revisar los procedimientos y mapas de procesos frente a las convocatorias pùblicas anuales que se deben realizar desde la secretaria de cultura. Lo anterior, evienciando mediante Acta de Reunión, los compromisos pactados con el fin de dar cumplimiento a los términos señalados en procedimiento. Como evidencia queda la citacion al comite tecnico y el Acta del mismo.</t>
  </si>
  <si>
    <t xml:space="preserve">*Socializacion de informe de desarrollo de las convocatorias que se realizan desde la secretaría de cultura, en el que se observen las debilidades y fortalezas de los procesos y se indique que puede ser susceptible de mejora desde cada una de las secretarías sectoriales intervinientes en el proceso. </t>
  </si>
  <si>
    <t>Posibilidad de afectación a usuarios, productos y practicas organizacionales debido a respuestas inoportunas a derechos de petición debido a las deficiencias en la gestión documental y asignación de PQR'S a personal responsable, así como la insuficiente capacitación en normatividad vigente relacionada a Derechos de Petición y el incumplimiento de la misma.</t>
  </si>
  <si>
    <t>El personal directivo o a quien se designe, realizará solicitud de capacitación a la Secretaría Jurídica y de Contratación, en normatividad que regula los Derechos de Petición, la cual se realizará dos veces al año. Como evidencia se deja soporte de solicitud y registro de asistencia de capacitación asistida.</t>
  </si>
  <si>
    <t>La persona responsable  realiza acciones de seguimiento semanal a los derechos de peticion recibidos a traves de los diferentes medios, y  del libro radicador donde se da traslado de los mismos al personal de la Secretaría encargado de dar respuestas. En caso de incumplimiento, se requerirá a quien corresponda mediante oficio y/o circular, las respectivas respuestar a derechos de Petición pendientes. Como evidencia queda el libro radicador y pantallazos de los aplicativos mediante los cuales se reciben los derechos de peticion</t>
  </si>
  <si>
    <t xml:space="preserve">Realizar solicitud de capacitaciones en normatividad vigente que regula Derechos de petición, para todo el personal </t>
  </si>
  <si>
    <t>Realizar seguimiento semanal a Derechos de Petición. Se solicitará a quien corresponda, remitir las respectivas respuestas en el término establecido.</t>
  </si>
  <si>
    <t>(No. de capacitaciones realizadas / No. de capacitaciones programadas )*100%</t>
  </si>
  <si>
    <t>(No. de respuestas oportunas a los derechos de petición a cargo de la Secretaria de Cultura / no. de solicitudes recibidas) *100</t>
  </si>
  <si>
    <t xml:space="preserve">* (Numero de documentros elaborados / numero de informes semestrales programados) * 100 </t>
  </si>
  <si>
    <t xml:space="preserve">Realizar las solicitudes correspondientes en cuanto a diagnosticos de estado físico de las salas y sus conexidades (tuberias, redes eléctricas, ventilacion, etec) </t>
  </si>
  <si>
    <t xml:space="preserve">* (formatos de prestamos y devoluciones / exposiciones realizadas que requieran diligenciamiento de los formatos)*100
</t>
  </si>
  <si>
    <t xml:space="preserve">*(Número de diagnósticos realizados / número de diagnósticos programados) *100
* (numero de mantenimiento realziados / mantenimiento programados)* 100 </t>
  </si>
  <si>
    <t>Contratar personal idóneo para la exhibición, traslados, mantenimiento y demas acciones que ameriten la manipulación de los elementos arqueológicos.</t>
  </si>
  <si>
    <t xml:space="preserve">*(número de actas / número de comites) *100 </t>
  </si>
  <si>
    <t xml:space="preserve">*(Infome y Acta de socialización  / comites  programados) *100 </t>
  </si>
  <si>
    <t>* (planes de contingencia / número de eventos realizado) *100</t>
  </si>
  <si>
    <t>*(Pólizas aprobadas / pólizas solicitadas)*100</t>
  </si>
  <si>
    <t xml:space="preserve">* (Numero de docuementos tecnicos / numero de reuniones realizadas) * 100 
*(Entregas de dotaciones a bibliotecas / entregas establecidas)*100 
nota: las entregas deben ser bajo las condiciones que indique el concepto que emita el comité </t>
  </si>
  <si>
    <t>*(Comunicaciones emitidas emisoras comunitarias  / numero de comunicaciones aprobadas por el comité)*100</t>
  </si>
  <si>
    <t>*(Docuemnto técnico / documentos propuestos para la vigencia) *100</t>
  </si>
  <si>
    <t>*(N° de seguimientos realizados a los instrumentos de planificación  / seguimientos programados)*100</t>
  </si>
  <si>
    <t>Desconocimiento de la operatividad del MIPG por parte de los directivos, servidores públicos y contratistas, lo que conlleva a la realización de los  procesos de manera  desordenada  e ineficiente al interior de las dependencias</t>
  </si>
  <si>
    <t>Felipe Arturo Robledo Martínez</t>
  </si>
  <si>
    <t xml:space="preserve">Secretario de Cultura </t>
  </si>
  <si>
    <t xml:space="preserve">Pedro Vicente Hernandez </t>
  </si>
  <si>
    <t>MR-CUL-01</t>
  </si>
  <si>
    <t xml:space="preserve">Semestral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</si>
</sst>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64">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4"/>
      <color theme="1"/>
      <name val="Arial"/>
      <family val="2"/>
    </font>
    <font>
      <b/>
      <sz val="12"/>
      <color theme="1"/>
      <name val="Arial"/>
      <family val="2"/>
    </font>
    <font>
      <sz val="10"/>
      <color theme="1"/>
      <name val="Arial"/>
      <family val="2"/>
    </font>
    <font>
      <b/>
      <sz val="10"/>
      <color theme="1"/>
      <name val="Arial"/>
      <family val="2"/>
    </font>
    <font>
      <sz val="10"/>
      <color rgb="FF000000"/>
      <name val="Poly"/>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4">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dashed">
        <color theme="9" tint="-0.24994659260841701"/>
      </left>
      <right style="thin">
        <color indexed="64"/>
      </right>
      <top style="dashed">
        <color theme="9" tint="-0.24994659260841701"/>
      </top>
      <bottom style="dashed">
        <color theme="9" tint="-0.24994659260841701"/>
      </bottom>
      <diagonal/>
    </border>
    <border>
      <left style="dashed">
        <color theme="9" tint="-0.24994659260841701"/>
      </left>
      <right style="dashed">
        <color theme="9" tint="-0.24994659260841701"/>
      </right>
      <top/>
      <bottom style="thin">
        <color indexed="64"/>
      </bottom>
      <diagonal/>
    </border>
    <border>
      <left style="thin">
        <color indexed="64"/>
      </left>
      <right/>
      <top/>
      <bottom/>
      <diagonal/>
    </border>
    <border>
      <left/>
      <right style="thin">
        <color indexed="64"/>
      </right>
      <top/>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45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1" fillId="0" borderId="2" xfId="0" applyFont="1" applyBorder="1" applyAlignment="1" applyProtection="1">
      <alignment horizontal="center" vertical="center"/>
      <protection locked="0"/>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46" xfId="2" applyFont="1" applyFill="1" applyBorder="1"/>
    <xf numFmtId="0" fontId="50" fillId="3" borderId="47" xfId="2" applyFont="1" applyFill="1" applyBorder="1"/>
    <xf numFmtId="0" fontId="50" fillId="3" borderId="48"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29" xfId="0" applyFont="1" applyFill="1" applyBorder="1" applyAlignment="1">
      <alignment horizontal="center" vertical="center" wrapText="1" readingOrder="1"/>
    </xf>
    <xf numFmtId="0" fontId="39" fillId="3" borderId="29"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9" fillId="3" borderId="28" xfId="0" applyFont="1" applyFill="1" applyBorder="1" applyAlignment="1">
      <alignment horizontal="justify" vertical="center" wrapText="1" readingOrder="1"/>
    </xf>
    <xf numFmtId="9" fontId="38" fillId="3" borderId="33" xfId="0" applyNumberFormat="1" applyFont="1" applyFill="1" applyBorder="1" applyAlignment="1">
      <alignment horizontal="center" vertical="center" wrapText="1" readingOrder="1"/>
    </xf>
    <xf numFmtId="0" fontId="39" fillId="3" borderId="33"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0" fontId="39" fillId="3" borderId="35" xfId="0" applyFont="1" applyFill="1" applyBorder="1" applyAlignment="1">
      <alignment horizontal="justify" vertical="center" wrapText="1" readingOrder="1"/>
    </xf>
    <xf numFmtId="0" fontId="39" fillId="3" borderId="36" xfId="0" applyFont="1" applyFill="1" applyBorder="1" applyAlignment="1">
      <alignment horizontal="center" vertical="center" wrapText="1" readingOrder="1"/>
    </xf>
    <xf numFmtId="0" fontId="47" fillId="3" borderId="0" xfId="0" applyFont="1" applyFill="1"/>
    <xf numFmtId="0" fontId="38" fillId="15" borderId="40" xfId="0" applyFont="1" applyFill="1" applyBorder="1" applyAlignment="1">
      <alignment horizontal="center" vertical="center" wrapText="1" readingOrder="1"/>
    </xf>
    <xf numFmtId="0" fontId="38" fillId="15" borderId="41"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164" fontId="1" fillId="0" borderId="2" xfId="1" applyNumberFormat="1" applyFont="1" applyFill="1" applyBorder="1" applyAlignment="1">
      <alignment horizontal="center" vertical="center"/>
    </xf>
    <xf numFmtId="0" fontId="61" fillId="0" borderId="28" xfId="0" applyFont="1" applyBorder="1" applyAlignment="1">
      <alignment vertical="center"/>
    </xf>
    <xf numFmtId="0" fontId="62" fillId="0" borderId="28" xfId="0" applyFont="1" applyBorder="1" applyAlignment="1">
      <alignment horizontal="center" vertical="center"/>
    </xf>
    <xf numFmtId="0" fontId="61" fillId="0" borderId="28" xfId="0" applyFont="1" applyBorder="1" applyAlignment="1">
      <alignment horizontal="center" vertical="center"/>
    </xf>
    <xf numFmtId="15" fontId="61" fillId="0" borderId="28" xfId="0" applyNumberFormat="1" applyFont="1" applyBorder="1" applyAlignment="1">
      <alignment horizontal="center" vertical="center"/>
    </xf>
    <xf numFmtId="0" fontId="4" fillId="14" borderId="2" xfId="0" applyFont="1" applyFill="1" applyBorder="1" applyAlignment="1">
      <alignment horizontal="center" vertical="center" wrapText="1"/>
    </xf>
    <xf numFmtId="10" fontId="4" fillId="14" borderId="2" xfId="1" applyNumberFormat="1" applyFont="1" applyFill="1" applyBorder="1" applyAlignment="1">
      <alignment horizontal="center" vertical="center" wrapText="1"/>
    </xf>
    <xf numFmtId="0" fontId="1" fillId="0" borderId="10" xfId="0" applyFont="1" applyBorder="1" applyAlignment="1">
      <alignment vertical="center" wrapText="1"/>
    </xf>
    <xf numFmtId="0" fontId="1" fillId="0" borderId="7" xfId="0" applyFont="1" applyBorder="1" applyAlignment="1">
      <alignment vertical="center" wrapText="1"/>
    </xf>
    <xf numFmtId="10" fontId="1" fillId="0" borderId="0" xfId="1" applyNumberFormat="1" applyFont="1"/>
    <xf numFmtId="10" fontId="1" fillId="3" borderId="0" xfId="1" applyNumberFormat="1" applyFont="1" applyFill="1"/>
    <xf numFmtId="10" fontId="1" fillId="0" borderId="2" xfId="1" applyNumberFormat="1" applyFont="1" applyBorder="1" applyAlignment="1" applyProtection="1">
      <alignment horizontal="center" vertical="center"/>
      <protection locked="0"/>
    </xf>
    <xf numFmtId="0" fontId="1" fillId="3" borderId="2" xfId="0" applyFont="1" applyFill="1" applyBorder="1" applyAlignment="1">
      <alignment horizontal="center" vertical="center"/>
    </xf>
    <xf numFmtId="0" fontId="4" fillId="3" borderId="4" xfId="0" applyFont="1" applyFill="1" applyBorder="1" applyAlignment="1" applyProtection="1">
      <alignment horizontal="justify" vertical="center" wrapText="1"/>
      <protection hidden="1"/>
    </xf>
    <xf numFmtId="9" fontId="1" fillId="3" borderId="4" xfId="0" applyNumberFormat="1" applyFont="1" applyFill="1" applyBorder="1" applyAlignment="1" applyProtection="1">
      <alignment horizontal="justify" vertical="center" wrapText="1"/>
      <protection hidden="1"/>
    </xf>
    <xf numFmtId="0" fontId="4" fillId="0" borderId="4" xfId="0" applyFont="1" applyBorder="1" applyAlignment="1" applyProtection="1">
      <alignment horizontal="justify" vertical="center" wrapText="1"/>
      <protection hidden="1"/>
    </xf>
    <xf numFmtId="9" fontId="1" fillId="0" borderId="4" xfId="0" applyNumberFormat="1" applyFont="1" applyBorder="1" applyAlignment="1" applyProtection="1">
      <alignment horizontal="justify" vertical="center" wrapText="1"/>
      <protection hidden="1"/>
    </xf>
    <xf numFmtId="0" fontId="4" fillId="0" borderId="4" xfId="0" applyFont="1" applyBorder="1" applyAlignment="1" applyProtection="1">
      <alignment horizontal="justify" vertical="center"/>
      <protection hidden="1"/>
    </xf>
    <xf numFmtId="0" fontId="53" fillId="0" borderId="4" xfId="0" applyFont="1" applyBorder="1" applyAlignment="1" applyProtection="1">
      <alignment horizontal="justify" vertical="center" wrapText="1"/>
      <protection hidden="1"/>
    </xf>
    <xf numFmtId="0" fontId="1" fillId="0" borderId="10" xfId="0" applyFont="1" applyBorder="1" applyAlignment="1">
      <alignment horizontal="justify" vertical="center" wrapText="1"/>
    </xf>
    <xf numFmtId="0" fontId="4" fillId="0" borderId="4" xfId="0" applyFont="1" applyBorder="1" applyAlignment="1" applyProtection="1">
      <alignment vertical="center" wrapText="1"/>
      <protection hidden="1"/>
    </xf>
    <xf numFmtId="0" fontId="4" fillId="0" borderId="8" xfId="0" applyFont="1" applyBorder="1" applyAlignment="1" applyProtection="1">
      <alignment vertical="center" wrapText="1"/>
      <protection hidden="1"/>
    </xf>
    <xf numFmtId="0" fontId="4" fillId="0" borderId="5" xfId="0" applyFont="1" applyBorder="1" applyAlignment="1" applyProtection="1">
      <alignment vertical="center" wrapText="1"/>
      <protection hidden="1"/>
    </xf>
    <xf numFmtId="9" fontId="1" fillId="0" borderId="4" xfId="0" applyNumberFormat="1" applyFont="1" applyBorder="1" applyAlignment="1" applyProtection="1">
      <alignment vertical="center" wrapText="1"/>
      <protection hidden="1"/>
    </xf>
    <xf numFmtId="9" fontId="1" fillId="0" borderId="8" xfId="0" applyNumberFormat="1" applyFont="1" applyBorder="1" applyAlignment="1" applyProtection="1">
      <alignment vertical="center" wrapText="1"/>
      <protection hidden="1"/>
    </xf>
    <xf numFmtId="9" fontId="1" fillId="0" borderId="5" xfId="0" applyNumberFormat="1" applyFont="1" applyBorder="1" applyAlignment="1" applyProtection="1">
      <alignment vertical="center" wrapText="1"/>
      <protection hidden="1"/>
    </xf>
    <xf numFmtId="0" fontId="53" fillId="0" borderId="4" xfId="0" applyFont="1" applyBorder="1" applyAlignment="1" applyProtection="1">
      <alignment vertical="center" wrapText="1"/>
      <protection hidden="1"/>
    </xf>
    <xf numFmtId="0" fontId="53" fillId="0" borderId="8" xfId="0" applyFont="1" applyBorder="1" applyAlignment="1" applyProtection="1">
      <alignment vertical="center" wrapText="1"/>
      <protection hidden="1"/>
    </xf>
    <xf numFmtId="0" fontId="53" fillId="0" borderId="5" xfId="0" applyFont="1" applyBorder="1" applyAlignment="1" applyProtection="1">
      <alignment vertical="center" wrapText="1"/>
      <protection hidden="1"/>
    </xf>
    <xf numFmtId="0" fontId="4" fillId="0" borderId="4" xfId="0" applyFont="1" applyBorder="1" applyAlignment="1" applyProtection="1">
      <alignment vertical="center"/>
      <protection hidden="1"/>
    </xf>
    <xf numFmtId="0" fontId="4" fillId="0" borderId="8" xfId="0" applyFont="1" applyBorder="1" applyAlignment="1" applyProtection="1">
      <alignment vertical="center"/>
      <protection hidden="1"/>
    </xf>
    <xf numFmtId="0" fontId="4" fillId="0" borderId="5" xfId="0" applyFont="1" applyBorder="1" applyAlignment="1" applyProtection="1">
      <alignment vertical="center"/>
      <protection hidden="1"/>
    </xf>
    <xf numFmtId="0" fontId="1" fillId="0" borderId="4" xfId="0" applyFont="1" applyFill="1" applyBorder="1" applyAlignment="1">
      <alignment horizontal="center" vertical="center"/>
    </xf>
    <xf numFmtId="0" fontId="1" fillId="0" borderId="4" xfId="0" applyFont="1" applyFill="1" applyBorder="1" applyAlignment="1" applyProtection="1">
      <alignment horizontal="justify" vertical="center" wrapText="1"/>
      <protection locked="0"/>
    </xf>
    <xf numFmtId="0" fontId="2" fillId="0" borderId="4" xfId="0" applyFont="1" applyFill="1" applyBorder="1" applyAlignment="1" applyProtection="1">
      <alignment horizontal="justify" vertical="center" wrapText="1"/>
      <protection locked="0"/>
    </xf>
    <xf numFmtId="0" fontId="1" fillId="0" borderId="4" xfId="0" applyFont="1" applyFill="1" applyBorder="1" applyAlignment="1" applyProtection="1">
      <alignment horizontal="justify" vertical="center"/>
      <protection locked="0"/>
    </xf>
    <xf numFmtId="0" fontId="1" fillId="0" borderId="4" xfId="0" applyFont="1" applyFill="1" applyBorder="1" applyAlignment="1" applyProtection="1">
      <alignment vertical="center" wrapText="1"/>
      <protection locked="0"/>
    </xf>
    <xf numFmtId="0" fontId="1" fillId="0" borderId="4" xfId="0" applyFont="1" applyFill="1" applyBorder="1" applyAlignment="1" applyProtection="1">
      <alignment vertical="center"/>
      <protection locked="0"/>
    </xf>
    <xf numFmtId="0" fontId="1" fillId="0" borderId="8" xfId="0" applyFont="1" applyFill="1" applyBorder="1" applyAlignment="1" applyProtection="1">
      <alignment vertical="center" wrapText="1"/>
      <protection locked="0"/>
    </xf>
    <xf numFmtId="0" fontId="2" fillId="0" borderId="8" xfId="0" applyFont="1" applyFill="1" applyBorder="1" applyAlignment="1" applyProtection="1">
      <alignment vertical="center" wrapText="1"/>
      <protection locked="0"/>
    </xf>
    <xf numFmtId="0" fontId="1" fillId="0" borderId="8" xfId="0" applyFont="1" applyFill="1" applyBorder="1" applyAlignment="1" applyProtection="1">
      <alignment vertical="center"/>
      <protection locked="0"/>
    </xf>
    <xf numFmtId="0" fontId="1" fillId="0" borderId="5" xfId="0" applyFont="1" applyFill="1" applyBorder="1" applyAlignment="1" applyProtection="1">
      <alignment vertical="center" wrapText="1"/>
      <protection locked="0"/>
    </xf>
    <xf numFmtId="0" fontId="1" fillId="0" borderId="71" xfId="0" applyFont="1" applyFill="1" applyBorder="1" applyAlignment="1" applyProtection="1">
      <alignment vertical="center"/>
      <protection locked="0"/>
    </xf>
    <xf numFmtId="0" fontId="1" fillId="0" borderId="8" xfId="0" applyFont="1" applyFill="1" applyBorder="1" applyAlignment="1" applyProtection="1">
      <alignment horizontal="justify" vertical="center"/>
      <protection locked="0"/>
    </xf>
    <xf numFmtId="9" fontId="1" fillId="0" borderId="4" xfId="0" applyNumberFormat="1" applyFont="1" applyFill="1" applyBorder="1" applyAlignment="1" applyProtection="1">
      <alignment horizontal="justify" vertical="center" wrapText="1"/>
      <protection locked="0"/>
    </xf>
    <xf numFmtId="9" fontId="1" fillId="0" borderId="4" xfId="0" applyNumberFormat="1" applyFont="1" applyFill="1" applyBorder="1" applyAlignment="1" applyProtection="1">
      <alignment horizontal="justify" vertical="center" wrapText="1"/>
      <protection hidden="1"/>
    </xf>
    <xf numFmtId="9" fontId="1" fillId="0" borderId="4" xfId="0" applyNumberFormat="1" applyFont="1" applyFill="1" applyBorder="1" applyAlignment="1" applyProtection="1">
      <alignment vertical="center" wrapText="1"/>
      <protection locked="0"/>
    </xf>
    <xf numFmtId="9" fontId="1" fillId="0" borderId="4" xfId="0" applyNumberFormat="1" applyFont="1" applyFill="1" applyBorder="1" applyAlignment="1" applyProtection="1">
      <alignment vertical="center" wrapText="1"/>
      <protection hidden="1"/>
    </xf>
    <xf numFmtId="9" fontId="1" fillId="0" borderId="8" xfId="0" applyNumberFormat="1" applyFont="1" applyFill="1" applyBorder="1" applyAlignment="1" applyProtection="1">
      <alignment vertical="center" wrapText="1"/>
      <protection locked="0"/>
    </xf>
    <xf numFmtId="9" fontId="1" fillId="0" borderId="8" xfId="0" applyNumberFormat="1" applyFont="1" applyFill="1" applyBorder="1" applyAlignment="1" applyProtection="1">
      <alignment vertical="center" wrapText="1"/>
      <protection hidden="1"/>
    </xf>
    <xf numFmtId="9" fontId="1" fillId="0" borderId="5" xfId="0" applyNumberFormat="1" applyFont="1" applyFill="1" applyBorder="1" applyAlignment="1" applyProtection="1">
      <alignment vertical="center" wrapText="1"/>
      <protection locked="0"/>
    </xf>
    <xf numFmtId="9" fontId="1" fillId="0" borderId="5" xfId="0" applyNumberFormat="1" applyFont="1" applyFill="1" applyBorder="1" applyAlignment="1" applyProtection="1">
      <alignment vertical="center" wrapText="1"/>
      <protection hidden="1"/>
    </xf>
    <xf numFmtId="0" fontId="1" fillId="0" borderId="2" xfId="0" applyFont="1" applyFill="1" applyBorder="1" applyAlignment="1" applyProtection="1">
      <alignment horizontal="justify" vertical="center" wrapText="1"/>
      <protection locked="0"/>
    </xf>
    <xf numFmtId="0" fontId="1" fillId="0" borderId="2" xfId="0" applyFont="1" applyFill="1" applyBorder="1" applyAlignment="1" applyProtection="1">
      <alignment horizontal="center" vertical="center"/>
      <protection hidden="1"/>
    </xf>
    <xf numFmtId="0" fontId="1" fillId="0" borderId="2" xfId="0" applyFont="1" applyFill="1" applyBorder="1" applyAlignment="1" applyProtection="1">
      <alignment horizontal="center" vertical="center" textRotation="90"/>
      <protection locked="0"/>
    </xf>
    <xf numFmtId="9" fontId="1" fillId="0" borderId="2" xfId="0" applyNumberFormat="1"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wrapText="1"/>
      <protection hidden="1"/>
    </xf>
    <xf numFmtId="9" fontId="1" fillId="0" borderId="4" xfId="0" applyNumberFormat="1" applyFont="1" applyFill="1" applyBorder="1" applyAlignment="1" applyProtection="1">
      <alignment horizontal="center" vertical="center"/>
      <protection hidden="1"/>
    </xf>
    <xf numFmtId="0" fontId="4" fillId="0" borderId="2" xfId="0" applyFont="1" applyFill="1" applyBorder="1" applyAlignment="1" applyProtection="1">
      <alignment horizontal="center" vertical="center" textRotation="90"/>
      <protection hidden="1"/>
    </xf>
    <xf numFmtId="0" fontId="1" fillId="0" borderId="4" xfId="0" applyFont="1" applyFill="1" applyBorder="1" applyAlignment="1" applyProtection="1">
      <alignment horizontal="center" vertical="center" textRotation="90"/>
      <protection locked="0"/>
    </xf>
    <xf numFmtId="0" fontId="1" fillId="0" borderId="2" xfId="0" quotePrefix="1" applyFont="1" applyFill="1" applyBorder="1" applyAlignment="1" applyProtection="1">
      <alignment horizontal="justify" vertical="center" wrapText="1"/>
      <protection locked="0"/>
    </xf>
    <xf numFmtId="14" fontId="1" fillId="0" borderId="2" xfId="0" applyNumberFormat="1" applyFont="1" applyFill="1" applyBorder="1" applyAlignment="1" applyProtection="1">
      <alignment horizontal="justify" vertical="center"/>
      <protection locked="0"/>
    </xf>
    <xf numFmtId="0" fontId="1" fillId="0" borderId="2" xfId="0" applyFont="1" applyFill="1" applyBorder="1" applyAlignment="1" applyProtection="1">
      <alignment horizontal="center" vertical="center"/>
      <protection locked="0"/>
    </xf>
    <xf numFmtId="10" fontId="1" fillId="0" borderId="2" xfId="1"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justify" vertical="center" wrapText="1"/>
      <protection locked="0"/>
    </xf>
    <xf numFmtId="0" fontId="1" fillId="0" borderId="2" xfId="0" applyFont="1" applyFill="1" applyBorder="1" applyAlignment="1" applyProtection="1">
      <alignment horizontal="justify" vertical="center"/>
      <protection locked="0"/>
    </xf>
    <xf numFmtId="0" fontId="1" fillId="0" borderId="70" xfId="0" applyFont="1" applyFill="1" applyBorder="1" applyAlignment="1" applyProtection="1">
      <alignment horizontal="center" vertical="center"/>
      <protection locked="0"/>
    </xf>
    <xf numFmtId="0" fontId="63" fillId="0" borderId="0" xfId="0" applyFont="1"/>
    <xf numFmtId="0" fontId="56" fillId="3" borderId="59" xfId="2" applyFont="1" applyFill="1" applyBorder="1" applyAlignment="1">
      <alignment horizontal="justify" vertical="center" wrapText="1"/>
    </xf>
    <xf numFmtId="0" fontId="56" fillId="3" borderId="60" xfId="2" applyFont="1" applyFill="1" applyBorder="1" applyAlignment="1">
      <alignment horizontal="justify" vertical="center" wrapText="1"/>
    </xf>
    <xf numFmtId="0" fontId="55" fillId="3" borderId="66" xfId="0" applyFont="1" applyFill="1" applyBorder="1" applyAlignment="1">
      <alignment horizontal="left" vertical="center" wrapText="1"/>
    </xf>
    <xf numFmtId="0" fontId="55" fillId="3" borderId="67" xfId="0" applyFont="1" applyFill="1" applyBorder="1" applyAlignment="1">
      <alignment horizontal="left" vertical="center" wrapText="1"/>
    </xf>
    <xf numFmtId="0" fontId="55" fillId="3" borderId="53" xfId="3" applyFont="1" applyFill="1" applyBorder="1" applyAlignment="1">
      <alignment horizontal="left" vertical="top" wrapText="1" readingOrder="1"/>
    </xf>
    <xf numFmtId="0" fontId="55" fillId="3" borderId="54" xfId="3" applyFont="1" applyFill="1" applyBorder="1" applyAlignment="1">
      <alignment horizontal="left" vertical="top" wrapText="1" readingOrder="1"/>
    </xf>
    <xf numFmtId="0" fontId="56" fillId="3" borderId="55" xfId="2" applyFont="1" applyFill="1" applyBorder="1" applyAlignment="1">
      <alignment horizontal="justify" vertical="center" wrapText="1"/>
    </xf>
    <xf numFmtId="0" fontId="56" fillId="3" borderId="56" xfId="2" applyFont="1" applyFill="1" applyBorder="1" applyAlignment="1">
      <alignment horizontal="justify" vertical="center" wrapText="1"/>
    </xf>
    <xf numFmtId="0" fontId="55" fillId="3" borderId="57" xfId="0" applyFont="1" applyFill="1" applyBorder="1" applyAlignment="1">
      <alignment horizontal="left" vertical="center" wrapText="1"/>
    </xf>
    <xf numFmtId="0" fontId="55" fillId="3" borderId="58"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68" xfId="0" applyFont="1" applyFill="1" applyBorder="1" applyAlignment="1">
      <alignment horizontal="left" vertical="center" wrapText="1"/>
    </xf>
    <xf numFmtId="0" fontId="55" fillId="3" borderId="69" xfId="0" applyFont="1" applyFill="1" applyBorder="1" applyAlignment="1">
      <alignment horizontal="left" vertical="center" wrapText="1"/>
    </xf>
    <xf numFmtId="0" fontId="56" fillId="3" borderId="61" xfId="0" applyFont="1" applyFill="1" applyBorder="1" applyAlignment="1">
      <alignment horizontal="justify" vertical="center" wrapText="1"/>
    </xf>
    <xf numFmtId="0" fontId="56" fillId="3" borderId="62" xfId="0" applyFont="1" applyFill="1" applyBorder="1" applyAlignment="1">
      <alignment horizontal="justify" vertical="center" wrapText="1"/>
    </xf>
    <xf numFmtId="0" fontId="51" fillId="14" borderId="43" xfId="2" applyFont="1" applyFill="1" applyBorder="1" applyAlignment="1">
      <alignment horizontal="center" vertical="center" wrapText="1"/>
    </xf>
    <xf numFmtId="0" fontId="51" fillId="14" borderId="44" xfId="2" applyFont="1" applyFill="1" applyBorder="1" applyAlignment="1">
      <alignment horizontal="center" vertical="center" wrapText="1"/>
    </xf>
    <xf numFmtId="0" fontId="51" fillId="14" borderId="45"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3" xfId="2" quotePrefix="1" applyFont="1" applyBorder="1" applyAlignment="1">
      <alignment horizontal="left" vertical="center" wrapText="1"/>
    </xf>
    <xf numFmtId="0" fontId="50" fillId="0" borderId="64" xfId="2" quotePrefix="1" applyFont="1" applyBorder="1" applyAlignment="1">
      <alignment horizontal="left" vertical="center" wrapText="1"/>
    </xf>
    <xf numFmtId="0" fontId="50" fillId="0" borderId="65" xfId="2" quotePrefix="1" applyFont="1" applyBorder="1" applyAlignment="1">
      <alignment horizontal="left" vertical="center" wrapText="1"/>
    </xf>
    <xf numFmtId="0" fontId="52" fillId="3" borderId="46" xfId="2" quotePrefix="1" applyFont="1" applyFill="1" applyBorder="1" applyAlignment="1">
      <alignment horizontal="left" vertical="top" wrapText="1"/>
    </xf>
    <xf numFmtId="0" fontId="53" fillId="3" borderId="47" xfId="2" quotePrefix="1" applyFont="1" applyFill="1" applyBorder="1" applyAlignment="1">
      <alignment horizontal="left" vertical="top" wrapText="1"/>
    </xf>
    <xf numFmtId="0" fontId="53" fillId="3" borderId="48"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49" xfId="3" applyFont="1" applyFill="1" applyBorder="1" applyAlignment="1">
      <alignment horizontal="center" vertical="center" wrapText="1"/>
    </xf>
    <xf numFmtId="0" fontId="55" fillId="14" borderId="50" xfId="3" applyFont="1" applyFill="1" applyBorder="1" applyAlignment="1">
      <alignment horizontal="center" vertical="center" wrapText="1"/>
    </xf>
    <xf numFmtId="0" fontId="55" fillId="14" borderId="51" xfId="2" applyFont="1" applyFill="1" applyBorder="1" applyAlignment="1">
      <alignment horizontal="center" vertical="center"/>
    </xf>
    <xf numFmtId="0" fontId="55" fillId="14" borderId="52" xfId="2" applyFont="1" applyFill="1" applyBorder="1" applyAlignment="1">
      <alignment horizontal="center" vertical="center"/>
    </xf>
    <xf numFmtId="0" fontId="2" fillId="3" borderId="63" xfId="2" quotePrefix="1" applyFont="1" applyFill="1" applyBorder="1" applyAlignment="1">
      <alignment horizontal="justify" vertical="center" wrapText="1"/>
    </xf>
    <xf numFmtId="0" fontId="2" fillId="3" borderId="64" xfId="2" quotePrefix="1" applyFont="1" applyFill="1" applyBorder="1" applyAlignment="1">
      <alignment horizontal="justify" vertical="center" wrapText="1"/>
    </xf>
    <xf numFmtId="0" fontId="2" fillId="3" borderId="65" xfId="2" quotePrefix="1" applyFont="1" applyFill="1" applyBorder="1" applyAlignment="1">
      <alignment horizontal="justify" vertical="center" wrapText="1"/>
    </xf>
    <xf numFmtId="0" fontId="4" fillId="0" borderId="4" xfId="0" applyFont="1" applyBorder="1" applyAlignment="1" applyProtection="1">
      <alignment horizontal="justify" vertical="center"/>
      <protection hidden="1"/>
    </xf>
    <xf numFmtId="0" fontId="4" fillId="0" borderId="8" xfId="0" applyFont="1" applyBorder="1" applyAlignment="1" applyProtection="1">
      <alignment horizontal="justify" vertical="center"/>
      <protection hidden="1"/>
    </xf>
    <xf numFmtId="0" fontId="4" fillId="0" borderId="5" xfId="0" applyFont="1" applyBorder="1" applyAlignment="1" applyProtection="1">
      <alignment horizontal="justify" vertical="center"/>
      <protection hidden="1"/>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9" fontId="1" fillId="0" borderId="4" xfId="0" applyNumberFormat="1" applyFont="1" applyBorder="1" applyAlignment="1" applyProtection="1">
      <alignment horizontal="justify" vertical="center" wrapText="1"/>
      <protection hidden="1"/>
    </xf>
    <xf numFmtId="9" fontId="1" fillId="0" borderId="8" xfId="0" applyNumberFormat="1" applyFont="1" applyBorder="1" applyAlignment="1" applyProtection="1">
      <alignment horizontal="justify" vertical="center" wrapText="1"/>
      <protection hidden="1"/>
    </xf>
    <xf numFmtId="9" fontId="1" fillId="0" borderId="4" xfId="0" applyNumberFormat="1" applyFont="1" applyFill="1" applyBorder="1" applyAlignment="1" applyProtection="1">
      <alignment horizontal="justify" vertical="center" wrapText="1"/>
      <protection locked="0"/>
    </xf>
    <xf numFmtId="9" fontId="1" fillId="0" borderId="8" xfId="0" applyNumberFormat="1" applyFont="1" applyFill="1" applyBorder="1" applyAlignment="1" applyProtection="1">
      <alignment horizontal="justify" vertical="center" wrapText="1"/>
      <protection locked="0"/>
    </xf>
    <xf numFmtId="9" fontId="1" fillId="0" borderId="4" xfId="0" applyNumberFormat="1" applyFont="1" applyFill="1" applyBorder="1" applyAlignment="1" applyProtection="1">
      <alignment horizontal="justify" vertical="center" wrapText="1"/>
      <protection hidden="1"/>
    </xf>
    <xf numFmtId="9" fontId="1" fillId="0" borderId="8" xfId="0" applyNumberFormat="1" applyFont="1" applyFill="1" applyBorder="1" applyAlignment="1" applyProtection="1">
      <alignment horizontal="justify" vertical="center" wrapText="1"/>
      <protection hidden="1"/>
    </xf>
    <xf numFmtId="0" fontId="4" fillId="0" borderId="4" xfId="0" applyFont="1" applyBorder="1" applyAlignment="1" applyProtection="1">
      <alignment horizontal="justify" vertical="center" wrapText="1"/>
      <protection hidden="1"/>
    </xf>
    <xf numFmtId="0" fontId="4" fillId="0" borderId="8" xfId="0" applyFont="1" applyBorder="1" applyAlignment="1" applyProtection="1">
      <alignment horizontal="justify" vertical="center" wrapText="1"/>
      <protection hidden="1"/>
    </xf>
    <xf numFmtId="0" fontId="4" fillId="2" borderId="2"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4" xfId="0" applyFont="1" applyFill="1" applyBorder="1" applyAlignment="1" applyProtection="1">
      <alignment horizontal="justify" vertical="center" wrapText="1"/>
      <protection locked="0"/>
    </xf>
    <xf numFmtId="0" fontId="1" fillId="0" borderId="8" xfId="0" applyFont="1" applyFill="1" applyBorder="1" applyAlignment="1" applyProtection="1">
      <alignment horizontal="justify" vertical="center" wrapText="1"/>
      <protection locked="0"/>
    </xf>
    <xf numFmtId="0" fontId="2" fillId="0" borderId="4" xfId="0" applyFont="1" applyFill="1" applyBorder="1" applyAlignment="1" applyProtection="1">
      <alignment horizontal="justify" vertical="center" wrapText="1"/>
      <protection locked="0"/>
    </xf>
    <xf numFmtId="0" fontId="2" fillId="0" borderId="5" xfId="0" applyFont="1" applyFill="1" applyBorder="1" applyAlignment="1" applyProtection="1">
      <alignment horizontal="justify" vertical="center" wrapText="1"/>
      <protection locked="0"/>
    </xf>
    <xf numFmtId="0" fontId="1" fillId="0" borderId="4"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left" vertical="center" wrapText="1"/>
      <protection locked="0"/>
    </xf>
    <xf numFmtId="0" fontId="1" fillId="0" borderId="8" xfId="0" applyFont="1" applyFill="1" applyBorder="1" applyAlignment="1" applyProtection="1">
      <alignment horizontal="justify" vertical="center"/>
      <protection locked="0"/>
    </xf>
    <xf numFmtId="0" fontId="1" fillId="0" borderId="5" xfId="0" applyFont="1" applyFill="1" applyBorder="1" applyAlignment="1" applyProtection="1">
      <alignment horizontal="justify" vertical="center" wrapText="1"/>
      <protection locked="0"/>
    </xf>
    <xf numFmtId="0" fontId="2" fillId="0" borderId="8" xfId="0" applyFont="1" applyFill="1" applyBorder="1" applyAlignment="1" applyProtection="1">
      <alignment horizontal="justify" vertical="center" wrapText="1"/>
      <protection locked="0"/>
    </xf>
    <xf numFmtId="0" fontId="1" fillId="0" borderId="4" xfId="0" applyFont="1" applyFill="1" applyBorder="1" applyAlignment="1">
      <alignment horizontal="center" vertical="center"/>
    </xf>
    <xf numFmtId="0" fontId="1" fillId="0" borderId="4" xfId="0" applyFont="1" applyFill="1" applyBorder="1" applyAlignment="1" applyProtection="1">
      <alignment horizontal="justify" vertical="center"/>
      <protection locked="0"/>
    </xf>
    <xf numFmtId="0" fontId="4" fillId="2" borderId="5"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4" fillId="2" borderId="2" xfId="0" applyFont="1" applyFill="1" applyBorder="1" applyAlignment="1">
      <alignment horizontal="center" vertical="center" textRotation="90"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xf>
    <xf numFmtId="0" fontId="1" fillId="0" borderId="28" xfId="0" applyFont="1" applyBorder="1" applyAlignment="1">
      <alignment horizontal="center" vertical="center"/>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3" borderId="6" xfId="0" applyFont="1" applyFill="1" applyBorder="1" applyAlignment="1" applyProtection="1">
      <alignment horizontal="left" vertical="center"/>
      <protection locked="0"/>
    </xf>
    <xf numFmtId="0" fontId="27" fillId="3" borderId="10" xfId="0" applyFont="1" applyFill="1" applyBorder="1" applyAlignment="1" applyProtection="1">
      <alignment horizontal="left" vertical="center"/>
      <protection locked="0"/>
    </xf>
    <xf numFmtId="0" fontId="27" fillId="3" borderId="7" xfId="0" applyFont="1" applyFill="1" applyBorder="1" applyAlignment="1" applyProtection="1">
      <alignment horizontal="left" vertical="center"/>
      <protection locked="0"/>
    </xf>
    <xf numFmtId="0" fontId="60" fillId="0" borderId="72" xfId="0" applyFont="1" applyBorder="1" applyAlignment="1">
      <alignment horizontal="center" vertical="center"/>
    </xf>
    <xf numFmtId="0" fontId="60" fillId="0" borderId="0" xfId="0" applyFont="1" applyBorder="1" applyAlignment="1">
      <alignment horizontal="center" vertical="center"/>
    </xf>
    <xf numFmtId="0" fontId="60" fillId="0" borderId="73" xfId="0" applyFont="1" applyBorder="1" applyAlignment="1">
      <alignment horizontal="center" vertical="center"/>
    </xf>
    <xf numFmtId="0" fontId="59" fillId="0" borderId="72" xfId="0" applyFont="1" applyBorder="1" applyAlignment="1">
      <alignment horizontal="center" vertical="center"/>
    </xf>
    <xf numFmtId="0" fontId="59" fillId="0" borderId="0" xfId="0" applyFont="1" applyBorder="1" applyAlignment="1">
      <alignment horizontal="center" vertical="center"/>
    </xf>
    <xf numFmtId="0" fontId="59" fillId="0" borderId="73" xfId="0" applyFont="1" applyBorder="1" applyAlignment="1">
      <alignment horizontal="center" vertical="center"/>
    </xf>
    <xf numFmtId="0" fontId="4" fillId="14" borderId="2" xfId="0" applyFont="1" applyFill="1" applyBorder="1" applyAlignment="1">
      <alignment horizontal="center" vertical="center" wrapText="1"/>
    </xf>
    <xf numFmtId="0" fontId="1" fillId="3" borderId="0" xfId="0" applyFont="1" applyFill="1" applyAlignment="1">
      <alignment horizontal="left" vertical="center"/>
    </xf>
    <xf numFmtId="0" fontId="1" fillId="0" borderId="4"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8" xfId="0" applyFont="1" applyFill="1" applyBorder="1" applyAlignment="1">
      <alignment horizontal="center" vertical="center" wrapText="1"/>
    </xf>
    <xf numFmtId="0" fontId="4" fillId="2" borderId="5" xfId="0" applyFont="1" applyFill="1" applyBorder="1" applyAlignment="1">
      <alignment horizontal="center" vertical="center"/>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0" borderId="6" xfId="0" applyFont="1" applyBorder="1" applyAlignment="1">
      <alignment horizontal="center" vertical="center" wrapText="1"/>
    </xf>
    <xf numFmtId="0" fontId="1" fillId="0" borderId="10" xfId="0" applyFont="1" applyBorder="1" applyAlignment="1">
      <alignment horizontal="center" vertical="center" wrapText="1"/>
    </xf>
    <xf numFmtId="9" fontId="1" fillId="0" borderId="5" xfId="0" applyNumberFormat="1" applyFont="1" applyBorder="1" applyAlignment="1" applyProtection="1">
      <alignment horizontal="justify" vertical="center" wrapText="1"/>
      <protection hidden="1"/>
    </xf>
    <xf numFmtId="9" fontId="1" fillId="0" borderId="5" xfId="0" applyNumberFormat="1" applyFont="1" applyFill="1" applyBorder="1" applyAlignment="1" applyProtection="1">
      <alignment horizontal="justify" vertical="center" wrapText="1"/>
      <protection locked="0"/>
    </xf>
    <xf numFmtId="0" fontId="1" fillId="0" borderId="5" xfId="0" applyFont="1" applyFill="1" applyBorder="1" applyAlignment="1" applyProtection="1">
      <alignment horizontal="justify" vertical="center"/>
      <protection locked="0"/>
    </xf>
    <xf numFmtId="0" fontId="4" fillId="0" borderId="5" xfId="0" applyFont="1" applyBorder="1" applyAlignment="1" applyProtection="1">
      <alignment horizontal="justify" vertical="center" wrapText="1"/>
      <protection hidden="1"/>
    </xf>
    <xf numFmtId="0" fontId="1" fillId="0" borderId="5" xfId="0" applyFont="1" applyFill="1" applyBorder="1" applyAlignment="1">
      <alignment horizontal="center" vertical="center"/>
    </xf>
    <xf numFmtId="0" fontId="53" fillId="0" borderId="4" xfId="0" applyFont="1" applyBorder="1" applyAlignment="1" applyProtection="1">
      <alignment horizontal="justify" vertical="center" wrapText="1"/>
      <protection hidden="1"/>
    </xf>
    <xf numFmtId="0" fontId="53" fillId="0" borderId="8" xfId="0" applyFont="1" applyBorder="1" applyAlignment="1" applyProtection="1">
      <alignment horizontal="justify" vertical="center" wrapText="1"/>
      <protection hidden="1"/>
    </xf>
    <xf numFmtId="9" fontId="1" fillId="0" borderId="5" xfId="0" applyNumberFormat="1" applyFont="1" applyFill="1" applyBorder="1" applyAlignment="1" applyProtection="1">
      <alignment horizontal="justify" vertical="center" wrapText="1"/>
      <protection hidden="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0" xfId="0" applyFont="1" applyBorder="1" applyAlignment="1">
      <alignment horizontal="center" vertical="center"/>
    </xf>
    <xf numFmtId="0" fontId="18" fillId="0" borderId="14" xfId="0" applyFont="1" applyBorder="1" applyAlignment="1">
      <alignment horizontal="center" vertical="center" wrapText="1"/>
    </xf>
    <xf numFmtId="0" fontId="21" fillId="11" borderId="0" xfId="0" applyFont="1" applyFill="1" applyBorder="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Border="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Border="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5" borderId="0" xfId="0" applyFont="1" applyFill="1" applyBorder="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0" xfId="0" applyFont="1" applyFill="1" applyBorder="1" applyAlignment="1">
      <alignment horizontal="center" vertical="center" wrapText="1" readingOrder="1"/>
    </xf>
    <xf numFmtId="0" fontId="41" fillId="15" borderId="31" xfId="0" applyFont="1" applyFill="1" applyBorder="1" applyAlignment="1">
      <alignment horizontal="center" vertical="center" wrapText="1" readingOrder="1"/>
    </xf>
    <xf numFmtId="0" fontId="41" fillId="15" borderId="42"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39" xfId="0" applyFont="1" applyFill="1" applyBorder="1" applyAlignment="1">
      <alignment horizontal="center" vertical="center" wrapText="1" readingOrder="1"/>
    </xf>
    <xf numFmtId="0" fontId="38" fillId="15" borderId="40"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2" xfId="0" applyFont="1" applyFill="1" applyBorder="1" applyAlignment="1">
      <alignment horizontal="center" vertical="center" wrapText="1" readingOrder="1"/>
    </xf>
    <xf numFmtId="0" fontId="38" fillId="3" borderId="29" xfId="0" applyFont="1" applyFill="1" applyBorder="1" applyAlignment="1">
      <alignment horizontal="center" vertical="center" wrapText="1" readingOrder="1"/>
    </xf>
    <xf numFmtId="0" fontId="38" fillId="3" borderId="28"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5" xfId="0" applyFont="1" applyFill="1" applyBorder="1" applyAlignment="1">
      <alignment horizontal="center" vertical="center" wrapText="1" readingOrder="1"/>
    </xf>
    <xf numFmtId="14" fontId="1" fillId="0" borderId="2" xfId="0" applyNumberFormat="1" applyFont="1" applyFill="1" applyBorder="1" applyAlignment="1" applyProtection="1">
      <alignment horizontal="center" vertical="center"/>
      <protection locked="0"/>
    </xf>
  </cellXfs>
  <cellStyles count="5">
    <cellStyle name="Normal" xfId="0" builtinId="0"/>
    <cellStyle name="Normal - Style1 2" xfId="2"/>
    <cellStyle name="Normal 2" xfId="4"/>
    <cellStyle name="Normal 2 2" xfId="3"/>
    <cellStyle name="Porcentaje" xfId="1" builtinId="5"/>
  </cellStyles>
  <dxfs count="29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CC00"/>
      <color rgb="FFFF990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eetMetadata" Target="metadata.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47625</xdr:colOff>
      <xdr:row>0</xdr:row>
      <xdr:rowOff>31750</xdr:rowOff>
    </xdr:from>
    <xdr:to>
      <xdr:col>1</xdr:col>
      <xdr:colOff>987618</xdr:colOff>
      <xdr:row>3</xdr:row>
      <xdr:rowOff>190500</xdr:rowOff>
    </xdr:to>
    <xdr:pic>
      <xdr:nvPicPr>
        <xdr:cNvPr id="2" name="2 Imagen" descr="C:\Users\AUXPLANEACION03\Desktop\Gobernacion_del_quindio.jpg">
          <a:extLst>
            <a:ext uri="{FF2B5EF4-FFF2-40B4-BE49-F238E27FC236}">
              <a16:creationId xmlns:a16="http://schemas.microsoft.com/office/drawing/2014/main" id="{84F9EA71-0F40-45EC-BA7A-69B54F50181C}"/>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17500" y="31750"/>
          <a:ext cx="939993" cy="10636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ENOVO/Desktop/Secretaria%20Administrativa/SEG.%20INSTRUMENTOS%20PLANIF%20Y%20CONTROL/2024/AJUSTE%20DE%20MAPAS%20E%20INDICADORES%202024/OK/MR-SAD-01-V10_Mapa_riesgos_Administrativa_2024-OK.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UXTRIBUTARIA11/Downloads/controles.xlsx"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MR-CUL-01-V10_Mapa_riesgos_Cultura_2023%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sheetData sheetId="1"/>
      <sheetData sheetId="2"/>
      <sheetData sheetId="3"/>
      <sheetData sheetId="4"/>
      <sheetData sheetId="5">
        <row r="11">
          <cell r="C11" t="str">
            <v xml:space="preserve">     Afectación menor a 10 SMLMV .</v>
          </cell>
        </row>
      </sheetData>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uctivo"/>
      <sheetName val="Mapa final"/>
      <sheetName val="Matriz Calor Inherente"/>
      <sheetName val="Matriz Calor Residual"/>
      <sheetName val="Tabla probabilidad"/>
      <sheetName val="Tabla Impacto"/>
      <sheetName val="Tabla Valoración controles"/>
      <sheetName val="Opciones Tratamiento"/>
      <sheetName val="Hoja1"/>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iones Tratamiento"/>
    </sheetNames>
    <sheetDataSet>
      <sheetData sheetId="0"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9"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3" dataDxfId="2">
  <autoFilter ref="B209:C219"/>
  <tableColumns count="2">
    <tableColumn id="1" name="Criterios" dataDxfId="1"/>
    <tableColumn id="2"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1:H45"/>
  <sheetViews>
    <sheetView topLeftCell="A9" zoomScale="120" zoomScaleNormal="120" workbookViewId="0">
      <selection activeCell="E21" sqref="E21:F21"/>
    </sheetView>
  </sheetViews>
  <sheetFormatPr baseColWidth="10" defaultColWidth="11.42578125" defaultRowHeight="1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row r="2" spans="2:8" ht="18">
      <c r="B2" s="209" t="s">
        <v>165</v>
      </c>
      <c r="C2" s="210"/>
      <c r="D2" s="210"/>
      <c r="E2" s="210"/>
      <c r="F2" s="210"/>
      <c r="G2" s="210"/>
      <c r="H2" s="211"/>
    </row>
    <row r="3" spans="2:8">
      <c r="B3" s="85"/>
      <c r="C3" s="86"/>
      <c r="D3" s="86"/>
      <c r="E3" s="86"/>
      <c r="F3" s="86"/>
      <c r="G3" s="86"/>
      <c r="H3" s="87"/>
    </row>
    <row r="4" spans="2:8" ht="63" customHeight="1">
      <c r="B4" s="212" t="s">
        <v>208</v>
      </c>
      <c r="C4" s="213"/>
      <c r="D4" s="213"/>
      <c r="E4" s="213"/>
      <c r="F4" s="213"/>
      <c r="G4" s="213"/>
      <c r="H4" s="214"/>
    </row>
    <row r="5" spans="2:8" ht="63" customHeight="1">
      <c r="B5" s="215"/>
      <c r="C5" s="216"/>
      <c r="D5" s="216"/>
      <c r="E5" s="216"/>
      <c r="F5" s="216"/>
      <c r="G5" s="216"/>
      <c r="H5" s="217"/>
    </row>
    <row r="6" spans="2:8" ht="16.5">
      <c r="B6" s="218" t="s">
        <v>163</v>
      </c>
      <c r="C6" s="219"/>
      <c r="D6" s="219"/>
      <c r="E6" s="219"/>
      <c r="F6" s="219"/>
      <c r="G6" s="219"/>
      <c r="H6" s="220"/>
    </row>
    <row r="7" spans="2:8" ht="95.25" customHeight="1">
      <c r="B7" s="228" t="s">
        <v>168</v>
      </c>
      <c r="C7" s="229"/>
      <c r="D7" s="229"/>
      <c r="E7" s="229"/>
      <c r="F7" s="229"/>
      <c r="G7" s="229"/>
      <c r="H7" s="230"/>
    </row>
    <row r="8" spans="2:8" ht="16.5">
      <c r="B8" s="121"/>
      <c r="C8" s="122"/>
      <c r="D8" s="122"/>
      <c r="E8" s="122"/>
      <c r="F8" s="122"/>
      <c r="G8" s="122"/>
      <c r="H8" s="123"/>
    </row>
    <row r="9" spans="2:8" ht="16.5" customHeight="1">
      <c r="B9" s="221" t="s">
        <v>201</v>
      </c>
      <c r="C9" s="222"/>
      <c r="D9" s="222"/>
      <c r="E9" s="222"/>
      <c r="F9" s="222"/>
      <c r="G9" s="222"/>
      <c r="H9" s="223"/>
    </row>
    <row r="10" spans="2:8" ht="44.25" customHeight="1">
      <c r="B10" s="221"/>
      <c r="C10" s="222"/>
      <c r="D10" s="222"/>
      <c r="E10" s="222"/>
      <c r="F10" s="222"/>
      <c r="G10" s="222"/>
      <c r="H10" s="223"/>
    </row>
    <row r="11" spans="2:8" ht="15.75" thickBot="1">
      <c r="B11" s="110"/>
      <c r="C11" s="113"/>
      <c r="D11" s="118"/>
      <c r="E11" s="119"/>
      <c r="F11" s="119"/>
      <c r="G11" s="120"/>
      <c r="H11" s="114"/>
    </row>
    <row r="12" spans="2:8" ht="15.75" thickTop="1">
      <c r="B12" s="110"/>
      <c r="C12" s="224" t="s">
        <v>164</v>
      </c>
      <c r="D12" s="225"/>
      <c r="E12" s="226" t="s">
        <v>202</v>
      </c>
      <c r="F12" s="227"/>
      <c r="G12" s="113"/>
      <c r="H12" s="114"/>
    </row>
    <row r="13" spans="2:8" ht="35.25" customHeight="1">
      <c r="B13" s="110"/>
      <c r="C13" s="196" t="s">
        <v>195</v>
      </c>
      <c r="D13" s="197"/>
      <c r="E13" s="198" t="s">
        <v>200</v>
      </c>
      <c r="F13" s="199"/>
      <c r="G13" s="113"/>
      <c r="H13" s="114"/>
    </row>
    <row r="14" spans="2:8" ht="17.25" customHeight="1">
      <c r="B14" s="110"/>
      <c r="C14" s="196" t="s">
        <v>196</v>
      </c>
      <c r="D14" s="197"/>
      <c r="E14" s="198" t="s">
        <v>198</v>
      </c>
      <c r="F14" s="199"/>
      <c r="G14" s="113"/>
      <c r="H14" s="114"/>
    </row>
    <row r="15" spans="2:8" ht="19.5" customHeight="1">
      <c r="B15" s="110"/>
      <c r="C15" s="196" t="s">
        <v>197</v>
      </c>
      <c r="D15" s="197"/>
      <c r="E15" s="198" t="s">
        <v>199</v>
      </c>
      <c r="F15" s="199"/>
      <c r="G15" s="113"/>
      <c r="H15" s="114"/>
    </row>
    <row r="16" spans="2:8" ht="69.75" customHeight="1">
      <c r="B16" s="110"/>
      <c r="C16" s="196" t="s">
        <v>166</v>
      </c>
      <c r="D16" s="197"/>
      <c r="E16" s="198" t="s">
        <v>167</v>
      </c>
      <c r="F16" s="199"/>
      <c r="G16" s="113"/>
      <c r="H16" s="114"/>
    </row>
    <row r="17" spans="2:8" ht="34.5" customHeight="1">
      <c r="B17" s="110"/>
      <c r="C17" s="200" t="s">
        <v>2</v>
      </c>
      <c r="D17" s="201"/>
      <c r="E17" s="192" t="s">
        <v>209</v>
      </c>
      <c r="F17" s="193"/>
      <c r="G17" s="113"/>
      <c r="H17" s="114"/>
    </row>
    <row r="18" spans="2:8" ht="27.75" customHeight="1">
      <c r="B18" s="110"/>
      <c r="C18" s="200" t="s">
        <v>3</v>
      </c>
      <c r="D18" s="201"/>
      <c r="E18" s="192" t="s">
        <v>210</v>
      </c>
      <c r="F18" s="193"/>
      <c r="G18" s="113"/>
      <c r="H18" s="114"/>
    </row>
    <row r="19" spans="2:8" ht="28.5" customHeight="1">
      <c r="B19" s="110"/>
      <c r="C19" s="200" t="s">
        <v>42</v>
      </c>
      <c r="D19" s="201"/>
      <c r="E19" s="192" t="s">
        <v>211</v>
      </c>
      <c r="F19" s="193"/>
      <c r="G19" s="113"/>
      <c r="H19" s="114"/>
    </row>
    <row r="20" spans="2:8" ht="72.75" customHeight="1">
      <c r="B20" s="110"/>
      <c r="C20" s="200" t="s">
        <v>1</v>
      </c>
      <c r="D20" s="201"/>
      <c r="E20" s="192" t="s">
        <v>212</v>
      </c>
      <c r="F20" s="193"/>
      <c r="G20" s="113"/>
      <c r="H20" s="114"/>
    </row>
    <row r="21" spans="2:8" ht="64.5" customHeight="1">
      <c r="B21" s="110"/>
      <c r="C21" s="200" t="s">
        <v>50</v>
      </c>
      <c r="D21" s="201"/>
      <c r="E21" s="192" t="s">
        <v>170</v>
      </c>
      <c r="F21" s="193"/>
      <c r="G21" s="113"/>
      <c r="H21" s="114"/>
    </row>
    <row r="22" spans="2:8" ht="71.25" customHeight="1">
      <c r="B22" s="110"/>
      <c r="C22" s="200" t="s">
        <v>169</v>
      </c>
      <c r="D22" s="201"/>
      <c r="E22" s="192" t="s">
        <v>171</v>
      </c>
      <c r="F22" s="193"/>
      <c r="G22" s="113"/>
      <c r="H22" s="114"/>
    </row>
    <row r="23" spans="2:8" ht="55.5" customHeight="1">
      <c r="B23" s="110"/>
      <c r="C23" s="194" t="s">
        <v>172</v>
      </c>
      <c r="D23" s="195"/>
      <c r="E23" s="192" t="s">
        <v>173</v>
      </c>
      <c r="F23" s="193"/>
      <c r="G23" s="113"/>
      <c r="H23" s="114"/>
    </row>
    <row r="24" spans="2:8" ht="42" customHeight="1">
      <c r="B24" s="110"/>
      <c r="C24" s="194" t="s">
        <v>48</v>
      </c>
      <c r="D24" s="195"/>
      <c r="E24" s="192" t="s">
        <v>174</v>
      </c>
      <c r="F24" s="193"/>
      <c r="G24" s="113"/>
      <c r="H24" s="114"/>
    </row>
    <row r="25" spans="2:8" ht="59.25" customHeight="1">
      <c r="B25" s="110"/>
      <c r="C25" s="194" t="s">
        <v>162</v>
      </c>
      <c r="D25" s="195"/>
      <c r="E25" s="192" t="s">
        <v>175</v>
      </c>
      <c r="F25" s="193"/>
      <c r="G25" s="113"/>
      <c r="H25" s="114"/>
    </row>
    <row r="26" spans="2:8" ht="23.25" customHeight="1">
      <c r="B26" s="110"/>
      <c r="C26" s="194" t="s">
        <v>12</v>
      </c>
      <c r="D26" s="195"/>
      <c r="E26" s="192" t="s">
        <v>176</v>
      </c>
      <c r="F26" s="193"/>
      <c r="G26" s="113"/>
      <c r="H26" s="114"/>
    </row>
    <row r="27" spans="2:8" ht="30.75" customHeight="1">
      <c r="B27" s="110"/>
      <c r="C27" s="194" t="s">
        <v>180</v>
      </c>
      <c r="D27" s="195"/>
      <c r="E27" s="192" t="s">
        <v>177</v>
      </c>
      <c r="F27" s="193"/>
      <c r="G27" s="113"/>
      <c r="H27" s="114"/>
    </row>
    <row r="28" spans="2:8" ht="35.25" customHeight="1">
      <c r="B28" s="110"/>
      <c r="C28" s="194" t="s">
        <v>181</v>
      </c>
      <c r="D28" s="195"/>
      <c r="E28" s="192" t="s">
        <v>178</v>
      </c>
      <c r="F28" s="193"/>
      <c r="G28" s="113"/>
      <c r="H28" s="114"/>
    </row>
    <row r="29" spans="2:8" ht="33" customHeight="1">
      <c r="B29" s="110"/>
      <c r="C29" s="194" t="s">
        <v>181</v>
      </c>
      <c r="D29" s="195"/>
      <c r="E29" s="192" t="s">
        <v>178</v>
      </c>
      <c r="F29" s="193"/>
      <c r="G29" s="113"/>
      <c r="H29" s="114"/>
    </row>
    <row r="30" spans="2:8" ht="30" customHeight="1">
      <c r="B30" s="110"/>
      <c r="C30" s="194" t="s">
        <v>182</v>
      </c>
      <c r="D30" s="195"/>
      <c r="E30" s="192" t="s">
        <v>179</v>
      </c>
      <c r="F30" s="193"/>
      <c r="G30" s="113"/>
      <c r="H30" s="114"/>
    </row>
    <row r="31" spans="2:8" ht="35.25" customHeight="1">
      <c r="B31" s="110"/>
      <c r="C31" s="194" t="s">
        <v>183</v>
      </c>
      <c r="D31" s="195"/>
      <c r="E31" s="192" t="s">
        <v>184</v>
      </c>
      <c r="F31" s="193"/>
      <c r="G31" s="113"/>
      <c r="H31" s="114"/>
    </row>
    <row r="32" spans="2:8" ht="31.5" customHeight="1">
      <c r="B32" s="110"/>
      <c r="C32" s="194" t="s">
        <v>185</v>
      </c>
      <c r="D32" s="195"/>
      <c r="E32" s="192" t="s">
        <v>186</v>
      </c>
      <c r="F32" s="193"/>
      <c r="G32" s="113"/>
      <c r="H32" s="114"/>
    </row>
    <row r="33" spans="2:8" ht="35.25" customHeight="1">
      <c r="B33" s="110"/>
      <c r="C33" s="194" t="s">
        <v>187</v>
      </c>
      <c r="D33" s="195"/>
      <c r="E33" s="192" t="s">
        <v>188</v>
      </c>
      <c r="F33" s="193"/>
      <c r="G33" s="113"/>
      <c r="H33" s="114"/>
    </row>
    <row r="34" spans="2:8" ht="59.25" customHeight="1">
      <c r="B34" s="110"/>
      <c r="C34" s="194" t="s">
        <v>189</v>
      </c>
      <c r="D34" s="195"/>
      <c r="E34" s="192" t="s">
        <v>190</v>
      </c>
      <c r="F34" s="193"/>
      <c r="G34" s="113"/>
      <c r="H34" s="114"/>
    </row>
    <row r="35" spans="2:8" ht="29.25" customHeight="1">
      <c r="B35" s="110"/>
      <c r="C35" s="194" t="s">
        <v>29</v>
      </c>
      <c r="D35" s="195"/>
      <c r="E35" s="192" t="s">
        <v>191</v>
      </c>
      <c r="F35" s="193"/>
      <c r="G35" s="113"/>
      <c r="H35" s="114"/>
    </row>
    <row r="36" spans="2:8" ht="82.5" customHeight="1">
      <c r="B36" s="110"/>
      <c r="C36" s="194" t="s">
        <v>193</v>
      </c>
      <c r="D36" s="195"/>
      <c r="E36" s="192" t="s">
        <v>192</v>
      </c>
      <c r="F36" s="193"/>
      <c r="G36" s="113"/>
      <c r="H36" s="114"/>
    </row>
    <row r="37" spans="2:8" ht="46.5" customHeight="1">
      <c r="B37" s="110"/>
      <c r="C37" s="194" t="s">
        <v>39</v>
      </c>
      <c r="D37" s="195"/>
      <c r="E37" s="192" t="s">
        <v>194</v>
      </c>
      <c r="F37" s="193"/>
      <c r="G37" s="113"/>
      <c r="H37" s="114"/>
    </row>
    <row r="38" spans="2:8" ht="6.75" customHeight="1" thickBot="1">
      <c r="B38" s="110"/>
      <c r="C38" s="205"/>
      <c r="D38" s="206"/>
      <c r="E38" s="207"/>
      <c r="F38" s="208"/>
      <c r="G38" s="113"/>
      <c r="H38" s="114"/>
    </row>
    <row r="39" spans="2:8" ht="15.75" thickTop="1">
      <c r="B39" s="110"/>
      <c r="C39" s="111"/>
      <c r="D39" s="111"/>
      <c r="E39" s="112"/>
      <c r="F39" s="112"/>
      <c r="G39" s="113"/>
      <c r="H39" s="114"/>
    </row>
    <row r="40" spans="2:8" ht="21" customHeight="1">
      <c r="B40" s="202" t="s">
        <v>203</v>
      </c>
      <c r="C40" s="203"/>
      <c r="D40" s="203"/>
      <c r="E40" s="203"/>
      <c r="F40" s="203"/>
      <c r="G40" s="203"/>
      <c r="H40" s="204"/>
    </row>
    <row r="41" spans="2:8" ht="20.25" customHeight="1">
      <c r="B41" s="202" t="s">
        <v>204</v>
      </c>
      <c r="C41" s="203"/>
      <c r="D41" s="203"/>
      <c r="E41" s="203"/>
      <c r="F41" s="203"/>
      <c r="G41" s="203"/>
      <c r="H41" s="204"/>
    </row>
    <row r="42" spans="2:8" ht="20.25" customHeight="1">
      <c r="B42" s="202" t="s">
        <v>205</v>
      </c>
      <c r="C42" s="203"/>
      <c r="D42" s="203"/>
      <c r="E42" s="203"/>
      <c r="F42" s="203"/>
      <c r="G42" s="203"/>
      <c r="H42" s="204"/>
    </row>
    <row r="43" spans="2:8" ht="20.25" customHeight="1">
      <c r="B43" s="202" t="s">
        <v>206</v>
      </c>
      <c r="C43" s="203"/>
      <c r="D43" s="203"/>
      <c r="E43" s="203"/>
      <c r="F43" s="203"/>
      <c r="G43" s="203"/>
      <c r="H43" s="204"/>
    </row>
    <row r="44" spans="2:8">
      <c r="B44" s="202" t="s">
        <v>207</v>
      </c>
      <c r="C44" s="203"/>
      <c r="D44" s="203"/>
      <c r="E44" s="203"/>
      <c r="F44" s="203"/>
      <c r="G44" s="203"/>
      <c r="H44" s="204"/>
    </row>
    <row r="45" spans="2:8" ht="15.75" thickBot="1">
      <c r="B45" s="115"/>
      <c r="C45" s="116"/>
      <c r="D45" s="116"/>
      <c r="E45" s="116"/>
      <c r="F45" s="116"/>
      <c r="G45" s="116"/>
      <c r="H45" s="117"/>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2060"/>
  </sheetPr>
  <dimension ref="A1:BP41"/>
  <sheetViews>
    <sheetView showGridLines="0" tabSelected="1" topLeftCell="Q8" zoomScale="66" zoomScaleNormal="66" workbookViewId="0">
      <selection activeCell="AH13" sqref="AH13:AH34"/>
    </sheetView>
  </sheetViews>
  <sheetFormatPr baseColWidth="10" defaultColWidth="11.42578125" defaultRowHeight="16.5"/>
  <cols>
    <col min="1" max="1" width="4" style="2" bestFit="1" customWidth="1"/>
    <col min="2" max="2" width="19.42578125" style="2" customWidth="1"/>
    <col min="3" max="3" width="22" style="2" customWidth="1"/>
    <col min="4" max="4" width="29.28515625" style="2" customWidth="1"/>
    <col min="5" max="5" width="40.5703125" style="1" customWidth="1"/>
    <col min="6" max="6" width="19" style="5" customWidth="1"/>
    <col min="7" max="7" width="17.85546875" style="1" customWidth="1"/>
    <col min="8" max="8" width="16.5703125" style="1" customWidth="1"/>
    <col min="9" max="9" width="6.28515625" style="1" bestFit="1" customWidth="1"/>
    <col min="10" max="10" width="24.28515625" style="1" customWidth="1"/>
    <col min="11" max="11" width="21.5703125" style="1" customWidth="1"/>
    <col min="12" max="12" width="15.140625" style="1" customWidth="1"/>
    <col min="13" max="13" width="6.28515625" style="1" bestFit="1" customWidth="1"/>
    <col min="14" max="14" width="16" style="1" customWidth="1"/>
    <col min="15" max="15" width="5.85546875" style="1" customWidth="1"/>
    <col min="16" max="16" width="44.42578125" style="1" customWidth="1"/>
    <col min="17" max="17" width="14.85546875" style="1" bestFit="1" customWidth="1"/>
    <col min="18" max="23" width="6.140625" style="1" bestFit="1" customWidth="1"/>
    <col min="24" max="24" width="17.42578125" style="1" customWidth="1"/>
    <col min="25" max="25" width="11" style="1" customWidth="1"/>
    <col min="26" max="26" width="6" style="1" bestFit="1" customWidth="1"/>
    <col min="27" max="27" width="11.85546875" style="1" customWidth="1"/>
    <col min="28" max="28" width="6" style="1" bestFit="1" customWidth="1"/>
    <col min="29" max="29" width="13" style="1" customWidth="1"/>
    <col min="30" max="30" width="9.7109375" style="1" customWidth="1"/>
    <col min="31" max="31" width="42.140625" style="1" customWidth="1"/>
    <col min="32" max="32" width="18.85546875" style="1" customWidth="1"/>
    <col min="33" max="33" width="20.85546875" style="1" customWidth="1"/>
    <col min="34" max="34" width="17" style="1" customWidth="1"/>
    <col min="35" max="35" width="38.140625" style="1" customWidth="1"/>
    <col min="36" max="36" width="21" style="1" customWidth="1"/>
    <col min="37" max="37" width="15.42578125" style="1" bestFit="1" customWidth="1"/>
    <col min="38" max="38" width="18.28515625" style="1" bestFit="1" customWidth="1"/>
    <col min="39" max="39" width="14.42578125" style="133" bestFit="1" customWidth="1"/>
    <col min="40" max="40" width="29" style="1" bestFit="1" customWidth="1"/>
    <col min="41" max="41" width="15.140625" style="1" bestFit="1" customWidth="1"/>
    <col min="42" max="42" width="15.42578125" style="1" bestFit="1" customWidth="1"/>
    <col min="43" max="43" width="18.28515625" style="1" bestFit="1" customWidth="1"/>
    <col min="44" max="44" width="14.42578125" style="133" bestFit="1" customWidth="1"/>
    <col min="45" max="45" width="29" style="1" bestFit="1" customWidth="1"/>
    <col min="46" max="46" width="15" style="1" customWidth="1"/>
    <col min="47" max="16384" width="11.42578125" style="1"/>
  </cols>
  <sheetData>
    <row r="1" spans="1:68" ht="24" customHeight="1">
      <c r="A1" s="270"/>
      <c r="B1" s="270"/>
      <c r="C1" s="276" t="s">
        <v>219</v>
      </c>
      <c r="D1" s="277"/>
      <c r="E1" s="277"/>
      <c r="F1" s="277"/>
      <c r="G1" s="277"/>
      <c r="H1" s="277"/>
      <c r="I1" s="277"/>
      <c r="J1" s="277"/>
      <c r="K1" s="277"/>
      <c r="L1" s="277"/>
      <c r="M1" s="277"/>
      <c r="N1" s="277"/>
      <c r="O1" s="277"/>
      <c r="P1" s="277"/>
      <c r="Q1" s="277"/>
      <c r="R1" s="277"/>
      <c r="S1" s="277"/>
      <c r="T1" s="277"/>
      <c r="U1" s="277"/>
      <c r="V1" s="277"/>
      <c r="W1" s="277"/>
      <c r="X1" s="277"/>
      <c r="Y1" s="277"/>
      <c r="Z1" s="277"/>
      <c r="AA1" s="277"/>
      <c r="AB1" s="277"/>
      <c r="AC1" s="277"/>
      <c r="AD1" s="277"/>
      <c r="AE1" s="277"/>
      <c r="AF1" s="277"/>
      <c r="AG1" s="277"/>
      <c r="AH1" s="277"/>
      <c r="AI1" s="277"/>
      <c r="AJ1" s="277"/>
      <c r="AK1" s="277"/>
      <c r="AL1" s="277"/>
      <c r="AM1" s="277"/>
      <c r="AN1" s="277"/>
      <c r="AO1" s="277"/>
      <c r="AP1" s="277"/>
      <c r="AQ1" s="277"/>
      <c r="AR1" s="278"/>
      <c r="AS1" s="126" t="s">
        <v>220</v>
      </c>
      <c r="AT1" s="126" t="s">
        <v>309</v>
      </c>
    </row>
    <row r="2" spans="1:68" ht="24" customHeight="1">
      <c r="A2" s="270"/>
      <c r="B2" s="270"/>
      <c r="C2" s="279" t="s">
        <v>218</v>
      </c>
      <c r="D2" s="280"/>
      <c r="E2" s="280"/>
      <c r="F2" s="280"/>
      <c r="G2" s="280"/>
      <c r="H2" s="280"/>
      <c r="I2" s="280"/>
      <c r="J2" s="280"/>
      <c r="K2" s="280"/>
      <c r="L2" s="280"/>
      <c r="M2" s="280"/>
      <c r="N2" s="280"/>
      <c r="O2" s="280"/>
      <c r="P2" s="280"/>
      <c r="Q2" s="280"/>
      <c r="R2" s="280"/>
      <c r="S2" s="280"/>
      <c r="T2" s="280"/>
      <c r="U2" s="280"/>
      <c r="V2" s="280"/>
      <c r="W2" s="280"/>
      <c r="X2" s="280"/>
      <c r="Y2" s="280"/>
      <c r="Z2" s="280"/>
      <c r="AA2" s="280"/>
      <c r="AB2" s="280"/>
      <c r="AC2" s="280"/>
      <c r="AD2" s="280"/>
      <c r="AE2" s="280"/>
      <c r="AF2" s="280"/>
      <c r="AG2" s="280"/>
      <c r="AH2" s="280"/>
      <c r="AI2" s="280"/>
      <c r="AJ2" s="280"/>
      <c r="AK2" s="280"/>
      <c r="AL2" s="280"/>
      <c r="AM2" s="280"/>
      <c r="AN2" s="280"/>
      <c r="AO2" s="280"/>
      <c r="AP2" s="280"/>
      <c r="AQ2" s="280"/>
      <c r="AR2" s="281"/>
      <c r="AS2" s="125" t="s">
        <v>221</v>
      </c>
      <c r="AT2" s="127">
        <v>12</v>
      </c>
    </row>
    <row r="3" spans="1:68" ht="24" customHeight="1">
      <c r="A3" s="270"/>
      <c r="B3" s="270"/>
      <c r="C3" s="279"/>
      <c r="D3" s="280"/>
      <c r="E3" s="280"/>
      <c r="F3" s="280"/>
      <c r="G3" s="280"/>
      <c r="H3" s="280"/>
      <c r="I3" s="280"/>
      <c r="J3" s="280"/>
      <c r="K3" s="280"/>
      <c r="L3" s="280"/>
      <c r="M3" s="280"/>
      <c r="N3" s="280"/>
      <c r="O3" s="280"/>
      <c r="P3" s="280"/>
      <c r="Q3" s="280"/>
      <c r="R3" s="280"/>
      <c r="S3" s="280"/>
      <c r="T3" s="280"/>
      <c r="U3" s="280"/>
      <c r="V3" s="280"/>
      <c r="W3" s="280"/>
      <c r="X3" s="280"/>
      <c r="Y3" s="280"/>
      <c r="Z3" s="280"/>
      <c r="AA3" s="280"/>
      <c r="AB3" s="280"/>
      <c r="AC3" s="280"/>
      <c r="AD3" s="280"/>
      <c r="AE3" s="280"/>
      <c r="AF3" s="280"/>
      <c r="AG3" s="280"/>
      <c r="AH3" s="280"/>
      <c r="AI3" s="280"/>
      <c r="AJ3" s="280"/>
      <c r="AK3" s="280"/>
      <c r="AL3" s="280"/>
      <c r="AM3" s="280"/>
      <c r="AN3" s="280"/>
      <c r="AO3" s="280"/>
      <c r="AP3" s="280"/>
      <c r="AQ3" s="280"/>
      <c r="AR3" s="281"/>
      <c r="AS3" s="125" t="s">
        <v>222</v>
      </c>
      <c r="AT3" s="128">
        <v>45828</v>
      </c>
      <c r="AU3" s="8"/>
      <c r="AV3" s="8"/>
      <c r="AW3" s="8"/>
      <c r="AX3" s="8"/>
      <c r="AY3" s="8"/>
      <c r="AZ3" s="8"/>
      <c r="BA3" s="8"/>
      <c r="BB3" s="8"/>
      <c r="BC3" s="8"/>
      <c r="BD3" s="8"/>
      <c r="BE3" s="8"/>
      <c r="BF3" s="8"/>
      <c r="BG3" s="8"/>
      <c r="BH3" s="8"/>
      <c r="BI3" s="8"/>
      <c r="BJ3" s="8"/>
      <c r="BK3" s="8"/>
      <c r="BL3" s="8"/>
      <c r="BM3" s="8"/>
      <c r="BN3" s="8"/>
      <c r="BO3" s="8"/>
      <c r="BP3" s="8"/>
    </row>
    <row r="4" spans="1:68" ht="24" customHeight="1">
      <c r="A4" s="270"/>
      <c r="B4" s="270"/>
      <c r="C4" s="279"/>
      <c r="D4" s="280"/>
      <c r="E4" s="280"/>
      <c r="F4" s="280"/>
      <c r="G4" s="280"/>
      <c r="H4" s="280"/>
      <c r="I4" s="280"/>
      <c r="J4" s="280"/>
      <c r="K4" s="280"/>
      <c r="L4" s="280"/>
      <c r="M4" s="280"/>
      <c r="N4" s="280"/>
      <c r="O4" s="280"/>
      <c r="P4" s="280"/>
      <c r="Q4" s="280"/>
      <c r="R4" s="280"/>
      <c r="S4" s="280"/>
      <c r="T4" s="280"/>
      <c r="U4" s="280"/>
      <c r="V4" s="280"/>
      <c r="W4" s="280"/>
      <c r="X4" s="280"/>
      <c r="Y4" s="280"/>
      <c r="Z4" s="280"/>
      <c r="AA4" s="280"/>
      <c r="AB4" s="280"/>
      <c r="AC4" s="280"/>
      <c r="AD4" s="280"/>
      <c r="AE4" s="280"/>
      <c r="AF4" s="280"/>
      <c r="AG4" s="280"/>
      <c r="AH4" s="280"/>
      <c r="AI4" s="280"/>
      <c r="AJ4" s="280"/>
      <c r="AK4" s="280"/>
      <c r="AL4" s="280"/>
      <c r="AM4" s="280"/>
      <c r="AN4" s="280"/>
      <c r="AO4" s="280"/>
      <c r="AP4" s="280"/>
      <c r="AQ4" s="280"/>
      <c r="AR4" s="281"/>
      <c r="AS4" s="125" t="s">
        <v>223</v>
      </c>
      <c r="AT4" s="127" t="s">
        <v>224</v>
      </c>
      <c r="AU4" s="8"/>
      <c r="AV4" s="8"/>
      <c r="AW4" s="8"/>
      <c r="AX4" s="8"/>
      <c r="AY4" s="8"/>
      <c r="AZ4" s="8"/>
      <c r="BA4" s="8"/>
      <c r="BB4" s="8"/>
      <c r="BC4" s="8"/>
      <c r="BD4" s="8"/>
      <c r="BE4" s="8"/>
      <c r="BF4" s="8"/>
      <c r="BG4" s="8"/>
      <c r="BH4" s="8"/>
      <c r="BI4" s="8"/>
      <c r="BJ4" s="8"/>
      <c r="BK4" s="8"/>
      <c r="BL4" s="8"/>
      <c r="BM4" s="8"/>
      <c r="BN4" s="8"/>
      <c r="BO4" s="8"/>
      <c r="BP4" s="8"/>
    </row>
    <row r="5" spans="1:68">
      <c r="A5" s="28"/>
      <c r="B5" s="29"/>
      <c r="C5" s="28"/>
      <c r="D5" s="28"/>
      <c r="E5" s="8"/>
      <c r="F5" s="27"/>
      <c r="G5" s="8"/>
      <c r="H5" s="8"/>
      <c r="I5" s="8"/>
      <c r="J5" s="8"/>
      <c r="K5" s="8"/>
      <c r="L5" s="8"/>
      <c r="M5" s="8"/>
      <c r="N5" s="8"/>
      <c r="O5" s="8"/>
      <c r="P5" s="8"/>
      <c r="Q5" s="8"/>
      <c r="R5" s="8"/>
      <c r="S5" s="8"/>
      <c r="T5" s="8"/>
      <c r="U5" s="8"/>
      <c r="V5" s="8"/>
      <c r="W5" s="8"/>
      <c r="X5" s="8"/>
      <c r="Y5" s="8"/>
      <c r="Z5" s="8"/>
      <c r="AA5" s="8"/>
      <c r="AB5" s="8"/>
      <c r="AC5" s="8"/>
      <c r="AD5" s="8"/>
      <c r="AE5" s="8"/>
      <c r="AF5" s="8"/>
      <c r="AG5" s="8"/>
      <c r="AH5" s="8"/>
      <c r="AI5" s="8"/>
      <c r="AJ5" s="8"/>
      <c r="AK5" s="8"/>
      <c r="AL5" s="8"/>
      <c r="AM5" s="134"/>
      <c r="AN5" s="8"/>
      <c r="AO5" s="8"/>
      <c r="AP5" s="8"/>
      <c r="AQ5" s="8"/>
      <c r="AR5" s="134"/>
      <c r="AS5" s="8"/>
      <c r="AT5" s="8"/>
      <c r="AU5" s="8"/>
      <c r="AV5" s="8"/>
      <c r="AW5" s="8"/>
      <c r="AX5" s="8"/>
      <c r="AY5" s="8"/>
      <c r="AZ5" s="8"/>
      <c r="BA5" s="8"/>
      <c r="BB5" s="8"/>
      <c r="BC5" s="8"/>
      <c r="BD5" s="8"/>
      <c r="BE5" s="8"/>
      <c r="BF5" s="8"/>
      <c r="BG5" s="8"/>
      <c r="BH5" s="8"/>
      <c r="BI5" s="8"/>
      <c r="BJ5" s="8"/>
      <c r="BK5" s="8"/>
      <c r="BL5" s="8"/>
      <c r="BM5" s="8"/>
      <c r="BN5" s="8"/>
      <c r="BO5" s="8"/>
      <c r="BP5" s="8"/>
    </row>
    <row r="6" spans="1:68" ht="26.25" customHeight="1">
      <c r="A6" s="271" t="s">
        <v>43</v>
      </c>
      <c r="B6" s="272"/>
      <c r="C6" s="273" t="s">
        <v>234</v>
      </c>
      <c r="D6" s="274"/>
      <c r="E6" s="274"/>
      <c r="F6" s="274"/>
      <c r="G6" s="274"/>
      <c r="H6" s="274"/>
      <c r="I6" s="274"/>
      <c r="J6" s="274"/>
      <c r="K6" s="274"/>
      <c r="L6" s="274"/>
      <c r="M6" s="274"/>
      <c r="N6" s="275"/>
      <c r="O6" s="283"/>
      <c r="P6" s="283"/>
      <c r="Q6" s="283"/>
      <c r="R6" s="8"/>
      <c r="S6" s="8"/>
      <c r="T6" s="8"/>
      <c r="U6" s="8"/>
      <c r="V6" s="8"/>
      <c r="W6" s="8"/>
      <c r="X6" s="8"/>
      <c r="Y6" s="8"/>
      <c r="Z6" s="8"/>
      <c r="AA6" s="8"/>
      <c r="AB6" s="8"/>
      <c r="AC6" s="8"/>
      <c r="AD6" s="8"/>
      <c r="AE6" s="8"/>
      <c r="AF6" s="8"/>
      <c r="AG6" s="8"/>
      <c r="AH6" s="8"/>
      <c r="AI6" s="8"/>
      <c r="AJ6" s="8"/>
      <c r="AK6" s="8"/>
      <c r="AL6" s="8"/>
      <c r="AM6" s="134"/>
      <c r="AN6" s="8"/>
      <c r="AO6" s="8"/>
      <c r="AP6" s="8"/>
      <c r="AQ6" s="8"/>
      <c r="AR6" s="134"/>
      <c r="AS6" s="8"/>
      <c r="AT6" s="8"/>
      <c r="AU6" s="8"/>
      <c r="AV6" s="8"/>
      <c r="AW6" s="8"/>
      <c r="AX6" s="8"/>
      <c r="AY6" s="8"/>
      <c r="AZ6" s="8"/>
      <c r="BA6" s="8"/>
      <c r="BB6" s="8"/>
      <c r="BC6" s="8"/>
      <c r="BD6" s="8"/>
      <c r="BE6" s="8"/>
      <c r="BF6" s="8"/>
      <c r="BG6" s="8"/>
      <c r="BH6" s="8"/>
      <c r="BI6" s="8"/>
      <c r="BJ6" s="8"/>
      <c r="BK6" s="8"/>
      <c r="BL6" s="8"/>
      <c r="BM6" s="8"/>
      <c r="BN6" s="8"/>
      <c r="BO6" s="8"/>
      <c r="BP6" s="8"/>
    </row>
    <row r="7" spans="1:68" ht="30" customHeight="1">
      <c r="A7" s="271" t="s">
        <v>130</v>
      </c>
      <c r="B7" s="272"/>
      <c r="C7" s="266" t="s">
        <v>235</v>
      </c>
      <c r="D7" s="290"/>
      <c r="E7" s="290"/>
      <c r="F7" s="290"/>
      <c r="G7" s="290"/>
      <c r="H7" s="290"/>
      <c r="I7" s="290"/>
      <c r="J7" s="290"/>
      <c r="K7" s="290"/>
      <c r="L7" s="290"/>
      <c r="M7" s="290"/>
      <c r="N7" s="291"/>
      <c r="O7" s="8"/>
      <c r="P7" s="8"/>
      <c r="Q7" s="8"/>
      <c r="R7" s="8"/>
      <c r="S7" s="8"/>
      <c r="T7" s="8"/>
      <c r="U7" s="8"/>
      <c r="V7" s="8"/>
      <c r="W7" s="8"/>
      <c r="X7" s="8"/>
      <c r="Y7" s="8"/>
      <c r="Z7" s="8"/>
      <c r="AA7" s="8"/>
      <c r="AB7" s="8"/>
      <c r="AC7" s="8"/>
      <c r="AD7" s="8"/>
      <c r="AE7" s="8"/>
      <c r="AF7" s="8"/>
      <c r="AG7" s="8"/>
      <c r="AH7" s="8"/>
      <c r="AI7" s="8"/>
      <c r="AJ7" s="8"/>
      <c r="AK7" s="8"/>
      <c r="AL7" s="8"/>
      <c r="AM7" s="134"/>
      <c r="AN7" s="8"/>
      <c r="AO7" s="8"/>
      <c r="AP7" s="8"/>
      <c r="AQ7" s="8"/>
      <c r="AR7" s="134"/>
      <c r="AS7" s="8"/>
      <c r="AT7" s="8"/>
      <c r="AU7" s="8"/>
      <c r="AV7" s="8"/>
      <c r="AW7" s="8"/>
      <c r="AX7" s="8"/>
      <c r="AY7" s="8"/>
      <c r="AZ7" s="8"/>
      <c r="BA7" s="8"/>
      <c r="BB7" s="8"/>
      <c r="BC7" s="8"/>
      <c r="BD7" s="8"/>
      <c r="BE7" s="8"/>
      <c r="BF7" s="8"/>
      <c r="BG7" s="8"/>
      <c r="BH7" s="8"/>
      <c r="BI7" s="8"/>
      <c r="BJ7" s="8"/>
      <c r="BK7" s="8"/>
      <c r="BL7" s="8"/>
      <c r="BM7" s="8"/>
      <c r="BN7" s="8"/>
      <c r="BO7" s="8"/>
      <c r="BP7" s="8"/>
    </row>
    <row r="8" spans="1:68" ht="58.5" customHeight="1">
      <c r="A8" s="271" t="s">
        <v>44</v>
      </c>
      <c r="B8" s="272"/>
      <c r="C8" s="266" t="s">
        <v>236</v>
      </c>
      <c r="D8" s="267"/>
      <c r="E8" s="267"/>
      <c r="F8" s="267"/>
      <c r="G8" s="267"/>
      <c r="H8" s="267"/>
      <c r="I8" s="267"/>
      <c r="J8" s="267"/>
      <c r="K8" s="267"/>
      <c r="L8" s="267"/>
      <c r="M8" s="267"/>
      <c r="N8" s="268"/>
      <c r="O8" s="8"/>
      <c r="P8" s="8"/>
      <c r="Q8" s="8"/>
      <c r="R8" s="8"/>
      <c r="S8" s="8"/>
      <c r="T8" s="8"/>
      <c r="U8" s="8"/>
      <c r="V8" s="8"/>
      <c r="W8" s="8"/>
      <c r="X8" s="8"/>
      <c r="Y8" s="8"/>
      <c r="Z8" s="8"/>
      <c r="AA8" s="8"/>
      <c r="AB8" s="8"/>
      <c r="AC8" s="8"/>
      <c r="AD8" s="8"/>
      <c r="AE8" s="8"/>
      <c r="AF8" s="8"/>
      <c r="AG8" s="8"/>
      <c r="AH8" s="8"/>
      <c r="AI8" s="8"/>
      <c r="AJ8" s="8"/>
      <c r="AK8" s="8"/>
      <c r="AL8" s="8"/>
      <c r="AM8" s="134"/>
      <c r="AN8" s="8"/>
      <c r="AO8" s="8"/>
      <c r="AP8" s="8"/>
      <c r="AQ8" s="8"/>
      <c r="AR8" s="134"/>
      <c r="AS8" s="8"/>
      <c r="AT8" s="8"/>
      <c r="AU8" s="8"/>
      <c r="AV8" s="8"/>
      <c r="AW8" s="8"/>
      <c r="AX8" s="8"/>
      <c r="AY8" s="8"/>
      <c r="AZ8" s="8"/>
      <c r="BA8" s="8"/>
      <c r="BB8" s="8"/>
      <c r="BC8" s="8"/>
      <c r="BD8" s="8"/>
      <c r="BE8" s="8"/>
      <c r="BF8" s="8"/>
      <c r="BG8" s="8"/>
      <c r="BH8" s="8"/>
      <c r="BI8" s="8"/>
      <c r="BJ8" s="8"/>
      <c r="BK8" s="8"/>
      <c r="BL8" s="8"/>
      <c r="BM8" s="8"/>
      <c r="BN8" s="8"/>
      <c r="BO8" s="8"/>
      <c r="BP8" s="8"/>
    </row>
    <row r="9" spans="1:68" ht="26.25" customHeight="1">
      <c r="A9" s="234" t="s">
        <v>139</v>
      </c>
      <c r="B9" s="235"/>
      <c r="C9" s="235"/>
      <c r="D9" s="235"/>
      <c r="E9" s="235"/>
      <c r="F9" s="235"/>
      <c r="G9" s="236"/>
      <c r="H9" s="234" t="s">
        <v>140</v>
      </c>
      <c r="I9" s="235"/>
      <c r="J9" s="235"/>
      <c r="K9" s="235"/>
      <c r="L9" s="235"/>
      <c r="M9" s="235"/>
      <c r="N9" s="236"/>
      <c r="O9" s="234" t="s">
        <v>141</v>
      </c>
      <c r="P9" s="235"/>
      <c r="Q9" s="235"/>
      <c r="R9" s="235"/>
      <c r="S9" s="235"/>
      <c r="T9" s="235"/>
      <c r="U9" s="235"/>
      <c r="V9" s="235"/>
      <c r="W9" s="236"/>
      <c r="X9" s="234" t="s">
        <v>142</v>
      </c>
      <c r="Y9" s="235"/>
      <c r="Z9" s="235"/>
      <c r="AA9" s="235"/>
      <c r="AB9" s="235"/>
      <c r="AC9" s="235"/>
      <c r="AD9" s="236"/>
      <c r="AE9" s="234" t="s">
        <v>34</v>
      </c>
      <c r="AF9" s="235"/>
      <c r="AG9" s="235"/>
      <c r="AH9" s="235"/>
      <c r="AI9" s="235"/>
      <c r="AJ9" s="236"/>
      <c r="AK9" s="269" t="s">
        <v>226</v>
      </c>
      <c r="AL9" s="269"/>
      <c r="AM9" s="269"/>
      <c r="AN9" s="269"/>
      <c r="AO9" s="269"/>
      <c r="AP9" s="269"/>
      <c r="AQ9" s="269"/>
      <c r="AR9" s="269"/>
      <c r="AS9" s="269"/>
      <c r="AT9" s="269"/>
      <c r="AU9" s="8"/>
      <c r="AV9" s="8"/>
      <c r="AW9" s="8"/>
      <c r="AX9" s="8"/>
      <c r="AY9" s="8"/>
      <c r="AZ9" s="8"/>
      <c r="BA9" s="8"/>
      <c r="BB9" s="8"/>
      <c r="BC9" s="8"/>
      <c r="BD9" s="8"/>
      <c r="BE9" s="8"/>
      <c r="BF9" s="8"/>
      <c r="BG9" s="8"/>
      <c r="BH9" s="8"/>
      <c r="BI9" s="8"/>
      <c r="BJ9" s="8"/>
      <c r="BK9" s="8"/>
      <c r="BL9" s="8"/>
      <c r="BM9" s="8"/>
      <c r="BN9" s="8"/>
      <c r="BO9" s="8"/>
      <c r="BP9" s="8"/>
    </row>
    <row r="10" spans="1:68" ht="16.5" customHeight="1">
      <c r="A10" s="286" t="s">
        <v>0</v>
      </c>
      <c r="B10" s="269" t="s">
        <v>2</v>
      </c>
      <c r="C10" s="258" t="s">
        <v>3</v>
      </c>
      <c r="D10" s="258" t="s">
        <v>42</v>
      </c>
      <c r="E10" s="289" t="s">
        <v>1</v>
      </c>
      <c r="F10" s="259" t="s">
        <v>50</v>
      </c>
      <c r="G10" s="258" t="s">
        <v>135</v>
      </c>
      <c r="H10" s="288" t="s">
        <v>33</v>
      </c>
      <c r="I10" s="263" t="s">
        <v>5</v>
      </c>
      <c r="J10" s="259" t="s">
        <v>87</v>
      </c>
      <c r="K10" s="259" t="s">
        <v>92</v>
      </c>
      <c r="L10" s="265" t="s">
        <v>45</v>
      </c>
      <c r="M10" s="263" t="s">
        <v>5</v>
      </c>
      <c r="N10" s="258" t="s">
        <v>48</v>
      </c>
      <c r="O10" s="260" t="s">
        <v>11</v>
      </c>
      <c r="P10" s="245" t="s">
        <v>162</v>
      </c>
      <c r="Q10" s="259" t="s">
        <v>12</v>
      </c>
      <c r="R10" s="245" t="s">
        <v>8</v>
      </c>
      <c r="S10" s="245"/>
      <c r="T10" s="245"/>
      <c r="U10" s="245"/>
      <c r="V10" s="245"/>
      <c r="W10" s="245"/>
      <c r="X10" s="262" t="s">
        <v>138</v>
      </c>
      <c r="Y10" s="262" t="s">
        <v>46</v>
      </c>
      <c r="Z10" s="262" t="s">
        <v>5</v>
      </c>
      <c r="AA10" s="262" t="s">
        <v>47</v>
      </c>
      <c r="AB10" s="262" t="s">
        <v>5</v>
      </c>
      <c r="AC10" s="262" t="s">
        <v>49</v>
      </c>
      <c r="AD10" s="260" t="s">
        <v>29</v>
      </c>
      <c r="AE10" s="245" t="s">
        <v>34</v>
      </c>
      <c r="AF10" s="245" t="s">
        <v>35</v>
      </c>
      <c r="AG10" s="245" t="s">
        <v>36</v>
      </c>
      <c r="AH10" s="245" t="s">
        <v>38</v>
      </c>
      <c r="AI10" s="245" t="s">
        <v>37</v>
      </c>
      <c r="AJ10" s="245" t="s">
        <v>39</v>
      </c>
      <c r="AK10" s="282" t="s">
        <v>227</v>
      </c>
      <c r="AL10" s="282"/>
      <c r="AM10" s="282"/>
      <c r="AN10" s="282"/>
      <c r="AO10" s="282"/>
      <c r="AP10" s="282" t="s">
        <v>228</v>
      </c>
      <c r="AQ10" s="282"/>
      <c r="AR10" s="282"/>
      <c r="AS10" s="282"/>
      <c r="AT10" s="282"/>
      <c r="AU10" s="8"/>
      <c r="AV10" s="8"/>
      <c r="AW10" s="8"/>
      <c r="AX10" s="8"/>
      <c r="AY10" s="8"/>
      <c r="AZ10" s="8"/>
      <c r="BA10" s="8"/>
      <c r="BB10" s="8"/>
      <c r="BC10" s="8"/>
      <c r="BD10" s="8"/>
      <c r="BE10" s="8"/>
      <c r="BF10" s="8"/>
      <c r="BG10" s="8"/>
      <c r="BH10" s="8"/>
      <c r="BI10" s="8"/>
      <c r="BJ10" s="8"/>
      <c r="BK10" s="8"/>
      <c r="BL10" s="8"/>
      <c r="BM10" s="8"/>
      <c r="BN10" s="8"/>
      <c r="BO10" s="8"/>
      <c r="BP10" s="8"/>
    </row>
    <row r="11" spans="1:68" s="4" customFormat="1" ht="94.5" customHeight="1">
      <c r="A11" s="287"/>
      <c r="B11" s="269"/>
      <c r="C11" s="245"/>
      <c r="D11" s="245"/>
      <c r="E11" s="269"/>
      <c r="F11" s="258"/>
      <c r="G11" s="245"/>
      <c r="H11" s="258"/>
      <c r="I11" s="264"/>
      <c r="J11" s="258"/>
      <c r="K11" s="258"/>
      <c r="L11" s="264"/>
      <c r="M11" s="264"/>
      <c r="N11" s="245"/>
      <c r="O11" s="261"/>
      <c r="P11" s="245"/>
      <c r="Q11" s="258"/>
      <c r="R11" s="7" t="s">
        <v>13</v>
      </c>
      <c r="S11" s="7" t="s">
        <v>17</v>
      </c>
      <c r="T11" s="7" t="s">
        <v>28</v>
      </c>
      <c r="U11" s="7" t="s">
        <v>18</v>
      </c>
      <c r="V11" s="7" t="s">
        <v>21</v>
      </c>
      <c r="W11" s="7" t="s">
        <v>24</v>
      </c>
      <c r="X11" s="262"/>
      <c r="Y11" s="262"/>
      <c r="Z11" s="262"/>
      <c r="AA11" s="262"/>
      <c r="AB11" s="262"/>
      <c r="AC11" s="262"/>
      <c r="AD11" s="261"/>
      <c r="AE11" s="245"/>
      <c r="AF11" s="245"/>
      <c r="AG11" s="245"/>
      <c r="AH11" s="245"/>
      <c r="AI11" s="245"/>
      <c r="AJ11" s="245"/>
      <c r="AK11" s="129" t="s">
        <v>229</v>
      </c>
      <c r="AL11" s="129" t="s">
        <v>230</v>
      </c>
      <c r="AM11" s="130" t="s">
        <v>231</v>
      </c>
      <c r="AN11" s="129" t="s">
        <v>232</v>
      </c>
      <c r="AO11" s="129" t="s">
        <v>233</v>
      </c>
      <c r="AP11" s="129" t="s">
        <v>229</v>
      </c>
      <c r="AQ11" s="129" t="s">
        <v>230</v>
      </c>
      <c r="AR11" s="130" t="s">
        <v>231</v>
      </c>
      <c r="AS11" s="129" t="s">
        <v>232</v>
      </c>
      <c r="AT11" s="129" t="s">
        <v>233</v>
      </c>
      <c r="AU11" s="25"/>
      <c r="AV11" s="25"/>
      <c r="AW11" s="25"/>
      <c r="AX11" s="25"/>
      <c r="AY11" s="25"/>
      <c r="AZ11" s="25"/>
      <c r="BA11" s="25"/>
      <c r="BB11" s="25"/>
      <c r="BC11" s="25"/>
      <c r="BD11" s="25"/>
      <c r="BE11" s="25"/>
      <c r="BF11" s="25"/>
      <c r="BG11" s="25"/>
      <c r="BH11" s="25"/>
      <c r="BI11" s="25"/>
      <c r="BJ11" s="25"/>
      <c r="BK11" s="25"/>
      <c r="BL11" s="25"/>
      <c r="BM11" s="25"/>
      <c r="BN11" s="25"/>
      <c r="BO11" s="25"/>
      <c r="BP11" s="25"/>
    </row>
    <row r="12" spans="1:68" s="26" customFormat="1" ht="212.25" customHeight="1">
      <c r="A12" s="256">
        <v>1</v>
      </c>
      <c r="B12" s="247" t="s">
        <v>134</v>
      </c>
      <c r="C12" s="247" t="s">
        <v>237</v>
      </c>
      <c r="D12" s="247" t="s">
        <v>238</v>
      </c>
      <c r="E12" s="249" t="s">
        <v>240</v>
      </c>
      <c r="F12" s="247" t="s">
        <v>129</v>
      </c>
      <c r="G12" s="257">
        <v>365</v>
      </c>
      <c r="H12" s="243" t="str">
        <f>IF(G12&lt;=0,"",IF(G12&lt;=2,"Muy Baja",IF(G12&lt;=24,"Baja",IF(G12&lt;=500,"Media",IF(G12&lt;=5000,"Alta","Muy Alta")))))</f>
        <v>Media</v>
      </c>
      <c r="I12" s="237">
        <f>IF(H12="","",IF(H12="Muy Baja",0.2,IF(H12="Baja",0.4,IF(H12="Media",0.6,IF(H12="Alta",0.8,IF(H12="Muy Alta",1,))))))</f>
        <v>0.6</v>
      </c>
      <c r="J12" s="239" t="s">
        <v>155</v>
      </c>
      <c r="K12" s="241" t="str">
        <f ca="1">IF(NOT(ISERROR(MATCH(J12,'Tabla Impacto'!$B$221:$B$223,0))),'Tabla Impacto'!$F$223&amp;"Por favor no seleccionar los criterios de impacto(Afectación Económica o presupuestal y Pérdida Reputacional)",J12)</f>
        <v xml:space="preserve">     El riesgo afecta la imagen de de la entidad con efecto publicitario sostenido a nivel de sector administrativo, nivel departamental o municipal</v>
      </c>
      <c r="L12" s="243" t="str">
        <f ca="1">IF(OR(K12='Tabla Impacto'!$C$11,K12='Tabla Impacto'!$D$11),"Leve",IF(OR(K12='Tabla Impacto'!$C$12,K12='Tabla Impacto'!$D$12),"Menor",IF(OR(K12='Tabla Impacto'!$C$13,K12='Tabla Impacto'!$D$13),"Moderado",IF(OR(K12='Tabla Impacto'!$C$14,K12='Tabla Impacto'!$D$14),"Mayor",IF(OR(K12='Tabla Impacto'!$C$15,K12='Tabla Impacto'!$D$15),"Catastrófico","")))))</f>
        <v>Mayor</v>
      </c>
      <c r="M12" s="237">
        <f ca="1">IF(L12="","",IF(L12="Leve",0.2,IF(L12="Menor",0.4,IF(L12="Moderado",0.6,IF(L12="Mayor",0.8,IF(L12="Catastrófico",1,))))))</f>
        <v>0.8</v>
      </c>
      <c r="N12" s="231" t="str">
        <f ca="1">IF(OR(AND(H12="Muy Baja",L12="Leve"),AND(H12="Muy Baja",L12="Menor"),AND(H12="Baja",L12="Leve")),"Bajo",IF(OR(AND(H12="Muy baja",L12="Moderado"),AND(H12="Baja",L12="Menor"),AND(H12="Baja",L12="Moderado"),AND(H12="Media",L12="Leve"),AND(H12="Media",L12="Menor"),AND(H12="Media",L12="Moderado"),AND(H12="Alta",L12="Leve"),AND(H12="Alta",L12="Menor")),"Moderado",IF(OR(AND(H12="Muy Baja",L12="Mayor"),AND(H12="Baja",L12="Mayor"),AND(H12="Media",L12="Mayor"),AND(H12="Alta",L12="Moderado"),AND(H12="Alta",L12="Mayor"),AND(H12="Muy Alta",L12="Leve"),AND(H12="Muy Alta",L12="Menor"),AND(H12="Muy Alta",L12="Moderado"),AND(H12="Muy Alta",L12="Mayor")),"Alto",IF(OR(AND(H12="Muy Baja",L12="Catastrófico"),AND(H12="Baja",L12="Catastrófico"),AND(H12="Media",L12="Catastrófico"),AND(H12="Alta",L12="Catastrófico"),AND(H12="Muy Alta",L12="Catastrófico")),"Extremo",""))))</f>
        <v>Alto</v>
      </c>
      <c r="O12" s="136">
        <v>1</v>
      </c>
      <c r="P12" s="176" t="s">
        <v>239</v>
      </c>
      <c r="Q12" s="177" t="str">
        <f>IF(OR(R12="Preventivo",R12="Detectivo"),"Probabilidad",IF(R12="Correctivo","Impacto",""))</f>
        <v>Probabilidad</v>
      </c>
      <c r="R12" s="178" t="s">
        <v>14</v>
      </c>
      <c r="S12" s="178" t="s">
        <v>10</v>
      </c>
      <c r="T12" s="179" t="str">
        <f>IF(AND(R12="Preventivo",S12="Automático"),"50%",IF(AND(R12="Preventivo",S12="Manual"),"40%",IF(AND(R12="Detectivo",S12="Automático"),"40%",IF(AND(R12="Detectivo",S12="Manual"),"30%",IF(AND(R12="Correctivo",S12="Automático"),"35%",IF(AND(R12="Correctivo",S12="Manual"),"25%",""))))))</f>
        <v>50%</v>
      </c>
      <c r="U12" s="178" t="s">
        <v>19</v>
      </c>
      <c r="V12" s="178" t="s">
        <v>22</v>
      </c>
      <c r="W12" s="178" t="s">
        <v>119</v>
      </c>
      <c r="X12" s="124">
        <f>IFERROR(IF(Q12="Probabilidad",(I12-(+I12*T12)),IF(Q12="Impacto",I12,"")),"")</f>
        <v>0.3</v>
      </c>
      <c r="Y12" s="180" t="str">
        <f>IFERROR(IF(X12="","",IF(X12&lt;=0.2,"Muy Baja",IF(X12&lt;=0.4,"Baja",IF(X12&lt;=0.6,"Media",IF(X12&lt;=0.8,"Alta","Muy Alta"))))),"")</f>
        <v>Baja</v>
      </c>
      <c r="Z12" s="181">
        <f>+X12</f>
        <v>0.3</v>
      </c>
      <c r="AA12" s="180" t="str">
        <f ca="1">IFERROR(IF(AB12="","",IF(AB12&lt;=0.2,"Leve",IF(AB12&lt;=0.4,"Menor",IF(AB12&lt;=0.6,"Moderado",IF(AB12&lt;=0.8,"Mayor","Catastrófico"))))),"")</f>
        <v>Mayor</v>
      </c>
      <c r="AB12" s="181">
        <f ca="1">IFERROR(IF(Q12="Impacto",(M12-(+M12*T12)),IF(Q12="Probabilidad",M12,"")),"")</f>
        <v>0.8</v>
      </c>
      <c r="AC12" s="182" t="str">
        <f ca="1">IFERROR(IF(OR(AND(Y12="Muy Baja",AA12="Leve"),AND(Y12="Muy Baja",AA12="Menor"),AND(Y12="Baja",AA12="Leve")),"Bajo",IF(OR(AND(Y12="Muy baja",AA12="Moderado"),AND(Y12="Baja",AA12="Menor"),AND(Y12="Baja",AA12="Moderado"),AND(Y12="Media",AA12="Leve"),AND(Y12="Media",AA12="Menor"),AND(Y12="Media",AA12="Moderado"),AND(Y12="Alta",AA12="Leve"),AND(Y12="Alta",AA12="Menor")),"Moderado",IF(OR(AND(Y12="Muy Baja",AA12="Mayor"),AND(Y12="Baja",AA12="Mayor"),AND(Y12="Media",AA12="Mayor"),AND(Y12="Alta",AA12="Moderado"),AND(Y12="Alta",AA12="Mayor"),AND(Y12="Muy Alta",AA12="Leve"),AND(Y12="Muy Alta",AA12="Menor"),AND(Y12="Muy Alta",AA12="Moderado"),AND(Y12="Muy Alta",AA12="Mayor")),"Alto",IF(OR(AND(Y12="Muy Baja",AA12="Catastrófico"),AND(Y12="Baja",AA12="Catastrófico"),AND(Y12="Media",AA12="Catastrófico"),AND(Y12="Alta",AA12="Catastrófico"),AND(Y12="Muy Alta",AA12="Catastrófico")),"Extremo","")))),"")</f>
        <v>Alto</v>
      </c>
      <c r="AD12" s="183" t="s">
        <v>136</v>
      </c>
      <c r="AE12" s="184" t="s">
        <v>267</v>
      </c>
      <c r="AF12" s="176" t="s">
        <v>265</v>
      </c>
      <c r="AG12" s="456">
        <v>46022</v>
      </c>
      <c r="AH12" s="185" t="s">
        <v>310</v>
      </c>
      <c r="AI12" s="176" t="s">
        <v>292</v>
      </c>
      <c r="AJ12" s="186" t="s">
        <v>41</v>
      </c>
      <c r="AK12" s="186"/>
      <c r="AL12" s="186"/>
      <c r="AM12" s="187" t="e">
        <f>AK12/AL12</f>
        <v>#DIV/0!</v>
      </c>
      <c r="AN12" s="186"/>
      <c r="AO12" s="186"/>
      <c r="AP12" s="186"/>
      <c r="AQ12" s="186"/>
      <c r="AR12" s="187" t="e">
        <f>AP12/AQ12</f>
        <v>#DIV/0!</v>
      </c>
      <c r="AS12" s="186"/>
      <c r="AT12" s="186"/>
    </row>
    <row r="13" spans="1:68" ht="97.5" customHeight="1">
      <c r="A13" s="246"/>
      <c r="B13" s="248"/>
      <c r="C13" s="248"/>
      <c r="D13" s="248"/>
      <c r="E13" s="255"/>
      <c r="F13" s="248"/>
      <c r="G13" s="253"/>
      <c r="H13" s="244"/>
      <c r="I13" s="238"/>
      <c r="J13" s="240"/>
      <c r="K13" s="242">
        <f ca="1">IF(NOT(ISERROR(MATCH(J13,_xlfn.ANCHORARRAY(E14),0))),#REF!&amp;"Por favor no seleccionar los criterios de impacto",J13)</f>
        <v>0</v>
      </c>
      <c r="L13" s="244"/>
      <c r="M13" s="238"/>
      <c r="N13" s="232"/>
      <c r="O13" s="6">
        <v>2</v>
      </c>
      <c r="P13" s="176" t="s">
        <v>296</v>
      </c>
      <c r="Q13" s="177" t="s">
        <v>4</v>
      </c>
      <c r="R13" s="178" t="s">
        <v>14</v>
      </c>
      <c r="S13" s="178" t="s">
        <v>10</v>
      </c>
      <c r="T13" s="179" t="str">
        <f t="shared" ref="T13" si="0">IF(AND(R13="Preventivo",S13="Automático"),"50%",IF(AND(R13="Preventivo",S13="Manual"),"40%",IF(AND(R13="Detectivo",S13="Automático"),"40%",IF(AND(R13="Detectivo",S13="Manual"),"30%",IF(AND(R13="Correctivo",S13="Automático"),"35%",IF(AND(R13="Correctivo",S13="Manual"),"25%",""))))))</f>
        <v>50%</v>
      </c>
      <c r="U13" s="178" t="s">
        <v>19</v>
      </c>
      <c r="V13" s="178" t="s">
        <v>22</v>
      </c>
      <c r="W13" s="178" t="s">
        <v>119</v>
      </c>
      <c r="X13" s="124">
        <f>IFERROR(IF(AND(Q12="Probabilidad",Q13="Probabilidad"),(Z12-(+Z12*T13)),IF(Q13="Probabilidad",(I12-(+I12*T13)),IF(Q13="Impacto",Z12,""))),"")</f>
        <v>0.15</v>
      </c>
      <c r="Y13" s="180" t="str">
        <f t="shared" ref="Y13:Y26" si="1">IFERROR(IF(X13="","",IF(X13&lt;=0.2,"Muy Baja",IF(X13&lt;=0.4,"Baja",IF(X13&lt;=0.6,"Media",IF(X13&lt;=0.8,"Alta","Muy Alta"))))),"")</f>
        <v>Muy Baja</v>
      </c>
      <c r="Z13" s="181">
        <f t="shared" ref="Z13" si="2">+X13</f>
        <v>0.15</v>
      </c>
      <c r="AA13" s="180" t="str">
        <f t="shared" ref="AA13:AA26" ca="1" si="3">IFERROR(IF(AB13="","",IF(AB13&lt;=0.2,"Leve",IF(AB13&lt;=0.4,"Menor",IF(AB13&lt;=0.6,"Moderado",IF(AB13&lt;=0.8,"Mayor","Catastrófico"))))),"")</f>
        <v>Mayor</v>
      </c>
      <c r="AB13" s="181">
        <f ca="1">IFERROR(IF(AND(Q12="Impacto",Q13="Impacto"),(AB12-(+AB12*T13)),IF(Q13="Impacto",($M$12-(+$M$12*T13)),IF(Q13="Probabilidad",AB12,""))),"")</f>
        <v>0.8</v>
      </c>
      <c r="AC13" s="182" t="str">
        <f t="shared" ref="AC13" ca="1" si="4">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Alto</v>
      </c>
      <c r="AD13" s="183" t="s">
        <v>137</v>
      </c>
      <c r="AE13" s="176" t="s">
        <v>268</v>
      </c>
      <c r="AF13" s="176" t="s">
        <v>269</v>
      </c>
      <c r="AG13" s="456">
        <v>46022</v>
      </c>
      <c r="AH13" s="185" t="s">
        <v>310</v>
      </c>
      <c r="AI13" s="176" t="s">
        <v>292</v>
      </c>
      <c r="AJ13" s="186" t="s">
        <v>41</v>
      </c>
      <c r="AK13" s="186"/>
      <c r="AL13" s="186"/>
      <c r="AM13" s="187" t="e">
        <f t="shared" ref="AM13:AM34" si="5">AK13/AL13</f>
        <v>#DIV/0!</v>
      </c>
      <c r="AN13" s="186"/>
      <c r="AO13" s="186"/>
      <c r="AP13" s="186"/>
      <c r="AQ13" s="186"/>
      <c r="AR13" s="187" t="e">
        <f t="shared" ref="AR13:AR34" si="6">AP13/AQ13</f>
        <v>#DIV/0!</v>
      </c>
      <c r="AS13" s="186"/>
      <c r="AT13" s="186"/>
      <c r="AU13" s="8"/>
      <c r="AV13" s="8"/>
      <c r="AW13" s="8"/>
      <c r="AX13" s="8"/>
      <c r="AY13" s="8"/>
      <c r="AZ13" s="8"/>
      <c r="BA13" s="8"/>
      <c r="BB13" s="8"/>
      <c r="BC13" s="8"/>
      <c r="BD13" s="8"/>
      <c r="BE13" s="8"/>
      <c r="BF13" s="8"/>
      <c r="BG13" s="8"/>
      <c r="BH13" s="8"/>
      <c r="BI13" s="8"/>
      <c r="BJ13" s="8"/>
      <c r="BK13" s="8"/>
      <c r="BL13" s="8"/>
      <c r="BM13" s="8"/>
      <c r="BN13" s="8"/>
      <c r="BO13" s="8"/>
      <c r="BP13" s="8"/>
    </row>
    <row r="14" spans="1:68" ht="156.75" customHeight="1">
      <c r="A14" s="256">
        <v>2</v>
      </c>
      <c r="B14" s="247" t="s">
        <v>134</v>
      </c>
      <c r="C14" s="247" t="s">
        <v>241</v>
      </c>
      <c r="D14" s="247" t="s">
        <v>242</v>
      </c>
      <c r="E14" s="249" t="s">
        <v>243</v>
      </c>
      <c r="F14" s="247" t="s">
        <v>129</v>
      </c>
      <c r="G14" s="257">
        <v>365</v>
      </c>
      <c r="H14" s="243" t="str">
        <f>IF(G14&lt;=0,"",IF(G14&lt;=2,"Muy Baja",IF(G14&lt;=24,"Baja",IF(G14&lt;=500,"Media",IF(G14&lt;=5000,"Alta","Muy Alta")))))</f>
        <v>Media</v>
      </c>
      <c r="I14" s="237">
        <f>IF(H14="","",IF(H14="Muy Baja",0.2,IF(H14="Baja",0.4,IF(H14="Media",0.6,IF(H14="Alta",0.8,IF(H14="Muy Alta",1,))))))</f>
        <v>0.6</v>
      </c>
      <c r="J14" s="239" t="s">
        <v>155</v>
      </c>
      <c r="K14" s="241" t="str">
        <f ca="1">IF(NOT(ISERROR(MATCH(J14,'Tabla Impacto'!$B$221:$B$223,0))),'Tabla Impacto'!$F$223&amp;"Por favor no seleccionar los criterios de impacto(Afectación Económica o presupuestal y Pérdida Reputacional)",J14)</f>
        <v xml:space="preserve">     El riesgo afecta la imagen de de la entidad con efecto publicitario sostenido a nivel de sector administrativo, nivel departamental o municipal</v>
      </c>
      <c r="L14" s="243" t="str">
        <f ca="1">IF(OR(K14='Tabla Impacto'!$C$11,K14='Tabla Impacto'!$D$11),"Leve",IF(OR(K14='Tabla Impacto'!$C$12,K14='Tabla Impacto'!$D$12),"Menor",IF(OR(K14='Tabla Impacto'!$C$13,K14='Tabla Impacto'!$D$13),"Moderado",IF(OR(K14='Tabla Impacto'!$C$14,K14='Tabla Impacto'!$D$14),"Mayor",IF(OR(K14='Tabla Impacto'!$C$15,K14='Tabla Impacto'!$D$15),"Catastrófico","")))))</f>
        <v>Mayor</v>
      </c>
      <c r="M14" s="237">
        <f ca="1">IF(L14="","",IF(L14="Leve",0.2,IF(L14="Menor",0.4,IF(L14="Moderado",0.6,IF(L14="Mayor",0.8,IF(L14="Catastrófico",1,))))))</f>
        <v>0.8</v>
      </c>
      <c r="N14" s="231" t="str">
        <f ca="1">IF(OR(AND(H14="Muy Baja",L14="Leve"),AND(H14="Muy Baja",L14="Menor"),AND(H14="Baja",L14="Leve")),"Bajo",IF(OR(AND(H14="Muy baja",L14="Moderado"),AND(H14="Baja",L14="Menor"),AND(H14="Baja",L14="Moderado"),AND(H14="Media",L14="Leve"),AND(H14="Media",L14="Menor"),AND(H14="Media",L14="Moderado"),AND(H14="Alta",L14="Leve"),AND(H14="Alta",L14="Menor")),"Moderado",IF(OR(AND(H14="Muy Baja",L14="Mayor"),AND(H14="Baja",L14="Mayor"),AND(H14="Media",L14="Mayor"),AND(H14="Alta",L14="Moderado"),AND(H14="Alta",L14="Mayor"),AND(H14="Muy Alta",L14="Leve"),AND(H14="Muy Alta",L14="Menor"),AND(H14="Muy Alta",L14="Moderado"),AND(H14="Muy Alta",L14="Mayor")),"Alto",IF(OR(AND(H14="Muy Baja",L14="Catastrófico"),AND(H14="Baja",L14="Catastrófico"),AND(H14="Media",L14="Catastrófico"),AND(H14="Alta",L14="Catastrófico"),AND(H14="Muy Alta",L14="Catastrófico")),"Extremo",""))))</f>
        <v>Alto</v>
      </c>
      <c r="O14" s="6">
        <v>1</v>
      </c>
      <c r="P14" s="176" t="s">
        <v>244</v>
      </c>
      <c r="Q14" s="177" t="str">
        <f>IF(OR(R14="Preventivo",R14="Detectivo"),"Probabilidad",IF(R14="Correctivo","Impacto",""))</f>
        <v>Probabilidad</v>
      </c>
      <c r="R14" s="178" t="s">
        <v>14</v>
      </c>
      <c r="S14" s="178" t="s">
        <v>9</v>
      </c>
      <c r="T14" s="179" t="str">
        <f>IF(AND(R14="Preventivo",S14="Automático"),"50%",IF(AND(R14="Preventivo",S14="Manual"),"40%",IF(AND(R14="Detectivo",S14="Automático"),"40%",IF(AND(R14="Detectivo",S14="Manual"),"30%",IF(AND(R14="Correctivo",S14="Automático"),"35%",IF(AND(R14="Correctivo",S14="Manual"),"25%",""))))))</f>
        <v>40%</v>
      </c>
      <c r="U14" s="178" t="s">
        <v>19</v>
      </c>
      <c r="V14" s="178" t="s">
        <v>22</v>
      </c>
      <c r="W14" s="178" t="s">
        <v>119</v>
      </c>
      <c r="X14" s="124">
        <f>IFERROR(IF(Q14="Probabilidad",(I14-(+I14*T14)),IF(Q14="Impacto",I14,"")),"")</f>
        <v>0.36</v>
      </c>
      <c r="Y14" s="180" t="str">
        <f>IFERROR(IF(X14="","",IF(X14&lt;=0.2,"Muy Baja",IF(X14&lt;=0.4,"Baja",IF(X14&lt;=0.6,"Media",IF(X14&lt;=0.8,"Alta","Muy Alta"))))),"")</f>
        <v>Baja</v>
      </c>
      <c r="Z14" s="181">
        <f>+X14</f>
        <v>0.36</v>
      </c>
      <c r="AA14" s="180" t="str">
        <f ca="1">IFERROR(IF(AB14="","",IF(AB14&lt;=0.2,"Leve",IF(AB14&lt;=0.4,"Menor",IF(AB14&lt;=0.6,"Moderado",IF(AB14&lt;=0.8,"Mayor","Catastrófico"))))),"")</f>
        <v>Mayor</v>
      </c>
      <c r="AB14" s="181">
        <f ca="1">IFERROR(IF(Q14="Impacto",(M14-(+M14*T14)),IF(Q14="Probabilidad",M14,"")),"")</f>
        <v>0.8</v>
      </c>
      <c r="AC14" s="182" t="str">
        <f ca="1">IFERROR(IF(OR(AND(Y14="Muy Baja",AA14="Leve"),AND(Y14="Muy Baja",AA14="Menor"),AND(Y14="Baja",AA14="Leve")),"Bajo",IF(OR(AND(Y14="Muy baja",AA14="Moderado"),AND(Y14="Baja",AA14="Menor"),AND(Y14="Baja",AA14="Moderado"),AND(Y14="Media",AA14="Leve"),AND(Y14="Media",AA14="Menor"),AND(Y14="Media",AA14="Moderado"),AND(Y14="Alta",AA14="Leve"),AND(Y14="Alta",AA14="Menor")),"Moderado",IF(OR(AND(Y14="Muy Baja",AA14="Mayor"),AND(Y14="Baja",AA14="Mayor"),AND(Y14="Media",AA14="Mayor"),AND(Y14="Alta",AA14="Moderado"),AND(Y14="Alta",AA14="Mayor"),AND(Y14="Muy Alta",AA14="Leve"),AND(Y14="Muy Alta",AA14="Menor"),AND(Y14="Muy Alta",AA14="Moderado"),AND(Y14="Muy Alta",AA14="Mayor")),"Alto",IF(OR(AND(Y14="Muy Baja",AA14="Catastrófico"),AND(Y14="Baja",AA14="Catastrófico"),AND(Y14="Media",AA14="Catastrófico"),AND(Y14="Alta",AA14="Catastrófico"),AND(Y14="Muy Alta",AA14="Catastrófico")),"Extremo","")))),"")</f>
        <v>Alto</v>
      </c>
      <c r="AD14" s="183" t="s">
        <v>136</v>
      </c>
      <c r="AE14" s="176" t="s">
        <v>270</v>
      </c>
      <c r="AF14" s="176" t="s">
        <v>265</v>
      </c>
      <c r="AG14" s="456">
        <v>46022</v>
      </c>
      <c r="AH14" s="185" t="s">
        <v>310</v>
      </c>
      <c r="AI14" s="176" t="s">
        <v>294</v>
      </c>
      <c r="AJ14" s="186" t="s">
        <v>41</v>
      </c>
      <c r="AK14" s="186"/>
      <c r="AL14" s="186"/>
      <c r="AM14" s="187" t="e">
        <f t="shared" si="5"/>
        <v>#DIV/0!</v>
      </c>
      <c r="AN14" s="186"/>
      <c r="AO14" s="186"/>
      <c r="AP14" s="186"/>
      <c r="AQ14" s="186"/>
      <c r="AR14" s="187" t="e">
        <f t="shared" si="6"/>
        <v>#DIV/0!</v>
      </c>
      <c r="AS14" s="186"/>
      <c r="AT14" s="186"/>
      <c r="AU14" s="8"/>
      <c r="AV14" s="8"/>
      <c r="AW14" s="8"/>
      <c r="AX14" s="8"/>
      <c r="AY14" s="8"/>
      <c r="AZ14" s="8"/>
      <c r="BA14" s="8"/>
      <c r="BB14" s="8"/>
      <c r="BC14" s="8"/>
      <c r="BD14" s="8"/>
      <c r="BE14" s="8"/>
      <c r="BF14" s="8"/>
      <c r="BG14" s="8"/>
      <c r="BH14" s="8"/>
      <c r="BI14" s="8"/>
      <c r="BJ14" s="8"/>
      <c r="BK14" s="8"/>
      <c r="BL14" s="8"/>
      <c r="BM14" s="8"/>
      <c r="BN14" s="8"/>
      <c r="BO14" s="8"/>
      <c r="BP14" s="8"/>
    </row>
    <row r="15" spans="1:68" ht="171.75" customHeight="1">
      <c r="A15" s="246"/>
      <c r="B15" s="248"/>
      <c r="C15" s="248"/>
      <c r="D15" s="254"/>
      <c r="E15" s="250"/>
      <c r="F15" s="248"/>
      <c r="G15" s="253"/>
      <c r="H15" s="244"/>
      <c r="I15" s="238"/>
      <c r="J15" s="240"/>
      <c r="K15" s="242">
        <f ca="1">IF(NOT(ISERROR(MATCH(J15,_xlfn.ANCHORARRAY(#REF!),0))),#REF!&amp;"Por favor no seleccionar los criterios de impacto",J15)</f>
        <v>0</v>
      </c>
      <c r="L15" s="244"/>
      <c r="M15" s="238"/>
      <c r="N15" s="232"/>
      <c r="O15" s="6">
        <v>2</v>
      </c>
      <c r="P15" s="176" t="s">
        <v>293</v>
      </c>
      <c r="Q15" s="177" t="s">
        <v>4</v>
      </c>
      <c r="R15" s="178" t="s">
        <v>14</v>
      </c>
      <c r="S15" s="178" t="s">
        <v>10</v>
      </c>
      <c r="T15" s="179" t="str">
        <f t="shared" ref="T15:T16" si="7">IF(AND(R15="Preventivo",S15="Automático"),"50%",IF(AND(R15="Preventivo",S15="Manual"),"40%",IF(AND(R15="Detectivo",S15="Automático"),"40%",IF(AND(R15="Detectivo",S15="Manual"),"30%",IF(AND(R15="Correctivo",S15="Automático"),"35%",IF(AND(R15="Correctivo",S15="Manual"),"25%",""))))))</f>
        <v>50%</v>
      </c>
      <c r="U15" s="178" t="s">
        <v>19</v>
      </c>
      <c r="V15" s="178" t="s">
        <v>22</v>
      </c>
      <c r="W15" s="178" t="s">
        <v>119</v>
      </c>
      <c r="X15" s="124">
        <f>IFERROR(IF(AND(Q14="Probabilidad",Q15="Probabilidad"),(Z14-(+Z14*T15)),IF(Q15="Probabilidad",(I14-(+I14*T15)),IF(Q15="Impacto",Z14,""))),"")</f>
        <v>0.18</v>
      </c>
      <c r="Y15" s="180" t="str">
        <f t="shared" si="1"/>
        <v>Muy Baja</v>
      </c>
      <c r="Z15" s="181">
        <f t="shared" ref="Z15:Z16" si="8">+X15</f>
        <v>0.18</v>
      </c>
      <c r="AA15" s="180" t="str">
        <f t="shared" si="3"/>
        <v/>
      </c>
      <c r="AB15" s="181" t="str">
        <f>IFERROR(IF(AND(Q14="Impacto",Q15="Impacto"),(#REF!-(+#REF!*T15)),IF(Q15="Impacto",($M$14-(+$M$14*T15)),IF(Q15="Probabilidad",#REF!,""))),"")</f>
        <v/>
      </c>
      <c r="AC15" s="182" t="str">
        <f t="shared" ref="AC15:AC16" si="9">IFERROR(IF(OR(AND(Y15="Muy Baja",AA15="Leve"),AND(Y15="Muy Baja",AA15="Menor"),AND(Y15="Baja",AA15="Leve")),"Bajo",IF(OR(AND(Y15="Muy baja",AA15="Moderado"),AND(Y15="Baja",AA15="Menor"),AND(Y15="Baja",AA15="Moderado"),AND(Y15="Media",AA15="Leve"),AND(Y15="Media",AA15="Menor"),AND(Y15="Media",AA15="Moderado"),AND(Y15="Alta",AA15="Leve"),AND(Y15="Alta",AA15="Menor")),"Moderado",IF(OR(AND(Y15="Muy Baja",AA15="Mayor"),AND(Y15="Baja",AA15="Mayor"),AND(Y15="Media",AA15="Mayor"),AND(Y15="Alta",AA15="Moderado"),AND(Y15="Alta",AA15="Mayor"),AND(Y15="Muy Alta",AA15="Leve"),AND(Y15="Muy Alta",AA15="Menor"),AND(Y15="Muy Alta",AA15="Moderado"),AND(Y15="Muy Alta",AA15="Mayor")),"Alto",IF(OR(AND(Y15="Muy Baja",AA15="Catastrófico"),AND(Y15="Baja",AA15="Catastrófico"),AND(Y15="Media",AA15="Catastrófico"),AND(Y15="Alta",AA15="Catastrófico"),AND(Y15="Muy Alta",AA15="Catastrófico")),"Extremo","")))),"")</f>
        <v/>
      </c>
      <c r="AD15" s="183"/>
      <c r="AE15" s="176" t="s">
        <v>271</v>
      </c>
      <c r="AF15" s="176" t="s">
        <v>265</v>
      </c>
      <c r="AG15" s="456">
        <v>46022</v>
      </c>
      <c r="AH15" s="185" t="s">
        <v>310</v>
      </c>
      <c r="AI15" s="176" t="s">
        <v>295</v>
      </c>
      <c r="AJ15" s="186" t="s">
        <v>41</v>
      </c>
      <c r="AK15" s="186"/>
      <c r="AL15" s="186"/>
      <c r="AM15" s="187" t="e">
        <f t="shared" si="5"/>
        <v>#DIV/0!</v>
      </c>
      <c r="AN15" s="186"/>
      <c r="AO15" s="186"/>
      <c r="AP15" s="186"/>
      <c r="AQ15" s="186"/>
      <c r="AR15" s="187" t="e">
        <f t="shared" si="6"/>
        <v>#DIV/0!</v>
      </c>
      <c r="AS15" s="186"/>
      <c r="AT15" s="186"/>
      <c r="AU15" s="8"/>
      <c r="AV15" s="8"/>
      <c r="AW15" s="8"/>
      <c r="AX15" s="8"/>
      <c r="AY15" s="8"/>
      <c r="AZ15" s="8"/>
      <c r="BA15" s="8"/>
      <c r="BB15" s="8"/>
      <c r="BC15" s="8"/>
      <c r="BD15" s="8"/>
      <c r="BE15" s="8"/>
      <c r="BF15" s="8"/>
      <c r="BG15" s="8"/>
      <c r="BH15" s="8"/>
      <c r="BI15" s="8"/>
      <c r="BJ15" s="8"/>
      <c r="BK15" s="8"/>
      <c r="BL15" s="8"/>
      <c r="BM15" s="8"/>
      <c r="BN15" s="8"/>
      <c r="BO15" s="8"/>
      <c r="BP15" s="8"/>
    </row>
    <row r="16" spans="1:68" ht="190.5" customHeight="1">
      <c r="A16" s="256">
        <v>3</v>
      </c>
      <c r="B16" s="247" t="s">
        <v>134</v>
      </c>
      <c r="C16" s="247" t="s">
        <v>245</v>
      </c>
      <c r="D16" s="284" t="s">
        <v>276</v>
      </c>
      <c r="E16" s="249" t="s">
        <v>246</v>
      </c>
      <c r="F16" s="251" t="s">
        <v>123</v>
      </c>
      <c r="G16" s="257">
        <v>365</v>
      </c>
      <c r="H16" s="243" t="str">
        <f>IF(G16&lt;=0,"",IF(G16&lt;=2,"Muy Baja",IF(G16&lt;=24,"Baja",IF(G16&lt;=500,"Media",IF(G16&lt;=5000,"Alta","Muy Alta")))))</f>
        <v>Media</v>
      </c>
      <c r="I16" s="237">
        <f>IF(H16="","",IF(H16="Muy Baja",0.2,IF(H16="Baja",0.4,IF(H16="Media",0.6,IF(H16="Alta",0.8,IF(H16="Muy Alta",1,))))))</f>
        <v>0.6</v>
      </c>
      <c r="J16" s="239" t="s">
        <v>155</v>
      </c>
      <c r="K16" s="241" t="str">
        <f ca="1">IF(NOT(ISERROR(MATCH(J16,'Tabla Impacto'!$B$221:$B$223,0))),'Tabla Impacto'!$F$223&amp;"Por favor no seleccionar los criterios de impacto(Afectación Económica o presupuestal y Pérdida Reputacional)",J16)</f>
        <v xml:space="preserve">     El riesgo afecta la imagen de de la entidad con efecto publicitario sostenido a nivel de sector administrativo, nivel departamental o municipal</v>
      </c>
      <c r="L16" s="243" t="str">
        <f ca="1">IF(OR(K16='Tabla Impacto'!$C$11,K16='Tabla Impacto'!$D$11),"Leve",IF(OR(K16='Tabla Impacto'!$C$12,K16='Tabla Impacto'!$D$12),"Menor",IF(OR(K16='Tabla Impacto'!$C$13,K16='Tabla Impacto'!$D$13),"Moderado",IF(OR(K16='Tabla Impacto'!$C$14,K16='Tabla Impacto'!$D$14),"Mayor",IF(OR(K16='Tabla Impacto'!$C$15,K16='Tabla Impacto'!$D$15),"Catastrófico","")))))</f>
        <v>Mayor</v>
      </c>
      <c r="M16" s="237">
        <f ca="1">IF(L16="","",IF(L16="Leve",0.2,IF(L16="Menor",0.4,IF(L16="Moderado",0.6,IF(L16="Mayor",0.8,IF(L16="Catastrófico",1,))))))</f>
        <v>0.8</v>
      </c>
      <c r="N16" s="231"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Alto</v>
      </c>
      <c r="O16" s="6">
        <v>1</v>
      </c>
      <c r="P16" s="176" t="s">
        <v>283</v>
      </c>
      <c r="Q16" s="177" t="s">
        <v>4</v>
      </c>
      <c r="R16" s="178" t="s">
        <v>14</v>
      </c>
      <c r="S16" s="178" t="s">
        <v>10</v>
      </c>
      <c r="T16" s="179" t="str">
        <f t="shared" si="7"/>
        <v>50%</v>
      </c>
      <c r="U16" s="178" t="s">
        <v>19</v>
      </c>
      <c r="V16" s="178" t="s">
        <v>22</v>
      </c>
      <c r="W16" s="178" t="s">
        <v>119</v>
      </c>
      <c r="X16" s="124">
        <f>IFERROR(IF(AND(Q15="Probabilidad",Q16="Probabilidad"),(Z15-(+Z15*T16)),IF(Q16="Probabilidad",(I15-(+I15*T16)),IF(Q16="Impacto",Z15,""))),"")</f>
        <v>0.09</v>
      </c>
      <c r="Y16" s="180" t="str">
        <f t="shared" ref="Y16" si="10">IFERROR(IF(X16="","",IF(X16&lt;=0.2,"Muy Baja",IF(X16&lt;=0.4,"Baja",IF(X16&lt;=0.6,"Media",IF(X16&lt;=0.8,"Alta","Muy Alta"))))),"")</f>
        <v>Muy Baja</v>
      </c>
      <c r="Z16" s="181">
        <f t="shared" si="8"/>
        <v>0.09</v>
      </c>
      <c r="AA16" s="180" t="str">
        <f t="shared" ref="AA16" ca="1" si="11">IFERROR(IF(AB16="","",IF(AB16&lt;=0.2,"Leve",IF(AB16&lt;=0.4,"Menor",IF(AB16&lt;=0.6,"Moderado",IF(AB16&lt;=0.8,"Mayor","Catastrófico"))))),"")</f>
        <v>Mayor</v>
      </c>
      <c r="AB16" s="181">
        <f ca="1">IFERROR(IF(AND(Q15="Impacto",Q16="Impacto"),(AB13-(+AB13*T16)),IF(Q16="Impacto",($M$16-(+$M$16*T16)),IF(Q16="Probabilidad",AB13,""))),"")</f>
        <v>0.8</v>
      </c>
      <c r="AC16" s="182" t="str">
        <f t="shared" ca="1" si="9"/>
        <v>Alto</v>
      </c>
      <c r="AD16" s="183" t="s">
        <v>136</v>
      </c>
      <c r="AE16" s="176" t="s">
        <v>278</v>
      </c>
      <c r="AF16" s="176" t="s">
        <v>265</v>
      </c>
      <c r="AG16" s="456">
        <v>46022</v>
      </c>
      <c r="AH16" s="185" t="s">
        <v>310</v>
      </c>
      <c r="AI16" s="176" t="s">
        <v>297</v>
      </c>
      <c r="AJ16" s="186" t="s">
        <v>41</v>
      </c>
      <c r="AK16" s="186"/>
      <c r="AL16" s="186"/>
      <c r="AM16" s="187" t="e">
        <f t="shared" si="5"/>
        <v>#DIV/0!</v>
      </c>
      <c r="AN16" s="186"/>
      <c r="AO16" s="186"/>
      <c r="AP16" s="186"/>
      <c r="AQ16" s="186"/>
      <c r="AR16" s="187" t="e">
        <f t="shared" si="6"/>
        <v>#DIV/0!</v>
      </c>
      <c r="AS16" s="186"/>
      <c r="AT16" s="186"/>
      <c r="AU16" s="8"/>
      <c r="AV16" s="8"/>
      <c r="AW16" s="8"/>
      <c r="AX16" s="8"/>
      <c r="AY16" s="8"/>
      <c r="AZ16" s="8"/>
      <c r="BA16" s="8"/>
      <c r="BB16" s="8"/>
      <c r="BC16" s="8"/>
      <c r="BD16" s="8"/>
      <c r="BE16" s="8"/>
      <c r="BF16" s="8"/>
      <c r="BG16" s="8"/>
      <c r="BH16" s="8"/>
      <c r="BI16" s="8"/>
      <c r="BJ16" s="8"/>
      <c r="BK16" s="8"/>
      <c r="BL16" s="8"/>
      <c r="BM16" s="8"/>
      <c r="BN16" s="8"/>
      <c r="BO16" s="8"/>
      <c r="BP16" s="8"/>
    </row>
    <row r="17" spans="1:68" ht="144.75" customHeight="1">
      <c r="A17" s="246"/>
      <c r="B17" s="248"/>
      <c r="C17" s="254"/>
      <c r="D17" s="285"/>
      <c r="E17" s="250"/>
      <c r="F17" s="252"/>
      <c r="G17" s="253"/>
      <c r="H17" s="244"/>
      <c r="I17" s="238"/>
      <c r="J17" s="240"/>
      <c r="K17" s="242">
        <f ca="1">IF(NOT(ISERROR(MATCH(J17,_xlfn.ANCHORARRAY(E19),0))),#REF!&amp;"Por favor no seleccionar los criterios de impacto",J17)</f>
        <v>0</v>
      </c>
      <c r="L17" s="244"/>
      <c r="M17" s="238"/>
      <c r="N17" s="232"/>
      <c r="O17" s="6">
        <v>2</v>
      </c>
      <c r="P17" s="189" t="s">
        <v>277</v>
      </c>
      <c r="Q17" s="177" t="s">
        <v>4</v>
      </c>
      <c r="R17" s="178" t="s">
        <v>14</v>
      </c>
      <c r="S17" s="178" t="s">
        <v>10</v>
      </c>
      <c r="T17" s="179" t="str">
        <f t="shared" ref="T17" si="12">IF(AND(R17="Preventivo",S17="Automático"),"50%",IF(AND(R17="Preventivo",S17="Manual"),"40%",IF(AND(R17="Detectivo",S17="Automático"),"40%",IF(AND(R17="Detectivo",S17="Manual"),"30%",IF(AND(R17="Correctivo",S17="Automático"),"35%",IF(AND(R17="Correctivo",S17="Manual"),"25%",""))))))</f>
        <v>50%</v>
      </c>
      <c r="U17" s="178" t="s">
        <v>19</v>
      </c>
      <c r="V17" s="178" t="s">
        <v>22</v>
      </c>
      <c r="W17" s="178" t="s">
        <v>119</v>
      </c>
      <c r="X17" s="124">
        <f>IFERROR(IF(AND(Q16="Probabilidad",Q17="Probabilidad"),(Z16-(+Z16*T17)),IF(Q17="Probabilidad",(I16-(+I16*T17)),IF(Q17="Impacto",Z16,""))),"")</f>
        <v>4.4999999999999998E-2</v>
      </c>
      <c r="Y17" s="180" t="str">
        <f t="shared" ref="Y17" si="13">IFERROR(IF(X17="","",IF(X17&lt;=0.2,"Muy Baja",IF(X17&lt;=0.4,"Baja",IF(X17&lt;=0.6,"Media",IF(X17&lt;=0.8,"Alta","Muy Alta"))))),"")</f>
        <v>Muy Baja</v>
      </c>
      <c r="Z17" s="181">
        <f t="shared" ref="Z17" si="14">+X17</f>
        <v>4.4999999999999998E-2</v>
      </c>
      <c r="AA17" s="180" t="str">
        <f t="shared" ref="AA17" ca="1" si="15">IFERROR(IF(AB17="","",IF(AB17&lt;=0.2,"Leve",IF(AB17&lt;=0.4,"Menor",IF(AB17&lt;=0.6,"Moderado",IF(AB17&lt;=0.8,"Mayor","Catastrófico"))))),"")</f>
        <v>Mayor</v>
      </c>
      <c r="AB17" s="181">
        <f ca="1">IFERROR(IF(AND(Q16="Impacto",Q17="Impacto"),(AB14-(+AB14*T17)),IF(Q17="Impacto",($M$16-(+$M$16*T17)),IF(Q17="Probabilidad",AB14,""))),"")</f>
        <v>0.8</v>
      </c>
      <c r="AC17" s="182" t="str">
        <f t="shared" ref="AC17" ca="1" si="16">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Alto</v>
      </c>
      <c r="AD17" s="183" t="s">
        <v>136</v>
      </c>
      <c r="AE17" s="176" t="s">
        <v>284</v>
      </c>
      <c r="AF17" s="176" t="s">
        <v>269</v>
      </c>
      <c r="AG17" s="456">
        <v>46022</v>
      </c>
      <c r="AH17" s="185" t="s">
        <v>310</v>
      </c>
      <c r="AI17" s="176" t="s">
        <v>298</v>
      </c>
      <c r="AJ17" s="186" t="s">
        <v>41</v>
      </c>
      <c r="AK17" s="186"/>
      <c r="AL17" s="186"/>
      <c r="AM17" s="187" t="e">
        <f t="shared" si="5"/>
        <v>#DIV/0!</v>
      </c>
      <c r="AN17" s="186"/>
      <c r="AO17" s="186"/>
      <c r="AP17" s="186"/>
      <c r="AQ17" s="186"/>
      <c r="AR17" s="187" t="e">
        <f t="shared" si="6"/>
        <v>#DIV/0!</v>
      </c>
      <c r="AS17" s="186"/>
      <c r="AT17" s="186"/>
      <c r="AU17" s="8"/>
      <c r="AV17" s="8"/>
      <c r="AW17" s="8"/>
      <c r="AX17" s="8"/>
      <c r="AY17" s="8"/>
      <c r="AZ17" s="8"/>
      <c r="BA17" s="8"/>
      <c r="BB17" s="8"/>
      <c r="BC17" s="8"/>
      <c r="BD17" s="8"/>
      <c r="BE17" s="8"/>
      <c r="BF17" s="8"/>
      <c r="BG17" s="8"/>
      <c r="BH17" s="8"/>
      <c r="BI17" s="8"/>
      <c r="BJ17" s="8"/>
      <c r="BK17" s="8"/>
      <c r="BL17" s="8"/>
      <c r="BM17" s="8"/>
      <c r="BN17" s="8"/>
      <c r="BO17" s="8"/>
      <c r="BP17" s="8"/>
    </row>
    <row r="18" spans="1:68" ht="192.75" customHeight="1">
      <c r="A18" s="256">
        <v>4</v>
      </c>
      <c r="B18" s="247" t="s">
        <v>134</v>
      </c>
      <c r="C18" s="247" t="s">
        <v>247</v>
      </c>
      <c r="D18" s="247" t="s">
        <v>248</v>
      </c>
      <c r="E18" s="249" t="s">
        <v>249</v>
      </c>
      <c r="F18" s="247" t="s">
        <v>128</v>
      </c>
      <c r="G18" s="257">
        <v>365</v>
      </c>
      <c r="H18" s="243" t="str">
        <f>IF(G18&lt;=0,"",IF(G18&lt;=2,"Muy Baja",IF(G18&lt;=24,"Baja",IF(G18&lt;=500,"Media",IF(G18&lt;=5000,"Alta","Muy Alta")))))</f>
        <v>Media</v>
      </c>
      <c r="I18" s="237">
        <f>IF(H18="","",IF(H18="Muy Baja",0.2,IF(H18="Baja",0.4,IF(H18="Media",0.6,IF(H18="Alta",0.8,IF(H18="Muy Alta",1,))))))</f>
        <v>0.6</v>
      </c>
      <c r="J18" s="239" t="s">
        <v>154</v>
      </c>
      <c r="K18" s="241" t="str">
        <f ca="1">IF(NOT(ISERROR(MATCH(J18,'Tabla Impacto'!$B$221:$B$223,0))),'Tabla Impacto'!$F$223&amp;"Por favor no seleccionar los criterios de impacto(Afectación Económica o presupuestal y Pérdida Reputacional)",J18)</f>
        <v xml:space="preserve">     El riesgo afecta la imagen de la entidad con algunos usuarios de relevancia frente al logro de los objetivos</v>
      </c>
      <c r="L18" s="243" t="str">
        <f ca="1">IF(OR(K18='Tabla Impacto'!$C$11,K18='Tabla Impacto'!$D$11),"Leve",IF(OR(K18='Tabla Impacto'!$C$12,K18='Tabla Impacto'!$D$12),"Menor",IF(OR(K18='Tabla Impacto'!$C$13,K18='Tabla Impacto'!$D$13),"Moderado",IF(OR(K18='Tabla Impacto'!$C$14,K18='Tabla Impacto'!$D$14),"Mayor",IF(OR(K18='Tabla Impacto'!$C$15,K18='Tabla Impacto'!$D$15),"Catastrófico","")))))</f>
        <v>Moderado</v>
      </c>
      <c r="M18" s="237">
        <f ca="1">IF(L18="","",IF(L18="Leve",0.2,IF(L18="Menor",0.4,IF(L18="Moderado",0.6,IF(L18="Mayor",0.8,IF(L18="Catastrófico",1,))))))</f>
        <v>0.6</v>
      </c>
      <c r="N18" s="231" t="str">
        <f ca="1">IF(OR(AND(H18="Muy Baja",L18="Leve"),AND(H18="Muy Baja",L18="Menor"),AND(H18="Baja",L18="Leve")),"Bajo",IF(OR(AND(H18="Muy baja",L18="Moderado"),AND(H18="Baja",L18="Menor"),AND(H18="Baja",L18="Moderado"),AND(H18="Media",L18="Leve"),AND(H18="Media",L18="Menor"),AND(H18="Media",L18="Moderado"),AND(H18="Alta",L18="Leve"),AND(H18="Alta",L18="Menor")),"Moderado",IF(OR(AND(H18="Muy Baja",L18="Mayor"),AND(H18="Baja",L18="Mayor"),AND(H18="Media",L18="Mayor"),AND(H18="Alta",L18="Moderado"),AND(H18="Alta",L18="Mayor"),AND(H18="Muy Alta",L18="Leve"),AND(H18="Muy Alta",L18="Menor"),AND(H18="Muy Alta",L18="Moderado"),AND(H18="Muy Alta",L18="Mayor")),"Alto",IF(OR(AND(H18="Muy Baja",L18="Catastrófico"),AND(H18="Baja",L18="Catastrófico"),AND(H18="Media",L18="Catastrófico"),AND(H18="Alta",L18="Catastrófico"),AND(H18="Muy Alta",L18="Catastrófico")),"Extremo",""))))</f>
        <v>Moderado</v>
      </c>
      <c r="O18" s="6">
        <v>1</v>
      </c>
      <c r="P18" s="176" t="s">
        <v>250</v>
      </c>
      <c r="Q18" s="177" t="str">
        <f>IF(OR(R18="Preventivo",R18="Detectivo"),"Probabilidad",IF(R18="Correctivo","Impacto",""))</f>
        <v>Probabilidad</v>
      </c>
      <c r="R18" s="178" t="s">
        <v>14</v>
      </c>
      <c r="S18" s="178" t="s">
        <v>9</v>
      </c>
      <c r="T18" s="179" t="str">
        <f>IF(AND(R18="Preventivo",S18="Automático"),"50%",IF(AND(R18="Preventivo",S18="Manual"),"40%",IF(AND(R18="Detectivo",S18="Automático"),"40%",IF(AND(R18="Detectivo",S18="Manual"),"30%",IF(AND(R18="Correctivo",S18="Automático"),"35%",IF(AND(R18="Correctivo",S18="Manual"),"25%",""))))))</f>
        <v>40%</v>
      </c>
      <c r="U18" s="178" t="s">
        <v>19</v>
      </c>
      <c r="V18" s="178" t="s">
        <v>22</v>
      </c>
      <c r="W18" s="178" t="s">
        <v>119</v>
      </c>
      <c r="X18" s="124">
        <f>IFERROR(IF(Q18="Probabilidad",(I18-(+I18*T18)),IF(Q18="Impacto",I18,"")),"")</f>
        <v>0.36</v>
      </c>
      <c r="Y18" s="180" t="str">
        <f>IFERROR(IF(X18="","",IF(X18&lt;=0.2,"Muy Baja",IF(X18&lt;=0.4,"Baja",IF(X18&lt;=0.6,"Media",IF(X18&lt;=0.8,"Alta","Muy Alta"))))),"")</f>
        <v>Baja</v>
      </c>
      <c r="Z18" s="181">
        <f>+X18</f>
        <v>0.36</v>
      </c>
      <c r="AA18" s="180" t="str">
        <f ca="1">IFERROR(IF(AB18="","",IF(AB18&lt;=0.2,"Leve",IF(AB18&lt;=0.4,"Menor",IF(AB18&lt;=0.6,"Moderado",IF(AB18&lt;=0.8,"Mayor","Catastrófico"))))),"")</f>
        <v>Moderado</v>
      </c>
      <c r="AB18" s="181">
        <f ca="1">IFERROR(IF(Q18="Impacto",(M18-(+M18*T18)),IF(Q18="Probabilidad",M18,"")),"")</f>
        <v>0.6</v>
      </c>
      <c r="AC18" s="182" t="str">
        <f ca="1">IFERROR(IF(OR(AND(Y18="Muy Baja",AA18="Leve"),AND(Y18="Muy Baja",AA18="Menor"),AND(Y18="Baja",AA18="Leve")),"Bajo",IF(OR(AND(Y18="Muy baja",AA18="Moderado"),AND(Y18="Baja",AA18="Menor"),AND(Y18="Baja",AA18="Moderado"),AND(Y18="Media",AA18="Leve"),AND(Y18="Media",AA18="Menor"),AND(Y18="Media",AA18="Moderado"),AND(Y18="Alta",AA18="Leve"),AND(Y18="Alta",AA18="Menor")),"Moderado",IF(OR(AND(Y18="Muy Baja",AA18="Mayor"),AND(Y18="Baja",AA18="Mayor"),AND(Y18="Media",AA18="Mayor"),AND(Y18="Alta",AA18="Moderado"),AND(Y18="Alta",AA18="Mayor"),AND(Y18="Muy Alta",AA18="Leve"),AND(Y18="Muy Alta",AA18="Menor"),AND(Y18="Muy Alta",AA18="Moderado"),AND(Y18="Muy Alta",AA18="Mayor")),"Alto",IF(OR(AND(Y18="Muy Baja",AA18="Catastrófico"),AND(Y18="Baja",AA18="Catastrófico"),AND(Y18="Media",AA18="Catastrófico"),AND(Y18="Alta",AA18="Catastrófico"),AND(Y18="Muy Alta",AA18="Catastrófico")),"Extremo","")))),"")</f>
        <v>Moderado</v>
      </c>
      <c r="AD18" s="183" t="s">
        <v>136</v>
      </c>
      <c r="AE18" s="176" t="s">
        <v>272</v>
      </c>
      <c r="AF18" s="176" t="s">
        <v>265</v>
      </c>
      <c r="AG18" s="456">
        <v>46022</v>
      </c>
      <c r="AH18" s="185" t="s">
        <v>310</v>
      </c>
      <c r="AI18" s="176" t="s">
        <v>299</v>
      </c>
      <c r="AJ18" s="186" t="s">
        <v>41</v>
      </c>
      <c r="AK18" s="186"/>
      <c r="AL18" s="186"/>
      <c r="AM18" s="187" t="e">
        <f t="shared" si="5"/>
        <v>#DIV/0!</v>
      </c>
      <c r="AN18" s="186"/>
      <c r="AO18" s="186"/>
      <c r="AP18" s="186"/>
      <c r="AQ18" s="186"/>
      <c r="AR18" s="187" t="e">
        <f t="shared" si="6"/>
        <v>#DIV/0!</v>
      </c>
      <c r="AS18" s="186"/>
      <c r="AT18" s="186"/>
      <c r="AU18" s="8"/>
      <c r="AV18" s="8"/>
      <c r="AW18" s="8"/>
      <c r="AX18" s="8"/>
      <c r="AY18" s="8"/>
      <c r="AZ18" s="8"/>
      <c r="BA18" s="8"/>
      <c r="BB18" s="8"/>
      <c r="BC18" s="8"/>
      <c r="BD18" s="8"/>
      <c r="BE18" s="8"/>
      <c r="BF18" s="8"/>
      <c r="BG18" s="8"/>
      <c r="BH18" s="8"/>
      <c r="BI18" s="8"/>
      <c r="BJ18" s="8"/>
      <c r="BK18" s="8"/>
      <c r="BL18" s="8"/>
      <c r="BM18" s="8"/>
      <c r="BN18" s="8"/>
      <c r="BO18" s="8"/>
      <c r="BP18" s="8"/>
    </row>
    <row r="19" spans="1:68" ht="96" customHeight="1">
      <c r="A19" s="246"/>
      <c r="B19" s="248"/>
      <c r="C19" s="254"/>
      <c r="D19" s="254"/>
      <c r="E19" s="250"/>
      <c r="F19" s="248"/>
      <c r="G19" s="253"/>
      <c r="H19" s="244"/>
      <c r="I19" s="238"/>
      <c r="J19" s="240"/>
      <c r="K19" s="242">
        <f ca="1">IF(NOT(ISERROR(MATCH(J19,_xlfn.ANCHORARRAY(E21),0))),I23&amp;"Por favor no seleccionar los criterios de impacto",J19)</f>
        <v>0</v>
      </c>
      <c r="L19" s="244"/>
      <c r="M19" s="238"/>
      <c r="N19" s="232"/>
      <c r="O19" s="6">
        <v>2</v>
      </c>
      <c r="P19" s="189" t="s">
        <v>251</v>
      </c>
      <c r="Q19" s="177" t="s">
        <v>4</v>
      </c>
      <c r="R19" s="178" t="s">
        <v>14</v>
      </c>
      <c r="S19" s="178" t="s">
        <v>10</v>
      </c>
      <c r="T19" s="179" t="str">
        <f t="shared" ref="T19:T20" si="17">IF(AND(R19="Preventivo",S19="Automático"),"50%",IF(AND(R19="Preventivo",S19="Manual"),"40%",IF(AND(R19="Detectivo",S19="Automático"),"40%",IF(AND(R19="Detectivo",S19="Manual"),"30%",IF(AND(R19="Correctivo",S19="Automático"),"35%",IF(AND(R19="Correctivo",S19="Manual"),"25%",""))))))</f>
        <v>50%</v>
      </c>
      <c r="U19" s="178" t="s">
        <v>19</v>
      </c>
      <c r="V19" s="178" t="s">
        <v>22</v>
      </c>
      <c r="W19" s="178" t="s">
        <v>119</v>
      </c>
      <c r="X19" s="124">
        <f>IFERROR(IF(AND(Q18="Probabilidad",Q19="Probabilidad"),(Z18-(+Z18*T19)),IF(Q19="Probabilidad",(I18-(+I18*T19)),IF(Q19="Impacto",Z18,""))),"")</f>
        <v>0.18</v>
      </c>
      <c r="Y19" s="180" t="str">
        <f t="shared" si="1"/>
        <v>Muy Baja</v>
      </c>
      <c r="Z19" s="181">
        <f t="shared" ref="Z19:Z20" si="18">+X19</f>
        <v>0.18</v>
      </c>
      <c r="AA19" s="180" t="str">
        <f t="shared" si="3"/>
        <v/>
      </c>
      <c r="AB19" s="181" t="str">
        <f>IFERROR(IF(AND(Q18="Impacto",Q19="Impacto"),(#REF!-(+#REF!*T19)),IF(Q19="Impacto",($M$18-(+$M$18*T19)),IF(Q19="Probabilidad",#REF!,""))),"")</f>
        <v/>
      </c>
      <c r="AC19" s="182" t="str">
        <f t="shared" ref="AC19" si="19">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83" t="s">
        <v>136</v>
      </c>
      <c r="AE19" s="176" t="s">
        <v>273</v>
      </c>
      <c r="AF19" s="176" t="s">
        <v>269</v>
      </c>
      <c r="AG19" s="456">
        <v>46022</v>
      </c>
      <c r="AH19" s="185" t="s">
        <v>310</v>
      </c>
      <c r="AI19" s="176" t="s">
        <v>300</v>
      </c>
      <c r="AJ19" s="186"/>
      <c r="AK19" s="186"/>
      <c r="AL19" s="186"/>
      <c r="AM19" s="187" t="e">
        <f t="shared" si="5"/>
        <v>#DIV/0!</v>
      </c>
      <c r="AN19" s="186"/>
      <c r="AO19" s="186"/>
      <c r="AP19" s="186"/>
      <c r="AQ19" s="186"/>
      <c r="AR19" s="187" t="e">
        <f t="shared" si="6"/>
        <v>#DIV/0!</v>
      </c>
      <c r="AS19" s="186"/>
      <c r="AT19" s="186"/>
      <c r="AU19" s="8"/>
      <c r="AV19" s="8"/>
      <c r="AW19" s="8"/>
      <c r="AX19" s="8"/>
      <c r="AY19" s="8"/>
      <c r="AZ19" s="8"/>
      <c r="BA19" s="8"/>
      <c r="BB19" s="8"/>
      <c r="BC19" s="8"/>
      <c r="BD19" s="8"/>
      <c r="BE19" s="8"/>
      <c r="BF19" s="8"/>
      <c r="BG19" s="8"/>
      <c r="BH19" s="8"/>
      <c r="BI19" s="8"/>
      <c r="BJ19" s="8"/>
      <c r="BK19" s="8"/>
      <c r="BL19" s="8"/>
      <c r="BM19" s="8"/>
      <c r="BN19" s="8"/>
      <c r="BO19" s="8"/>
      <c r="BP19" s="8"/>
    </row>
    <row r="20" spans="1:68" ht="270" customHeight="1">
      <c r="A20" s="156">
        <v>5</v>
      </c>
      <c r="B20" s="157" t="s">
        <v>134</v>
      </c>
      <c r="C20" s="157" t="s">
        <v>252</v>
      </c>
      <c r="D20" s="157" t="s">
        <v>254</v>
      </c>
      <c r="E20" s="158" t="s">
        <v>253</v>
      </c>
      <c r="F20" s="157" t="s">
        <v>123</v>
      </c>
      <c r="G20" s="159">
        <v>365</v>
      </c>
      <c r="H20" s="137" t="str">
        <f>IF(G20&lt;=0,"",IF(G20&lt;=2,"Muy Baja",IF(G20&lt;=24,"Baja",IF(G20&lt;=500,"Media",IF(G20&lt;=5000,"Alta","Muy Alta")))))</f>
        <v>Media</v>
      </c>
      <c r="I20" s="138">
        <f>IF(H20="","",IF(H20="Muy Baja",0.2,IF(H20="Baja",0.4,IF(H20="Media",0.6,IF(H20="Alta",0.8,IF(H20="Muy Alta",1,))))))</f>
        <v>0.6</v>
      </c>
      <c r="J20" s="168" t="s">
        <v>155</v>
      </c>
      <c r="K20" s="169" t="s">
        <v>155</v>
      </c>
      <c r="L20" s="139" t="s">
        <v>7</v>
      </c>
      <c r="M20" s="140">
        <f>IF(L20="","",IF(L20="Leve",0.2,IF(L20="Menor",0.4,IF(L20="Moderado",0.6,IF(L20="Mayor",0.8,IF(L20="Catastrófico",1,))))))</f>
        <v>0.8</v>
      </c>
      <c r="N20" s="141" t="str">
        <f>IF(OR(AND(H20="Muy Baja",L20="Leve"),AND(H20="Muy Baja",L20="Menor"),AND(H20="Baja",L20="Leve")),"Bajo",IF(OR(AND(H20="Muy baja",L20="Moderado"),AND(H20="Baja",L20="Menor"),AND(H20="Baja",L20="Moderado"),AND(H20="Media",L20="Leve"),AND(H20="Media",L20="Menor"),AND(H20="Media",L20="Moderado"),AND(H20="Alta",L20="Leve"),AND(H20="Alta",L20="Menor")),"Moderado",IF(OR(AND(H20="Muy Baja",L20="Mayor"),AND(H20="Baja",L20="Mayor"),AND(H20="Media",L20="Mayor"),AND(H20="Alta",L20="Moderado"),AND(H20="Alta",L20="Mayor"),AND(H20="Muy Alta",L20="Leve"),AND(H20="Muy Alta",L20="Menor"),AND(H20="Muy Alta",L20="Moderado"),AND(H20="Muy Alta",L20="Mayor")),"Alto",IF(OR(AND(H20="Muy Baja",L20="Catastrófico"),AND(H20="Baja",L20="Catastrófico"),AND(H20="Media",L20="Catastrófico"),AND(H20="Alta",L20="Catastrófico"),AND(H20="Muy Alta",L20="Catastrófico")),"Extremo",""))))</f>
        <v>Alto</v>
      </c>
      <c r="O20" s="136">
        <v>1</v>
      </c>
      <c r="P20" s="176" t="s">
        <v>255</v>
      </c>
      <c r="Q20" s="177" t="str">
        <f t="shared" ref="Q20" si="20">IF(OR(R20="Preventivo",R20="Detectivo"),"Probabilidad",IF(R20="Correctivo","Impacto",""))</f>
        <v>Probabilidad</v>
      </c>
      <c r="R20" s="178" t="s">
        <v>14</v>
      </c>
      <c r="S20" s="178" t="s">
        <v>9</v>
      </c>
      <c r="T20" s="179" t="str">
        <f t="shared" si="17"/>
        <v>40%</v>
      </c>
      <c r="U20" s="178" t="s">
        <v>19</v>
      </c>
      <c r="V20" s="178" t="s">
        <v>22</v>
      </c>
      <c r="W20" s="178" t="s">
        <v>119</v>
      </c>
      <c r="X20" s="124">
        <f>IFERROR(IF(Q20="Probabilidad",(I20-(+I20*T20)),IF(Q20="Impacto",I20,"")),"")</f>
        <v>0.36</v>
      </c>
      <c r="Y20" s="180" t="str">
        <f t="shared" si="1"/>
        <v>Baja</v>
      </c>
      <c r="Z20" s="181">
        <f t="shared" si="18"/>
        <v>0.36</v>
      </c>
      <c r="AA20" s="180" t="str">
        <f t="shared" ref="AA20" si="21">IFERROR(IF(AB20="","",IF(AB20&lt;=0.2,"Leve",IF(AB20&lt;=0.4,"Menor",IF(AB20&lt;=0.6,"Moderado",IF(AB20&lt;=0.8,"Mayor","Catastrófico"))))),"")</f>
        <v>Mayor</v>
      </c>
      <c r="AB20" s="181">
        <f>IFERROR(IF(Q20="Impacto",(M20-(+M20*T20)),IF(Q20="Probabilidad",M20,"")),"")</f>
        <v>0.8</v>
      </c>
      <c r="AC20" s="182" t="str">
        <f t="shared" ref="AC20" si="22">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Alto</v>
      </c>
      <c r="AD20" s="183" t="s">
        <v>136</v>
      </c>
      <c r="AE20" s="176" t="s">
        <v>275</v>
      </c>
      <c r="AF20" s="176" t="s">
        <v>269</v>
      </c>
      <c r="AG20" s="456">
        <v>46022</v>
      </c>
      <c r="AH20" s="185" t="s">
        <v>310</v>
      </c>
      <c r="AI20" s="176" t="s">
        <v>301</v>
      </c>
      <c r="AJ20" s="186" t="s">
        <v>41</v>
      </c>
      <c r="AK20" s="186"/>
      <c r="AL20" s="186"/>
      <c r="AM20" s="187" t="e">
        <f t="shared" si="5"/>
        <v>#DIV/0!</v>
      </c>
      <c r="AN20" s="186"/>
      <c r="AO20" s="186"/>
      <c r="AP20" s="186"/>
      <c r="AQ20" s="186"/>
      <c r="AR20" s="187" t="e">
        <f t="shared" si="6"/>
        <v>#DIV/0!</v>
      </c>
      <c r="AS20" s="186"/>
      <c r="AT20" s="186"/>
      <c r="AU20" s="8"/>
      <c r="AV20" s="8"/>
      <c r="AW20" s="8"/>
      <c r="AX20" s="8"/>
      <c r="AY20" s="8"/>
      <c r="AZ20" s="8"/>
      <c r="BA20" s="8"/>
      <c r="BB20" s="8"/>
      <c r="BC20" s="8"/>
      <c r="BD20" s="8"/>
      <c r="BE20" s="8"/>
      <c r="BF20" s="8"/>
      <c r="BG20" s="8"/>
      <c r="BH20" s="8"/>
      <c r="BI20" s="8"/>
      <c r="BJ20" s="8"/>
      <c r="BK20" s="8"/>
      <c r="BL20" s="8"/>
      <c r="BM20" s="8"/>
      <c r="BN20" s="8"/>
      <c r="BO20" s="8"/>
      <c r="BP20" s="8"/>
    </row>
    <row r="21" spans="1:68" ht="214.5">
      <c r="A21" s="256">
        <v>6</v>
      </c>
      <c r="B21" s="247" t="s">
        <v>132</v>
      </c>
      <c r="C21" s="247" t="s">
        <v>256</v>
      </c>
      <c r="D21" s="247" t="s">
        <v>258</v>
      </c>
      <c r="E21" s="249" t="s">
        <v>257</v>
      </c>
      <c r="F21" s="247" t="s">
        <v>123</v>
      </c>
      <c r="G21" s="257">
        <v>365</v>
      </c>
      <c r="H21" s="243" t="str">
        <f>IF(G21&lt;=0,"",IF(G21&lt;=2,"Muy Baja",IF(G21&lt;=24,"Baja",IF(G21&lt;=500,"Media",IF(G21&lt;=5000,"Alta","Muy Alta")))))</f>
        <v>Media</v>
      </c>
      <c r="I21" s="237">
        <f>IF(H21="","",IF(H21="Muy Baja",0.2,IF(H21="Baja",0.4,IF(H21="Media",0.6,IF(H21="Alta",0.8,IF(H21="Muy Alta",1,))))))</f>
        <v>0.6</v>
      </c>
      <c r="J21" s="239" t="s">
        <v>155</v>
      </c>
      <c r="K21" s="241" t="str">
        <f ca="1">IF(NOT(ISERROR(MATCH(J21,'Tabla Impacto'!$B$221:$B$223,0))),'Tabla Impacto'!$F$223&amp;"Por favor no seleccionar los criterios de impacto(Afectación Económica o presupuestal y Pérdida Reputacional)",J21)</f>
        <v xml:space="preserve">     El riesgo afecta la imagen de de la entidad con efecto publicitario sostenido a nivel de sector administrativo, nivel departamental o municipal</v>
      </c>
      <c r="L21" s="243" t="str">
        <f ca="1">IF(OR(K21='Tabla Impacto'!$C$11,K21='Tabla Impacto'!$D$11),"Leve",IF(OR(K21='Tabla Impacto'!$C$12,K21='Tabla Impacto'!$D$12),"Menor",IF(OR(K21='Tabla Impacto'!$C$13,K21='Tabla Impacto'!$D$13),"Moderado",IF(OR(K21='Tabla Impacto'!$C$14,K21='Tabla Impacto'!$D$14),"Mayor",IF(OR(K21='Tabla Impacto'!$C$15,K21='Tabla Impacto'!$D$15),"Catastrófico","")))))</f>
        <v>Mayor</v>
      </c>
      <c r="M21" s="237">
        <f ca="1">IF(L21="","",IF(L21="Leve",0.2,IF(L21="Menor",0.4,IF(L21="Moderado",0.6,IF(L21="Mayor",0.8,IF(L21="Catastrófico",1,))))))</f>
        <v>0.8</v>
      </c>
      <c r="N21" s="231" t="str">
        <f ca="1">IF(OR(AND(H21="Muy Baja",L21="Leve"),AND(H21="Muy Baja",L21="Menor"),AND(H21="Baja",L21="Leve")),"Bajo",IF(OR(AND(H21="Muy baja",L21="Moderado"),AND(H21="Baja",L21="Menor"),AND(H21="Baja",L21="Moderado"),AND(H21="Media",L21="Leve"),AND(H21="Media",L21="Menor"),AND(H21="Media",L21="Moderado"),AND(H21="Alta",L21="Leve"),AND(H21="Alta",L21="Menor")),"Moderado",IF(OR(AND(H21="Muy Baja",L21="Mayor"),AND(H21="Baja",L21="Mayor"),AND(H21="Media",L21="Mayor"),AND(H21="Alta",L21="Moderado"),AND(H21="Alta",L21="Mayor"),AND(H21="Muy Alta",L21="Leve"),AND(H21="Muy Alta",L21="Menor"),AND(H21="Muy Alta",L21="Moderado"),AND(H21="Muy Alta",L21="Mayor")),"Alto",IF(OR(AND(H21="Muy Baja",L21="Catastrófico"),AND(H21="Baja",L21="Catastrófico"),AND(H21="Media",L21="Catastrófico"),AND(H21="Alta",L21="Catastrófico"),AND(H21="Muy Alta",L21="Catastrófico")),"Extremo",""))))</f>
        <v>Alto</v>
      </c>
      <c r="O21" s="6">
        <v>1</v>
      </c>
      <c r="P21" s="176" t="s">
        <v>279</v>
      </c>
      <c r="Q21" s="177" t="str">
        <f>IF(OR(R21="Preventivo",R21="Detectivo"),"Probabilidad",IF(R21="Correctivo","Impacto",""))</f>
        <v>Probabilidad</v>
      </c>
      <c r="R21" s="178" t="s">
        <v>14</v>
      </c>
      <c r="S21" s="178" t="s">
        <v>9</v>
      </c>
      <c r="T21" s="179" t="str">
        <f>IF(AND(R21="Preventivo",S21="Automático"),"50%",IF(AND(R21="Preventivo",S21="Manual"),"40%",IF(AND(R21="Detectivo",S21="Automático"),"40%",IF(AND(R21="Detectivo",S21="Manual"),"30%",IF(AND(R21="Correctivo",S21="Automático"),"35%",IF(AND(R21="Correctivo",S21="Manual"),"25%",""))))))</f>
        <v>40%</v>
      </c>
      <c r="U21" s="178" t="s">
        <v>19</v>
      </c>
      <c r="V21" s="178" t="s">
        <v>22</v>
      </c>
      <c r="W21" s="178" t="s">
        <v>119</v>
      </c>
      <c r="X21" s="124">
        <f>IFERROR(IF(Q21="Probabilidad",(I21-(+I21*T21)),IF(Q21="Impacto",I21,"")),"")</f>
        <v>0.36</v>
      </c>
      <c r="Y21" s="180" t="str">
        <f>IFERROR(IF(X21="","",IF(X21&lt;=0.2,"Muy Baja",IF(X21&lt;=0.4,"Baja",IF(X21&lt;=0.6,"Media",IF(X21&lt;=0.8,"Alta","Muy Alta"))))),"")</f>
        <v>Baja</v>
      </c>
      <c r="Z21" s="181">
        <f>+X21</f>
        <v>0.36</v>
      </c>
      <c r="AA21" s="180" t="str">
        <f ca="1">IFERROR(IF(AB21="","",IF(AB21&lt;=0.2,"Leve",IF(AB21&lt;=0.4,"Menor",IF(AB21&lt;=0.6,"Moderado",IF(AB21&lt;=0.8,"Mayor","Catastrófico"))))),"")</f>
        <v>Mayor</v>
      </c>
      <c r="AB21" s="181">
        <f ca="1">IFERROR(IF(Q21="Impacto",(M21-(+M21*T21)),IF(Q21="Probabilidad",M21,"")),"")</f>
        <v>0.8</v>
      </c>
      <c r="AC21" s="182" t="str">
        <f ca="1">IFERROR(IF(OR(AND(Y21="Muy Baja",AA21="Leve"),AND(Y21="Muy Baja",AA21="Menor"),AND(Y21="Baja",AA21="Leve")),"Bajo",IF(OR(AND(Y21="Muy baja",AA21="Moderado"),AND(Y21="Baja",AA21="Menor"),AND(Y21="Baja",AA21="Moderado"),AND(Y21="Media",AA21="Leve"),AND(Y21="Media",AA21="Menor"),AND(Y21="Media",AA21="Moderado"),AND(Y21="Alta",AA21="Leve"),AND(Y21="Alta",AA21="Menor")),"Moderado",IF(OR(AND(Y21="Muy Baja",AA21="Mayor"),AND(Y21="Baja",AA21="Mayor"),AND(Y21="Media",AA21="Mayor"),AND(Y21="Alta",AA21="Moderado"),AND(Y21="Alta",AA21="Mayor"),AND(Y21="Muy Alta",AA21="Leve"),AND(Y21="Muy Alta",AA21="Menor"),AND(Y21="Muy Alta",AA21="Moderado"),AND(Y21="Muy Alta",AA21="Mayor")),"Alto",IF(OR(AND(Y21="Muy Baja",AA21="Catastrófico"),AND(Y21="Baja",AA21="Catastrófico"),AND(Y21="Media",AA21="Catastrófico"),AND(Y21="Alta",AA21="Catastrófico"),AND(Y21="Muy Alta",AA21="Catastrófico")),"Extremo","")))),"")</f>
        <v>Alto</v>
      </c>
      <c r="AD21" s="183" t="s">
        <v>136</v>
      </c>
      <c r="AE21" s="176" t="s">
        <v>282</v>
      </c>
      <c r="AF21" s="176" t="s">
        <v>269</v>
      </c>
      <c r="AG21" s="456">
        <v>46022</v>
      </c>
      <c r="AH21" s="185" t="s">
        <v>310</v>
      </c>
      <c r="AI21" s="176" t="s">
        <v>302</v>
      </c>
      <c r="AJ21" s="186" t="s">
        <v>41</v>
      </c>
      <c r="AK21" s="186"/>
      <c r="AL21" s="186"/>
      <c r="AM21" s="187" t="e">
        <f t="shared" si="5"/>
        <v>#DIV/0!</v>
      </c>
      <c r="AN21" s="186"/>
      <c r="AO21" s="186"/>
      <c r="AP21" s="186"/>
      <c r="AQ21" s="186"/>
      <c r="AR21" s="187" t="e">
        <f t="shared" si="6"/>
        <v>#DIV/0!</v>
      </c>
      <c r="AS21" s="186"/>
      <c r="AT21" s="186"/>
      <c r="AU21" s="8"/>
      <c r="AV21" s="8"/>
      <c r="AW21" s="8"/>
      <c r="AX21" s="8"/>
      <c r="AY21" s="8"/>
      <c r="AZ21" s="8"/>
      <c r="BA21" s="8"/>
      <c r="BB21" s="8"/>
      <c r="BC21" s="8"/>
      <c r="BD21" s="8"/>
      <c r="BE21" s="8"/>
      <c r="BF21" s="8"/>
      <c r="BG21" s="8"/>
      <c r="BH21" s="8"/>
      <c r="BI21" s="8"/>
      <c r="BJ21" s="8"/>
      <c r="BK21" s="8"/>
      <c r="BL21" s="8"/>
      <c r="BM21" s="8"/>
      <c r="BN21" s="8"/>
      <c r="BO21" s="8"/>
      <c r="BP21" s="8"/>
    </row>
    <row r="22" spans="1:68" hidden="1">
      <c r="A22" s="246"/>
      <c r="B22" s="248"/>
      <c r="C22" s="248"/>
      <c r="D22" s="248"/>
      <c r="E22" s="255"/>
      <c r="F22" s="248"/>
      <c r="G22" s="253"/>
      <c r="H22" s="244"/>
      <c r="I22" s="238"/>
      <c r="J22" s="240"/>
      <c r="K22" s="242">
        <f ca="1">IF(NOT(ISERROR(MATCH(J22,_xlfn.ANCHORARRAY(E34),0))),#REF!&amp;"Por favor no seleccionar los criterios de impacto",J22)</f>
        <v>0</v>
      </c>
      <c r="L22" s="244"/>
      <c r="M22" s="238"/>
      <c r="N22" s="232"/>
      <c r="O22" s="6">
        <v>2</v>
      </c>
      <c r="P22" s="188"/>
      <c r="Q22" s="177" t="str">
        <f>IF(OR(R22="Preventivo",R22="Detectivo"),"Probabilidad",IF(R22="Correctivo","Impacto",""))</f>
        <v/>
      </c>
      <c r="R22" s="178"/>
      <c r="S22" s="178"/>
      <c r="T22" s="179" t="str">
        <f t="shared" ref="T22:T26" si="23">IF(AND(R22="Preventivo",S22="Automático"),"50%",IF(AND(R22="Preventivo",S22="Manual"),"40%",IF(AND(R22="Detectivo",S22="Automático"),"40%",IF(AND(R22="Detectivo",S22="Manual"),"30%",IF(AND(R22="Correctivo",S22="Automático"),"35%",IF(AND(R22="Correctivo",S22="Manual"),"25%",""))))))</f>
        <v/>
      </c>
      <c r="U22" s="178"/>
      <c r="V22" s="178"/>
      <c r="W22" s="178"/>
      <c r="X22" s="124" t="str">
        <f>IFERROR(IF(AND(Q21="Probabilidad",Q22="Probabilidad"),(Z21-(+Z21*T22)),IF(Q22="Probabilidad",(I21-(+I21*T22)),IF(Q22="Impacto",Z21,""))),"")</f>
        <v/>
      </c>
      <c r="Y22" s="180" t="str">
        <f t="shared" si="1"/>
        <v/>
      </c>
      <c r="Z22" s="181" t="str">
        <f t="shared" ref="Z22:Z26" si="24">+X22</f>
        <v/>
      </c>
      <c r="AA22" s="180" t="str">
        <f t="shared" si="3"/>
        <v/>
      </c>
      <c r="AB22" s="181" t="str">
        <f>IFERROR(IF(AND(Q21="Impacto",Q22="Impacto"),(AB20-(+AB20*T22)),IF(Q22="Impacto",($M$21-(+$M$21*T22)),IF(Q22="Probabilidad",AB20,""))),"")</f>
        <v/>
      </c>
      <c r="AC22" s="182" t="str">
        <f t="shared" ref="AC22:AC23" si="25">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83"/>
      <c r="AE22" s="176"/>
      <c r="AF22" s="189"/>
      <c r="AG22" s="456">
        <v>46022</v>
      </c>
      <c r="AH22" s="185" t="s">
        <v>310</v>
      </c>
      <c r="AI22" s="176"/>
      <c r="AJ22" s="186"/>
      <c r="AK22" s="186"/>
      <c r="AL22" s="186"/>
      <c r="AM22" s="187"/>
      <c r="AN22" s="186"/>
      <c r="AO22" s="186"/>
      <c r="AP22" s="186"/>
      <c r="AQ22" s="186"/>
      <c r="AR22" s="187"/>
      <c r="AS22" s="186"/>
      <c r="AT22" s="186"/>
      <c r="AU22" s="8"/>
      <c r="AV22" s="8"/>
      <c r="AW22" s="8"/>
      <c r="AX22" s="8"/>
      <c r="AY22" s="8"/>
      <c r="AZ22" s="8"/>
      <c r="BA22" s="8"/>
      <c r="BB22" s="8"/>
      <c r="BC22" s="8"/>
      <c r="BD22" s="8"/>
      <c r="BE22" s="8"/>
      <c r="BF22" s="8"/>
      <c r="BG22" s="8"/>
      <c r="BH22" s="8"/>
      <c r="BI22" s="8"/>
      <c r="BJ22" s="8"/>
      <c r="BK22" s="8"/>
      <c r="BL22" s="8"/>
      <c r="BM22" s="8"/>
      <c r="BN22" s="8"/>
      <c r="BO22" s="8"/>
      <c r="BP22" s="8"/>
    </row>
    <row r="23" spans="1:68" hidden="1">
      <c r="A23" s="246"/>
      <c r="B23" s="248"/>
      <c r="C23" s="248"/>
      <c r="D23" s="248"/>
      <c r="E23" s="255"/>
      <c r="F23" s="248"/>
      <c r="G23" s="253"/>
      <c r="H23" s="244"/>
      <c r="I23" s="238"/>
      <c r="J23" s="240"/>
      <c r="K23" s="242">
        <f ca="1">IF(NOT(ISERROR(MATCH(J23,_xlfn.ANCHORARRAY(#REF!),0))),#REF!&amp;"Por favor no seleccionar los criterios de impacto",J23)</f>
        <v>0</v>
      </c>
      <c r="L23" s="244"/>
      <c r="M23" s="238"/>
      <c r="N23" s="232"/>
      <c r="O23" s="6">
        <v>3</v>
      </c>
      <c r="P23" s="189"/>
      <c r="Q23" s="177" t="str">
        <f>IF(OR(R23="Preventivo",R23="Detectivo"),"Probabilidad",IF(R23="Correctivo","Impacto",""))</f>
        <v/>
      </c>
      <c r="R23" s="178"/>
      <c r="S23" s="178"/>
      <c r="T23" s="179" t="str">
        <f t="shared" si="23"/>
        <v/>
      </c>
      <c r="U23" s="178"/>
      <c r="V23" s="178"/>
      <c r="W23" s="178"/>
      <c r="X23" s="124" t="str">
        <f>IFERROR(IF(AND(Q22="Probabilidad",Q23="Probabilidad"),(Z22-(+Z22*T23)),IF(AND(Q22="Impacto",Q23="Probabilidad"),(Z21-(+Z21*T23)),IF(Q23="Impacto",Z22,""))),"")</f>
        <v/>
      </c>
      <c r="Y23" s="180" t="str">
        <f t="shared" si="1"/>
        <v/>
      </c>
      <c r="Z23" s="181" t="str">
        <f t="shared" si="24"/>
        <v/>
      </c>
      <c r="AA23" s="180" t="str">
        <f t="shared" si="3"/>
        <v/>
      </c>
      <c r="AB23" s="181" t="str">
        <f>IFERROR(IF(AND(Q22="Impacto",Q23="Impacto"),(AB22-(+AB22*T23)),IF(AND(Q22="Probabilidad",Q23="Impacto"),(AB21-(+AB21*T23)),IF(Q23="Probabilidad",AB22,""))),"")</f>
        <v/>
      </c>
      <c r="AC23" s="182" t="str">
        <f t="shared" si="25"/>
        <v/>
      </c>
      <c r="AD23" s="183"/>
      <c r="AE23" s="176"/>
      <c r="AF23" s="189"/>
      <c r="AG23" s="456">
        <v>46022</v>
      </c>
      <c r="AH23" s="185" t="s">
        <v>310</v>
      </c>
      <c r="AI23" s="176"/>
      <c r="AJ23" s="186"/>
      <c r="AK23" s="186"/>
      <c r="AL23" s="186"/>
      <c r="AM23" s="187"/>
      <c r="AN23" s="186"/>
      <c r="AO23" s="186"/>
      <c r="AP23" s="186"/>
      <c r="AQ23" s="186"/>
      <c r="AR23" s="187"/>
      <c r="AS23" s="186"/>
      <c r="AT23" s="186"/>
      <c r="AU23" s="8"/>
      <c r="AV23" s="8"/>
      <c r="AW23" s="8"/>
      <c r="AX23" s="8"/>
      <c r="AY23" s="8"/>
      <c r="AZ23" s="8"/>
      <c r="BA23" s="8"/>
      <c r="BB23" s="8"/>
      <c r="BC23" s="8"/>
      <c r="BD23" s="8"/>
      <c r="BE23" s="8"/>
      <c r="BF23" s="8"/>
      <c r="BG23" s="8"/>
      <c r="BH23" s="8"/>
      <c r="BI23" s="8"/>
      <c r="BJ23" s="8"/>
      <c r="BK23" s="8"/>
      <c r="BL23" s="8"/>
      <c r="BM23" s="8"/>
      <c r="BN23" s="8"/>
      <c r="BO23" s="8"/>
      <c r="BP23" s="8"/>
    </row>
    <row r="24" spans="1:68" hidden="1">
      <c r="A24" s="246"/>
      <c r="B24" s="248"/>
      <c r="C24" s="248"/>
      <c r="D24" s="248"/>
      <c r="E24" s="255"/>
      <c r="F24" s="248"/>
      <c r="G24" s="253"/>
      <c r="H24" s="244"/>
      <c r="I24" s="238"/>
      <c r="J24" s="240"/>
      <c r="K24" s="242">
        <f ca="1">IF(NOT(ISERROR(MATCH(J24,_xlfn.ANCHORARRAY(#REF!),0))),#REF!&amp;"Por favor no seleccionar los criterios de impacto",J24)</f>
        <v>0</v>
      </c>
      <c r="L24" s="244"/>
      <c r="M24" s="238"/>
      <c r="N24" s="232"/>
      <c r="O24" s="6">
        <v>4</v>
      </c>
      <c r="P24" s="188"/>
      <c r="Q24" s="177" t="str">
        <f t="shared" ref="Q24:Q26" si="26">IF(OR(R24="Preventivo",R24="Detectivo"),"Probabilidad",IF(R24="Correctivo","Impacto",""))</f>
        <v/>
      </c>
      <c r="R24" s="178"/>
      <c r="S24" s="178"/>
      <c r="T24" s="179" t="str">
        <f t="shared" si="23"/>
        <v/>
      </c>
      <c r="U24" s="178"/>
      <c r="V24" s="178"/>
      <c r="W24" s="178"/>
      <c r="X24" s="124" t="str">
        <f t="shared" ref="X24:X26" si="27">IFERROR(IF(AND(Q23="Probabilidad",Q24="Probabilidad"),(Z23-(+Z23*T24)),IF(AND(Q23="Impacto",Q24="Probabilidad"),(Z22-(+Z22*T24)),IF(Q24="Impacto",Z23,""))),"")</f>
        <v/>
      </c>
      <c r="Y24" s="180" t="str">
        <f t="shared" si="1"/>
        <v/>
      </c>
      <c r="Z24" s="181" t="str">
        <f t="shared" si="24"/>
        <v/>
      </c>
      <c r="AA24" s="180" t="str">
        <f t="shared" si="3"/>
        <v/>
      </c>
      <c r="AB24" s="181" t="str">
        <f t="shared" ref="AB24:AB26" si="28">IFERROR(IF(AND(Q23="Impacto",Q24="Impacto"),(AB23-(+AB23*T24)),IF(AND(Q23="Probabilidad",Q24="Impacto"),(AB22-(+AB22*T24)),IF(Q24="Probabilidad",AB23,""))),"")</f>
        <v/>
      </c>
      <c r="AC24" s="182" t="str">
        <f>IFERROR(IF(OR(AND(Y24="Muy Baja",AA24="Leve"),AND(Y24="Muy Baja",AA24="Menor"),AND(Y24="Baja",AA24="Leve")),"Bajo",IF(OR(AND(Y24="Muy baja",AA24="Moderado"),AND(Y24="Baja",AA24="Menor"),AND(Y24="Baja",AA24="Moderado"),AND(Y24="Media",AA24="Leve"),AND(Y24="Media",AA24="Menor"),AND(Y24="Media",AA24="Moderado"),AND(Y24="Alta",AA24="Leve"),AND(Y24="Alta",AA24="Menor")),"Moderado",IF(OR(AND(Y24="Muy Baja",AA24="Mayor"),AND(Y24="Baja",AA24="Mayor"),AND(Y24="Media",AA24="Mayor"),AND(Y24="Alta",AA24="Moderado"),AND(Y24="Alta",AA24="Mayor"),AND(Y24="Muy Alta",AA24="Leve"),AND(Y24="Muy Alta",AA24="Menor"),AND(Y24="Muy Alta",AA24="Moderado"),AND(Y24="Muy Alta",AA24="Mayor")),"Alto",IF(OR(AND(Y24="Muy Baja",AA24="Catastrófico"),AND(Y24="Baja",AA24="Catastrófico"),AND(Y24="Media",AA24="Catastrófico"),AND(Y24="Alta",AA24="Catastrófico"),AND(Y24="Muy Alta",AA24="Catastrófico")),"Extremo","")))),"")</f>
        <v/>
      </c>
      <c r="AD24" s="183"/>
      <c r="AE24" s="176"/>
      <c r="AF24" s="189"/>
      <c r="AG24" s="456">
        <v>46022</v>
      </c>
      <c r="AH24" s="185" t="s">
        <v>310</v>
      </c>
      <c r="AI24" s="176"/>
      <c r="AJ24" s="186"/>
      <c r="AK24" s="186"/>
      <c r="AL24" s="186"/>
      <c r="AM24" s="187"/>
      <c r="AN24" s="186"/>
      <c r="AO24" s="186"/>
      <c r="AP24" s="186"/>
      <c r="AQ24" s="186"/>
      <c r="AR24" s="187"/>
      <c r="AS24" s="186"/>
      <c r="AT24" s="186"/>
      <c r="AU24" s="8"/>
      <c r="AV24" s="8"/>
      <c r="AW24" s="8"/>
      <c r="AX24" s="8"/>
      <c r="AY24" s="8"/>
      <c r="AZ24" s="8"/>
      <c r="BA24" s="8"/>
      <c r="BB24" s="8"/>
      <c r="BC24" s="8"/>
      <c r="BD24" s="8"/>
      <c r="BE24" s="8"/>
      <c r="BF24" s="8"/>
      <c r="BG24" s="8"/>
      <c r="BH24" s="8"/>
      <c r="BI24" s="8"/>
      <c r="BJ24" s="8"/>
      <c r="BK24" s="8"/>
      <c r="BL24" s="8"/>
      <c r="BM24" s="8"/>
      <c r="BN24" s="8"/>
      <c r="BO24" s="8"/>
      <c r="BP24" s="8"/>
    </row>
    <row r="25" spans="1:68" hidden="1">
      <c r="A25" s="246"/>
      <c r="B25" s="248"/>
      <c r="C25" s="248"/>
      <c r="D25" s="248"/>
      <c r="E25" s="255"/>
      <c r="F25" s="248"/>
      <c r="G25" s="253"/>
      <c r="H25" s="244"/>
      <c r="I25" s="238"/>
      <c r="J25" s="240"/>
      <c r="K25" s="242">
        <f ca="1">IF(NOT(ISERROR(MATCH(J25,_xlfn.ANCHORARRAY(#REF!),0))),#REF!&amp;"Por favor no seleccionar los criterios de impacto",J25)</f>
        <v>0</v>
      </c>
      <c r="L25" s="244"/>
      <c r="M25" s="238"/>
      <c r="N25" s="232"/>
      <c r="O25" s="6">
        <v>5</v>
      </c>
      <c r="P25" s="188"/>
      <c r="Q25" s="177" t="str">
        <f t="shared" si="26"/>
        <v/>
      </c>
      <c r="R25" s="178"/>
      <c r="S25" s="178"/>
      <c r="T25" s="179" t="str">
        <f t="shared" si="23"/>
        <v/>
      </c>
      <c r="U25" s="178"/>
      <c r="V25" s="178"/>
      <c r="W25" s="178"/>
      <c r="X25" s="124" t="str">
        <f t="shared" si="27"/>
        <v/>
      </c>
      <c r="Y25" s="180" t="str">
        <f t="shared" si="1"/>
        <v/>
      </c>
      <c r="Z25" s="181" t="str">
        <f t="shared" si="24"/>
        <v/>
      </c>
      <c r="AA25" s="180" t="str">
        <f t="shared" si="3"/>
        <v/>
      </c>
      <c r="AB25" s="181" t="str">
        <f t="shared" si="28"/>
        <v/>
      </c>
      <c r="AC25" s="182" t="str">
        <f t="shared" ref="AC25:AC26" si="29">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83"/>
      <c r="AE25" s="176"/>
      <c r="AF25" s="189"/>
      <c r="AG25" s="456">
        <v>46022</v>
      </c>
      <c r="AH25" s="185" t="s">
        <v>310</v>
      </c>
      <c r="AI25" s="176"/>
      <c r="AJ25" s="186"/>
      <c r="AK25" s="186"/>
      <c r="AL25" s="186"/>
      <c r="AM25" s="187"/>
      <c r="AN25" s="186"/>
      <c r="AO25" s="186"/>
      <c r="AP25" s="186"/>
      <c r="AQ25" s="186"/>
      <c r="AR25" s="187"/>
      <c r="AS25" s="186"/>
      <c r="AT25" s="186"/>
      <c r="AU25" s="8"/>
      <c r="AV25" s="8"/>
      <c r="AW25" s="8"/>
      <c r="AX25" s="8"/>
      <c r="AY25" s="8"/>
      <c r="AZ25" s="8"/>
      <c r="BA25" s="8"/>
      <c r="BB25" s="8"/>
      <c r="BC25" s="8"/>
      <c r="BD25" s="8"/>
      <c r="BE25" s="8"/>
      <c r="BF25" s="8"/>
      <c r="BG25" s="8"/>
      <c r="BH25" s="8"/>
      <c r="BI25" s="8"/>
      <c r="BJ25" s="8"/>
      <c r="BK25" s="8"/>
      <c r="BL25" s="8"/>
      <c r="BM25" s="8"/>
      <c r="BN25" s="8"/>
      <c r="BO25" s="8"/>
      <c r="BP25" s="8"/>
    </row>
    <row r="26" spans="1:68" hidden="1">
      <c r="A26" s="298"/>
      <c r="B26" s="254"/>
      <c r="C26" s="254"/>
      <c r="D26" s="254"/>
      <c r="E26" s="250"/>
      <c r="F26" s="254"/>
      <c r="G26" s="296"/>
      <c r="H26" s="297"/>
      <c r="I26" s="294"/>
      <c r="J26" s="295"/>
      <c r="K26" s="301">
        <f ca="1">IF(NOT(ISERROR(MATCH(J26,_xlfn.ANCHORARRAY(#REF!),0))),I35&amp;"Por favor no seleccionar los criterios de impacto",J26)</f>
        <v>0</v>
      </c>
      <c r="L26" s="297"/>
      <c r="M26" s="294"/>
      <c r="N26" s="233"/>
      <c r="O26" s="6">
        <v>6</v>
      </c>
      <c r="P26" s="188"/>
      <c r="Q26" s="177" t="str">
        <f t="shared" si="26"/>
        <v/>
      </c>
      <c r="R26" s="178"/>
      <c r="S26" s="178"/>
      <c r="T26" s="179" t="str">
        <f t="shared" si="23"/>
        <v/>
      </c>
      <c r="U26" s="178"/>
      <c r="V26" s="178"/>
      <c r="W26" s="178"/>
      <c r="X26" s="124" t="str">
        <f t="shared" si="27"/>
        <v/>
      </c>
      <c r="Y26" s="180" t="str">
        <f t="shared" si="1"/>
        <v/>
      </c>
      <c r="Z26" s="181" t="str">
        <f t="shared" si="24"/>
        <v/>
      </c>
      <c r="AA26" s="180" t="str">
        <f t="shared" si="3"/>
        <v/>
      </c>
      <c r="AB26" s="181" t="str">
        <f t="shared" si="28"/>
        <v/>
      </c>
      <c r="AC26" s="182" t="str">
        <f t="shared" si="29"/>
        <v/>
      </c>
      <c r="AD26" s="183"/>
      <c r="AE26" s="176"/>
      <c r="AF26" s="189"/>
      <c r="AG26" s="456">
        <v>46022</v>
      </c>
      <c r="AH26" s="185" t="s">
        <v>310</v>
      </c>
      <c r="AI26" s="176"/>
      <c r="AJ26" s="186"/>
      <c r="AK26" s="186"/>
      <c r="AL26" s="186"/>
      <c r="AM26" s="187"/>
      <c r="AN26" s="186"/>
      <c r="AO26" s="186"/>
      <c r="AP26" s="186"/>
      <c r="AQ26" s="186"/>
      <c r="AR26" s="187"/>
      <c r="AS26" s="186"/>
      <c r="AT26" s="186"/>
      <c r="AU26" s="8"/>
      <c r="AV26" s="8"/>
      <c r="AW26" s="8"/>
      <c r="AX26" s="8"/>
      <c r="AY26" s="8"/>
      <c r="AZ26" s="8"/>
      <c r="BA26" s="8"/>
      <c r="BB26" s="8"/>
      <c r="BC26" s="8"/>
      <c r="BD26" s="8"/>
      <c r="BE26" s="8"/>
      <c r="BF26" s="8"/>
      <c r="BG26" s="8"/>
      <c r="BH26" s="8"/>
      <c r="BI26" s="8"/>
      <c r="BJ26" s="8"/>
      <c r="BK26" s="8"/>
      <c r="BL26" s="8"/>
      <c r="BM26" s="8"/>
      <c r="BN26" s="8"/>
      <c r="BO26" s="8"/>
      <c r="BP26" s="8"/>
    </row>
    <row r="27" spans="1:68" ht="181.5">
      <c r="A27" s="256">
        <v>7</v>
      </c>
      <c r="B27" s="160" t="s">
        <v>132</v>
      </c>
      <c r="C27" s="160" t="s">
        <v>214</v>
      </c>
      <c r="D27" s="160" t="s">
        <v>259</v>
      </c>
      <c r="E27" s="158" t="s">
        <v>260</v>
      </c>
      <c r="F27" s="160" t="s">
        <v>123</v>
      </c>
      <c r="G27" s="161">
        <v>4</v>
      </c>
      <c r="H27" s="144" t="str">
        <f>IF(G27&lt;=0,"",IF(G27&lt;=2,"Muy Baja",IF(G27&lt;=24,"Baja",IF(G27&lt;=500,"Media",IF(G27&lt;=5000,"Alta","Muy Alta")))))</f>
        <v>Baja</v>
      </c>
      <c r="I27" s="147">
        <f>IF(H27="","",IF(H27="Muy Baja",0.2,IF(H27="Baja",0.4,IF(H27="Media",0.6,IF(H27="Alta",0.8,IF(H27="Muy Alta",1,))))))</f>
        <v>0.4</v>
      </c>
      <c r="J27" s="170" t="s">
        <v>155</v>
      </c>
      <c r="K27" s="171" t="str">
        <f ca="1">IF(NOT(ISERROR(MATCH(J27,'Tabla Impacto'!$B$221:$B$223,0))),'Tabla Impacto'!$F$223&amp;"Por favor no seleccionar los criterios de impacto(Afectación Económica o presupuestal y Pérdida Reputacional)",J27)</f>
        <v xml:space="preserve">     El riesgo afecta la imagen de de la entidad con efecto publicitario sostenido a nivel de sector administrativo, nivel departamental o municipal</v>
      </c>
      <c r="L27" s="150" t="str">
        <f ca="1">IF(OR(K27='Tabla Impacto'!$C$11,K27='Tabla Impacto'!$D$11),"Leve",IF(OR(K27='Tabla Impacto'!$C$12,K27='Tabla Impacto'!$D$12),"Menor",IF(OR(K27='Tabla Impacto'!$C$13,K27='Tabla Impacto'!$D$13),"Moderado",IF(OR(K27='Tabla Impacto'!$C$14,K27='Tabla Impacto'!$D$14),"Mayor",IF(OR(K27='Tabla Impacto'!$C$15,K27='Tabla Impacto'!$D$15),"Catastrófico","")))))</f>
        <v>Mayor</v>
      </c>
      <c r="M27" s="147">
        <f ca="1">IF(L27="","",IF(L27="Leve",0.2,IF(L27="Menor",0.4,IF(L27="Moderado",0.6,IF(L27="Mayor",0.8,IF(L27="Catastrófico",1,))))))</f>
        <v>0.8</v>
      </c>
      <c r="N27" s="153" t="str">
        <f ca="1">IF(OR(AND(H27="Muy Baja",L27="Leve"),AND(H27="Muy Baja",L27="Menor"),AND(H27="Baja",L27="Leve")),"Bajo",IF(OR(AND(H27="Muy baja",L27="Moderado"),AND(H27="Baja",L27="Menor"),AND(H27="Baja",L27="Moderado"),AND(H27="Media",L27="Leve"),AND(H27="Media",L27="Menor"),AND(H27="Media",L27="Moderado"),AND(H27="Alta",L27="Leve"),AND(H27="Alta",L27="Menor")),"Moderado",IF(OR(AND(H27="Muy Baja",L27="Mayor"),AND(H27="Baja",L27="Mayor"),AND(H27="Media",L27="Mayor"),AND(H27="Alta",L27="Moderado"),AND(H27="Alta",L27="Mayor"),AND(H27="Muy Alta",L27="Leve"),AND(H27="Muy Alta",L27="Menor"),AND(H27="Muy Alta",L27="Moderado"),AND(H27="Muy Alta",L27="Mayor")),"Alto",IF(OR(AND(H27="Muy Baja",L27="Catastrófico"),AND(H27="Baja",L27="Catastrófico"),AND(H27="Media",L27="Catastrófico"),AND(H27="Alta",L27="Catastrófico"),AND(H27="Muy Alta",L27="Catastrófico")),"Extremo",""))))</f>
        <v>Alto</v>
      </c>
      <c r="O27" s="6">
        <v>1</v>
      </c>
      <c r="P27" s="188" t="s">
        <v>261</v>
      </c>
      <c r="Q27" s="177" t="s">
        <v>4</v>
      </c>
      <c r="R27" s="178" t="s">
        <v>14</v>
      </c>
      <c r="S27" s="178" t="s">
        <v>9</v>
      </c>
      <c r="T27" s="179" t="str">
        <f>IF(AND(R27="Preventivo",S27="Automático"),"50%",IF(AND(R27="Preventivo",S27="Manual"),"40%",IF(AND(R27="Detectivo",S27="Automático"),"40%",IF(AND(R27="Detectivo",S27="Manual"),"30%",IF(AND(R27="Correctivo",S27="Automático"),"35%",IF(AND(R27="Correctivo",S27="Manual"),"25%",""))))))</f>
        <v>40%</v>
      </c>
      <c r="U27" s="178" t="s">
        <v>19</v>
      </c>
      <c r="V27" s="178" t="s">
        <v>22</v>
      </c>
      <c r="W27" s="178" t="s">
        <v>119</v>
      </c>
      <c r="X27" s="124">
        <f>IFERROR(IF(Q27="Probabilidad",(I27-(+I27*T27)),IF(Q27="Impacto",I27,"")),"")</f>
        <v>0.24</v>
      </c>
      <c r="Y27" s="180" t="str">
        <f t="shared" ref="Y27" si="30">IFERROR(IF(X27="","",IF(X27&lt;=0.2,"Muy Baja",IF(X27&lt;=0.4,"Baja",IF(X27&lt;=0.6,"Media",IF(X27&lt;=0.8,"Alta","Muy Alta"))))),"")</f>
        <v>Baja</v>
      </c>
      <c r="Z27" s="181">
        <f t="shared" ref="Z27" si="31">+X27</f>
        <v>0.24</v>
      </c>
      <c r="AA27" s="180" t="str">
        <f ca="1">IFERROR(IF(AB27="","",IF(AB27&lt;=0.2,"Leve",IF(AB27&lt;=0.4,"Menor",IF(AB27&lt;=0.6,"Moderado",IF(AB27&lt;=0.8,"Mayor","Catastrófico"))))),"")</f>
        <v>Mayor</v>
      </c>
      <c r="AB27" s="181">
        <f ca="1">IFERROR(IF(Q27="Impacto",(M27-(+M27*T27)),IF(Q27="Probabilidad",M27,"")),"")</f>
        <v>0.8</v>
      </c>
      <c r="AC27" s="182" t="str">
        <f t="shared" ref="AC27" ca="1" si="32">IFERROR(IF(OR(AND(Y27="Muy Baja",AA27="Leve"),AND(Y27="Muy Baja",AA27="Menor"),AND(Y27="Baja",AA27="Leve")),"Bajo",IF(OR(AND(Y27="Muy baja",AA27="Moderado"),AND(Y27="Baja",AA27="Menor"),AND(Y27="Baja",AA27="Moderado"),AND(Y27="Media",AA27="Leve"),AND(Y27="Media",AA27="Menor"),AND(Y27="Media",AA27="Moderado"),AND(Y27="Alta",AA27="Leve"),AND(Y27="Alta",AA27="Menor")),"Moderado",IF(OR(AND(Y27="Muy Baja",AA27="Mayor"),AND(Y27="Baja",AA27="Mayor"),AND(Y27="Media",AA27="Mayor"),AND(Y27="Alta",AA27="Moderado"),AND(Y27="Alta",AA27="Mayor"),AND(Y27="Muy Alta",AA27="Leve"),AND(Y27="Muy Alta",AA27="Menor"),AND(Y27="Muy Alta",AA27="Moderado"),AND(Y27="Muy Alta",AA27="Mayor")),"Alto",IF(OR(AND(Y27="Muy Baja",AA27="Catastrófico"),AND(Y27="Baja",AA27="Catastrófico"),AND(Y27="Media",AA27="Catastrófico"),AND(Y27="Alta",AA27="Catastrófico"),AND(Y27="Muy Alta",AA27="Catastrófico")),"Extremo","")))),"")</f>
        <v>Alto</v>
      </c>
      <c r="AD27" s="183" t="s">
        <v>136</v>
      </c>
      <c r="AE27" s="176" t="s">
        <v>274</v>
      </c>
      <c r="AF27" s="176" t="s">
        <v>269</v>
      </c>
      <c r="AG27" s="456">
        <v>46022</v>
      </c>
      <c r="AH27" s="185" t="s">
        <v>310</v>
      </c>
      <c r="AI27" s="176" t="s">
        <v>303</v>
      </c>
      <c r="AJ27" s="186" t="s">
        <v>41</v>
      </c>
      <c r="AK27" s="186"/>
      <c r="AL27" s="186"/>
      <c r="AM27" s="187" t="e">
        <f t="shared" si="5"/>
        <v>#DIV/0!</v>
      </c>
      <c r="AN27" s="186"/>
      <c r="AO27" s="186"/>
      <c r="AP27" s="186"/>
      <c r="AQ27" s="186"/>
      <c r="AR27" s="187" t="e">
        <f t="shared" si="6"/>
        <v>#DIV/0!</v>
      </c>
      <c r="AS27" s="186"/>
      <c r="AT27" s="186"/>
      <c r="AU27" s="8"/>
      <c r="AV27" s="8"/>
      <c r="AW27" s="8"/>
      <c r="AX27" s="8"/>
      <c r="AY27" s="8"/>
      <c r="AZ27" s="8"/>
      <c r="BA27" s="8"/>
      <c r="BB27" s="8"/>
      <c r="BC27" s="8"/>
      <c r="BD27" s="8"/>
      <c r="BE27" s="8"/>
      <c r="BF27" s="8"/>
      <c r="BG27" s="8"/>
      <c r="BH27" s="8"/>
      <c r="BI27" s="8"/>
      <c r="BJ27" s="8"/>
      <c r="BK27" s="8"/>
      <c r="BL27" s="8"/>
      <c r="BM27" s="8"/>
      <c r="BN27" s="8"/>
      <c r="BO27" s="8"/>
      <c r="BP27" s="8"/>
    </row>
    <row r="28" spans="1:68" hidden="1">
      <c r="A28" s="246"/>
      <c r="B28" s="162"/>
      <c r="C28" s="162"/>
      <c r="D28" s="162"/>
      <c r="E28" s="163"/>
      <c r="F28" s="162"/>
      <c r="G28" s="164"/>
      <c r="H28" s="145"/>
      <c r="I28" s="148"/>
      <c r="J28" s="172"/>
      <c r="K28" s="173"/>
      <c r="L28" s="151"/>
      <c r="M28" s="148"/>
      <c r="N28" s="154"/>
      <c r="O28" s="6"/>
      <c r="P28" s="188"/>
      <c r="Q28" s="177"/>
      <c r="R28" s="178"/>
      <c r="S28" s="178"/>
      <c r="T28" s="179"/>
      <c r="U28" s="178"/>
      <c r="V28" s="178"/>
      <c r="W28" s="178"/>
      <c r="X28" s="124"/>
      <c r="Y28" s="180"/>
      <c r="Z28" s="181"/>
      <c r="AA28" s="180"/>
      <c r="AB28" s="181"/>
      <c r="AC28" s="182"/>
      <c r="AD28" s="183"/>
      <c r="AE28" s="176"/>
      <c r="AF28" s="189"/>
      <c r="AG28" s="456">
        <v>46022</v>
      </c>
      <c r="AH28" s="185" t="s">
        <v>310</v>
      </c>
      <c r="AI28" s="176"/>
      <c r="AJ28" s="186"/>
      <c r="AK28" s="186"/>
      <c r="AL28" s="186"/>
      <c r="AM28" s="187"/>
      <c r="AN28" s="186"/>
      <c r="AO28" s="186"/>
      <c r="AP28" s="186"/>
      <c r="AQ28" s="186"/>
      <c r="AR28" s="187"/>
      <c r="AS28" s="186"/>
      <c r="AT28" s="186"/>
      <c r="AU28" s="8"/>
      <c r="AV28" s="8"/>
      <c r="AW28" s="8"/>
      <c r="AX28" s="8"/>
      <c r="AY28" s="8"/>
      <c r="AZ28" s="8"/>
      <c r="BA28" s="8"/>
      <c r="BB28" s="8"/>
      <c r="BC28" s="8"/>
      <c r="BD28" s="8"/>
      <c r="BE28" s="8"/>
      <c r="BF28" s="8"/>
      <c r="BG28" s="8"/>
      <c r="BH28" s="8"/>
      <c r="BI28" s="8"/>
      <c r="BJ28" s="8"/>
      <c r="BK28" s="8"/>
      <c r="BL28" s="8"/>
      <c r="BM28" s="8"/>
      <c r="BN28" s="8"/>
      <c r="BO28" s="8"/>
      <c r="BP28" s="8"/>
    </row>
    <row r="29" spans="1:68" hidden="1">
      <c r="A29" s="246"/>
      <c r="B29" s="162"/>
      <c r="C29" s="162"/>
      <c r="D29" s="162"/>
      <c r="E29" s="163"/>
      <c r="F29" s="162"/>
      <c r="G29" s="164"/>
      <c r="H29" s="145"/>
      <c r="I29" s="148"/>
      <c r="J29" s="172"/>
      <c r="K29" s="173"/>
      <c r="L29" s="151"/>
      <c r="M29" s="148"/>
      <c r="N29" s="154"/>
      <c r="O29" s="6"/>
      <c r="P29" s="188"/>
      <c r="Q29" s="177"/>
      <c r="R29" s="178"/>
      <c r="S29" s="178"/>
      <c r="T29" s="179"/>
      <c r="U29" s="178"/>
      <c r="V29" s="178"/>
      <c r="W29" s="178"/>
      <c r="X29" s="124"/>
      <c r="Y29" s="180"/>
      <c r="Z29" s="181"/>
      <c r="AA29" s="180"/>
      <c r="AB29" s="181"/>
      <c r="AC29" s="182"/>
      <c r="AD29" s="183"/>
      <c r="AE29" s="176"/>
      <c r="AF29" s="189"/>
      <c r="AG29" s="456">
        <v>46022</v>
      </c>
      <c r="AH29" s="185" t="s">
        <v>310</v>
      </c>
      <c r="AI29" s="176"/>
      <c r="AJ29" s="186"/>
      <c r="AK29" s="186"/>
      <c r="AL29" s="186"/>
      <c r="AM29" s="187"/>
      <c r="AN29" s="186"/>
      <c r="AO29" s="186"/>
      <c r="AP29" s="186"/>
      <c r="AQ29" s="186"/>
      <c r="AR29" s="187"/>
      <c r="AS29" s="186"/>
      <c r="AT29" s="186"/>
      <c r="AU29" s="8"/>
      <c r="AV29" s="8"/>
      <c r="AW29" s="8"/>
      <c r="AX29" s="8"/>
      <c r="AY29" s="8"/>
      <c r="AZ29" s="8"/>
      <c r="BA29" s="8"/>
      <c r="BB29" s="8"/>
      <c r="BC29" s="8"/>
      <c r="BD29" s="8"/>
      <c r="BE29" s="8"/>
      <c r="BF29" s="8"/>
      <c r="BG29" s="8"/>
      <c r="BH29" s="8"/>
      <c r="BI29" s="8"/>
      <c r="BJ29" s="8"/>
      <c r="BK29" s="8"/>
      <c r="BL29" s="8"/>
      <c r="BM29" s="8"/>
      <c r="BN29" s="8"/>
      <c r="BO29" s="8"/>
      <c r="BP29" s="8"/>
    </row>
    <row r="30" spans="1:68" hidden="1">
      <c r="A30" s="246"/>
      <c r="B30" s="162"/>
      <c r="C30" s="162"/>
      <c r="D30" s="162"/>
      <c r="E30" s="163"/>
      <c r="F30" s="162"/>
      <c r="G30" s="164"/>
      <c r="H30" s="145"/>
      <c r="I30" s="148"/>
      <c r="J30" s="172"/>
      <c r="K30" s="173"/>
      <c r="L30" s="151"/>
      <c r="M30" s="148"/>
      <c r="N30" s="154"/>
      <c r="O30" s="6"/>
      <c r="P30" s="188"/>
      <c r="Q30" s="177"/>
      <c r="R30" s="178"/>
      <c r="S30" s="178"/>
      <c r="T30" s="179"/>
      <c r="U30" s="178"/>
      <c r="V30" s="178"/>
      <c r="W30" s="178"/>
      <c r="X30" s="124"/>
      <c r="Y30" s="180"/>
      <c r="Z30" s="181"/>
      <c r="AA30" s="180"/>
      <c r="AB30" s="181"/>
      <c r="AC30" s="182"/>
      <c r="AD30" s="183"/>
      <c r="AE30" s="176"/>
      <c r="AF30" s="189"/>
      <c r="AG30" s="456">
        <v>46022</v>
      </c>
      <c r="AH30" s="185" t="s">
        <v>310</v>
      </c>
      <c r="AI30" s="176"/>
      <c r="AJ30" s="186"/>
      <c r="AK30" s="186"/>
      <c r="AL30" s="186"/>
      <c r="AM30" s="187"/>
      <c r="AN30" s="186"/>
      <c r="AO30" s="186"/>
      <c r="AP30" s="186"/>
      <c r="AQ30" s="186"/>
      <c r="AR30" s="187"/>
      <c r="AS30" s="186"/>
      <c r="AT30" s="186"/>
      <c r="AU30" s="8"/>
      <c r="AV30" s="8"/>
      <c r="AW30" s="8"/>
      <c r="AX30" s="8"/>
      <c r="AY30" s="8"/>
      <c r="AZ30" s="8"/>
      <c r="BA30" s="8"/>
      <c r="BB30" s="8"/>
      <c r="BC30" s="8"/>
      <c r="BD30" s="8"/>
      <c r="BE30" s="8"/>
      <c r="BF30" s="8"/>
      <c r="BG30" s="8"/>
      <c r="BH30" s="8"/>
      <c r="BI30" s="8"/>
      <c r="BJ30" s="8"/>
      <c r="BK30" s="8"/>
      <c r="BL30" s="8"/>
      <c r="BM30" s="8"/>
      <c r="BN30" s="8"/>
      <c r="BO30" s="8"/>
      <c r="BP30" s="8"/>
    </row>
    <row r="31" spans="1:68" hidden="1">
      <c r="A31" s="246"/>
      <c r="B31" s="165"/>
      <c r="C31" s="162"/>
      <c r="D31" s="162"/>
      <c r="E31" s="163"/>
      <c r="F31" s="165"/>
      <c r="G31" s="166"/>
      <c r="H31" s="146"/>
      <c r="I31" s="149"/>
      <c r="J31" s="174"/>
      <c r="K31" s="175"/>
      <c r="L31" s="152"/>
      <c r="M31" s="149"/>
      <c r="N31" s="155"/>
      <c r="O31" s="6"/>
      <c r="P31" s="188"/>
      <c r="Q31" s="177"/>
      <c r="R31" s="178"/>
      <c r="S31" s="178"/>
      <c r="T31" s="179"/>
      <c r="U31" s="178"/>
      <c r="V31" s="178"/>
      <c r="W31" s="178"/>
      <c r="X31" s="124"/>
      <c r="Y31" s="180"/>
      <c r="Z31" s="181"/>
      <c r="AA31" s="180"/>
      <c r="AB31" s="181"/>
      <c r="AC31" s="182"/>
      <c r="AD31" s="183"/>
      <c r="AE31" s="176"/>
      <c r="AF31" s="189"/>
      <c r="AG31" s="456">
        <v>46022</v>
      </c>
      <c r="AH31" s="185" t="s">
        <v>310</v>
      </c>
      <c r="AI31" s="176"/>
      <c r="AJ31" s="186"/>
      <c r="AK31" s="186"/>
      <c r="AL31" s="186"/>
      <c r="AM31" s="187"/>
      <c r="AN31" s="186"/>
      <c r="AO31" s="186"/>
      <c r="AP31" s="186"/>
      <c r="AQ31" s="186"/>
      <c r="AR31" s="187"/>
      <c r="AS31" s="186"/>
      <c r="AT31" s="186"/>
      <c r="AU31" s="8"/>
      <c r="AV31" s="8"/>
      <c r="AW31" s="8"/>
      <c r="AX31" s="8"/>
      <c r="AY31" s="8"/>
      <c r="AZ31" s="8"/>
      <c r="BA31" s="8"/>
      <c r="BB31" s="8"/>
      <c r="BC31" s="8"/>
      <c r="BD31" s="8"/>
      <c r="BE31" s="8"/>
      <c r="BF31" s="8"/>
      <c r="BG31" s="8"/>
      <c r="BH31" s="8"/>
      <c r="BI31" s="8"/>
      <c r="BJ31" s="8"/>
      <c r="BK31" s="8"/>
      <c r="BL31" s="8"/>
      <c r="BM31" s="8"/>
      <c r="BN31" s="8"/>
      <c r="BO31" s="8"/>
      <c r="BP31" s="8"/>
    </row>
    <row r="32" spans="1:68" ht="147" customHeight="1">
      <c r="A32" s="246">
        <v>8</v>
      </c>
      <c r="B32" s="247" t="s">
        <v>132</v>
      </c>
      <c r="C32" s="247" t="s">
        <v>262</v>
      </c>
      <c r="D32" s="247" t="s">
        <v>263</v>
      </c>
      <c r="E32" s="249" t="s">
        <v>285</v>
      </c>
      <c r="F32" s="251" t="s">
        <v>123</v>
      </c>
      <c r="G32" s="253">
        <v>365</v>
      </c>
      <c r="H32" s="243" t="str">
        <f>IF(G32&lt;=0,"",IF(G32&lt;=2,"Muy Baja",IF(G32&lt;=24,"Baja",IF(G32&lt;=500,"Media",IF(G32&lt;=5000,"Alta","Muy Alta")))))</f>
        <v>Media</v>
      </c>
      <c r="I32" s="237">
        <f>IF(H32="","",IF(H32="Muy Baja",0.2,IF(H32="Baja",0.4,IF(H32="Media",0.6,IF(H32="Alta",0.8,IF(H32="Muy Alta",1,))))))</f>
        <v>0.6</v>
      </c>
      <c r="J32" s="239" t="s">
        <v>155</v>
      </c>
      <c r="K32" s="241" t="str">
        <f ca="1">IF(NOT(ISERROR(MATCH(J32,'Tabla Impacto'!$B$221:$B$223,0))),'Tabla Impacto'!$F$223&amp;"Por favor no seleccionar los criterios de impacto(Afectación Económica o presupuestal y Pérdida Reputacional)",J32)</f>
        <v xml:space="preserve">     El riesgo afecta la imagen de de la entidad con efecto publicitario sostenido a nivel de sector administrativo, nivel departamental o municipal</v>
      </c>
      <c r="L32" s="299" t="str">
        <f ca="1">IF(OR(K32='Tabla Impacto'!$C$11,K32='Tabla Impacto'!$D$11),"Leve",IF(OR(K32='Tabla Impacto'!$C$12,K32='Tabla Impacto'!$D$12),"Menor",IF(OR(K32='Tabla Impacto'!$C$13,K32='Tabla Impacto'!$D$13),"Moderado",IF(OR(K32='Tabla Impacto'!$C$14,K32='Tabla Impacto'!$D$14),"Mayor",IF(OR(K32='Tabla Impacto'!$C$15,K32='Tabla Impacto'!$D$15),"Catastrófico","")))))</f>
        <v>Mayor</v>
      </c>
      <c r="M32" s="237">
        <f ca="1">IF(L32="","",IF(L32="Leve",0.2,IF(L32="Menor",0.4,IF(L32="Moderado",0.6,IF(L32="Mayor",0.8,IF(L32="Catastrófico",1,))))))</f>
        <v>0.8</v>
      </c>
      <c r="N32" s="231" t="str">
        <f ca="1">IF(OR(AND(H32="Muy Baja",L32="Leve"),AND(H32="Muy Baja",L32="Menor"),AND(H32="Baja",L32="Leve")),"Bajo",IF(OR(AND(H32="Muy baja",L32="Moderado"),AND(H32="Baja",L32="Menor"),AND(H32="Baja",L32="Moderado"),AND(H32="Media",L32="Leve"),AND(H32="Media",L32="Menor"),AND(H32="Media",L32="Moderado"),AND(H32="Alta",L32="Leve"),AND(H32="Alta",L32="Menor")),"Moderado",IF(OR(AND(H32="Muy Baja",L32="Mayor"),AND(H32="Baja",L32="Mayor"),AND(H32="Media",L32="Mayor"),AND(H32="Alta",L32="Moderado"),AND(H32="Alta",L32="Mayor"),AND(H32="Muy Alta",L32="Leve"),AND(H32="Muy Alta",L32="Menor"),AND(H32="Muy Alta",L32="Moderado"),AND(H32="Muy Alta",L32="Mayor")),"Alto",IF(OR(AND(H32="Muy Baja",L32="Catastrófico"),AND(H32="Baja",L32="Catastrófico"),AND(H32="Media",L32="Catastrófico"),AND(H32="Alta",L32="Catastrófico"),AND(H32="Muy Alta",L32="Catastrófico")),"Extremo",""))))</f>
        <v>Alto</v>
      </c>
      <c r="O32" s="6">
        <v>1</v>
      </c>
      <c r="P32" s="176" t="s">
        <v>286</v>
      </c>
      <c r="Q32" s="177" t="str">
        <f t="shared" ref="Q32" si="33">IF(OR(R32="Preventivo",R32="Detectivo"),"Probabilidad",IF(R32="Correctivo","Impacto",""))</f>
        <v>Probabilidad</v>
      </c>
      <c r="R32" s="178" t="s">
        <v>14</v>
      </c>
      <c r="S32" s="178" t="s">
        <v>9</v>
      </c>
      <c r="T32" s="179" t="str">
        <f>IF(AND(R32="Preventivo",S32="Automático"),"50%",IF(AND(R32="Preventivo",S32="Manual"),"40%",IF(AND(R32="Detectivo",S32="Automático"),"40%",IF(AND(R32="Detectivo",S32="Manual"),"30%",IF(AND(R32="Correctivo",S32="Automático"),"35%",IF(AND(R32="Correctivo",S32="Manual"),"25%",""))))))</f>
        <v>40%</v>
      </c>
      <c r="U32" s="178" t="s">
        <v>19</v>
      </c>
      <c r="V32" s="178" t="s">
        <v>22</v>
      </c>
      <c r="W32" s="178" t="s">
        <v>119</v>
      </c>
      <c r="X32" s="124">
        <f>IFERROR(IF(Q32="Probabilidad",(I32-(+I32*T32)),IF(Q32="Impacto",I32,"")),"")</f>
        <v>0.36</v>
      </c>
      <c r="Y32" s="180" t="str">
        <f t="shared" ref="Y32" si="34">IFERROR(IF(X32="","",IF(X32&lt;=0.2,"Muy Baja",IF(X32&lt;=0.4,"Baja",IF(X32&lt;=0.6,"Media",IF(X32&lt;=0.8,"Alta","Muy Alta"))))),"")</f>
        <v>Baja</v>
      </c>
      <c r="Z32" s="181">
        <f t="shared" ref="Z32" si="35">+X32</f>
        <v>0.36</v>
      </c>
      <c r="AA32" s="180" t="str">
        <f ca="1">IFERROR(IF(AB32="","",IF(AB32&lt;=0.2,"Leve",IF(AB32&lt;=0.4,"Menor",IF(AB32&lt;=0.6,"Moderado",IF(AB32&lt;=0.8,"Mayor","Catastrófico"))))),"")</f>
        <v>Mayor</v>
      </c>
      <c r="AB32" s="181">
        <f ca="1">IFERROR(IF(Q32="Impacto",(M32-(+M32*T32)),IF(Q32="Probabilidad",M32,"")),"")</f>
        <v>0.8</v>
      </c>
      <c r="AC32" s="182" t="str">
        <f t="shared" ref="AC32:AC33" ca="1" si="36">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Alto</v>
      </c>
      <c r="AD32" s="183" t="s">
        <v>136</v>
      </c>
      <c r="AE32" s="176" t="s">
        <v>288</v>
      </c>
      <c r="AF32" s="176" t="s">
        <v>269</v>
      </c>
      <c r="AG32" s="456">
        <v>46022</v>
      </c>
      <c r="AH32" s="185" t="s">
        <v>310</v>
      </c>
      <c r="AI32" s="176" t="s">
        <v>290</v>
      </c>
      <c r="AJ32" s="186" t="s">
        <v>41</v>
      </c>
      <c r="AK32" s="186"/>
      <c r="AL32" s="186"/>
      <c r="AM32" s="187" t="e">
        <f t="shared" si="5"/>
        <v>#DIV/0!</v>
      </c>
      <c r="AN32" s="186"/>
      <c r="AO32" s="186"/>
      <c r="AP32" s="186"/>
      <c r="AQ32" s="186"/>
      <c r="AR32" s="187" t="e">
        <f t="shared" si="6"/>
        <v>#DIV/0!</v>
      </c>
      <c r="AS32" s="186"/>
      <c r="AT32" s="186"/>
      <c r="AU32" s="8"/>
      <c r="AV32" s="8"/>
      <c r="AW32" s="8"/>
      <c r="AX32" s="8"/>
      <c r="AY32" s="8"/>
      <c r="AZ32" s="8"/>
      <c r="BA32" s="8"/>
      <c r="BB32" s="8"/>
      <c r="BC32" s="8"/>
      <c r="BD32" s="8"/>
      <c r="BE32" s="8"/>
      <c r="BF32" s="8"/>
      <c r="BG32" s="8"/>
      <c r="BH32" s="8"/>
      <c r="BI32" s="8"/>
      <c r="BJ32" s="8"/>
      <c r="BK32" s="8"/>
      <c r="BL32" s="8"/>
      <c r="BM32" s="8"/>
      <c r="BN32" s="8"/>
      <c r="BO32" s="8"/>
      <c r="BP32" s="8"/>
    </row>
    <row r="33" spans="1:68" ht="255" customHeight="1">
      <c r="A33" s="246"/>
      <c r="B33" s="248"/>
      <c r="C33" s="248"/>
      <c r="D33" s="248"/>
      <c r="E33" s="250"/>
      <c r="F33" s="252"/>
      <c r="G33" s="253"/>
      <c r="H33" s="244"/>
      <c r="I33" s="238"/>
      <c r="J33" s="240"/>
      <c r="K33" s="242">
        <f ca="1">IF(NOT(ISERROR(MATCH(J33,_xlfn.ANCHORARRAY(E53),0))),I55&amp;"Por favor no seleccionar los criterios de impacto",J33)</f>
        <v>0</v>
      </c>
      <c r="L33" s="300"/>
      <c r="M33" s="238"/>
      <c r="N33" s="232"/>
      <c r="O33" s="6">
        <v>2</v>
      </c>
      <c r="P33" s="176" t="s">
        <v>287</v>
      </c>
      <c r="Q33" s="177" t="s">
        <v>4</v>
      </c>
      <c r="R33" s="178" t="s">
        <v>14</v>
      </c>
      <c r="S33" s="178" t="s">
        <v>10</v>
      </c>
      <c r="T33" s="179" t="str">
        <f t="shared" ref="T33" si="37">IF(AND(R33="Preventivo",S33="Automático"),"50%",IF(AND(R33="Preventivo",S33="Manual"),"40%",IF(AND(R33="Detectivo",S33="Automático"),"40%",IF(AND(R33="Detectivo",S33="Manual"),"30%",IF(AND(R33="Correctivo",S33="Automático"),"35%",IF(AND(R33="Correctivo",S33="Manual"),"25%",""))))))</f>
        <v>50%</v>
      </c>
      <c r="U33" s="178" t="s">
        <v>19</v>
      </c>
      <c r="V33" s="178" t="s">
        <v>22</v>
      </c>
      <c r="W33" s="178" t="s">
        <v>119</v>
      </c>
      <c r="X33" s="124">
        <f>IFERROR(IF(AND(Q32="Probabilidad",Q33="Probabilidad"),(Z32-(+Z32*T33)),IF(Q33="Probabilidad",(I32-(+I32*T33)),IF(Q33="Impacto",Z32,""))),"")</f>
        <v>0.18</v>
      </c>
      <c r="Y33" s="180" t="str">
        <f t="shared" ref="Y33:Y34" si="38">IFERROR(IF(X33="","",IF(X33&lt;=0.2,"Muy Baja",IF(X33&lt;=0.4,"Baja",IF(X33&lt;=0.6,"Media",IF(X33&lt;=0.8,"Alta","Muy Alta"))))),"")</f>
        <v>Muy Baja</v>
      </c>
      <c r="Z33" s="181">
        <f t="shared" ref="Z33:Z34" si="39">+X33</f>
        <v>0.18</v>
      </c>
      <c r="AA33" s="180" t="str">
        <f t="shared" ref="AA33" ca="1" si="40">IFERROR(IF(AB33="","",IF(AB33&lt;=0.2,"Leve",IF(AB33&lt;=0.4,"Menor",IF(AB33&lt;=0.6,"Moderado",IF(AB33&lt;=0.8,"Mayor","Catastrófico"))))),"")</f>
        <v>Mayor</v>
      </c>
      <c r="AB33" s="181">
        <f ca="1">IFERROR(IF(AND(Q32="Impacto",Q33="Impacto"),(AB27-(+AB27*T33)),IF(Q33="Impacto",(#REF!-(+#REF!*T33)),IF(Q33="Probabilidad",AB27,""))),"")</f>
        <v>0.8</v>
      </c>
      <c r="AC33" s="182" t="str">
        <f t="shared" ca="1" si="36"/>
        <v>Alto</v>
      </c>
      <c r="AD33" s="183" t="s">
        <v>136</v>
      </c>
      <c r="AE33" s="176" t="s">
        <v>289</v>
      </c>
      <c r="AF33" s="176" t="s">
        <v>269</v>
      </c>
      <c r="AG33" s="456">
        <v>46022</v>
      </c>
      <c r="AH33" s="185" t="s">
        <v>310</v>
      </c>
      <c r="AI33" s="176" t="s">
        <v>291</v>
      </c>
      <c r="AJ33" s="190"/>
      <c r="AK33" s="186"/>
      <c r="AL33" s="186"/>
      <c r="AM33" s="187" t="e">
        <f t="shared" si="5"/>
        <v>#DIV/0!</v>
      </c>
      <c r="AN33" s="186"/>
      <c r="AO33" s="186"/>
      <c r="AP33" s="186"/>
      <c r="AQ33" s="186"/>
      <c r="AR33" s="187" t="e">
        <f t="shared" si="6"/>
        <v>#DIV/0!</v>
      </c>
      <c r="AS33" s="186"/>
      <c r="AT33" s="186"/>
      <c r="AU33" s="8"/>
      <c r="AV33" s="8"/>
      <c r="AW33" s="8"/>
      <c r="AX33" s="8"/>
      <c r="AY33" s="8"/>
      <c r="AZ33" s="8"/>
      <c r="BA33" s="8"/>
      <c r="BB33" s="8"/>
      <c r="BC33" s="8"/>
      <c r="BD33" s="8"/>
      <c r="BE33" s="8"/>
      <c r="BF33" s="8"/>
      <c r="BG33" s="8"/>
      <c r="BH33" s="8"/>
      <c r="BI33" s="8"/>
      <c r="BJ33" s="8"/>
      <c r="BK33" s="8"/>
      <c r="BL33" s="8"/>
      <c r="BM33" s="8"/>
      <c r="BN33" s="8"/>
      <c r="BO33" s="8"/>
      <c r="BP33" s="8"/>
    </row>
    <row r="34" spans="1:68" ht="256.5" customHeight="1">
      <c r="A34" s="156">
        <v>9</v>
      </c>
      <c r="B34" s="157" t="s">
        <v>132</v>
      </c>
      <c r="C34" s="157" t="s">
        <v>213</v>
      </c>
      <c r="D34" s="157" t="s">
        <v>305</v>
      </c>
      <c r="E34" s="158" t="s">
        <v>281</v>
      </c>
      <c r="F34" s="157" t="s">
        <v>123</v>
      </c>
      <c r="G34" s="167">
        <v>365</v>
      </c>
      <c r="H34" s="139" t="str">
        <f>IF(G34&lt;=0,"",IF(G34&lt;=2,"Muy Baja",IF(G34&lt;=24,"Baja",IF(G34&lt;=500,"Media",IF(G34&lt;=5000,"Alta","Muy Alta")))))</f>
        <v>Media</v>
      </c>
      <c r="I34" s="140">
        <f>IF(H34="","",IF(H34="Muy Baja",0.2,IF(H34="Baja",0.4,IF(H34="Media",0.6,IF(H34="Alta",0.8,IF(H34="Muy Alta",1,))))))</f>
        <v>0.6</v>
      </c>
      <c r="J34" s="168" t="s">
        <v>155</v>
      </c>
      <c r="K34" s="169" t="str">
        <f ca="1">IF(NOT(ISERROR(MATCH(J34,'Tabla Impacto'!$B$221:$B$223,0))),'Tabla Impacto'!$F$223&amp;"Por favor no seleccionar los criterios de impacto(Afectación Económica o presupuestal y Pérdida Reputacional)",J34)</f>
        <v xml:space="preserve">     El riesgo afecta la imagen de de la entidad con efecto publicitario sostenido a nivel de sector administrativo, nivel departamental o municipal</v>
      </c>
      <c r="L34" s="142" t="str">
        <f ca="1">IF(OR(K34='Tabla Impacto'!$C$11,K34='Tabla Impacto'!$D$11),"Leve",IF(OR(K34='Tabla Impacto'!$C$12,K34='Tabla Impacto'!$D$12),"Menor",IF(OR(K34='Tabla Impacto'!$C$13,K34='Tabla Impacto'!$D$13),"Moderado",IF(OR(K34='Tabla Impacto'!$C$14,K34='Tabla Impacto'!$D$14),"Mayor",IF(OR(K34='Tabla Impacto'!$C$15,K34='Tabla Impacto'!$D$15),"Catastrófico","")))))</f>
        <v>Mayor</v>
      </c>
      <c r="M34" s="140">
        <f ca="1">IF(L34="","",IF(L34="Leve",0.2,IF(L34="Menor",0.4,IF(L34="Moderado",0.6,IF(L34="Mayor",0.8,IF(L34="Catastrófico",1,))))))</f>
        <v>0.8</v>
      </c>
      <c r="N34" s="141"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Alto</v>
      </c>
      <c r="O34" s="6">
        <v>1</v>
      </c>
      <c r="P34" s="176" t="s">
        <v>264</v>
      </c>
      <c r="Q34" s="177" t="str">
        <f t="shared" ref="Q34" si="41">IF(OR(R34="Preventivo",R34="Detectivo"),"Probabilidad",IF(R34="Correctivo","Impacto",""))</f>
        <v>Probabilidad</v>
      </c>
      <c r="R34" s="178" t="s">
        <v>14</v>
      </c>
      <c r="S34" s="178" t="s">
        <v>10</v>
      </c>
      <c r="T34" s="179" t="str">
        <f>IF(AND(R34="Preventivo",S34="Automático"),"50%",IF(AND(R34="Preventivo",S34="Manual"),"40%",IF(AND(R34="Detectivo",S34="Automático"),"40%",IF(AND(R34="Detectivo",S34="Manual"),"30%",IF(AND(R34="Correctivo",S34="Automático"),"35%",IF(AND(R34="Correctivo",S34="Manual"),"25%",""))))))</f>
        <v>50%</v>
      </c>
      <c r="U34" s="178" t="s">
        <v>19</v>
      </c>
      <c r="V34" s="178" t="s">
        <v>22</v>
      </c>
      <c r="W34" s="178" t="s">
        <v>119</v>
      </c>
      <c r="X34" s="124">
        <f>IFERROR(IF(Q34="Probabilidad",(I34-(+I34*T34)),IF(Q34="Impacto",I34,"")),"")</f>
        <v>0.3</v>
      </c>
      <c r="Y34" s="180" t="str">
        <f t="shared" si="38"/>
        <v>Baja</v>
      </c>
      <c r="Z34" s="181">
        <f t="shared" si="39"/>
        <v>0.3</v>
      </c>
      <c r="AA34" s="180" t="str">
        <f ca="1">IFERROR(IF(AB34="","",IF(AB34&lt;=0.2,"Leve",IF(AB34&lt;=0.4,"Menor",IF(AB34&lt;=0.6,"Moderado",IF(AB34&lt;=0.8,"Mayor","Catastrófico"))))),"")</f>
        <v>Mayor</v>
      </c>
      <c r="AB34" s="181">
        <f ca="1">IFERROR(IF(Q34="Impacto",(M34-(+M34*T34)),IF(Q34="Probabilidad",M34,"")),"")</f>
        <v>0.8</v>
      </c>
      <c r="AC34" s="182" t="str">
        <f t="shared" ref="AC34" ca="1" si="42">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Alto</v>
      </c>
      <c r="AD34" s="183" t="s">
        <v>136</v>
      </c>
      <c r="AE34" s="176" t="s">
        <v>280</v>
      </c>
      <c r="AF34" s="176" t="s">
        <v>266</v>
      </c>
      <c r="AG34" s="456">
        <v>46022</v>
      </c>
      <c r="AH34" s="185" t="s">
        <v>310</v>
      </c>
      <c r="AI34" s="176" t="s">
        <v>304</v>
      </c>
      <c r="AJ34" s="186" t="s">
        <v>41</v>
      </c>
      <c r="AK34" s="186"/>
      <c r="AL34" s="186"/>
      <c r="AM34" s="187" t="e">
        <f t="shared" si="5"/>
        <v>#DIV/0!</v>
      </c>
      <c r="AN34" s="186"/>
      <c r="AO34" s="186"/>
      <c r="AP34" s="186"/>
      <c r="AQ34" s="186"/>
      <c r="AR34" s="187" t="e">
        <f t="shared" si="6"/>
        <v>#DIV/0!</v>
      </c>
      <c r="AS34" s="186"/>
      <c r="AT34" s="186"/>
      <c r="AU34" s="8"/>
      <c r="AV34" s="8"/>
      <c r="AW34" s="8"/>
      <c r="AX34" s="8"/>
      <c r="AY34" s="8"/>
      <c r="AZ34" s="8"/>
      <c r="BA34" s="8"/>
      <c r="BB34" s="8"/>
      <c r="BC34" s="8"/>
      <c r="BD34" s="8"/>
      <c r="BE34" s="8"/>
      <c r="BF34" s="8"/>
      <c r="BG34" s="8"/>
      <c r="BH34" s="8"/>
      <c r="BI34" s="8"/>
      <c r="BJ34" s="8"/>
      <c r="BK34" s="8"/>
      <c r="BL34" s="8"/>
      <c r="BM34" s="8"/>
      <c r="BN34" s="8"/>
      <c r="BO34" s="8"/>
      <c r="BP34" s="8"/>
    </row>
    <row r="35" spans="1:68" ht="61.5" customHeight="1">
      <c r="A35" s="6"/>
      <c r="B35" s="292" t="s">
        <v>131</v>
      </c>
      <c r="C35" s="293"/>
      <c r="D35" s="293"/>
      <c r="E35" s="293"/>
      <c r="F35" s="293"/>
      <c r="G35" s="293"/>
      <c r="H35" s="293"/>
      <c r="I35" s="293"/>
      <c r="J35" s="293"/>
      <c r="K35" s="293"/>
      <c r="L35" s="293"/>
      <c r="M35" s="293"/>
      <c r="N35" s="293"/>
      <c r="O35" s="293"/>
      <c r="P35" s="293"/>
      <c r="Q35" s="131"/>
      <c r="R35" s="131"/>
      <c r="S35" s="131"/>
      <c r="T35" s="131"/>
      <c r="U35" s="131"/>
      <c r="V35" s="131"/>
      <c r="W35" s="131"/>
      <c r="X35" s="131"/>
      <c r="Y35" s="131"/>
      <c r="Z35" s="131"/>
      <c r="AA35" s="131"/>
      <c r="AB35" s="131"/>
      <c r="AC35" s="131"/>
      <c r="AD35" s="131"/>
      <c r="AE35" s="143"/>
      <c r="AF35" s="143"/>
      <c r="AG35" s="143"/>
      <c r="AH35" s="143"/>
      <c r="AI35" s="143"/>
      <c r="AJ35" s="132"/>
      <c r="AK35" s="46"/>
      <c r="AL35" s="46"/>
      <c r="AM35" s="135"/>
      <c r="AN35" s="46"/>
      <c r="AO35" s="46"/>
      <c r="AP35" s="46"/>
      <c r="AQ35" s="46"/>
      <c r="AR35" s="135"/>
      <c r="AS35" s="46"/>
      <c r="AT35" s="46"/>
    </row>
    <row r="37" spans="1:68">
      <c r="A37" s="1"/>
      <c r="B37" s="24" t="s">
        <v>143</v>
      </c>
      <c r="C37" s="1"/>
      <c r="D37" s="1"/>
      <c r="F37" s="1"/>
    </row>
    <row r="39" spans="1:68">
      <c r="B39" s="2" t="s">
        <v>215</v>
      </c>
      <c r="C39" s="3" t="s">
        <v>308</v>
      </c>
      <c r="E39" s="3" t="s">
        <v>225</v>
      </c>
    </row>
    <row r="40" spans="1:68">
      <c r="B40" s="2" t="s">
        <v>216</v>
      </c>
      <c r="C40" s="191" t="s">
        <v>306</v>
      </c>
      <c r="E40" s="3" t="s">
        <v>307</v>
      </c>
    </row>
    <row r="41" spans="1:68">
      <c r="B41" s="2" t="s">
        <v>217</v>
      </c>
      <c r="C41" s="191" t="s">
        <v>306</v>
      </c>
      <c r="E41" s="3" t="s">
        <v>307</v>
      </c>
    </row>
  </sheetData>
  <dataConsolidate/>
  <mergeCells count="135">
    <mergeCell ref="B35:P35"/>
    <mergeCell ref="I16:I17"/>
    <mergeCell ref="A27:A31"/>
    <mergeCell ref="N18:N19"/>
    <mergeCell ref="J18:J19"/>
    <mergeCell ref="K18:K19"/>
    <mergeCell ref="L18:L19"/>
    <mergeCell ref="I21:I26"/>
    <mergeCell ref="J21:J26"/>
    <mergeCell ref="F21:F26"/>
    <mergeCell ref="G21:G26"/>
    <mergeCell ref="H21:H26"/>
    <mergeCell ref="F18:F19"/>
    <mergeCell ref="A21:A26"/>
    <mergeCell ref="B21:B26"/>
    <mergeCell ref="C21:C26"/>
    <mergeCell ref="J32:J33"/>
    <mergeCell ref="L32:L33"/>
    <mergeCell ref="M32:M33"/>
    <mergeCell ref="N32:N33"/>
    <mergeCell ref="K32:K33"/>
    <mergeCell ref="K21:K26"/>
    <mergeCell ref="L21:L26"/>
    <mergeCell ref="M21:M26"/>
    <mergeCell ref="A16:A17"/>
    <mergeCell ref="B16:B17"/>
    <mergeCell ref="C16:C17"/>
    <mergeCell ref="D16:D17"/>
    <mergeCell ref="E16:E17"/>
    <mergeCell ref="F16:F17"/>
    <mergeCell ref="G16:G17"/>
    <mergeCell ref="H16:H17"/>
    <mergeCell ref="G12:G13"/>
    <mergeCell ref="H12:H13"/>
    <mergeCell ref="A12:A13"/>
    <mergeCell ref="B12:B13"/>
    <mergeCell ref="C12:C13"/>
    <mergeCell ref="D12:D13"/>
    <mergeCell ref="E12:E13"/>
    <mergeCell ref="C8:N8"/>
    <mergeCell ref="A9:G9"/>
    <mergeCell ref="H9:N9"/>
    <mergeCell ref="B10:B11"/>
    <mergeCell ref="A1:B4"/>
    <mergeCell ref="A6:B6"/>
    <mergeCell ref="A7:B7"/>
    <mergeCell ref="A8:B8"/>
    <mergeCell ref="C6:N6"/>
    <mergeCell ref="C1:AR1"/>
    <mergeCell ref="C2:AR4"/>
    <mergeCell ref="AK9:AT9"/>
    <mergeCell ref="AK10:AO10"/>
    <mergeCell ref="AP10:AT10"/>
    <mergeCell ref="O6:Q6"/>
    <mergeCell ref="R10:W10"/>
    <mergeCell ref="G10:G11"/>
    <mergeCell ref="A10:A11"/>
    <mergeCell ref="H10:H11"/>
    <mergeCell ref="E10:E11"/>
    <mergeCell ref="D10:D11"/>
    <mergeCell ref="C10:C11"/>
    <mergeCell ref="C7:N7"/>
    <mergeCell ref="I12:I13"/>
    <mergeCell ref="J12:J13"/>
    <mergeCell ref="K12:K13"/>
    <mergeCell ref="L12:L13"/>
    <mergeCell ref="M12:M13"/>
    <mergeCell ref="F12:F13"/>
    <mergeCell ref="Q10:Q11"/>
    <mergeCell ref="O9:W9"/>
    <mergeCell ref="AF10:AF11"/>
    <mergeCell ref="AD10:AD11"/>
    <mergeCell ref="O10:O11"/>
    <mergeCell ref="AC10:AC11"/>
    <mergeCell ref="AB10:AB11"/>
    <mergeCell ref="X10:X11"/>
    <mergeCell ref="P10:P11"/>
    <mergeCell ref="X9:AD9"/>
    <mergeCell ref="AA10:AA11"/>
    <mergeCell ref="Y10:Y11"/>
    <mergeCell ref="Z10:Z11"/>
    <mergeCell ref="I10:I11"/>
    <mergeCell ref="L10:L11"/>
    <mergeCell ref="M10:M11"/>
    <mergeCell ref="F10:F11"/>
    <mergeCell ref="A14:A15"/>
    <mergeCell ref="B14:B15"/>
    <mergeCell ref="C14:C15"/>
    <mergeCell ref="F14:F15"/>
    <mergeCell ref="G14:G15"/>
    <mergeCell ref="H14:H15"/>
    <mergeCell ref="I14:I15"/>
    <mergeCell ref="J14:J15"/>
    <mergeCell ref="K14:K15"/>
    <mergeCell ref="E14:E15"/>
    <mergeCell ref="D14:D15"/>
    <mergeCell ref="I18:I19"/>
    <mergeCell ref="A32:A33"/>
    <mergeCell ref="B32:B33"/>
    <mergeCell ref="C32:C33"/>
    <mergeCell ref="D32:D33"/>
    <mergeCell ref="E32:E33"/>
    <mergeCell ref="F32:F33"/>
    <mergeCell ref="G32:G33"/>
    <mergeCell ref="H32:H33"/>
    <mergeCell ref="I32:I33"/>
    <mergeCell ref="D21:D26"/>
    <mergeCell ref="E21:E26"/>
    <mergeCell ref="A18:A19"/>
    <mergeCell ref="B18:B19"/>
    <mergeCell ref="C18:C19"/>
    <mergeCell ref="D18:D19"/>
    <mergeCell ref="E18:E19"/>
    <mergeCell ref="G18:G19"/>
    <mergeCell ref="H18:H19"/>
    <mergeCell ref="N21:N26"/>
    <mergeCell ref="AE9:AJ9"/>
    <mergeCell ref="N16:N17"/>
    <mergeCell ref="M18:M19"/>
    <mergeCell ref="J16:J17"/>
    <mergeCell ref="K16:K17"/>
    <mergeCell ref="L16:L17"/>
    <mergeCell ref="M16:M17"/>
    <mergeCell ref="AE10:AE11"/>
    <mergeCell ref="AJ10:AJ11"/>
    <mergeCell ref="AI10:AI11"/>
    <mergeCell ref="AH10:AH11"/>
    <mergeCell ref="AG10:AG11"/>
    <mergeCell ref="N10:N11"/>
    <mergeCell ref="J10:J11"/>
    <mergeCell ref="K10:K11"/>
    <mergeCell ref="M14:M15"/>
    <mergeCell ref="N14:N15"/>
    <mergeCell ref="L14:L15"/>
    <mergeCell ref="N12:N13"/>
  </mergeCells>
  <conditionalFormatting sqref="H12 Y20">
    <cfRule type="cellIs" dxfId="294" priority="786" operator="equal">
      <formula>"Muy Alta"</formula>
    </cfRule>
    <cfRule type="cellIs" dxfId="293" priority="787" operator="equal">
      <formula>"Alta"</formula>
    </cfRule>
    <cfRule type="cellIs" dxfId="292" priority="788" operator="equal">
      <formula>"Media"</formula>
    </cfRule>
    <cfRule type="cellIs" dxfId="291" priority="789" operator="equal">
      <formula>"Baja"</formula>
    </cfRule>
    <cfRule type="cellIs" dxfId="290" priority="790" operator="equal">
      <formula>"Muy Baja"</formula>
    </cfRule>
  </conditionalFormatting>
  <conditionalFormatting sqref="L12 L14 L16 L18 L21 AA20">
    <cfRule type="cellIs" dxfId="289" priority="781" operator="equal">
      <formula>"Catastrófico"</formula>
    </cfRule>
    <cfRule type="cellIs" dxfId="288" priority="782" operator="equal">
      <formula>"Mayor"</formula>
    </cfRule>
    <cfRule type="cellIs" dxfId="287" priority="783" operator="equal">
      <formula>"Moderado"</formula>
    </cfRule>
    <cfRule type="cellIs" dxfId="286" priority="784" operator="equal">
      <formula>"Menor"</formula>
    </cfRule>
    <cfRule type="cellIs" dxfId="285" priority="785" operator="equal">
      <formula>"Leve"</formula>
    </cfRule>
  </conditionalFormatting>
  <conditionalFormatting sqref="N12 AC20">
    <cfRule type="cellIs" dxfId="284" priority="777" operator="equal">
      <formula>"Extremo"</formula>
    </cfRule>
    <cfRule type="cellIs" dxfId="283" priority="778" operator="equal">
      <formula>"Alto"</formula>
    </cfRule>
    <cfRule type="cellIs" dxfId="282" priority="779" operator="equal">
      <formula>"Moderado"</formula>
    </cfRule>
    <cfRule type="cellIs" dxfId="281" priority="780" operator="equal">
      <formula>"Bajo"</formula>
    </cfRule>
  </conditionalFormatting>
  <conditionalFormatting sqref="Y12:Y13">
    <cfRule type="cellIs" dxfId="280" priority="772" operator="equal">
      <formula>"Muy Alta"</formula>
    </cfRule>
    <cfRule type="cellIs" dxfId="279" priority="773" operator="equal">
      <formula>"Alta"</formula>
    </cfRule>
    <cfRule type="cellIs" dxfId="278" priority="774" operator="equal">
      <formula>"Media"</formula>
    </cfRule>
    <cfRule type="cellIs" dxfId="277" priority="775" operator="equal">
      <formula>"Baja"</formula>
    </cfRule>
    <cfRule type="cellIs" dxfId="276" priority="776" operator="equal">
      <formula>"Muy Baja"</formula>
    </cfRule>
  </conditionalFormatting>
  <conditionalFormatting sqref="AA12:AA13">
    <cfRule type="cellIs" dxfId="275" priority="767" operator="equal">
      <formula>"Catastrófico"</formula>
    </cfRule>
    <cfRule type="cellIs" dxfId="274" priority="768" operator="equal">
      <formula>"Mayor"</formula>
    </cfRule>
    <cfRule type="cellIs" dxfId="273" priority="769" operator="equal">
      <formula>"Moderado"</formula>
    </cfRule>
    <cfRule type="cellIs" dxfId="272" priority="770" operator="equal">
      <formula>"Menor"</formula>
    </cfRule>
    <cfRule type="cellIs" dxfId="271" priority="771" operator="equal">
      <formula>"Leve"</formula>
    </cfRule>
  </conditionalFormatting>
  <conditionalFormatting sqref="AC12:AC13">
    <cfRule type="cellIs" dxfId="270" priority="763" operator="equal">
      <formula>"Extremo"</formula>
    </cfRule>
    <cfRule type="cellIs" dxfId="269" priority="764" operator="equal">
      <formula>"Alto"</formula>
    </cfRule>
    <cfRule type="cellIs" dxfId="268" priority="765" operator="equal">
      <formula>"Moderado"</formula>
    </cfRule>
    <cfRule type="cellIs" dxfId="267" priority="766" operator="equal">
      <formula>"Bajo"</formula>
    </cfRule>
  </conditionalFormatting>
  <conditionalFormatting sqref="H14">
    <cfRule type="cellIs" dxfId="266" priority="688" operator="equal">
      <formula>"Muy Alta"</formula>
    </cfRule>
    <cfRule type="cellIs" dxfId="265" priority="689" operator="equal">
      <formula>"Alta"</formula>
    </cfRule>
    <cfRule type="cellIs" dxfId="264" priority="690" operator="equal">
      <formula>"Media"</formula>
    </cfRule>
    <cfRule type="cellIs" dxfId="263" priority="691" operator="equal">
      <formula>"Baja"</formula>
    </cfRule>
    <cfRule type="cellIs" dxfId="262" priority="692" operator="equal">
      <formula>"Muy Baja"</formula>
    </cfRule>
  </conditionalFormatting>
  <conditionalFormatting sqref="N14">
    <cfRule type="cellIs" dxfId="261" priority="679" operator="equal">
      <formula>"Extremo"</formula>
    </cfRule>
    <cfRule type="cellIs" dxfId="260" priority="680" operator="equal">
      <formula>"Alto"</formula>
    </cfRule>
    <cfRule type="cellIs" dxfId="259" priority="681" operator="equal">
      <formula>"Moderado"</formula>
    </cfRule>
    <cfRule type="cellIs" dxfId="258" priority="682" operator="equal">
      <formula>"Bajo"</formula>
    </cfRule>
  </conditionalFormatting>
  <conditionalFormatting sqref="Y14:Y15">
    <cfRule type="cellIs" dxfId="257" priority="674" operator="equal">
      <formula>"Muy Alta"</formula>
    </cfRule>
    <cfRule type="cellIs" dxfId="256" priority="675" operator="equal">
      <formula>"Alta"</formula>
    </cfRule>
    <cfRule type="cellIs" dxfId="255" priority="676" operator="equal">
      <formula>"Media"</formula>
    </cfRule>
    <cfRule type="cellIs" dxfId="254" priority="677" operator="equal">
      <formula>"Baja"</formula>
    </cfRule>
    <cfRule type="cellIs" dxfId="253" priority="678" operator="equal">
      <formula>"Muy Baja"</formula>
    </cfRule>
  </conditionalFormatting>
  <conditionalFormatting sqref="AA14:AA15">
    <cfRule type="cellIs" dxfId="252" priority="669" operator="equal">
      <formula>"Catastrófico"</formula>
    </cfRule>
    <cfRule type="cellIs" dxfId="251" priority="670" operator="equal">
      <formula>"Mayor"</formula>
    </cfRule>
    <cfRule type="cellIs" dxfId="250" priority="671" operator="equal">
      <formula>"Moderado"</formula>
    </cfRule>
    <cfRule type="cellIs" dxfId="249" priority="672" operator="equal">
      <formula>"Menor"</formula>
    </cfRule>
    <cfRule type="cellIs" dxfId="248" priority="673" operator="equal">
      <formula>"Leve"</formula>
    </cfRule>
  </conditionalFormatting>
  <conditionalFormatting sqref="AC14:AC15">
    <cfRule type="cellIs" dxfId="247" priority="665" operator="equal">
      <formula>"Extremo"</formula>
    </cfRule>
    <cfRule type="cellIs" dxfId="246" priority="666" operator="equal">
      <formula>"Alto"</formula>
    </cfRule>
    <cfRule type="cellIs" dxfId="245" priority="667" operator="equal">
      <formula>"Moderado"</formula>
    </cfRule>
    <cfRule type="cellIs" dxfId="244" priority="668" operator="equal">
      <formula>"Bajo"</formula>
    </cfRule>
  </conditionalFormatting>
  <conditionalFormatting sqref="H16">
    <cfRule type="cellIs" dxfId="243" priority="660" operator="equal">
      <formula>"Muy Alta"</formula>
    </cfRule>
    <cfRule type="cellIs" dxfId="242" priority="661" operator="equal">
      <formula>"Alta"</formula>
    </cfRule>
    <cfRule type="cellIs" dxfId="241" priority="662" operator="equal">
      <formula>"Media"</formula>
    </cfRule>
    <cfRule type="cellIs" dxfId="240" priority="663" operator="equal">
      <formula>"Baja"</formula>
    </cfRule>
    <cfRule type="cellIs" dxfId="239" priority="664" operator="equal">
      <formula>"Muy Baja"</formula>
    </cfRule>
  </conditionalFormatting>
  <conditionalFormatting sqref="N16">
    <cfRule type="cellIs" dxfId="238" priority="651" operator="equal">
      <formula>"Extremo"</formula>
    </cfRule>
    <cfRule type="cellIs" dxfId="237" priority="652" operator="equal">
      <formula>"Alto"</formula>
    </cfRule>
    <cfRule type="cellIs" dxfId="236" priority="653" operator="equal">
      <formula>"Moderado"</formula>
    </cfRule>
    <cfRule type="cellIs" dxfId="235" priority="654" operator="equal">
      <formula>"Bajo"</formula>
    </cfRule>
  </conditionalFormatting>
  <conditionalFormatting sqref="H18">
    <cfRule type="cellIs" dxfId="234" priority="604" operator="equal">
      <formula>"Muy Alta"</formula>
    </cfRule>
    <cfRule type="cellIs" dxfId="233" priority="605" operator="equal">
      <formula>"Alta"</formula>
    </cfRule>
    <cfRule type="cellIs" dxfId="232" priority="606" operator="equal">
      <formula>"Media"</formula>
    </cfRule>
    <cfRule type="cellIs" dxfId="231" priority="607" operator="equal">
      <formula>"Baja"</formula>
    </cfRule>
    <cfRule type="cellIs" dxfId="230" priority="608" operator="equal">
      <formula>"Muy Baja"</formula>
    </cfRule>
  </conditionalFormatting>
  <conditionalFormatting sqref="N18">
    <cfRule type="cellIs" dxfId="229" priority="595" operator="equal">
      <formula>"Extremo"</formula>
    </cfRule>
    <cfRule type="cellIs" dxfId="228" priority="596" operator="equal">
      <formula>"Alto"</formula>
    </cfRule>
    <cfRule type="cellIs" dxfId="227" priority="597" operator="equal">
      <formula>"Moderado"</formula>
    </cfRule>
    <cfRule type="cellIs" dxfId="226" priority="598" operator="equal">
      <formula>"Bajo"</formula>
    </cfRule>
  </conditionalFormatting>
  <conditionalFormatting sqref="Y18:Y19">
    <cfRule type="cellIs" dxfId="225" priority="590" operator="equal">
      <formula>"Muy Alta"</formula>
    </cfRule>
    <cfRule type="cellIs" dxfId="224" priority="591" operator="equal">
      <formula>"Alta"</formula>
    </cfRule>
    <cfRule type="cellIs" dxfId="223" priority="592" operator="equal">
      <formula>"Media"</formula>
    </cfRule>
    <cfRule type="cellIs" dxfId="222" priority="593" operator="equal">
      <formula>"Baja"</formula>
    </cfRule>
    <cfRule type="cellIs" dxfId="221" priority="594" operator="equal">
      <formula>"Muy Baja"</formula>
    </cfRule>
  </conditionalFormatting>
  <conditionalFormatting sqref="AA18:AA19">
    <cfRule type="cellIs" dxfId="220" priority="585" operator="equal">
      <formula>"Catastrófico"</formula>
    </cfRule>
    <cfRule type="cellIs" dxfId="219" priority="586" operator="equal">
      <formula>"Mayor"</formula>
    </cfRule>
    <cfRule type="cellIs" dxfId="218" priority="587" operator="equal">
      <formula>"Moderado"</formula>
    </cfRule>
    <cfRule type="cellIs" dxfId="217" priority="588" operator="equal">
      <formula>"Menor"</formula>
    </cfRule>
    <cfRule type="cellIs" dxfId="216" priority="589" operator="equal">
      <formula>"Leve"</formula>
    </cfRule>
  </conditionalFormatting>
  <conditionalFormatting sqref="AC18:AC19">
    <cfRule type="cellIs" dxfId="215" priority="581" operator="equal">
      <formula>"Extremo"</formula>
    </cfRule>
    <cfRule type="cellIs" dxfId="214" priority="582" operator="equal">
      <formula>"Alto"</formula>
    </cfRule>
    <cfRule type="cellIs" dxfId="213" priority="583" operator="equal">
      <formula>"Moderado"</formula>
    </cfRule>
    <cfRule type="cellIs" dxfId="212" priority="584" operator="equal">
      <formula>"Bajo"</formula>
    </cfRule>
  </conditionalFormatting>
  <conditionalFormatting sqref="H21">
    <cfRule type="cellIs" dxfId="211" priority="548" operator="equal">
      <formula>"Muy Alta"</formula>
    </cfRule>
    <cfRule type="cellIs" dxfId="210" priority="549" operator="equal">
      <formula>"Alta"</formula>
    </cfRule>
    <cfRule type="cellIs" dxfId="209" priority="550" operator="equal">
      <formula>"Media"</formula>
    </cfRule>
    <cfRule type="cellIs" dxfId="208" priority="551" operator="equal">
      <formula>"Baja"</formula>
    </cfRule>
    <cfRule type="cellIs" dxfId="207" priority="552" operator="equal">
      <formula>"Muy Baja"</formula>
    </cfRule>
  </conditionalFormatting>
  <conditionalFormatting sqref="N21">
    <cfRule type="cellIs" dxfId="206" priority="539" operator="equal">
      <formula>"Extremo"</formula>
    </cfRule>
    <cfRule type="cellIs" dxfId="205" priority="540" operator="equal">
      <formula>"Alto"</formula>
    </cfRule>
    <cfRule type="cellIs" dxfId="204" priority="541" operator="equal">
      <formula>"Moderado"</formula>
    </cfRule>
    <cfRule type="cellIs" dxfId="203" priority="542" operator="equal">
      <formula>"Bajo"</formula>
    </cfRule>
  </conditionalFormatting>
  <conditionalFormatting sqref="Y21:Y26">
    <cfRule type="cellIs" dxfId="202" priority="534" operator="equal">
      <formula>"Muy Alta"</formula>
    </cfRule>
    <cfRule type="cellIs" dxfId="201" priority="535" operator="equal">
      <formula>"Alta"</formula>
    </cfRule>
    <cfRule type="cellIs" dxfId="200" priority="536" operator="equal">
      <formula>"Media"</formula>
    </cfRule>
    <cfRule type="cellIs" dxfId="199" priority="537" operator="equal">
      <formula>"Baja"</formula>
    </cfRule>
    <cfRule type="cellIs" dxfId="198" priority="538" operator="equal">
      <formula>"Muy Baja"</formula>
    </cfRule>
  </conditionalFormatting>
  <conditionalFormatting sqref="AA21:AA26">
    <cfRule type="cellIs" dxfId="197" priority="529" operator="equal">
      <formula>"Catastrófico"</formula>
    </cfRule>
    <cfRule type="cellIs" dxfId="196" priority="530" operator="equal">
      <formula>"Mayor"</formula>
    </cfRule>
    <cfRule type="cellIs" dxfId="195" priority="531" operator="equal">
      <formula>"Moderado"</formula>
    </cfRule>
    <cfRule type="cellIs" dxfId="194" priority="532" operator="equal">
      <formula>"Menor"</formula>
    </cfRule>
    <cfRule type="cellIs" dxfId="193" priority="533" operator="equal">
      <formula>"Leve"</formula>
    </cfRule>
  </conditionalFormatting>
  <conditionalFormatting sqref="AC21:AC26">
    <cfRule type="cellIs" dxfId="192" priority="525" operator="equal">
      <formula>"Extremo"</formula>
    </cfRule>
    <cfRule type="cellIs" dxfId="191" priority="526" operator="equal">
      <formula>"Alto"</formula>
    </cfRule>
    <cfRule type="cellIs" dxfId="190" priority="527" operator="equal">
      <formula>"Moderado"</formula>
    </cfRule>
    <cfRule type="cellIs" dxfId="189" priority="528" operator="equal">
      <formula>"Bajo"</formula>
    </cfRule>
  </conditionalFormatting>
  <conditionalFormatting sqref="K12:K31">
    <cfRule type="containsText" dxfId="188" priority="468" operator="containsText" text="❌">
      <formula>NOT(ISERROR(SEARCH("❌",K12)))</formula>
    </cfRule>
  </conditionalFormatting>
  <conditionalFormatting sqref="H27">
    <cfRule type="cellIs" dxfId="187" priority="364" operator="equal">
      <formula>"Muy Alta"</formula>
    </cfRule>
    <cfRule type="cellIs" dxfId="186" priority="365" operator="equal">
      <formula>"Alta"</formula>
    </cfRule>
    <cfRule type="cellIs" dxfId="185" priority="366" operator="equal">
      <formula>"Media"</formula>
    </cfRule>
    <cfRule type="cellIs" dxfId="184" priority="367" operator="equal">
      <formula>"Baja"</formula>
    </cfRule>
    <cfRule type="cellIs" dxfId="183" priority="368" operator="equal">
      <formula>"Muy Baja"</formula>
    </cfRule>
  </conditionalFormatting>
  <conditionalFormatting sqref="L27">
    <cfRule type="cellIs" dxfId="182" priority="359" operator="equal">
      <formula>"Catastrófico"</formula>
    </cfRule>
    <cfRule type="cellIs" dxfId="181" priority="360" operator="equal">
      <formula>"Mayor"</formula>
    </cfRule>
    <cfRule type="cellIs" dxfId="180" priority="361" operator="equal">
      <formula>"Moderado"</formula>
    </cfRule>
    <cfRule type="cellIs" dxfId="179" priority="362" operator="equal">
      <formula>"Menor"</formula>
    </cfRule>
    <cfRule type="cellIs" dxfId="178" priority="363" operator="equal">
      <formula>"Leve"</formula>
    </cfRule>
  </conditionalFormatting>
  <conditionalFormatting sqref="N27">
    <cfRule type="cellIs" dxfId="177" priority="354" operator="equal">
      <formula>"Extremo"</formula>
    </cfRule>
    <cfRule type="cellIs" dxfId="176" priority="355" operator="equal">
      <formula>"Alto"</formula>
    </cfRule>
    <cfRule type="cellIs" dxfId="175" priority="356" operator="equal">
      <formula>"Moderado"</formula>
    </cfRule>
    <cfRule type="cellIs" dxfId="174" priority="357" operator="equal">
      <formula>"Bajo"</formula>
    </cfRule>
  </conditionalFormatting>
  <conditionalFormatting sqref="Y27">
    <cfRule type="cellIs" dxfId="173" priority="349" operator="equal">
      <formula>"Muy Alta"</formula>
    </cfRule>
    <cfRule type="cellIs" dxfId="172" priority="350" operator="equal">
      <formula>"Alta"</formula>
    </cfRule>
    <cfRule type="cellIs" dxfId="171" priority="351" operator="equal">
      <formula>"Media"</formula>
    </cfRule>
    <cfRule type="cellIs" dxfId="170" priority="352" operator="equal">
      <formula>"Baja"</formula>
    </cfRule>
    <cfRule type="cellIs" dxfId="169" priority="353" operator="equal">
      <formula>"Muy Baja"</formula>
    </cfRule>
  </conditionalFormatting>
  <conditionalFormatting sqref="AA27">
    <cfRule type="cellIs" dxfId="168" priority="344" operator="equal">
      <formula>"Catastrófico"</formula>
    </cfRule>
    <cfRule type="cellIs" dxfId="167" priority="345" operator="equal">
      <formula>"Mayor"</formula>
    </cfRule>
    <cfRule type="cellIs" dxfId="166" priority="346" operator="equal">
      <formula>"Moderado"</formula>
    </cfRule>
    <cfRule type="cellIs" dxfId="165" priority="347" operator="equal">
      <formula>"Menor"</formula>
    </cfRule>
    <cfRule type="cellIs" dxfId="164" priority="348" operator="equal">
      <formula>"Leve"</formula>
    </cfRule>
  </conditionalFormatting>
  <conditionalFormatting sqref="AC27">
    <cfRule type="cellIs" dxfId="163" priority="340" operator="equal">
      <formula>"Extremo"</formula>
    </cfRule>
    <cfRule type="cellIs" dxfId="162" priority="341" operator="equal">
      <formula>"Alto"</formula>
    </cfRule>
    <cfRule type="cellIs" dxfId="161" priority="342" operator="equal">
      <formula>"Moderado"</formula>
    </cfRule>
    <cfRule type="cellIs" dxfId="160" priority="343" operator="equal">
      <formula>"Bajo"</formula>
    </cfRule>
  </conditionalFormatting>
  <conditionalFormatting sqref="Y28">
    <cfRule type="cellIs" dxfId="159" priority="321" operator="equal">
      <formula>"Muy Alta"</formula>
    </cfRule>
    <cfRule type="cellIs" dxfId="158" priority="322" operator="equal">
      <formula>"Alta"</formula>
    </cfRule>
    <cfRule type="cellIs" dxfId="157" priority="323" operator="equal">
      <formula>"Media"</formula>
    </cfRule>
    <cfRule type="cellIs" dxfId="156" priority="324" operator="equal">
      <formula>"Baja"</formula>
    </cfRule>
    <cfRule type="cellIs" dxfId="155" priority="325" operator="equal">
      <formula>"Muy Baja"</formula>
    </cfRule>
  </conditionalFormatting>
  <conditionalFormatting sqref="AA28">
    <cfRule type="cellIs" dxfId="154" priority="316" operator="equal">
      <formula>"Catastrófico"</formula>
    </cfRule>
    <cfRule type="cellIs" dxfId="153" priority="317" operator="equal">
      <formula>"Mayor"</formula>
    </cfRule>
    <cfRule type="cellIs" dxfId="152" priority="318" operator="equal">
      <formula>"Moderado"</formula>
    </cfRule>
    <cfRule type="cellIs" dxfId="151" priority="319" operator="equal">
      <formula>"Menor"</formula>
    </cfRule>
    <cfRule type="cellIs" dxfId="150" priority="320" operator="equal">
      <formula>"Leve"</formula>
    </cfRule>
  </conditionalFormatting>
  <conditionalFormatting sqref="AC28">
    <cfRule type="cellIs" dxfId="149" priority="312" operator="equal">
      <formula>"Extremo"</formula>
    </cfRule>
    <cfRule type="cellIs" dxfId="148" priority="313" operator="equal">
      <formula>"Alto"</formula>
    </cfRule>
    <cfRule type="cellIs" dxfId="147" priority="314" operator="equal">
      <formula>"Moderado"</formula>
    </cfRule>
    <cfRule type="cellIs" dxfId="146" priority="315" operator="equal">
      <formula>"Bajo"</formula>
    </cfRule>
  </conditionalFormatting>
  <conditionalFormatting sqref="Y29">
    <cfRule type="cellIs" dxfId="145" priority="307" operator="equal">
      <formula>"Muy Alta"</formula>
    </cfRule>
    <cfRule type="cellIs" dxfId="144" priority="308" operator="equal">
      <formula>"Alta"</formula>
    </cfRule>
    <cfRule type="cellIs" dxfId="143" priority="309" operator="equal">
      <formula>"Media"</formula>
    </cfRule>
    <cfRule type="cellIs" dxfId="142" priority="310" operator="equal">
      <formula>"Baja"</formula>
    </cfRule>
    <cfRule type="cellIs" dxfId="141" priority="311" operator="equal">
      <formula>"Muy Baja"</formula>
    </cfRule>
  </conditionalFormatting>
  <conditionalFormatting sqref="AA29">
    <cfRule type="cellIs" dxfId="140" priority="302" operator="equal">
      <formula>"Catastrófico"</formula>
    </cfRule>
    <cfRule type="cellIs" dxfId="139" priority="303" operator="equal">
      <formula>"Mayor"</formula>
    </cfRule>
    <cfRule type="cellIs" dxfId="138" priority="304" operator="equal">
      <formula>"Moderado"</formula>
    </cfRule>
    <cfRule type="cellIs" dxfId="137" priority="305" operator="equal">
      <formula>"Menor"</formula>
    </cfRule>
    <cfRule type="cellIs" dxfId="136" priority="306" operator="equal">
      <formula>"Leve"</formula>
    </cfRule>
  </conditionalFormatting>
  <conditionalFormatting sqref="AC29">
    <cfRule type="cellIs" dxfId="135" priority="298" operator="equal">
      <formula>"Extremo"</formula>
    </cfRule>
    <cfRule type="cellIs" dxfId="134" priority="299" operator="equal">
      <formula>"Alto"</formula>
    </cfRule>
    <cfRule type="cellIs" dxfId="133" priority="300" operator="equal">
      <formula>"Moderado"</formula>
    </cfRule>
    <cfRule type="cellIs" dxfId="132" priority="301" operator="equal">
      <formula>"Bajo"</formula>
    </cfRule>
  </conditionalFormatting>
  <conditionalFormatting sqref="Y30">
    <cfRule type="cellIs" dxfId="131" priority="293" operator="equal">
      <formula>"Muy Alta"</formula>
    </cfRule>
    <cfRule type="cellIs" dxfId="130" priority="294" operator="equal">
      <formula>"Alta"</formula>
    </cfRule>
    <cfRule type="cellIs" dxfId="129" priority="295" operator="equal">
      <formula>"Media"</formula>
    </cfRule>
    <cfRule type="cellIs" dxfId="128" priority="296" operator="equal">
      <formula>"Baja"</formula>
    </cfRule>
    <cfRule type="cellIs" dxfId="127" priority="297" operator="equal">
      <formula>"Muy Baja"</formula>
    </cfRule>
  </conditionalFormatting>
  <conditionalFormatting sqref="AA30">
    <cfRule type="cellIs" dxfId="126" priority="288" operator="equal">
      <formula>"Catastrófico"</formula>
    </cfRule>
    <cfRule type="cellIs" dxfId="125" priority="289" operator="equal">
      <formula>"Mayor"</formula>
    </cfRule>
    <cfRule type="cellIs" dxfId="124" priority="290" operator="equal">
      <formula>"Moderado"</formula>
    </cfRule>
    <cfRule type="cellIs" dxfId="123" priority="291" operator="equal">
      <formula>"Menor"</formula>
    </cfRule>
    <cfRule type="cellIs" dxfId="122" priority="292" operator="equal">
      <formula>"Leve"</formula>
    </cfRule>
  </conditionalFormatting>
  <conditionalFormatting sqref="AC30">
    <cfRule type="cellIs" dxfId="121" priority="284" operator="equal">
      <formula>"Extremo"</formula>
    </cfRule>
    <cfRule type="cellIs" dxfId="120" priority="285" operator="equal">
      <formula>"Alto"</formula>
    </cfRule>
    <cfRule type="cellIs" dxfId="119" priority="286" operator="equal">
      <formula>"Moderado"</formula>
    </cfRule>
    <cfRule type="cellIs" dxfId="118" priority="287" operator="equal">
      <formula>"Bajo"</formula>
    </cfRule>
  </conditionalFormatting>
  <conditionalFormatting sqref="Y31">
    <cfRule type="cellIs" dxfId="117" priority="279" operator="equal">
      <formula>"Muy Alta"</formula>
    </cfRule>
    <cfRule type="cellIs" dxfId="116" priority="280" operator="equal">
      <formula>"Alta"</formula>
    </cfRule>
    <cfRule type="cellIs" dxfId="115" priority="281" operator="equal">
      <formula>"Media"</formula>
    </cfRule>
    <cfRule type="cellIs" dxfId="114" priority="282" operator="equal">
      <formula>"Baja"</formula>
    </cfRule>
    <cfRule type="cellIs" dxfId="113" priority="283" operator="equal">
      <formula>"Muy Baja"</formula>
    </cfRule>
  </conditionalFormatting>
  <conditionalFormatting sqref="AA31">
    <cfRule type="cellIs" dxfId="112" priority="274" operator="equal">
      <formula>"Catastrófico"</formula>
    </cfRule>
    <cfRule type="cellIs" dxfId="111" priority="275" operator="equal">
      <formula>"Mayor"</formula>
    </cfRule>
    <cfRule type="cellIs" dxfId="110" priority="276" operator="equal">
      <formula>"Moderado"</formula>
    </cfRule>
    <cfRule type="cellIs" dxfId="109" priority="277" operator="equal">
      <formula>"Menor"</formula>
    </cfRule>
    <cfRule type="cellIs" dxfId="108" priority="278" operator="equal">
      <formula>"Leve"</formula>
    </cfRule>
  </conditionalFormatting>
  <conditionalFormatting sqref="AC31">
    <cfRule type="cellIs" dxfId="107" priority="270" operator="equal">
      <formula>"Extremo"</formula>
    </cfRule>
    <cfRule type="cellIs" dxfId="106" priority="271" operator="equal">
      <formula>"Alto"</formula>
    </cfRule>
    <cfRule type="cellIs" dxfId="105" priority="272" operator="equal">
      <formula>"Moderado"</formula>
    </cfRule>
    <cfRule type="cellIs" dxfId="104" priority="273" operator="equal">
      <formula>"Bajo"</formula>
    </cfRule>
  </conditionalFormatting>
  <conditionalFormatting sqref="H32">
    <cfRule type="cellIs" dxfId="103" priority="265" operator="equal">
      <formula>"Muy Alta"</formula>
    </cfRule>
    <cfRule type="cellIs" dxfId="102" priority="266" operator="equal">
      <formula>"Alta"</formula>
    </cfRule>
    <cfRule type="cellIs" dxfId="101" priority="267" operator="equal">
      <formula>"Media"</formula>
    </cfRule>
    <cfRule type="cellIs" dxfId="100" priority="268" operator="equal">
      <formula>"Baja"</formula>
    </cfRule>
    <cfRule type="cellIs" dxfId="99" priority="269" operator="equal">
      <formula>"Muy Baja"</formula>
    </cfRule>
  </conditionalFormatting>
  <conditionalFormatting sqref="L32">
    <cfRule type="cellIs" dxfId="98" priority="260" operator="equal">
      <formula>"Catastrófico"</formula>
    </cfRule>
    <cfRule type="cellIs" dxfId="97" priority="261" operator="equal">
      <formula>"Mayor"</formula>
    </cfRule>
    <cfRule type="cellIs" dxfId="96" priority="262" operator="equal">
      <formula>"Moderado"</formula>
    </cfRule>
    <cfRule type="cellIs" dxfId="95" priority="263" operator="equal">
      <formula>"Menor"</formula>
    </cfRule>
    <cfRule type="cellIs" dxfId="94" priority="264" operator="equal">
      <formula>"Leve"</formula>
    </cfRule>
  </conditionalFormatting>
  <conditionalFormatting sqref="K32:K33">
    <cfRule type="containsText" dxfId="93" priority="259" operator="containsText" text="❌">
      <formula>NOT(ISERROR(SEARCH("❌",K32)))</formula>
    </cfRule>
  </conditionalFormatting>
  <conditionalFormatting sqref="N32">
    <cfRule type="cellIs" dxfId="92" priority="255" operator="equal">
      <formula>"Extremo"</formula>
    </cfRule>
    <cfRule type="cellIs" dxfId="91" priority="256" operator="equal">
      <formula>"Alto"</formula>
    </cfRule>
    <cfRule type="cellIs" dxfId="90" priority="257" operator="equal">
      <formula>"Moderado"</formula>
    </cfRule>
    <cfRule type="cellIs" dxfId="89" priority="258" operator="equal">
      <formula>"Bajo"</formula>
    </cfRule>
  </conditionalFormatting>
  <conditionalFormatting sqref="Y32">
    <cfRule type="cellIs" dxfId="88" priority="250" operator="equal">
      <formula>"Muy Alta"</formula>
    </cfRule>
    <cfRule type="cellIs" dxfId="87" priority="251" operator="equal">
      <formula>"Alta"</formula>
    </cfRule>
    <cfRule type="cellIs" dxfId="86" priority="252" operator="equal">
      <formula>"Media"</formula>
    </cfRule>
    <cfRule type="cellIs" dxfId="85" priority="253" operator="equal">
      <formula>"Baja"</formula>
    </cfRule>
    <cfRule type="cellIs" dxfId="84" priority="254" operator="equal">
      <formula>"Muy Baja"</formula>
    </cfRule>
  </conditionalFormatting>
  <conditionalFormatting sqref="AA32">
    <cfRule type="cellIs" dxfId="83" priority="245" operator="equal">
      <formula>"Catastrófico"</formula>
    </cfRule>
    <cfRule type="cellIs" dxfId="82" priority="246" operator="equal">
      <formula>"Mayor"</formula>
    </cfRule>
    <cfRule type="cellIs" dxfId="81" priority="247" operator="equal">
      <formula>"Moderado"</formula>
    </cfRule>
    <cfRule type="cellIs" dxfId="80" priority="248" operator="equal">
      <formula>"Menor"</formula>
    </cfRule>
    <cfRule type="cellIs" dxfId="79" priority="249" operator="equal">
      <formula>"Leve"</formula>
    </cfRule>
  </conditionalFormatting>
  <conditionalFormatting sqref="AC32">
    <cfRule type="cellIs" dxfId="78" priority="241" operator="equal">
      <formula>"Extremo"</formula>
    </cfRule>
    <cfRule type="cellIs" dxfId="77" priority="242" operator="equal">
      <formula>"Alto"</formula>
    </cfRule>
    <cfRule type="cellIs" dxfId="76" priority="243" operator="equal">
      <formula>"Moderado"</formula>
    </cfRule>
    <cfRule type="cellIs" dxfId="75" priority="244" operator="equal">
      <formula>"Bajo"</formula>
    </cfRule>
  </conditionalFormatting>
  <conditionalFormatting sqref="Y33">
    <cfRule type="cellIs" dxfId="74" priority="236" operator="equal">
      <formula>"Muy Alta"</formula>
    </cfRule>
    <cfRule type="cellIs" dxfId="73" priority="237" operator="equal">
      <formula>"Alta"</formula>
    </cfRule>
    <cfRule type="cellIs" dxfId="72" priority="238" operator="equal">
      <formula>"Media"</formula>
    </cfRule>
    <cfRule type="cellIs" dxfId="71" priority="239" operator="equal">
      <formula>"Baja"</formula>
    </cfRule>
    <cfRule type="cellIs" dxfId="70" priority="240" operator="equal">
      <formula>"Muy Baja"</formula>
    </cfRule>
  </conditionalFormatting>
  <conditionalFormatting sqref="AA33">
    <cfRule type="cellIs" dxfId="69" priority="231" operator="equal">
      <formula>"Catastrófico"</formula>
    </cfRule>
    <cfRule type="cellIs" dxfId="68" priority="232" operator="equal">
      <formula>"Mayor"</formula>
    </cfRule>
    <cfRule type="cellIs" dxfId="67" priority="233" operator="equal">
      <formula>"Moderado"</formula>
    </cfRule>
    <cfRule type="cellIs" dxfId="66" priority="234" operator="equal">
      <formula>"Menor"</formula>
    </cfRule>
    <cfRule type="cellIs" dxfId="65" priority="235" operator="equal">
      <formula>"Leve"</formula>
    </cfRule>
  </conditionalFormatting>
  <conditionalFormatting sqref="AC33">
    <cfRule type="cellIs" dxfId="64" priority="227" operator="equal">
      <formula>"Extremo"</formula>
    </cfRule>
    <cfRule type="cellIs" dxfId="63" priority="228" operator="equal">
      <formula>"Alto"</formula>
    </cfRule>
    <cfRule type="cellIs" dxfId="62" priority="229" operator="equal">
      <formula>"Moderado"</formula>
    </cfRule>
    <cfRule type="cellIs" dxfId="61" priority="230" operator="equal">
      <formula>"Bajo"</formula>
    </cfRule>
  </conditionalFormatting>
  <conditionalFormatting sqref="H34">
    <cfRule type="cellIs" dxfId="60" priority="166" operator="equal">
      <formula>"Muy Alta"</formula>
    </cfRule>
    <cfRule type="cellIs" dxfId="59" priority="167" operator="equal">
      <formula>"Alta"</formula>
    </cfRule>
    <cfRule type="cellIs" dxfId="58" priority="168" operator="equal">
      <formula>"Media"</formula>
    </cfRule>
    <cfRule type="cellIs" dxfId="57" priority="169" operator="equal">
      <formula>"Baja"</formula>
    </cfRule>
    <cfRule type="cellIs" dxfId="56" priority="170" operator="equal">
      <formula>"Muy Baja"</formula>
    </cfRule>
  </conditionalFormatting>
  <conditionalFormatting sqref="L34">
    <cfRule type="cellIs" dxfId="55" priority="161" operator="equal">
      <formula>"Catastrófico"</formula>
    </cfRule>
    <cfRule type="cellIs" dxfId="54" priority="162" operator="equal">
      <formula>"Mayor"</formula>
    </cfRule>
    <cfRule type="cellIs" dxfId="53" priority="163" operator="equal">
      <formula>"Moderado"</formula>
    </cfRule>
    <cfRule type="cellIs" dxfId="52" priority="164" operator="equal">
      <formula>"Menor"</formula>
    </cfRule>
    <cfRule type="cellIs" dxfId="51" priority="165" operator="equal">
      <formula>"Leve"</formula>
    </cfRule>
  </conditionalFormatting>
  <conditionalFormatting sqref="K34">
    <cfRule type="containsText" dxfId="50" priority="160" operator="containsText" text="❌">
      <formula>NOT(ISERROR(SEARCH("❌",K34)))</formula>
    </cfRule>
  </conditionalFormatting>
  <conditionalFormatting sqref="N34">
    <cfRule type="cellIs" dxfId="49" priority="156" operator="equal">
      <formula>"Extremo"</formula>
    </cfRule>
    <cfRule type="cellIs" dxfId="48" priority="157" operator="equal">
      <formula>"Alto"</formula>
    </cfRule>
    <cfRule type="cellIs" dxfId="47" priority="158" operator="equal">
      <formula>"Moderado"</formula>
    </cfRule>
    <cfRule type="cellIs" dxfId="46" priority="159" operator="equal">
      <formula>"Bajo"</formula>
    </cfRule>
  </conditionalFormatting>
  <conditionalFormatting sqref="Y34">
    <cfRule type="cellIs" dxfId="45" priority="151" operator="equal">
      <formula>"Muy Alta"</formula>
    </cfRule>
    <cfRule type="cellIs" dxfId="44" priority="152" operator="equal">
      <formula>"Alta"</formula>
    </cfRule>
    <cfRule type="cellIs" dxfId="43" priority="153" operator="equal">
      <formula>"Media"</formula>
    </cfRule>
    <cfRule type="cellIs" dxfId="42" priority="154" operator="equal">
      <formula>"Baja"</formula>
    </cfRule>
    <cfRule type="cellIs" dxfId="41" priority="155" operator="equal">
      <formula>"Muy Baja"</formula>
    </cfRule>
  </conditionalFormatting>
  <conditionalFormatting sqref="AA34">
    <cfRule type="cellIs" dxfId="40" priority="146" operator="equal">
      <formula>"Catastrófico"</formula>
    </cfRule>
    <cfRule type="cellIs" dxfId="39" priority="147" operator="equal">
      <formula>"Mayor"</formula>
    </cfRule>
    <cfRule type="cellIs" dxfId="38" priority="148" operator="equal">
      <formula>"Moderado"</formula>
    </cfRule>
    <cfRule type="cellIs" dxfId="37" priority="149" operator="equal">
      <formula>"Menor"</formula>
    </cfRule>
    <cfRule type="cellIs" dxfId="36" priority="150" operator="equal">
      <formula>"Leve"</formula>
    </cfRule>
  </conditionalFormatting>
  <conditionalFormatting sqref="AC34">
    <cfRule type="cellIs" dxfId="35" priority="142" operator="equal">
      <formula>"Extremo"</formula>
    </cfRule>
    <cfRule type="cellIs" dxfId="34" priority="143" operator="equal">
      <formula>"Alto"</formula>
    </cfRule>
    <cfRule type="cellIs" dxfId="33" priority="144" operator="equal">
      <formula>"Moderado"</formula>
    </cfRule>
    <cfRule type="cellIs" dxfId="32" priority="145" operator="equal">
      <formula>"Bajo"</formula>
    </cfRule>
  </conditionalFormatting>
  <conditionalFormatting sqref="L20">
    <cfRule type="cellIs" dxfId="31" priority="67" operator="equal">
      <formula>"Catastrófico"</formula>
    </cfRule>
    <cfRule type="cellIs" dxfId="30" priority="68" operator="equal">
      <formula>"Mayor"</formula>
    </cfRule>
    <cfRule type="cellIs" dxfId="29" priority="69" operator="equal">
      <formula>"Moderado"</formula>
    </cfRule>
    <cfRule type="cellIs" dxfId="28" priority="70" operator="equal">
      <formula>"Menor"</formula>
    </cfRule>
    <cfRule type="cellIs" dxfId="27" priority="71" operator="equal">
      <formula>"Leve"</formula>
    </cfRule>
  </conditionalFormatting>
  <conditionalFormatting sqref="H20">
    <cfRule type="cellIs" dxfId="26" priority="62" operator="equal">
      <formula>"Muy Alta"</formula>
    </cfRule>
    <cfRule type="cellIs" dxfId="25" priority="63" operator="equal">
      <formula>"Alta"</formula>
    </cfRule>
    <cfRule type="cellIs" dxfId="24" priority="64" operator="equal">
      <formula>"Media"</formula>
    </cfRule>
    <cfRule type="cellIs" dxfId="23" priority="65" operator="equal">
      <formula>"Baja"</formula>
    </cfRule>
    <cfRule type="cellIs" dxfId="22" priority="66" operator="equal">
      <formula>"Muy Baja"</formula>
    </cfRule>
  </conditionalFormatting>
  <conditionalFormatting sqref="N20">
    <cfRule type="cellIs" dxfId="21" priority="58" operator="equal">
      <formula>"Extremo"</formula>
    </cfRule>
    <cfRule type="cellIs" dxfId="20" priority="59" operator="equal">
      <formula>"Alto"</formula>
    </cfRule>
    <cfRule type="cellIs" dxfId="19" priority="60" operator="equal">
      <formula>"Moderado"</formula>
    </cfRule>
    <cfRule type="cellIs" dxfId="18" priority="61" operator="equal">
      <formula>"Bajo"</formula>
    </cfRule>
  </conditionalFormatting>
  <conditionalFormatting sqref="Y16:Y17">
    <cfRule type="cellIs" dxfId="17" priority="24" operator="equal">
      <formula>"Muy Alta"</formula>
    </cfRule>
    <cfRule type="cellIs" dxfId="16" priority="25" operator="equal">
      <formula>"Alta"</formula>
    </cfRule>
    <cfRule type="cellIs" dxfId="15" priority="26" operator="equal">
      <formula>"Media"</formula>
    </cfRule>
    <cfRule type="cellIs" dxfId="14" priority="27" operator="equal">
      <formula>"Baja"</formula>
    </cfRule>
    <cfRule type="cellIs" dxfId="13" priority="28" operator="equal">
      <formula>"Muy Baja"</formula>
    </cfRule>
  </conditionalFormatting>
  <conditionalFormatting sqref="AA16:AA17">
    <cfRule type="cellIs" dxfId="12" priority="19" operator="equal">
      <formula>"Catastrófico"</formula>
    </cfRule>
    <cfRule type="cellIs" dxfId="11" priority="20" operator="equal">
      <formula>"Mayor"</formula>
    </cfRule>
    <cfRule type="cellIs" dxfId="10" priority="21" operator="equal">
      <formula>"Moderado"</formula>
    </cfRule>
    <cfRule type="cellIs" dxfId="9" priority="22" operator="equal">
      <formula>"Menor"</formula>
    </cfRule>
    <cfRule type="cellIs" dxfId="8" priority="23" operator="equal">
      <formula>"Leve"</formula>
    </cfRule>
  </conditionalFormatting>
  <conditionalFormatting sqref="AC16:AC17">
    <cfRule type="cellIs" dxfId="7" priority="15" operator="equal">
      <formula>"Extremo"</formula>
    </cfRule>
    <cfRule type="cellIs" dxfId="6" priority="16" operator="equal">
      <formula>"Alto"</formula>
    </cfRule>
    <cfRule type="cellIs" dxfId="5" priority="17" operator="equal">
      <formula>"Moderado"</formula>
    </cfRule>
    <cfRule type="cellIs" dxfId="4" priority="18" operator="equal">
      <formula>"Bajo"</formula>
    </cfRule>
  </conditionalFormatting>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20">
        <x14:dataValidation type="list" allowBlank="1" showInputMessage="1" showErrorMessage="1">
          <x14:formula1>
            <xm:f>'Opciones Tratamiento'!$B$9:$B$10</xm:f>
          </x14:formula1>
          <xm:sqref>AJ27 AJ21:AJ22 AJ24:AJ25 AJ29:AJ34 AJ12:AJ19</xm:sqref>
        </x14:dataValidation>
        <x14:dataValidation type="list" allowBlank="1" showInputMessage="1" showErrorMessage="1">
          <x14:formula1>
            <xm:f>'Opciones Tratamiento'!$B$13:$B$19</xm:f>
          </x14:formula1>
          <xm:sqref>F32 F34 F21:F27 F12:F19</xm:sqref>
        </x14:dataValidation>
        <x14:dataValidation type="list" allowBlank="1" showInputMessage="1" showErrorMessage="1">
          <x14:formula1>
            <xm:f>'Opciones Tratamiento'!$E$2:$E$4</xm:f>
          </x14:formula1>
          <xm:sqref>B32 B34 B21:B27 B12:B19</xm:sqref>
        </x14:dataValidation>
        <x14:dataValidation type="list" allowBlank="1" showInputMessage="1" showErrorMessage="1">
          <x14:formula1>
            <xm:f>'Tabla Impacto'!$F$210:$F$221</xm:f>
          </x14:formula1>
          <xm:sqref>J32 J34 J21:J27 J12:J19</xm:sqref>
        </x14:dataValidation>
        <x14:dataValidation type="custom" allowBlank="1" showInputMessage="1" showErrorMessage="1" error="Recuerde que las acciones se generan bajo la medida de mitigar el riesgo">
          <x14:formula1>
            <xm:f>IF(OR(AD14='Opciones Tratamiento'!$B$2,AD14='Opciones Tratamiento'!$B$3,AD14='Opciones Tratamiento'!$B$4),ISBLANK(AD14),ISTEXT(AD14))</xm:f>
          </x14:formula1>
          <xm:sqref>AE14:AE19 AE21:AE31</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AF12 AF21:AF33 AF14:AF19</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AG12:AG34</xm:sqref>
        </x14:dataValidation>
        <x14:dataValidation type="list" allowBlank="1" showInputMessage="1" showErrorMessage="1">
          <x14:formula1>
            <xm:f>'Tabla Valoración controles'!$D$4:$D$6</xm:f>
          </x14:formula1>
          <xm:sqref>R21:R34 R12:R19</xm:sqref>
        </x14:dataValidation>
        <x14:dataValidation type="list" allowBlank="1" showInputMessage="1" showErrorMessage="1">
          <x14:formula1>
            <xm:f>'Tabla Valoración controles'!$D$7:$D$8</xm:f>
          </x14:formula1>
          <xm:sqref>S21:S34 S12:S19</xm:sqref>
        </x14:dataValidation>
        <x14:dataValidation type="list" allowBlank="1" showInputMessage="1" showErrorMessage="1">
          <x14:formula1>
            <xm:f>'Tabla Valoración controles'!$D$9:$D$10</xm:f>
          </x14:formula1>
          <xm:sqref>U21:U34 U12:U19</xm:sqref>
        </x14:dataValidation>
        <x14:dataValidation type="list" allowBlank="1" showInputMessage="1" showErrorMessage="1">
          <x14:formula1>
            <xm:f>'Tabla Valoración controles'!$D$11:$D$12</xm:f>
          </x14:formula1>
          <xm:sqref>V21:V34 V12:V19</xm:sqref>
        </x14:dataValidation>
        <x14:dataValidation type="list" allowBlank="1" showInputMessage="1" showErrorMessage="1">
          <x14:formula1>
            <xm:f>'Tabla Valoración controles'!$D$13:$D$14</xm:f>
          </x14:formula1>
          <xm:sqref>W21:W34 W12:W19</xm:sqref>
        </x14:dataValidation>
        <x14:dataValidation type="list" allowBlank="1" showInputMessage="1" showErrorMessage="1">
          <x14:formula1>
            <xm:f>'Opciones Tratamiento'!$B$2:$B$5</xm:f>
          </x14:formula1>
          <xm:sqref>AD21:AD34 AD12:AD19</xm:sqref>
        </x14:dataValidation>
        <x14:dataValidation type="custom" allowBlank="1" showInputMessage="1" showErrorMessage="1" error="Recuerde que las acciones se generan bajo la medida de mitigar el riesgo">
          <x14:formula1>
            <xm:f>IF(OR(AD12='Opciones Tratamiento'!$B$2,AD12='Opciones Tratamiento'!$B$3,AD12='Opciones Tratamiento'!$B$4),ISBLANK(AD12),ISTEXT(AD12))</xm:f>
          </x14:formula1>
          <xm:sqref>AH12:AH34</xm:sqref>
        </x14:dataValidation>
        <x14:dataValidation type="custom" allowBlank="1" showInputMessage="1" showErrorMessage="1" error="Recuerde que las acciones se generan bajo la medida de mitigar el riesgo">
          <x14:formula1>
            <xm:f>IF(OR(AD14='Opciones Tratamiento'!$B$2,AD14='Opciones Tratamiento'!$B$3,AD14='Opciones Tratamiento'!$B$4),ISBLANK(AD14),ISTEXT(AD14))</xm:f>
          </x14:formula1>
          <xm:sqref>AI21:AI34 AI14:AI19</xm:sqref>
        </x14:dataValidation>
        <x14:dataValidation type="list" allowBlank="1" showInputMessage="1" showErrorMessage="1">
          <x14:formula1>
            <xm:f>'C:\Users\LENOVO\Desktop\Secretaria Administrativa\SEG. INSTRUMENTOS PLANIF Y CONTROL\2024\AJUSTE DE MAPAS E INDICADORES 2024\OK\[MR-SAD-01-V10_Mapa_riesgos_Administrativa_2024-OK.xlsx]Opciones Tratamiento'!#REF!</xm:f>
          </x14:formula1>
          <xm:sqref>AJ20 AD20 F20 B20</xm:sqref>
        </x14:dataValidation>
        <x14:dataValidation type="custom" allowBlank="1" showInputMessage="1" showErrorMessage="1" error="Recuerde que las acciones se generan bajo la medida de mitigar el riesgo">
          <x14:formula1>
            <xm:f>IF(OR(AD12='C:\Users\AUXTRIBUTARIA11\Downloads\[controles.xlsx]Opciones Tratamiento'!#REF!,AD12='C:\Users\AUXTRIBUTARIA11\Downloads\[controles.xlsx]Opciones Tratamiento'!#REF!,AD12='C:\Users\AUXTRIBUTARIA11\Downloads\[controles.xlsx]Opciones Tratamiento'!#REF!),ISBLANK(AD12),ISTEXT(AD12))</xm:f>
          </x14:formula1>
          <xm:sqref>AE12</xm:sqref>
        </x14:dataValidation>
        <x14:dataValidation type="list" allowBlank="1" showInputMessage="1" showErrorMessage="1">
          <x14:formula1>
            <xm:f>'C:\Users\LENOVO\Desktop\Secretaria Administrativa\SEG. INSTRUMENTOS PLANIF Y CONTROL\2024\AJUSTE DE MAPAS E INDICADORES 2024\OK\[MR-SAD-01-V10_Mapa_riesgos_Administrativa_2024-OK.xlsx]Tabla Valoración controles'!#REF!</xm:f>
          </x14:formula1>
          <xm:sqref>R20:S20 U20:W20</xm:sqref>
        </x14:dataValidation>
        <x14:dataValidation type="list" allowBlank="1" showInputMessage="1" showErrorMessage="1">
          <x14:formula1>
            <xm:f>'C:\Users\LENOVO\Desktop\Secretaria Administrativa\SEG. INSTRUMENTOS PLANIF Y CONTROL\2024\AJUSTE DE MAPAS E INDICADORES 2024\OK\[MR-SAD-01-V10_Mapa_riesgos_Administrativa_2024-OK.xlsx]Tabla Impacto'!#REF!</xm:f>
          </x14:formula1>
          <xm:sqref>J20</xm:sqref>
        </x14:dataValidation>
        <x14:dataValidation type="custom" allowBlank="1" showInputMessage="1" showErrorMessage="1" error="Recuerde que las acciones se generan bajo la medida de mitigar el riesgo">
          <x14:formula1>
            <xm:f>IF(OR(AD32='[MR-CUL-01-V10_Mapa_riesgos_Cultura_2023 (1).xlsx]Opciones Tratamiento'!#REF!,AD32='[MR-CUL-01-V10_Mapa_riesgos_Cultura_2023 (1).xlsx]Opciones Tratamiento'!#REF!,AD32='[MR-CUL-01-V10_Mapa_riesgos_Cultura_2023 (1).xlsx]Opciones Tratamiento'!#REF!),ISBLANK(AD32),ISTEXT(AD32))</xm:f>
          </x14:formula1>
          <xm:sqref>AE32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CU140"/>
  <sheetViews>
    <sheetView zoomScale="50" zoomScaleNormal="50" workbookViewId="0">
      <selection activeCell="V24" sqref="V24:W25"/>
    </sheetView>
  </sheetViews>
  <sheetFormatPr baseColWidth="10"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392" t="s">
        <v>160</v>
      </c>
      <c r="C2" s="392"/>
      <c r="D2" s="392"/>
      <c r="E2" s="392"/>
      <c r="F2" s="392"/>
      <c r="G2" s="392"/>
      <c r="H2" s="392"/>
      <c r="I2" s="392"/>
      <c r="J2" s="357" t="s">
        <v>2</v>
      </c>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392"/>
      <c r="C3" s="392"/>
      <c r="D3" s="392"/>
      <c r="E3" s="392"/>
      <c r="F3" s="392"/>
      <c r="G3" s="392"/>
      <c r="H3" s="392"/>
      <c r="I3" s="392"/>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392"/>
      <c r="C4" s="392"/>
      <c r="D4" s="392"/>
      <c r="E4" s="392"/>
      <c r="F4" s="392"/>
      <c r="G4" s="392"/>
      <c r="H4" s="392"/>
      <c r="I4" s="392"/>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302" t="s">
        <v>4</v>
      </c>
      <c r="C6" s="302"/>
      <c r="D6" s="303"/>
      <c r="E6" s="340" t="s">
        <v>116</v>
      </c>
      <c r="F6" s="341"/>
      <c r="G6" s="341"/>
      <c r="H6" s="341"/>
      <c r="I6" s="341"/>
      <c r="J6" s="353" t="str">
        <f ca="1">IF(AND('Mapa final'!$H$12="Muy Alta",'Mapa final'!$L$12="Leve"),CONCATENATE("R",'Mapa final'!$A$12),"")</f>
        <v/>
      </c>
      <c r="K6" s="354"/>
      <c r="L6" s="354" t="str">
        <f>IF(AND('Mapa final'!$H$13="Muy Alta",'Mapa final'!$L$13="Leve"),CONCATENATE("R",'Mapa final'!$A$13),"")</f>
        <v/>
      </c>
      <c r="M6" s="354"/>
      <c r="N6" s="354" t="str">
        <f ca="1">IF(AND('Mapa final'!$H$14="Muy Alta",'Mapa final'!$L$14="Leve"),CONCATENATE("R",'Mapa final'!$A$14),"")</f>
        <v/>
      </c>
      <c r="O6" s="356"/>
      <c r="P6" s="353" t="str">
        <f ca="1">IF(AND('Mapa final'!$H$12="Muy Alta",'Mapa final'!$L$12="Menor"),CONCATENATE("R",'Mapa final'!$A$12),"")</f>
        <v/>
      </c>
      <c r="Q6" s="354"/>
      <c r="R6" s="354" t="str">
        <f ca="1">IF(AND('Mapa final'!$H$14="Muy Alta",'Mapa final'!$L$14="Menor"),CONCATENATE("R",'Mapa final'!$A$14),"")</f>
        <v/>
      </c>
      <c r="S6" s="354"/>
      <c r="T6" s="354" t="str">
        <f ca="1">IF(AND('Mapa final'!$H$14="Muy Alta",'Mapa final'!$L$14="Menor"),CONCATENATE("R",'Mapa final'!$A$14),"")</f>
        <v/>
      </c>
      <c r="U6" s="356"/>
      <c r="V6" s="353" t="str">
        <f ca="1">IF(AND('Mapa final'!$H$12="Muy Alta",'Mapa final'!$L$12="Moderado"),CONCATENATE("R",'Mapa final'!$A$12),"")</f>
        <v/>
      </c>
      <c r="W6" s="354"/>
      <c r="X6" s="354" t="str">
        <f ca="1">IF(AND('Mapa final'!$H$14="Muy Alta",'Mapa final'!$L$14="Moderado"),CONCATENATE("R",'Mapa final'!$A$14),"")</f>
        <v/>
      </c>
      <c r="Y6" s="354"/>
      <c r="Z6" s="354" t="str">
        <f ca="1">IF(AND('Mapa final'!$H$14="Muy Alta",'Mapa final'!$L$14="Moderado"),CONCATENATE("R",'Mapa final'!$A$14),"")</f>
        <v/>
      </c>
      <c r="AA6" s="356"/>
      <c r="AB6" s="353" t="str">
        <f ca="1">IF(AND('Mapa final'!$H$12="Muy Alta",'Mapa final'!$L$12="Mayor"),CONCATENATE("R",'Mapa final'!$A$12),"")</f>
        <v/>
      </c>
      <c r="AC6" s="354"/>
      <c r="AD6" s="354" t="str">
        <f ca="1">IF(AND('Mapa final'!$H$14="Muy Alta",'Mapa final'!$L$14="Moderado"),CONCATENATE("R",'Mapa final'!$A$14),"")</f>
        <v/>
      </c>
      <c r="AE6" s="354"/>
      <c r="AF6" s="354" t="str">
        <f ca="1">IF(AND('Mapa final'!$H$14="Muy Alta",'Mapa final'!$L$14="Mayor"),CONCATENATE("R",'Mapa final'!$A$14),"")</f>
        <v/>
      </c>
      <c r="AG6" s="356"/>
      <c r="AH6" s="369" t="str">
        <f ca="1">IF(AND('Mapa final'!$H$12="Muy Alta",'Mapa final'!$L$12="Catastrófico"),CONCATENATE("R",'Mapa final'!$A$12),"")</f>
        <v/>
      </c>
      <c r="AI6" s="370"/>
      <c r="AJ6" s="370" t="str">
        <f ca="1">IF(AND('Mapa final'!$H$14="Muy Alta",'Mapa final'!$L$14="Catastrófico"),CONCATENATE("R",'Mapa final'!$A$14),"")</f>
        <v/>
      </c>
      <c r="AK6" s="370"/>
      <c r="AL6" s="370" t="str">
        <f ca="1">IF(AND('Mapa final'!$H$14="Muy Alta",'Mapa final'!$L$14="Catastrófico"),CONCATENATE("R",'Mapa final'!$A$14),"")</f>
        <v/>
      </c>
      <c r="AM6" s="371"/>
      <c r="AO6" s="304" t="s">
        <v>79</v>
      </c>
      <c r="AP6" s="305"/>
      <c r="AQ6" s="305"/>
      <c r="AR6" s="305"/>
      <c r="AS6" s="305"/>
      <c r="AT6" s="306"/>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302"/>
      <c r="C7" s="302"/>
      <c r="D7" s="303"/>
      <c r="E7" s="343"/>
      <c r="F7" s="344"/>
      <c r="G7" s="344"/>
      <c r="H7" s="344"/>
      <c r="I7" s="349"/>
      <c r="J7" s="355"/>
      <c r="K7" s="351"/>
      <c r="L7" s="351"/>
      <c r="M7" s="351"/>
      <c r="N7" s="351"/>
      <c r="O7" s="352"/>
      <c r="P7" s="355"/>
      <c r="Q7" s="351"/>
      <c r="R7" s="351"/>
      <c r="S7" s="351"/>
      <c r="T7" s="351"/>
      <c r="U7" s="352"/>
      <c r="V7" s="355"/>
      <c r="W7" s="351"/>
      <c r="X7" s="351"/>
      <c r="Y7" s="351"/>
      <c r="Z7" s="351"/>
      <c r="AA7" s="352"/>
      <c r="AB7" s="355"/>
      <c r="AC7" s="351"/>
      <c r="AD7" s="351"/>
      <c r="AE7" s="351"/>
      <c r="AF7" s="351"/>
      <c r="AG7" s="352"/>
      <c r="AH7" s="363"/>
      <c r="AI7" s="364"/>
      <c r="AJ7" s="364"/>
      <c r="AK7" s="364"/>
      <c r="AL7" s="364"/>
      <c r="AM7" s="365"/>
      <c r="AN7" s="84"/>
      <c r="AO7" s="307"/>
      <c r="AP7" s="308"/>
      <c r="AQ7" s="308"/>
      <c r="AR7" s="308"/>
      <c r="AS7" s="308"/>
      <c r="AT7" s="309"/>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302"/>
      <c r="C8" s="302"/>
      <c r="D8" s="303"/>
      <c r="E8" s="343"/>
      <c r="F8" s="344"/>
      <c r="G8" s="344"/>
      <c r="H8" s="344"/>
      <c r="I8" s="349"/>
      <c r="J8" s="355" t="str">
        <f ca="1">IF(AND('Mapa final'!$H$16="Muy Alta",'Mapa final'!$L$16="Leve"),CONCATENATE("R",'Mapa final'!$A$16),"")</f>
        <v/>
      </c>
      <c r="K8" s="351"/>
      <c r="L8" s="351" t="str">
        <f>IF(AND('Mapa final'!$H$17="Muy Alta",'Mapa final'!$L$17="Leve"),CONCATENATE("R",'Mapa final'!$A$17),"")</f>
        <v/>
      </c>
      <c r="M8" s="351"/>
      <c r="N8" s="351" t="str">
        <f ca="1">IF(AND('Mapa final'!$H$18="Muy Alta",'Mapa final'!$L$18="Leve"),CONCATENATE("R",'Mapa final'!$A$18),"")</f>
        <v/>
      </c>
      <c r="O8" s="352"/>
      <c r="P8" s="355" t="str">
        <f ca="1">IF(AND('Mapa final'!$H$16="Muy Alta",'Mapa final'!$L$16="Menor"),CONCATENATE("R",'Mapa final'!$A$16),"")</f>
        <v/>
      </c>
      <c r="Q8" s="351"/>
      <c r="R8" s="351" t="str">
        <f ca="1">IF(AND('Mapa final'!$H$18="Muy Alta",'Mapa final'!$L$18="Menor"),CONCATENATE("R",'Mapa final'!$A$18),"")</f>
        <v/>
      </c>
      <c r="S8" s="351"/>
      <c r="T8" s="351" t="str">
        <f ca="1">IF(AND('Mapa final'!$H$18="Muy Alta",'Mapa final'!$L$18="Menor"),CONCATENATE("R",'Mapa final'!$A$18),"")</f>
        <v/>
      </c>
      <c r="U8" s="352"/>
      <c r="V8" s="355" t="str">
        <f ca="1">IF(AND('Mapa final'!$H$16="Muy Alta",'Mapa final'!$L$16="Moderado"),CONCATENATE("R",'Mapa final'!$A$16),"")</f>
        <v/>
      </c>
      <c r="W8" s="351"/>
      <c r="X8" s="351" t="str">
        <f ca="1">IF(AND('Mapa final'!$H$18="Muy Alta",'Mapa final'!$L$18="Moderado"),CONCATENATE("R",'Mapa final'!$A$18),"")</f>
        <v/>
      </c>
      <c r="Y8" s="351"/>
      <c r="Z8" s="351" t="str">
        <f ca="1">IF(AND('Mapa final'!$H$18="Muy Alta",'Mapa final'!$L$18="Moderado"),CONCATENATE("R",'Mapa final'!$A$18),"")</f>
        <v/>
      </c>
      <c r="AA8" s="352"/>
      <c r="AB8" s="355" t="str">
        <f ca="1">IF(AND('Mapa final'!$H$16="Muy Alta",'Mapa final'!$L$16="Mayor"),CONCATENATE("R",'Mapa final'!$A$16),"")</f>
        <v/>
      </c>
      <c r="AC8" s="351"/>
      <c r="AD8" s="351" t="str">
        <f ca="1">IF(AND('Mapa final'!$H$18="Muy Alta",'Mapa final'!$L$18="Moderado"),CONCATENATE("R",'Mapa final'!$A$18),"")</f>
        <v/>
      </c>
      <c r="AE8" s="351"/>
      <c r="AF8" s="351" t="str">
        <f ca="1">IF(AND('Mapa final'!$H$18="Muy Alta",'Mapa final'!$L$18="Mayor"),CONCATENATE("R",'Mapa final'!$A$18),"")</f>
        <v/>
      </c>
      <c r="AG8" s="352"/>
      <c r="AH8" s="363" t="str">
        <f ca="1">IF(AND('Mapa final'!$H$16="Muy Alta",'Mapa final'!$L$16="Catastrófico"),CONCATENATE("R",'Mapa final'!$A$16),"")</f>
        <v/>
      </c>
      <c r="AI8" s="364"/>
      <c r="AJ8" s="364" t="str">
        <f ca="1">IF(AND('Mapa final'!$H$18="Muy Alta",'Mapa final'!$L$18="Catastrófico"),CONCATENATE("R",'Mapa final'!$A$18),"")</f>
        <v/>
      </c>
      <c r="AK8" s="364"/>
      <c r="AL8" s="364" t="str">
        <f ca="1">IF(AND('Mapa final'!$H$18="Muy Alta",'Mapa final'!$L$18="Catastrófico"),CONCATENATE("R",'Mapa final'!$A$18),"")</f>
        <v/>
      </c>
      <c r="AM8" s="365"/>
      <c r="AN8" s="84"/>
      <c r="AO8" s="307"/>
      <c r="AP8" s="308"/>
      <c r="AQ8" s="308"/>
      <c r="AR8" s="308"/>
      <c r="AS8" s="308"/>
      <c r="AT8" s="309"/>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302"/>
      <c r="C9" s="302"/>
      <c r="D9" s="303"/>
      <c r="E9" s="343"/>
      <c r="F9" s="344"/>
      <c r="G9" s="344"/>
      <c r="H9" s="344"/>
      <c r="I9" s="349"/>
      <c r="J9" s="355"/>
      <c r="K9" s="351"/>
      <c r="L9" s="351"/>
      <c r="M9" s="351"/>
      <c r="N9" s="351"/>
      <c r="O9" s="352"/>
      <c r="P9" s="355"/>
      <c r="Q9" s="351"/>
      <c r="R9" s="351"/>
      <c r="S9" s="351"/>
      <c r="T9" s="351"/>
      <c r="U9" s="352"/>
      <c r="V9" s="355"/>
      <c r="W9" s="351"/>
      <c r="X9" s="351"/>
      <c r="Y9" s="351"/>
      <c r="Z9" s="351"/>
      <c r="AA9" s="352"/>
      <c r="AB9" s="355"/>
      <c r="AC9" s="351"/>
      <c r="AD9" s="351"/>
      <c r="AE9" s="351"/>
      <c r="AF9" s="351"/>
      <c r="AG9" s="352"/>
      <c r="AH9" s="363"/>
      <c r="AI9" s="364"/>
      <c r="AJ9" s="364"/>
      <c r="AK9" s="364"/>
      <c r="AL9" s="364"/>
      <c r="AM9" s="365"/>
      <c r="AN9" s="84"/>
      <c r="AO9" s="307"/>
      <c r="AP9" s="308"/>
      <c r="AQ9" s="308"/>
      <c r="AR9" s="308"/>
      <c r="AS9" s="308"/>
      <c r="AT9" s="309"/>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302"/>
      <c r="C10" s="302"/>
      <c r="D10" s="303"/>
      <c r="E10" s="343"/>
      <c r="F10" s="344"/>
      <c r="G10" s="344"/>
      <c r="H10" s="344"/>
      <c r="I10" s="349"/>
      <c r="J10" s="355" t="str">
        <f>IF(AND('Mapa final'!$H$20="Muy Alta",'Mapa final'!$L$20="Leve"),CONCATENATE("R",'Mapa final'!$A$20),"")</f>
        <v/>
      </c>
      <c r="K10" s="351"/>
      <c r="L10" s="351" t="str">
        <f ca="1">IF(AND('Mapa final'!$H$21="Muy Alta",'Mapa final'!$L$21="Leve"),CONCATENATE("R",'Mapa final'!$A$21),"")</f>
        <v/>
      </c>
      <c r="M10" s="351"/>
      <c r="N10" s="351" t="str">
        <f ca="1">IF(AND('Mapa final'!$H$27="Muy Alta",'Mapa final'!$L$27="Leve"),CONCATENATE("R",'Mapa final'!$A$27),"")</f>
        <v/>
      </c>
      <c r="O10" s="352"/>
      <c r="P10" s="355" t="str">
        <f>IF(AND('Mapa final'!$H$20="Muy Alta",'Mapa final'!$L$20="Menor"),CONCATENATE("R",'Mapa final'!$A$20),"")</f>
        <v/>
      </c>
      <c r="Q10" s="351"/>
      <c r="R10" s="351" t="str">
        <f ca="1">IF(AND('Mapa final'!$H$21="Muy Alta",'Mapa final'!$L$21="Menor"),CONCATENATE("R",'Mapa final'!$A$21),"")</f>
        <v/>
      </c>
      <c r="S10" s="351"/>
      <c r="T10" s="351" t="str">
        <f ca="1">IF(AND('Mapa final'!$H$27="Muy Alta",'Mapa final'!$L$27="Menor"),CONCATENATE("R",'Mapa final'!$A$27),"")</f>
        <v/>
      </c>
      <c r="U10" s="352"/>
      <c r="V10" s="355" t="str">
        <f>IF(AND('Mapa final'!$H$20="Muy Alta",'Mapa final'!$L$20="Moderado"),CONCATENATE("R",'Mapa final'!$A$20),"")</f>
        <v/>
      </c>
      <c r="W10" s="351"/>
      <c r="X10" s="351" t="str">
        <f ca="1">IF(AND('Mapa final'!$H$21="Muy Alta",'Mapa final'!$L$21="Moderado"),CONCATENATE("R",'Mapa final'!$A$21),"")</f>
        <v/>
      </c>
      <c r="Y10" s="351"/>
      <c r="Z10" s="351" t="str">
        <f ca="1">IF(AND('Mapa final'!$H$27="Muy Alta",'Mapa final'!$L$27="Moderado"),CONCATENATE("R",'Mapa final'!$A$27),"")</f>
        <v/>
      </c>
      <c r="AA10" s="352"/>
      <c r="AB10" s="355" t="str">
        <f>IF(AND('Mapa final'!$H$20="Muy Alta",'Mapa final'!$L$20="Mayor"),CONCATENATE("R",'Mapa final'!$A$20),"")</f>
        <v/>
      </c>
      <c r="AC10" s="351"/>
      <c r="AD10" s="351" t="str">
        <f ca="1">IF(AND('Mapa final'!$H$21="Muy Alta",'Mapa final'!$L$21="Mayor"),CONCATENATE("R",'Mapa final'!$A$21),"")</f>
        <v/>
      </c>
      <c r="AE10" s="351"/>
      <c r="AF10" s="351" t="str">
        <f ca="1">IF(AND('Mapa final'!$H$27="Muy Alta",'Mapa final'!$L$27="Mayor"),CONCATENATE("R",'Mapa final'!$A$27),"")</f>
        <v/>
      </c>
      <c r="AG10" s="352"/>
      <c r="AH10" s="363" t="str">
        <f>IF(AND('Mapa final'!$H$20="Muy Alta",'Mapa final'!$L$20="Catastrófico"),CONCATENATE("R",'Mapa final'!$A$20),"")</f>
        <v/>
      </c>
      <c r="AI10" s="364"/>
      <c r="AJ10" s="364" t="str">
        <f ca="1">IF(AND('Mapa final'!$H$21="Muy Alta",'Mapa final'!$L$21="Catastrófico"),CONCATENATE("R",'Mapa final'!$A$21),"")</f>
        <v/>
      </c>
      <c r="AK10" s="364"/>
      <c r="AL10" s="364" t="str">
        <f ca="1">IF(AND('Mapa final'!$H$27="Muy Alta",'Mapa final'!$L$27="Catastrófico"),CONCATENATE("R",'Mapa final'!$A$27),"")</f>
        <v/>
      </c>
      <c r="AM10" s="365"/>
      <c r="AN10" s="84"/>
      <c r="AO10" s="307"/>
      <c r="AP10" s="308"/>
      <c r="AQ10" s="308"/>
      <c r="AR10" s="308"/>
      <c r="AS10" s="308"/>
      <c r="AT10" s="309"/>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302"/>
      <c r="C11" s="302"/>
      <c r="D11" s="303"/>
      <c r="E11" s="343"/>
      <c r="F11" s="344"/>
      <c r="G11" s="344"/>
      <c r="H11" s="344"/>
      <c r="I11" s="349"/>
      <c r="J11" s="355"/>
      <c r="K11" s="351"/>
      <c r="L11" s="351"/>
      <c r="M11" s="351"/>
      <c r="N11" s="351"/>
      <c r="O11" s="352"/>
      <c r="P11" s="355"/>
      <c r="Q11" s="351"/>
      <c r="R11" s="351"/>
      <c r="S11" s="351"/>
      <c r="T11" s="351"/>
      <c r="U11" s="352"/>
      <c r="V11" s="355"/>
      <c r="W11" s="351"/>
      <c r="X11" s="351"/>
      <c r="Y11" s="351"/>
      <c r="Z11" s="351"/>
      <c r="AA11" s="352"/>
      <c r="AB11" s="355"/>
      <c r="AC11" s="351"/>
      <c r="AD11" s="351"/>
      <c r="AE11" s="351"/>
      <c r="AF11" s="351"/>
      <c r="AG11" s="352"/>
      <c r="AH11" s="363"/>
      <c r="AI11" s="364"/>
      <c r="AJ11" s="364"/>
      <c r="AK11" s="364"/>
      <c r="AL11" s="364"/>
      <c r="AM11" s="365"/>
      <c r="AN11" s="84"/>
      <c r="AO11" s="307"/>
      <c r="AP11" s="308"/>
      <c r="AQ11" s="308"/>
      <c r="AR11" s="308"/>
      <c r="AS11" s="308"/>
      <c r="AT11" s="309"/>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302"/>
      <c r="C12" s="302"/>
      <c r="D12" s="303"/>
      <c r="E12" s="343"/>
      <c r="F12" s="344"/>
      <c r="G12" s="344"/>
      <c r="H12" s="344"/>
      <c r="I12" s="349"/>
      <c r="J12" s="355" t="str">
        <f ca="1">IF(AND('Mapa final'!$H$34="Muy Alta",'Mapa final'!$L$34="Leve"),CONCATENATE("R",'Mapa final'!$A$34),"")</f>
        <v/>
      </c>
      <c r="K12" s="351"/>
      <c r="L12" s="351" t="str">
        <f>IF(AND('Mapa final'!$H$35="Muy Alta",'Mapa final'!$L$35="Leve"),CONCATENATE("R",'Mapa final'!$A$35),"")</f>
        <v/>
      </c>
      <c r="M12" s="351"/>
      <c r="N12" s="351" t="str">
        <f>IF(AND('Mapa final'!$H$41="Muy Alta",'Mapa final'!$L$41="Leve"),CONCATENATE("R",'Mapa final'!$A$41),"")</f>
        <v/>
      </c>
      <c r="O12" s="352"/>
      <c r="P12" s="355" t="str">
        <f ca="1">IF(AND('Mapa final'!$H$34="Muy Alta",'Mapa final'!$L$34="Menor"),CONCATENATE("R",'Mapa final'!$A$34),"")</f>
        <v/>
      </c>
      <c r="Q12" s="351"/>
      <c r="R12" s="351" t="str">
        <f>IF(AND('Mapa final'!$H$35="Muy Alta",'Mapa final'!$L$35="Menor"),CONCATENATE("R",'Mapa final'!$A$35),"")</f>
        <v/>
      </c>
      <c r="S12" s="351"/>
      <c r="T12" s="351" t="str">
        <f>IF(AND('Mapa final'!$H$41="Muy Alta",'Mapa final'!$L$41="Menor"),CONCATENATE("R",'Mapa final'!$A$41),"")</f>
        <v/>
      </c>
      <c r="U12" s="352"/>
      <c r="V12" s="355" t="str">
        <f ca="1">IF(AND('Mapa final'!$H$34="Muy Alta",'Mapa final'!$L$34="Moderado"),CONCATENATE("R",'Mapa final'!$A$34),"")</f>
        <v/>
      </c>
      <c r="W12" s="351"/>
      <c r="X12" s="351" t="str">
        <f>IF(AND('Mapa final'!$H$35="Muy Alta",'Mapa final'!$L$35="Moderado"),CONCATENATE("R",'Mapa final'!$A$35),"")</f>
        <v/>
      </c>
      <c r="Y12" s="351"/>
      <c r="Z12" s="351" t="str">
        <f>IF(AND('Mapa final'!$H$41="Muy Alta",'Mapa final'!$L$41="Moderado"),CONCATENATE("R",'Mapa final'!$A$41),"")</f>
        <v/>
      </c>
      <c r="AA12" s="352"/>
      <c r="AB12" s="355" t="str">
        <f ca="1">IF(AND('Mapa final'!$H$34="Muy Alta",'Mapa final'!$L$34="Mayor"),CONCATENATE("R",'Mapa final'!$A$34),"")</f>
        <v/>
      </c>
      <c r="AC12" s="351"/>
      <c r="AD12" s="351" t="str">
        <f>IF(AND('Mapa final'!$H$35="Muy Alta",'Mapa final'!$L$35="Mayor"),CONCATENATE("R",'Mapa final'!$A$35),"")</f>
        <v/>
      </c>
      <c r="AE12" s="351"/>
      <c r="AF12" s="351" t="str">
        <f>IF(AND('Mapa final'!$H$41="Muy Alta",'Mapa final'!$L$41="Mayor"),CONCATENATE("R",'Mapa final'!$A$41),"")</f>
        <v/>
      </c>
      <c r="AG12" s="352"/>
      <c r="AH12" s="363" t="str">
        <f ca="1">IF(AND('Mapa final'!$H$34="Muy Alta",'Mapa final'!$L$34="Catastrófico"),CONCATENATE("R",'Mapa final'!$A$34),"")</f>
        <v/>
      </c>
      <c r="AI12" s="364"/>
      <c r="AJ12" s="364" t="str">
        <f>IF(AND('Mapa final'!$H$35="Muy Alta",'Mapa final'!$L$35="Catastrófico"),CONCATENATE("R",'Mapa final'!$A$35),"")</f>
        <v/>
      </c>
      <c r="AK12" s="364"/>
      <c r="AL12" s="364" t="str">
        <f>IF(AND('Mapa final'!$H$41="Muy Alta",'Mapa final'!$L$41="Catastrófico"),CONCATENATE("R",'Mapa final'!$A$41),"")</f>
        <v/>
      </c>
      <c r="AM12" s="365"/>
      <c r="AN12" s="84"/>
      <c r="AO12" s="307"/>
      <c r="AP12" s="308"/>
      <c r="AQ12" s="308"/>
      <c r="AR12" s="308"/>
      <c r="AS12" s="308"/>
      <c r="AT12" s="309"/>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302"/>
      <c r="C13" s="302"/>
      <c r="D13" s="303"/>
      <c r="E13" s="346"/>
      <c r="F13" s="347"/>
      <c r="G13" s="347"/>
      <c r="H13" s="347"/>
      <c r="I13" s="347"/>
      <c r="J13" s="355"/>
      <c r="K13" s="351"/>
      <c r="L13" s="351"/>
      <c r="M13" s="351"/>
      <c r="N13" s="351"/>
      <c r="O13" s="352"/>
      <c r="P13" s="355"/>
      <c r="Q13" s="351"/>
      <c r="R13" s="351"/>
      <c r="S13" s="351"/>
      <c r="T13" s="351"/>
      <c r="U13" s="352"/>
      <c r="V13" s="359"/>
      <c r="W13" s="360"/>
      <c r="X13" s="360"/>
      <c r="Y13" s="360"/>
      <c r="Z13" s="360"/>
      <c r="AA13" s="361"/>
      <c r="AB13" s="359"/>
      <c r="AC13" s="360"/>
      <c r="AD13" s="360"/>
      <c r="AE13" s="360"/>
      <c r="AF13" s="360"/>
      <c r="AG13" s="361"/>
      <c r="AH13" s="366"/>
      <c r="AI13" s="367"/>
      <c r="AJ13" s="367"/>
      <c r="AK13" s="367"/>
      <c r="AL13" s="367"/>
      <c r="AM13" s="368"/>
      <c r="AN13" s="84"/>
      <c r="AO13" s="310"/>
      <c r="AP13" s="311"/>
      <c r="AQ13" s="311"/>
      <c r="AR13" s="311"/>
      <c r="AS13" s="311"/>
      <c r="AT13" s="312"/>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302"/>
      <c r="C14" s="302"/>
      <c r="D14" s="303"/>
      <c r="E14" s="340" t="s">
        <v>115</v>
      </c>
      <c r="F14" s="341"/>
      <c r="G14" s="341"/>
      <c r="H14" s="341"/>
      <c r="I14" s="341"/>
      <c r="J14" s="379" t="str">
        <f ca="1">IF(AND('Mapa final'!$H$12="Alta",'Mapa final'!$L$12="Leve"),CONCATENATE("R",'Mapa final'!$A$12),"")</f>
        <v/>
      </c>
      <c r="K14" s="380"/>
      <c r="L14" s="380" t="str">
        <f ca="1">IF(AND('Mapa final'!$H$14="Alta",'Mapa final'!$L$14="Leve"),CONCATENATE("R",'Mapa final'!$A$14),"")</f>
        <v/>
      </c>
      <c r="M14" s="380"/>
      <c r="N14" s="380" t="str">
        <f ca="1">IF(AND('Mapa final'!$H$14="Alta",'Mapa final'!$L$14="Leve"),CONCATENATE("R",'Mapa final'!$A$14),"")</f>
        <v/>
      </c>
      <c r="O14" s="381"/>
      <c r="P14" s="379" t="str">
        <f ca="1">IF(AND('Mapa final'!$H$12="Alta",'Mapa final'!$L$12="Menor"),CONCATENATE("R",'Mapa final'!$A$12),"")</f>
        <v/>
      </c>
      <c r="Q14" s="380"/>
      <c r="R14" s="380" t="str">
        <f ca="1">IF(AND('Mapa final'!$H$14="Alta",'Mapa final'!$L$14="Leve"),CONCATENATE("R",'Mapa final'!$A$14),"")</f>
        <v/>
      </c>
      <c r="S14" s="380"/>
      <c r="T14" s="380" t="str">
        <f ca="1">IF(AND('Mapa final'!$H$14="Alta",'Mapa final'!$L$14="Menor"),CONCATENATE("R",'Mapa final'!$A$14),"")</f>
        <v/>
      </c>
      <c r="U14" s="381"/>
      <c r="V14" s="351" t="str">
        <f ca="1">IF(AND('Mapa final'!$H$12="Alta",'Mapa final'!$L$12="Moderado"),CONCATENATE("R",'Mapa final'!$A$12),"")</f>
        <v/>
      </c>
      <c r="W14" s="351"/>
      <c r="X14" s="351" t="str">
        <f ca="1">IF(AND('Mapa final'!$H$14="Alta",'Mapa final'!$L$14="Mayor"),CONCATENATE("R",'Mapa final'!$A$14),"")</f>
        <v/>
      </c>
      <c r="Y14" s="351"/>
      <c r="Z14" s="351" t="str">
        <f ca="1">IF(AND('Mapa final'!$H$14="Alta",'Mapa final'!$L$14="Moderado"),CONCATENATE("R",'Mapa final'!$A$14),"")</f>
        <v/>
      </c>
      <c r="AA14" s="352"/>
      <c r="AB14" s="355" t="str">
        <f ca="1">IF(AND('Mapa final'!$H$12="Alta",'Mapa final'!$L$12="Mayor"),CONCATENATE("R",'Mapa final'!$A$12),"")</f>
        <v/>
      </c>
      <c r="AC14" s="351"/>
      <c r="AD14" s="351" t="str">
        <f ca="1">IF(AND('Mapa final'!$H$14="Alta",'Mapa final'!$L$14="Mayor"),CONCATENATE("R",'Mapa final'!$A$14),"")</f>
        <v/>
      </c>
      <c r="AE14" s="351"/>
      <c r="AF14" s="351" t="str">
        <f ca="1">IF(AND('Mapa final'!$H$14="Alta",'Mapa final'!$L$14="Mayor"),CONCATENATE("R",'Mapa final'!$A$14),"")</f>
        <v/>
      </c>
      <c r="AG14" s="352"/>
      <c r="AH14" s="363" t="str">
        <f ca="1">IF(AND('Mapa final'!$H$12="Alta",'Mapa final'!$L$12="Catastrófico"),CONCATENATE("R",'Mapa final'!$A$12),"")</f>
        <v/>
      </c>
      <c r="AI14" s="364"/>
      <c r="AJ14" s="364" t="str">
        <f ca="1">IF(AND('Mapa final'!$H$14="Muy Alta",'Mapa final'!$L$14="Catastrófico"),CONCATENATE("R",'Mapa final'!$A$14),"")</f>
        <v/>
      </c>
      <c r="AK14" s="364"/>
      <c r="AL14" s="364" t="str">
        <f ca="1">IF(AND('Mapa final'!$H$14="Alta",'Mapa final'!$L$14="Catastrófico"),CONCATENATE("R",'Mapa final'!$A$14),"")</f>
        <v/>
      </c>
      <c r="AM14" s="365"/>
      <c r="AN14" s="84"/>
      <c r="AO14" s="313" t="s">
        <v>80</v>
      </c>
      <c r="AP14" s="314"/>
      <c r="AQ14" s="314"/>
      <c r="AR14" s="314"/>
      <c r="AS14" s="314"/>
      <c r="AT14" s="315"/>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302"/>
      <c r="C15" s="302"/>
      <c r="D15" s="303"/>
      <c r="E15" s="343"/>
      <c r="F15" s="344"/>
      <c r="G15" s="344"/>
      <c r="H15" s="344"/>
      <c r="I15" s="344"/>
      <c r="J15" s="373"/>
      <c r="K15" s="374"/>
      <c r="L15" s="374"/>
      <c r="M15" s="374"/>
      <c r="N15" s="374"/>
      <c r="O15" s="375"/>
      <c r="P15" s="373"/>
      <c r="Q15" s="374"/>
      <c r="R15" s="374"/>
      <c r="S15" s="374"/>
      <c r="T15" s="374"/>
      <c r="U15" s="375"/>
      <c r="V15" s="351"/>
      <c r="W15" s="362"/>
      <c r="X15" s="351"/>
      <c r="Y15" s="351"/>
      <c r="Z15" s="362"/>
      <c r="AA15" s="352"/>
      <c r="AB15" s="355"/>
      <c r="AC15" s="362"/>
      <c r="AD15" s="351"/>
      <c r="AE15" s="351"/>
      <c r="AF15" s="362"/>
      <c r="AG15" s="352"/>
      <c r="AH15" s="363"/>
      <c r="AI15" s="372"/>
      <c r="AJ15" s="364"/>
      <c r="AK15" s="364"/>
      <c r="AL15" s="372"/>
      <c r="AM15" s="365"/>
      <c r="AN15" s="84"/>
      <c r="AO15" s="316"/>
      <c r="AP15" s="317"/>
      <c r="AQ15" s="317"/>
      <c r="AR15" s="317"/>
      <c r="AS15" s="317"/>
      <c r="AT15" s="318"/>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302"/>
      <c r="C16" s="302"/>
      <c r="D16" s="303"/>
      <c r="E16" s="343"/>
      <c r="F16" s="344"/>
      <c r="G16" s="344"/>
      <c r="H16" s="344"/>
      <c r="I16" s="344"/>
      <c r="J16" s="373" t="str">
        <f ca="1">IF(AND('Mapa final'!$H$16="Alta",'Mapa final'!$L$16="Leve"),CONCATENATE("R",'Mapa final'!$A$16),"")</f>
        <v/>
      </c>
      <c r="K16" s="374"/>
      <c r="L16" s="374" t="str">
        <f ca="1">IF(AND('Mapa final'!$H$18="Alta",'Mapa final'!$L$18="Leve"),CONCATENATE("R",'Mapa final'!$A$18),"")</f>
        <v/>
      </c>
      <c r="M16" s="374"/>
      <c r="N16" s="374" t="str">
        <f ca="1">IF(AND('Mapa final'!$H$18="Alta",'Mapa final'!$L$18="Leve"),CONCATENATE("R",'Mapa final'!$A$18),"")</f>
        <v/>
      </c>
      <c r="O16" s="375"/>
      <c r="P16" s="373" t="str">
        <f ca="1">IF(AND('Mapa final'!$H$16="Alta",'Mapa final'!$L$16="Menor"),CONCATENATE("R",'Mapa final'!$A$16),"")</f>
        <v/>
      </c>
      <c r="Q16" s="374"/>
      <c r="R16" s="374" t="str">
        <f ca="1">IF(AND('Mapa final'!$H$18="Alta",'Mapa final'!$L$18="Leve"),CONCATENATE("R",'Mapa final'!$A$18),"")</f>
        <v/>
      </c>
      <c r="S16" s="374"/>
      <c r="T16" s="374" t="str">
        <f ca="1">IF(AND('Mapa final'!$H$18="Alta",'Mapa final'!$L$18="Menor"),CONCATENATE("R",'Mapa final'!$A$18),"")</f>
        <v/>
      </c>
      <c r="U16" s="375"/>
      <c r="V16" s="351" t="str">
        <f ca="1">IF(AND('Mapa final'!$H$16="Alta",'Mapa final'!$L$16="Moderado"),CONCATENATE("R",'Mapa final'!$A$16),"")</f>
        <v/>
      </c>
      <c r="W16" s="362"/>
      <c r="X16" s="351" t="str">
        <f ca="1">IF(AND('Mapa final'!$H$18="Alta",'Mapa final'!$L$18="Mayor"),CONCATENATE("R",'Mapa final'!$A$18),"")</f>
        <v/>
      </c>
      <c r="Y16" s="351"/>
      <c r="Z16" s="362" t="str">
        <f ca="1">IF(AND('Mapa final'!$H$18="Alta",'Mapa final'!$L$18="Moderado"),CONCATENATE("R",'Mapa final'!$A$18),"")</f>
        <v/>
      </c>
      <c r="AA16" s="352"/>
      <c r="AB16" s="355" t="str">
        <f ca="1">IF(AND('Mapa final'!$H$16="Alta",'Mapa final'!$L$16="Mayor"),CONCATENATE("R",'Mapa final'!$A$16),"")</f>
        <v/>
      </c>
      <c r="AC16" s="362"/>
      <c r="AD16" s="351" t="str">
        <f ca="1">IF(AND('Mapa final'!$H$18="Alta",'Mapa final'!$L$18="Mayor"),CONCATENATE("R",'Mapa final'!$A$18),"")</f>
        <v/>
      </c>
      <c r="AE16" s="351"/>
      <c r="AF16" s="362" t="str">
        <f ca="1">IF(AND('Mapa final'!$H$18="Alta",'Mapa final'!$L$18="Mayor"),CONCATENATE("R",'Mapa final'!$A$18),"")</f>
        <v/>
      </c>
      <c r="AG16" s="352"/>
      <c r="AH16" s="363" t="str">
        <f ca="1">IF(AND('Mapa final'!$H$16="Alta",'Mapa final'!$L$16="Catastrófico"),CONCATENATE("R",'Mapa final'!$A$16),"")</f>
        <v/>
      </c>
      <c r="AI16" s="372"/>
      <c r="AJ16" s="364" t="str">
        <f ca="1">IF(AND('Mapa final'!$H$18="Muy Alta",'Mapa final'!$L$18="Catastrófico"),CONCATENATE("R",'Mapa final'!$A$18),"")</f>
        <v/>
      </c>
      <c r="AK16" s="364"/>
      <c r="AL16" s="372" t="str">
        <f ca="1">IF(AND('Mapa final'!$H$18="Alta",'Mapa final'!$L$18="Catastrófico"),CONCATENATE("R",'Mapa final'!$A$18),"")</f>
        <v/>
      </c>
      <c r="AM16" s="365"/>
      <c r="AN16" s="84"/>
      <c r="AO16" s="316"/>
      <c r="AP16" s="317"/>
      <c r="AQ16" s="317"/>
      <c r="AR16" s="317"/>
      <c r="AS16" s="317"/>
      <c r="AT16" s="318"/>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302"/>
      <c r="C17" s="302"/>
      <c r="D17" s="303"/>
      <c r="E17" s="343"/>
      <c r="F17" s="344"/>
      <c r="G17" s="344"/>
      <c r="H17" s="344"/>
      <c r="I17" s="344"/>
      <c r="J17" s="373"/>
      <c r="K17" s="374"/>
      <c r="L17" s="374"/>
      <c r="M17" s="374"/>
      <c r="N17" s="374"/>
      <c r="O17" s="375"/>
      <c r="P17" s="373"/>
      <c r="Q17" s="374"/>
      <c r="R17" s="374"/>
      <c r="S17" s="374"/>
      <c r="T17" s="374"/>
      <c r="U17" s="375"/>
      <c r="V17" s="351"/>
      <c r="W17" s="362"/>
      <c r="X17" s="351"/>
      <c r="Y17" s="351"/>
      <c r="Z17" s="362"/>
      <c r="AA17" s="352"/>
      <c r="AB17" s="355"/>
      <c r="AC17" s="362"/>
      <c r="AD17" s="351"/>
      <c r="AE17" s="351"/>
      <c r="AF17" s="362"/>
      <c r="AG17" s="352"/>
      <c r="AH17" s="363"/>
      <c r="AI17" s="372"/>
      <c r="AJ17" s="364"/>
      <c r="AK17" s="364"/>
      <c r="AL17" s="372"/>
      <c r="AM17" s="365"/>
      <c r="AN17" s="84"/>
      <c r="AO17" s="316"/>
      <c r="AP17" s="317"/>
      <c r="AQ17" s="317"/>
      <c r="AR17" s="317"/>
      <c r="AS17" s="317"/>
      <c r="AT17" s="31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302"/>
      <c r="C18" s="302"/>
      <c r="D18" s="303"/>
      <c r="E18" s="343"/>
      <c r="F18" s="344"/>
      <c r="G18" s="344"/>
      <c r="H18" s="344"/>
      <c r="I18" s="344"/>
      <c r="J18" s="373" t="str">
        <f>IF(AND('Mapa final'!$H$20="Alta",'Mapa final'!$L$20="Leve"),CONCATENATE("R",'Mapa final'!$A$20),"")</f>
        <v/>
      </c>
      <c r="K18" s="374"/>
      <c r="L18" s="374" t="str">
        <f ca="1">IF(AND('Mapa final'!$H$21="Alta",'Mapa final'!$L$21="Leve"),CONCATENATE("R",'Mapa final'!$A$21),"")</f>
        <v/>
      </c>
      <c r="M18" s="374"/>
      <c r="N18" s="374" t="str">
        <f ca="1">IF(AND('Mapa final'!$H$27="Alta",'Mapa final'!$L$27="Leve"),CONCATENATE("R",'Mapa final'!$A$27),"")</f>
        <v/>
      </c>
      <c r="O18" s="375"/>
      <c r="P18" s="373" t="str">
        <f>IF(AND('Mapa final'!$H$20="Alta",'Mapa final'!$L$20="Menor"),CONCATENATE("R",'Mapa final'!$A$20),"")</f>
        <v/>
      </c>
      <c r="Q18" s="374"/>
      <c r="R18" s="374" t="str">
        <f ca="1">IF(AND('Mapa final'!$H$21="Alta",'Mapa final'!$L$21="Menor"),CONCATENATE("R",'Mapa final'!$A$21),"")</f>
        <v/>
      </c>
      <c r="S18" s="374"/>
      <c r="T18" s="374" t="str">
        <f ca="1">IF(AND('Mapa final'!$H$27="Alta",'Mapa final'!$L$27="Menor"),CONCATENATE("R",'Mapa final'!$A$27),"")</f>
        <v/>
      </c>
      <c r="U18" s="375"/>
      <c r="V18" s="351" t="str">
        <f>IF(AND('Mapa final'!$H$20="Alta",'Mapa final'!$L$20="Moderado"),CONCATENATE("R",'Mapa final'!$A$20),"")</f>
        <v/>
      </c>
      <c r="W18" s="362"/>
      <c r="X18" s="362" t="str">
        <f ca="1">IF(AND('Mapa final'!$H$21="Alta",'Mapa final'!$L$21="Moderado"),CONCATENATE("R",'Mapa final'!$A$21),"")</f>
        <v/>
      </c>
      <c r="Y18" s="362"/>
      <c r="Z18" s="362" t="str">
        <f ca="1">IF(AND('Mapa final'!$H$27="Alta",'Mapa final'!$L$27="Moderado"),CONCATENATE("R",'Mapa final'!$A$27),"")</f>
        <v/>
      </c>
      <c r="AA18" s="362"/>
      <c r="AB18" s="355" t="str">
        <f>IF(AND('Mapa final'!$H$20="Alta",'Mapa final'!$L$20="Mayor"),CONCATENATE("R",'Mapa final'!$A$20),"")</f>
        <v/>
      </c>
      <c r="AC18" s="362"/>
      <c r="AD18" s="362" t="str">
        <f ca="1">IF(AND('Mapa final'!$H$21="Alta",'Mapa final'!$L$21="Mayor"),CONCATENATE("R",'Mapa final'!$A$21),"")</f>
        <v/>
      </c>
      <c r="AE18" s="362"/>
      <c r="AF18" s="362" t="str">
        <f ca="1">IF(AND('Mapa final'!$H$27="Alta",'Mapa final'!$L$27="Mayor"),CONCATENATE("R",'Mapa final'!$A$27),"")</f>
        <v/>
      </c>
      <c r="AG18" s="362"/>
      <c r="AH18" s="363" t="str">
        <f>IF(AND('Mapa final'!$H$20="Alta",'Mapa final'!$L$20="Catastrófico"),CONCATENATE("R",'Mapa final'!$A$20),"")</f>
        <v/>
      </c>
      <c r="AI18" s="372"/>
      <c r="AJ18" s="372" t="str">
        <f ca="1">IF(AND('Mapa final'!$H$21="Alta",'Mapa final'!$L$21="Catastrófico"),CONCATENATE("R",'Mapa final'!$A$21),"")</f>
        <v/>
      </c>
      <c r="AK18" s="372"/>
      <c r="AL18" s="372" t="str">
        <f ca="1">IF(AND('Mapa final'!$H$27="Alta",'Mapa final'!$L$27="Catastrófico"),CONCATENATE("R",'Mapa final'!$A$27),"")</f>
        <v/>
      </c>
      <c r="AM18" s="365"/>
      <c r="AN18" s="84"/>
      <c r="AO18" s="316"/>
      <c r="AP18" s="317"/>
      <c r="AQ18" s="317"/>
      <c r="AR18" s="317"/>
      <c r="AS18" s="317"/>
      <c r="AT18" s="31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302"/>
      <c r="C19" s="302"/>
      <c r="D19" s="303"/>
      <c r="E19" s="343"/>
      <c r="F19" s="344"/>
      <c r="G19" s="344"/>
      <c r="H19" s="344"/>
      <c r="I19" s="344"/>
      <c r="J19" s="373"/>
      <c r="K19" s="374"/>
      <c r="L19" s="374"/>
      <c r="M19" s="374"/>
      <c r="N19" s="374"/>
      <c r="O19" s="375"/>
      <c r="P19" s="373"/>
      <c r="Q19" s="374"/>
      <c r="R19" s="374"/>
      <c r="S19" s="374"/>
      <c r="T19" s="374"/>
      <c r="U19" s="375"/>
      <c r="V19" s="351"/>
      <c r="W19" s="362"/>
      <c r="X19" s="362"/>
      <c r="Y19" s="362"/>
      <c r="Z19" s="362"/>
      <c r="AA19" s="362"/>
      <c r="AB19" s="355"/>
      <c r="AC19" s="362"/>
      <c r="AD19" s="362"/>
      <c r="AE19" s="362"/>
      <c r="AF19" s="362"/>
      <c r="AG19" s="362"/>
      <c r="AH19" s="363"/>
      <c r="AI19" s="372"/>
      <c r="AJ19" s="372"/>
      <c r="AK19" s="372"/>
      <c r="AL19" s="372"/>
      <c r="AM19" s="365"/>
      <c r="AN19" s="84"/>
      <c r="AO19" s="316"/>
      <c r="AP19" s="317"/>
      <c r="AQ19" s="317"/>
      <c r="AR19" s="317"/>
      <c r="AS19" s="317"/>
      <c r="AT19" s="31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302"/>
      <c r="C20" s="302"/>
      <c r="D20" s="303"/>
      <c r="E20" s="343"/>
      <c r="F20" s="344"/>
      <c r="G20" s="344"/>
      <c r="H20" s="344"/>
      <c r="I20" s="344"/>
      <c r="J20" s="373" t="str">
        <f ca="1">IF(AND('Mapa final'!$H$34="Alta",'Mapa final'!$L$34="Leve"),CONCATENATE("R",'Mapa final'!$A$34),"")</f>
        <v/>
      </c>
      <c r="K20" s="374"/>
      <c r="L20" s="374" t="str">
        <f>IF(AND('Mapa final'!$H$35="Alta",'Mapa final'!$L$35="Leve"),CONCATENATE("R",'Mapa final'!$A$35),"")</f>
        <v/>
      </c>
      <c r="M20" s="374"/>
      <c r="N20" s="374" t="str">
        <f>IF(AND('Mapa final'!$H$41="Alta",'Mapa final'!$L$41="Leve"),CONCATENATE("R",'Mapa final'!$A$41),"")</f>
        <v/>
      </c>
      <c r="O20" s="375"/>
      <c r="P20" s="373" t="str">
        <f ca="1">IF(AND('Mapa final'!$H$34="Alta",'Mapa final'!$L$34="Menor"),CONCATENATE("R",'Mapa final'!$A$34),"")</f>
        <v/>
      </c>
      <c r="Q20" s="374"/>
      <c r="R20" s="374" t="str">
        <f>IF(AND('Mapa final'!$H$35="Alta",'Mapa final'!$L$35="Menor"),CONCATENATE("R",'Mapa final'!$A$35),"")</f>
        <v/>
      </c>
      <c r="S20" s="374"/>
      <c r="T20" s="374" t="str">
        <f>IF(AND('Mapa final'!$H$41="Alta",'Mapa final'!$L$41="Menor"),CONCATENATE("R",'Mapa final'!$A$41),"")</f>
        <v/>
      </c>
      <c r="U20" s="375"/>
      <c r="V20" s="351" t="str">
        <f ca="1">IF(AND('Mapa final'!$H$34="Alta",'Mapa final'!$L$34="Moderado"),CONCATENATE("R",'Mapa final'!$A$34),"")</f>
        <v/>
      </c>
      <c r="W20" s="362"/>
      <c r="X20" s="362" t="str">
        <f>IF(AND('Mapa final'!$H$35="Alta",'Mapa final'!$L$35="Moderado"),CONCATENATE("R",'Mapa final'!$A$35),"")</f>
        <v/>
      </c>
      <c r="Y20" s="362"/>
      <c r="Z20" s="362" t="str">
        <f>IF(AND('Mapa final'!$H$41="Alta",'Mapa final'!$L$41="Moderado"),CONCATENATE("R",'Mapa final'!$A$41),"")</f>
        <v/>
      </c>
      <c r="AA20" s="352"/>
      <c r="AB20" s="355" t="str">
        <f ca="1">IF(AND('Mapa final'!$H$32="Alta",'Mapa final'!$L$32="Mayor"),CONCATENATE("R",'Mapa final'!$A$32),"")</f>
        <v/>
      </c>
      <c r="AC20" s="362"/>
      <c r="AD20" s="362" t="str">
        <f>IF(AND('Mapa final'!$H$35="Alta",'Mapa final'!$L$35="Mayor"),CONCATENATE("R",'Mapa final'!$A$35),"")</f>
        <v/>
      </c>
      <c r="AE20" s="362"/>
      <c r="AF20" s="362" t="str">
        <f>IF(AND('Mapa final'!$H$41="Alta",'Mapa final'!$L$41="Mayor"),CONCATENATE("R",'Mapa final'!$A$41),"")</f>
        <v/>
      </c>
      <c r="AG20" s="352"/>
      <c r="AH20" s="363" t="str">
        <f ca="1">IF(AND('Mapa final'!$H$34="Alta",'Mapa final'!$L$34="Catastrófico"),CONCATENATE("R",'Mapa final'!$A$34),"")</f>
        <v/>
      </c>
      <c r="AI20" s="372"/>
      <c r="AJ20" s="372" t="str">
        <f>IF(AND('Mapa final'!$H$35="Alta",'Mapa final'!$L$35="Catastrófico"),CONCATENATE("R",'Mapa final'!$A$35),"")</f>
        <v/>
      </c>
      <c r="AK20" s="372"/>
      <c r="AL20" s="372" t="str">
        <f>IF(AND('Mapa final'!$H$41="Alta",'Mapa final'!$L$41="Catastrófico"),CONCATENATE("R",'Mapa final'!$A$41),"")</f>
        <v/>
      </c>
      <c r="AM20" s="365"/>
      <c r="AN20" s="84"/>
      <c r="AO20" s="316"/>
      <c r="AP20" s="317"/>
      <c r="AQ20" s="317"/>
      <c r="AR20" s="317"/>
      <c r="AS20" s="317"/>
      <c r="AT20" s="31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302"/>
      <c r="C21" s="302"/>
      <c r="D21" s="303"/>
      <c r="E21" s="346"/>
      <c r="F21" s="347"/>
      <c r="G21" s="347"/>
      <c r="H21" s="347"/>
      <c r="I21" s="347"/>
      <c r="J21" s="376"/>
      <c r="K21" s="377"/>
      <c r="L21" s="377"/>
      <c r="M21" s="377"/>
      <c r="N21" s="377"/>
      <c r="O21" s="378"/>
      <c r="P21" s="376"/>
      <c r="Q21" s="377"/>
      <c r="R21" s="377"/>
      <c r="S21" s="377"/>
      <c r="T21" s="377"/>
      <c r="U21" s="378"/>
      <c r="V21" s="351"/>
      <c r="W21" s="351"/>
      <c r="X21" s="351"/>
      <c r="Y21" s="351"/>
      <c r="Z21" s="351"/>
      <c r="AA21" s="352"/>
      <c r="AB21" s="359"/>
      <c r="AC21" s="360"/>
      <c r="AD21" s="351"/>
      <c r="AE21" s="351"/>
      <c r="AF21" s="360"/>
      <c r="AG21" s="361"/>
      <c r="AH21" s="366"/>
      <c r="AI21" s="367"/>
      <c r="AJ21" s="364"/>
      <c r="AK21" s="364"/>
      <c r="AL21" s="367"/>
      <c r="AM21" s="368"/>
      <c r="AN21" s="84"/>
      <c r="AO21" s="319"/>
      <c r="AP21" s="320"/>
      <c r="AQ21" s="320"/>
      <c r="AR21" s="320"/>
      <c r="AS21" s="320"/>
      <c r="AT21" s="321"/>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ht="15" customHeight="1">
      <c r="A22" s="84"/>
      <c r="B22" s="302"/>
      <c r="C22" s="302"/>
      <c r="D22" s="303"/>
      <c r="E22" s="340" t="s">
        <v>117</v>
      </c>
      <c r="F22" s="341"/>
      <c r="G22" s="341"/>
      <c r="H22" s="341"/>
      <c r="I22" s="342"/>
      <c r="J22" s="373" t="str">
        <f ca="1">IF(AND('Mapa final'!$H$12="Media",'Mapa final'!$L$12="Leve"),CONCATENATE("R",'Mapa final'!$A$12),"")</f>
        <v/>
      </c>
      <c r="K22" s="374"/>
      <c r="L22" s="374" t="str">
        <f ca="1">IF(AND('Mapa final'!$H$14="Alta",'Mapa final'!$L$14="Leve"),CONCATENATE("R",'Mapa final'!$A$14),"")</f>
        <v/>
      </c>
      <c r="M22" s="374"/>
      <c r="N22" s="374" t="str">
        <f ca="1">IF(AND('Mapa final'!$H$14="Media",'Mapa final'!$L$14="Leve"),CONCATENATE("R",'Mapa final'!$A$14),"")</f>
        <v/>
      </c>
      <c r="O22" s="374"/>
      <c r="P22" s="379" t="str">
        <f ca="1">IF(AND('Mapa final'!$H$12="Media",'Mapa final'!$L$12="Menor"),CONCATENATE("R",'Mapa final'!$A$12),"")</f>
        <v/>
      </c>
      <c r="Q22" s="380"/>
      <c r="R22" s="380" t="str">
        <f ca="1">IF(AND('Mapa final'!$H$14="Alta",'Mapa final'!$L$14="Leve"),CONCATENATE("R",'Mapa final'!$A$14),"")</f>
        <v/>
      </c>
      <c r="S22" s="380"/>
      <c r="T22" s="380" t="str">
        <f ca="1">IF(AND('Mapa final'!$H$14="Media",'Mapa final'!$L$14="Menor"),CONCATENATE("R",'Mapa final'!$A$14),"")</f>
        <v/>
      </c>
      <c r="U22" s="381"/>
      <c r="V22" s="379" t="str">
        <f ca="1">IF(AND('Mapa final'!$H$12="Media",'Mapa final'!$L$12="Moderado"),CONCATENATE("R",'Mapa final'!$A$12),"")</f>
        <v/>
      </c>
      <c r="W22" s="380"/>
      <c r="X22" s="380" t="str">
        <f ca="1">IF(AND('Mapa final'!$H$14="Alta",'Mapa final'!$L$14="Leve"),CONCATENATE("R",'Mapa final'!$A$14),"")</f>
        <v/>
      </c>
      <c r="Y22" s="380"/>
      <c r="Z22" s="380" t="str">
        <f ca="1">IF(AND('Mapa final'!$H$14="Media",'Mapa final'!$L$14="Moderado"),CONCATENATE("R",'Mapa final'!$A$14),"")</f>
        <v/>
      </c>
      <c r="AA22" s="381"/>
      <c r="AB22" s="354" t="str">
        <f ca="1">IF(AND('Mapa final'!$H$12="Media",'Mapa final'!$L$12="Mayor"),CONCATENATE("R",'Mapa final'!$A$12),"")</f>
        <v>R1</v>
      </c>
      <c r="AC22" s="354"/>
      <c r="AD22" s="354" t="str">
        <f>IF(AND('Mapa final'!$H$13="Alta",'Mapa final'!$L$13="Mayor"),CONCATENATE("R",'Mapa final'!$A$13),"")</f>
        <v/>
      </c>
      <c r="AE22" s="354"/>
      <c r="AF22" s="354" t="str">
        <f ca="1">IF(AND('Mapa final'!$H$14="Media",'Mapa final'!$L$14="Mayor"),CONCATENATE("R",'Mapa final'!$A$14),"")</f>
        <v>R2</v>
      </c>
      <c r="AG22" s="356"/>
      <c r="AH22" s="369" t="str">
        <f ca="1">IF(AND('Mapa final'!$H$12="Media",'Mapa final'!$L$12="Catastrófico"),CONCATENATE("R",'Mapa final'!$A$12),"")</f>
        <v/>
      </c>
      <c r="AI22" s="370"/>
      <c r="AJ22" s="370" t="str">
        <f ca="1">IF(AND('Mapa final'!$H$14="Muy Alta",'Mapa final'!$L$14="Catastrófico"),CONCATENATE("R",'Mapa final'!$A$14),"")</f>
        <v/>
      </c>
      <c r="AK22" s="370"/>
      <c r="AL22" s="370" t="str">
        <f ca="1">IF(AND('Mapa final'!$H$14="Media",'Mapa final'!$L$14="Catastrófico"),CONCATENATE("R",'Mapa final'!$A$14),"")</f>
        <v/>
      </c>
      <c r="AM22" s="371"/>
      <c r="AN22" s="84"/>
      <c r="AO22" s="322" t="s">
        <v>81</v>
      </c>
      <c r="AP22" s="323"/>
      <c r="AQ22" s="323"/>
      <c r="AR22" s="323"/>
      <c r="AS22" s="323"/>
      <c r="AT22" s="324"/>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ht="15" customHeight="1">
      <c r="A23" s="84"/>
      <c r="B23" s="302"/>
      <c r="C23" s="302"/>
      <c r="D23" s="303"/>
      <c r="E23" s="343"/>
      <c r="F23" s="344"/>
      <c r="G23" s="344"/>
      <c r="H23" s="344"/>
      <c r="I23" s="345"/>
      <c r="J23" s="373"/>
      <c r="K23" s="382"/>
      <c r="L23" s="374"/>
      <c r="M23" s="374"/>
      <c r="N23" s="374"/>
      <c r="O23" s="374"/>
      <c r="P23" s="373"/>
      <c r="Q23" s="374"/>
      <c r="R23" s="374"/>
      <c r="S23" s="374"/>
      <c r="T23" s="374"/>
      <c r="U23" s="375"/>
      <c r="V23" s="373"/>
      <c r="W23" s="374"/>
      <c r="X23" s="374"/>
      <c r="Y23" s="374"/>
      <c r="Z23" s="374"/>
      <c r="AA23" s="375"/>
      <c r="AB23" s="351"/>
      <c r="AC23" s="351"/>
      <c r="AD23" s="351"/>
      <c r="AE23" s="351"/>
      <c r="AF23" s="351"/>
      <c r="AG23" s="352"/>
      <c r="AH23" s="363"/>
      <c r="AI23" s="364"/>
      <c r="AJ23" s="364"/>
      <c r="AK23" s="364"/>
      <c r="AL23" s="364"/>
      <c r="AM23" s="365"/>
      <c r="AN23" s="84"/>
      <c r="AO23" s="325"/>
      <c r="AP23" s="326"/>
      <c r="AQ23" s="326"/>
      <c r="AR23" s="326"/>
      <c r="AS23" s="326"/>
      <c r="AT23" s="327"/>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ht="15" customHeight="1">
      <c r="A24" s="84"/>
      <c r="B24" s="302"/>
      <c r="C24" s="302"/>
      <c r="D24" s="303"/>
      <c r="E24" s="343"/>
      <c r="F24" s="344"/>
      <c r="G24" s="344"/>
      <c r="H24" s="344"/>
      <c r="I24" s="345"/>
      <c r="J24" s="373" t="str">
        <f ca="1">IF(AND('Mapa final'!$H$16="Media",'Mapa final'!$L$16="Leve"),CONCATENATE("R",'Mapa final'!$A$16),"")</f>
        <v/>
      </c>
      <c r="K24" s="382"/>
      <c r="L24" s="374" t="str">
        <f ca="1">IF(AND('Mapa final'!$H$18="Alta",'Mapa final'!$L$18="Leve"),CONCATENATE("R",'Mapa final'!$A$18),"")</f>
        <v/>
      </c>
      <c r="M24" s="374"/>
      <c r="N24" s="374" t="str">
        <f ca="1">IF(AND('Mapa final'!$H$18="Media",'Mapa final'!$L$18="Leve"),CONCATENATE("R",'Mapa final'!$A$18),"")</f>
        <v/>
      </c>
      <c r="O24" s="374"/>
      <c r="P24" s="373" t="str">
        <f ca="1">IF(AND('Mapa final'!$H$16="Media",'Mapa final'!$L$16="Menor"),CONCATENATE("R",'Mapa final'!$A$16),"")</f>
        <v/>
      </c>
      <c r="Q24" s="374"/>
      <c r="R24" s="374" t="str">
        <f ca="1">IF(AND('Mapa final'!$H$18="Alta",'Mapa final'!$L$18="Leve"),CONCATENATE("R",'Mapa final'!$A$18),"")</f>
        <v/>
      </c>
      <c r="S24" s="374"/>
      <c r="T24" s="374" t="str">
        <f ca="1">IF(AND('Mapa final'!$H$18="Media",'Mapa final'!$L$18="Menor"),CONCATENATE("R",'Mapa final'!$A$18),"")</f>
        <v/>
      </c>
      <c r="U24" s="375"/>
      <c r="V24" s="373" t="str">
        <f ca="1">IF(AND('Mapa final'!$H$16="Media",'Mapa final'!$L$16="Moderado"),CONCATENATE("R",'Mapa final'!$A$16),"")</f>
        <v/>
      </c>
      <c r="W24" s="374"/>
      <c r="X24" s="374" t="str">
        <f ca="1">IF(AND('Mapa final'!$H$18="Alta",'Mapa final'!$L$18="Leve"),CONCATENATE("R",'Mapa final'!$A$18),"")</f>
        <v/>
      </c>
      <c r="Y24" s="374"/>
      <c r="Z24" s="374" t="str">
        <f ca="1">IF(AND('Mapa final'!$H$18="Media",'Mapa final'!$L$18="Moderado"),CONCATENATE("R",'Mapa final'!$A$18),"")</f>
        <v>R4</v>
      </c>
      <c r="AA24" s="375"/>
      <c r="AB24" s="351" t="str">
        <f ca="1">IF(AND('Mapa final'!$H$16="Media",'Mapa final'!$L$16="Mayor"),CONCATENATE("R",'Mapa final'!$A$16),"")</f>
        <v>R3</v>
      </c>
      <c r="AC24" s="351"/>
      <c r="AD24" s="351" t="str">
        <f ca="1">IF(AND('Mapa final'!$H$18="Alta",'Mapa final'!$L$18="Mayor"),CONCATENATE("R",'Mapa final'!$A$18),"")</f>
        <v/>
      </c>
      <c r="AE24" s="351"/>
      <c r="AF24" s="351" t="str">
        <f ca="1">IF(AND('Mapa final'!$H$18="Media",'Mapa final'!$L$18="Mayor"),CONCATENATE("R",'Mapa final'!$A$18),"")</f>
        <v/>
      </c>
      <c r="AG24" s="352"/>
      <c r="AH24" s="363" t="str">
        <f ca="1">IF(AND('Mapa final'!$H$16="Media",'Mapa final'!$L$16="Catastrófico"),CONCATENATE("R",'Mapa final'!$A$16),"")</f>
        <v/>
      </c>
      <c r="AI24" s="364"/>
      <c r="AJ24" s="364" t="str">
        <f ca="1">IF(AND('Mapa final'!$H$18="Muy Alta",'Mapa final'!$L$18="Catastrófico"),CONCATENATE("R",'Mapa final'!$A$18),"")</f>
        <v/>
      </c>
      <c r="AK24" s="364"/>
      <c r="AL24" s="364" t="str">
        <f ca="1">IF(AND('Mapa final'!$H$18="Media",'Mapa final'!$L$18="Catastrófico"),CONCATENATE("R",'Mapa final'!$A$18),"")</f>
        <v/>
      </c>
      <c r="AM24" s="365"/>
      <c r="AN24" s="84"/>
      <c r="AO24" s="325"/>
      <c r="AP24" s="326"/>
      <c r="AQ24" s="326"/>
      <c r="AR24" s="326"/>
      <c r="AS24" s="326"/>
      <c r="AT24" s="327"/>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ht="15" customHeight="1">
      <c r="A25" s="84"/>
      <c r="B25" s="302"/>
      <c r="C25" s="302"/>
      <c r="D25" s="303"/>
      <c r="E25" s="343"/>
      <c r="F25" s="344"/>
      <c r="G25" s="344"/>
      <c r="H25" s="344"/>
      <c r="I25" s="345"/>
      <c r="J25" s="373"/>
      <c r="K25" s="382"/>
      <c r="L25" s="374"/>
      <c r="M25" s="374"/>
      <c r="N25" s="374"/>
      <c r="O25" s="374"/>
      <c r="P25" s="373"/>
      <c r="Q25" s="374"/>
      <c r="R25" s="374"/>
      <c r="S25" s="374"/>
      <c r="T25" s="374"/>
      <c r="U25" s="375"/>
      <c r="V25" s="373"/>
      <c r="W25" s="374"/>
      <c r="X25" s="374"/>
      <c r="Y25" s="374"/>
      <c r="Z25" s="374"/>
      <c r="AA25" s="375"/>
      <c r="AB25" s="351"/>
      <c r="AC25" s="351"/>
      <c r="AD25" s="351"/>
      <c r="AE25" s="351"/>
      <c r="AF25" s="351"/>
      <c r="AG25" s="352"/>
      <c r="AH25" s="363"/>
      <c r="AI25" s="364"/>
      <c r="AJ25" s="364"/>
      <c r="AK25" s="364"/>
      <c r="AL25" s="364"/>
      <c r="AM25" s="365"/>
      <c r="AN25" s="84"/>
      <c r="AO25" s="325"/>
      <c r="AP25" s="326"/>
      <c r="AQ25" s="326"/>
      <c r="AR25" s="326"/>
      <c r="AS25" s="326"/>
      <c r="AT25" s="327"/>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ht="15" customHeight="1">
      <c r="A26" s="84"/>
      <c r="B26" s="302"/>
      <c r="C26" s="302"/>
      <c r="D26" s="303"/>
      <c r="E26" s="343"/>
      <c r="F26" s="344"/>
      <c r="G26" s="344"/>
      <c r="H26" s="344"/>
      <c r="I26" s="345"/>
      <c r="J26" s="373" t="str">
        <f>IF(AND('Mapa final'!$H$20="Media",'Mapa final'!$L$20="Leve"),CONCATENATE("R",'Mapa final'!$A$20),"")</f>
        <v/>
      </c>
      <c r="K26" s="382"/>
      <c r="L26" s="374" t="str">
        <f ca="1">IF(AND('Mapa final'!$H$21="Media",'Mapa final'!$L$21="Leve"),CONCATENATE("R",'Mapa final'!$A$21),"")</f>
        <v/>
      </c>
      <c r="M26" s="374"/>
      <c r="N26" s="374" t="str">
        <f ca="1">IF(AND('Mapa final'!$H$27="Media",'Mapa final'!$L$27="Leve"),CONCATENATE("R",'Mapa final'!$A$27),"")</f>
        <v/>
      </c>
      <c r="O26" s="374"/>
      <c r="P26" s="373" t="str">
        <f>IF(AND('Mapa final'!$H$20="Media",'Mapa final'!$L$20="Menor"),CONCATENATE("R",'Mapa final'!$A$20),"")</f>
        <v/>
      </c>
      <c r="Q26" s="374"/>
      <c r="R26" s="374" t="str">
        <f ca="1">IF(AND('Mapa final'!$H$21="Media",'Mapa final'!$L$21="Menor"),CONCATENATE("R",'Mapa final'!$A$21),"")</f>
        <v/>
      </c>
      <c r="S26" s="374"/>
      <c r="T26" s="374" t="str">
        <f ca="1">IF(AND('Mapa final'!$H$27="Media",'Mapa final'!$L$27="Menor"),CONCATENATE("R",'Mapa final'!$A$27),"")</f>
        <v/>
      </c>
      <c r="U26" s="375"/>
      <c r="V26" s="373" t="str">
        <f>IF(AND('Mapa final'!$H$20="Media",'Mapa final'!$L$20="Moderado"),CONCATENATE("R",'Mapa final'!$A$20),"")</f>
        <v/>
      </c>
      <c r="W26" s="374"/>
      <c r="X26" s="374" t="str">
        <f ca="1">IF(AND('Mapa final'!$H$21="Media",'Mapa final'!$L$21="Moderado"),CONCATENATE("R",'Mapa final'!$A$21),"")</f>
        <v/>
      </c>
      <c r="Y26" s="374"/>
      <c r="Z26" s="374" t="str">
        <f ca="1">IF(AND('Mapa final'!$H$27="Media",'Mapa final'!$L$27="Moderado"),CONCATENATE("R",'Mapa final'!$A$27),"")</f>
        <v/>
      </c>
      <c r="AA26" s="375"/>
      <c r="AB26" s="351" t="str">
        <f>IF(AND('Mapa final'!$H$20="Media",'Mapa final'!$L$20="Mayor"),CONCATENATE("R",'Mapa final'!$A$20),"")</f>
        <v>R5</v>
      </c>
      <c r="AC26" s="351"/>
      <c r="AD26" s="351" t="str">
        <f ca="1">IF(AND('Mapa final'!$H$21="Media",'Mapa final'!$L$21="Mayor"),CONCATENATE("R",'Mapa final'!$A$21),"")</f>
        <v>R6</v>
      </c>
      <c r="AE26" s="351"/>
      <c r="AF26" s="351" t="str">
        <f ca="1">IF(AND('Mapa final'!$H$27="Media",'Mapa final'!$L$27="Mayor"),CONCATENATE("R",'Mapa final'!$A$27),"")</f>
        <v/>
      </c>
      <c r="AG26" s="352"/>
      <c r="AH26" s="363" t="str">
        <f>IF(AND('Mapa final'!$H$20="Media",'Mapa final'!$L$20="Catastrófico"),CONCATENATE("R",'Mapa final'!$A$20),"")</f>
        <v/>
      </c>
      <c r="AI26" s="364"/>
      <c r="AJ26" s="364" t="str">
        <f ca="1">IF(AND('Mapa final'!$H$21="Media",'Mapa final'!$L$21="Catastrófico"),CONCATENATE("R",'Mapa final'!$A$21),"")</f>
        <v/>
      </c>
      <c r="AK26" s="364"/>
      <c r="AL26" s="364" t="str">
        <f ca="1">IF(AND('Mapa final'!$H$27="Media",'Mapa final'!$L$27="Catastrófico"),CONCATENATE("R",'Mapa final'!$A$27),"")</f>
        <v/>
      </c>
      <c r="AM26" s="365"/>
      <c r="AN26" s="84"/>
      <c r="AO26" s="325"/>
      <c r="AP26" s="326"/>
      <c r="AQ26" s="326"/>
      <c r="AR26" s="326"/>
      <c r="AS26" s="326"/>
      <c r="AT26" s="327"/>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ht="15" customHeight="1">
      <c r="A27" s="84"/>
      <c r="B27" s="302"/>
      <c r="C27" s="302"/>
      <c r="D27" s="303"/>
      <c r="E27" s="343"/>
      <c r="F27" s="344"/>
      <c r="G27" s="344"/>
      <c r="H27" s="344"/>
      <c r="I27" s="345"/>
      <c r="J27" s="373"/>
      <c r="K27" s="382"/>
      <c r="L27" s="374"/>
      <c r="M27" s="374"/>
      <c r="N27" s="374"/>
      <c r="O27" s="374"/>
      <c r="P27" s="373"/>
      <c r="Q27" s="374"/>
      <c r="R27" s="374"/>
      <c r="S27" s="374"/>
      <c r="T27" s="374"/>
      <c r="U27" s="375"/>
      <c r="V27" s="373"/>
      <c r="W27" s="374"/>
      <c r="X27" s="374"/>
      <c r="Y27" s="374"/>
      <c r="Z27" s="374"/>
      <c r="AA27" s="375"/>
      <c r="AB27" s="351"/>
      <c r="AC27" s="351"/>
      <c r="AD27" s="351"/>
      <c r="AE27" s="351"/>
      <c r="AF27" s="351"/>
      <c r="AG27" s="352"/>
      <c r="AH27" s="363"/>
      <c r="AI27" s="364"/>
      <c r="AJ27" s="364"/>
      <c r="AK27" s="364"/>
      <c r="AL27" s="364"/>
      <c r="AM27" s="365"/>
      <c r="AN27" s="84"/>
      <c r="AO27" s="325"/>
      <c r="AP27" s="326"/>
      <c r="AQ27" s="326"/>
      <c r="AR27" s="326"/>
      <c r="AS27" s="326"/>
      <c r="AT27" s="32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302"/>
      <c r="C28" s="302"/>
      <c r="D28" s="303"/>
      <c r="E28" s="343"/>
      <c r="F28" s="344"/>
      <c r="G28" s="344"/>
      <c r="H28" s="344"/>
      <c r="I28" s="345"/>
      <c r="J28" s="373" t="str">
        <f ca="1">IF(AND('Mapa final'!$H$34="Media",'Mapa final'!$L$34="Leve"),CONCATENATE("R",'Mapa final'!$A$34),"")</f>
        <v/>
      </c>
      <c r="K28" s="382"/>
      <c r="L28" s="382" t="str">
        <f>IF(AND('Mapa final'!$H$35="Media",'Mapa final'!$L$35="Leve"),CONCATENATE("R",'Mapa final'!$A$35),"")</f>
        <v/>
      </c>
      <c r="M28" s="382"/>
      <c r="N28" s="382" t="str">
        <f>IF(AND('Mapa final'!$H$41="Media",'Mapa final'!$L$41="Leve"),CONCATENATE("R",'Mapa final'!$A$41),"")</f>
        <v/>
      </c>
      <c r="O28" s="374"/>
      <c r="P28" s="373" t="str">
        <f ca="1">IF(AND('Mapa final'!$H$34="Media",'Mapa final'!$L$34="Menor"),CONCATENATE("R",'Mapa final'!$A$34),"")</f>
        <v/>
      </c>
      <c r="Q28" s="374"/>
      <c r="R28" s="374" t="str">
        <f>IF(AND('Mapa final'!$H$35="Media",'Mapa final'!$L$35="Menor"),CONCATENATE("R",'Mapa final'!$A$35),"")</f>
        <v/>
      </c>
      <c r="S28" s="374"/>
      <c r="T28" s="374" t="str">
        <f>IF(AND('Mapa final'!$H$41="Media",'Mapa final'!$L$41="Menor"),CONCATENATE("R",'Mapa final'!$A$41),"")</f>
        <v/>
      </c>
      <c r="U28" s="375"/>
      <c r="V28" s="373" t="str">
        <f ca="1">IF(AND('Mapa final'!$H$34="Media",'Mapa final'!$L$34="Moderado"),CONCATENATE("R",'Mapa final'!$A$34),"")</f>
        <v/>
      </c>
      <c r="W28" s="374"/>
      <c r="X28" s="374" t="str">
        <f>IF(AND('Mapa final'!$H$35="Media",'Mapa final'!$L$35="Moderado"),CONCATENATE("R",'Mapa final'!$A$35),"")</f>
        <v/>
      </c>
      <c r="Y28" s="374"/>
      <c r="Z28" s="374" t="str">
        <f>IF(AND('Mapa final'!$H$41="Media",'Mapa final'!$L$41="Moderado"),CONCATENATE("R",'Mapa final'!$A$41),"")</f>
        <v/>
      </c>
      <c r="AA28" s="375"/>
      <c r="AB28" s="351" t="str">
        <f ca="1">IF(AND('Mapa final'!$H$34="Media",'Mapa final'!$L$34="Mayor"),CONCATENATE("R",'Mapa final'!$A$34),"")</f>
        <v>R9</v>
      </c>
      <c r="AC28" s="351"/>
      <c r="AD28" s="351" t="str">
        <f>IF(AND('Mapa final'!$H$35="Media",'Mapa final'!$L$35="Mayor"),CONCATENATE("R",'Mapa final'!$A$35),"")</f>
        <v/>
      </c>
      <c r="AE28" s="351"/>
      <c r="AF28" s="351" t="str">
        <f>IF(AND('Mapa final'!$H$41="Media",'Mapa final'!$L$41="Mayor"),CONCATENATE("R",'Mapa final'!$A$41),"")</f>
        <v/>
      </c>
      <c r="AG28" s="352"/>
      <c r="AH28" s="363" t="str">
        <f ca="1">IF(AND('Mapa final'!$H$34="Media",'Mapa final'!$L$34="Catastrófico"),CONCATENATE("R",'Mapa final'!$A$34),"")</f>
        <v/>
      </c>
      <c r="AI28" s="364"/>
      <c r="AJ28" s="364" t="str">
        <f>IF(AND('Mapa final'!$H$35="Media",'Mapa final'!$L$35="Catastrófico"),CONCATENATE("R",'Mapa final'!$A$35),"")</f>
        <v/>
      </c>
      <c r="AK28" s="364"/>
      <c r="AL28" s="364" t="str">
        <f>IF(AND('Mapa final'!$H$41="Media",'Mapa final'!$L$41="Catastrófico"),CONCATENATE("R",'Mapa final'!$A$41),"")</f>
        <v/>
      </c>
      <c r="AM28" s="365"/>
      <c r="AN28" s="84"/>
      <c r="AO28" s="325"/>
      <c r="AP28" s="326"/>
      <c r="AQ28" s="326"/>
      <c r="AR28" s="326"/>
      <c r="AS28" s="326"/>
      <c r="AT28" s="32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302"/>
      <c r="C29" s="302"/>
      <c r="D29" s="303"/>
      <c r="E29" s="346"/>
      <c r="F29" s="347"/>
      <c r="G29" s="347"/>
      <c r="H29" s="347"/>
      <c r="I29" s="348"/>
      <c r="J29" s="373"/>
      <c r="K29" s="382"/>
      <c r="L29" s="382"/>
      <c r="M29" s="382"/>
      <c r="N29" s="382"/>
      <c r="O29" s="374"/>
      <c r="P29" s="376"/>
      <c r="Q29" s="377"/>
      <c r="R29" s="377"/>
      <c r="S29" s="377"/>
      <c r="T29" s="377"/>
      <c r="U29" s="378"/>
      <c r="V29" s="376"/>
      <c r="W29" s="377"/>
      <c r="X29" s="377"/>
      <c r="Y29" s="377"/>
      <c r="Z29" s="377"/>
      <c r="AA29" s="378"/>
      <c r="AB29" s="360"/>
      <c r="AC29" s="360"/>
      <c r="AD29" s="360"/>
      <c r="AE29" s="360"/>
      <c r="AF29" s="360"/>
      <c r="AG29" s="361"/>
      <c r="AH29" s="366"/>
      <c r="AI29" s="367"/>
      <c r="AJ29" s="367"/>
      <c r="AK29" s="367"/>
      <c r="AL29" s="367"/>
      <c r="AM29" s="368"/>
      <c r="AN29" s="84"/>
      <c r="AO29" s="328"/>
      <c r="AP29" s="329"/>
      <c r="AQ29" s="329"/>
      <c r="AR29" s="329"/>
      <c r="AS29" s="329"/>
      <c r="AT29" s="330"/>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ht="15" customHeight="1">
      <c r="A30" s="84"/>
      <c r="B30" s="302"/>
      <c r="C30" s="302"/>
      <c r="D30" s="303"/>
      <c r="E30" s="340" t="s">
        <v>114</v>
      </c>
      <c r="F30" s="341"/>
      <c r="G30" s="341"/>
      <c r="H30" s="341"/>
      <c r="I30" s="341"/>
      <c r="J30" s="389" t="str">
        <f ca="1">IF(AND('Mapa final'!$H$12="Baja",'Mapa final'!$L$12="Leve"),CONCATENATE("R",'Mapa final'!$A$12),"")</f>
        <v/>
      </c>
      <c r="K30" s="390"/>
      <c r="L30" s="390" t="str">
        <f ca="1">IF(AND('Mapa final'!$H$14="Baja",'Mapa final'!$L$14="Leve"),CONCATENATE("R",'Mapa final'!$A$14),"")</f>
        <v/>
      </c>
      <c r="M30" s="390"/>
      <c r="N30" s="390" t="str">
        <f ca="1">IF(AND('Mapa final'!$H$14="Baja",'Mapa final'!$L$14="Leve"),CONCATENATE("R",'Mapa final'!$A$14),"")</f>
        <v/>
      </c>
      <c r="O30" s="391"/>
      <c r="P30" s="374" t="str">
        <f ca="1">IF(AND('Mapa final'!$H$12="Baja",'Mapa final'!$L$12="Menor"),CONCATENATE("R",'Mapa final'!$A$12),"")</f>
        <v/>
      </c>
      <c r="Q30" s="374"/>
      <c r="R30" s="374" t="str">
        <f ca="1">IF(AND('Mapa final'!$H$14="Alta",'Mapa final'!$L$14="Leve"),CONCATENATE("R",'Mapa final'!$A$14),"")</f>
        <v/>
      </c>
      <c r="S30" s="374"/>
      <c r="T30" s="374" t="str">
        <f ca="1">IF(AND('Mapa final'!$H$14="Baja",'Mapa final'!$L$14="Menor"),CONCATENATE("R",'Mapa final'!$A$14),"")</f>
        <v/>
      </c>
      <c r="U30" s="374"/>
      <c r="V30" s="379" t="str">
        <f ca="1">IF(AND('Mapa final'!$H$12="Baja",'Mapa final'!$L$12="Moderado"),CONCATENATE("R",'Mapa final'!$A$12),"")</f>
        <v/>
      </c>
      <c r="W30" s="380"/>
      <c r="X30" s="380" t="str">
        <f ca="1">IF(AND('Mapa final'!$H$14="Alta",'Mapa final'!$L$14="Leve"),CONCATENATE("R",'Mapa final'!$A$14),"")</f>
        <v/>
      </c>
      <c r="Y30" s="380"/>
      <c r="Z30" s="380" t="str">
        <f ca="1">IF(AND('Mapa final'!$H$14="Baja",'Mapa final'!$L$14="Moderado"),CONCATENATE("R",'Mapa final'!$A$14),"")</f>
        <v/>
      </c>
      <c r="AA30" s="381"/>
      <c r="AB30" s="354" t="str">
        <f ca="1">IF(AND('Mapa final'!$H$12="Baja",'Mapa final'!$L$12="Mayor"),CONCATENATE("R",'Mapa final'!$A$12),"")</f>
        <v/>
      </c>
      <c r="AC30" s="354"/>
      <c r="AD30" s="354" t="str">
        <f ca="1">IF(AND('Mapa final'!$H$14="Alta",'Mapa final'!$L$14="Mayor"),CONCATENATE("R",'Mapa final'!$A$14),"")</f>
        <v/>
      </c>
      <c r="AE30" s="354"/>
      <c r="AF30" s="354" t="str">
        <f ca="1">IF(AND('Mapa final'!$H$14="Baja",'Mapa final'!$L$14="Mayor"),CONCATENATE("R",'Mapa final'!$A$14),"")</f>
        <v/>
      </c>
      <c r="AG30" s="356"/>
      <c r="AH30" s="369" t="str">
        <f ca="1">IF(AND('Mapa final'!$H$12="Baja",'Mapa final'!$L$12="Catastrófico"),CONCATENATE("R",'Mapa final'!$A$12),"")</f>
        <v/>
      </c>
      <c r="AI30" s="370"/>
      <c r="AJ30" s="370" t="str">
        <f ca="1">IF(AND('Mapa final'!$H$14="Muy Alta",'Mapa final'!$L$14="Catastrófico"),CONCATENATE("R",'Mapa final'!$A$14),"")</f>
        <v/>
      </c>
      <c r="AK30" s="370"/>
      <c r="AL30" s="370" t="str">
        <f ca="1">IF(AND('Mapa final'!$H$14="Baja",'Mapa final'!$L$14="Catastrófico"),CONCATENATE("R",'Mapa final'!$A$14),"")</f>
        <v/>
      </c>
      <c r="AM30" s="371"/>
      <c r="AN30" s="84"/>
      <c r="AO30" s="331" t="s">
        <v>82</v>
      </c>
      <c r="AP30" s="332"/>
      <c r="AQ30" s="332"/>
      <c r="AR30" s="332"/>
      <c r="AS30" s="332"/>
      <c r="AT30" s="333"/>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ht="15" customHeight="1">
      <c r="A31" s="84"/>
      <c r="B31" s="302"/>
      <c r="C31" s="302"/>
      <c r="D31" s="303"/>
      <c r="E31" s="343"/>
      <c r="F31" s="344"/>
      <c r="G31" s="344"/>
      <c r="H31" s="344"/>
      <c r="I31" s="344"/>
      <c r="J31" s="385"/>
      <c r="K31" s="383"/>
      <c r="L31" s="383"/>
      <c r="M31" s="383"/>
      <c r="N31" s="383"/>
      <c r="O31" s="384"/>
      <c r="P31" s="382"/>
      <c r="Q31" s="382"/>
      <c r="R31" s="374"/>
      <c r="S31" s="374"/>
      <c r="T31" s="374"/>
      <c r="U31" s="374"/>
      <c r="V31" s="373"/>
      <c r="W31" s="374"/>
      <c r="X31" s="374"/>
      <c r="Y31" s="374"/>
      <c r="Z31" s="374"/>
      <c r="AA31" s="375"/>
      <c r="AB31" s="351"/>
      <c r="AC31" s="351"/>
      <c r="AD31" s="351"/>
      <c r="AE31" s="351"/>
      <c r="AF31" s="351"/>
      <c r="AG31" s="352"/>
      <c r="AH31" s="363"/>
      <c r="AI31" s="364"/>
      <c r="AJ31" s="364"/>
      <c r="AK31" s="364"/>
      <c r="AL31" s="364"/>
      <c r="AM31" s="365"/>
      <c r="AN31" s="84"/>
      <c r="AO31" s="334"/>
      <c r="AP31" s="335"/>
      <c r="AQ31" s="335"/>
      <c r="AR31" s="335"/>
      <c r="AS31" s="335"/>
      <c r="AT31" s="336"/>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ht="15" customHeight="1">
      <c r="A32" s="84"/>
      <c r="B32" s="302"/>
      <c r="C32" s="302"/>
      <c r="D32" s="303"/>
      <c r="E32" s="343"/>
      <c r="F32" s="344"/>
      <c r="G32" s="344"/>
      <c r="H32" s="344"/>
      <c r="I32" s="344"/>
      <c r="J32" s="385" t="str">
        <f ca="1">IF(AND('Mapa final'!$H$16="Baja",'Mapa final'!$L$16="Leve"),CONCATENATE("R",'Mapa final'!$A$16),"")</f>
        <v/>
      </c>
      <c r="K32" s="383"/>
      <c r="L32" s="383" t="str">
        <f ca="1">IF(AND('Mapa final'!$H$18="Baja",'Mapa final'!$L$18="Leve"),CONCATENATE("R",'Mapa final'!$A$18),"")</f>
        <v/>
      </c>
      <c r="M32" s="383"/>
      <c r="N32" s="383" t="str">
        <f ca="1">IF(AND('Mapa final'!$H$18="Baja",'Mapa final'!$L$18="Leve"),CONCATENATE("R",'Mapa final'!$A$18),"")</f>
        <v/>
      </c>
      <c r="O32" s="384"/>
      <c r="P32" s="382" t="str">
        <f ca="1">IF(AND('Mapa final'!$H$16="Baja",'Mapa final'!$L$16="Menor"),CONCATENATE("R",'Mapa final'!$A$16),"")</f>
        <v/>
      </c>
      <c r="Q32" s="382"/>
      <c r="R32" s="374" t="str">
        <f ca="1">IF(AND('Mapa final'!$H$18="Alta",'Mapa final'!$L$18="Leve"),CONCATENATE("R",'Mapa final'!$A$18),"")</f>
        <v/>
      </c>
      <c r="S32" s="374"/>
      <c r="T32" s="374" t="str">
        <f ca="1">IF(AND('Mapa final'!$H$18="Baja",'Mapa final'!$L$18="Menor"),CONCATENATE("R",'Mapa final'!$A$18),"")</f>
        <v/>
      </c>
      <c r="U32" s="374"/>
      <c r="V32" s="373" t="str">
        <f ca="1">IF(AND('Mapa final'!$H$16="Baja",'Mapa final'!$L$16="Moderado"),CONCATENATE("R",'Mapa final'!$A$16),"")</f>
        <v/>
      </c>
      <c r="W32" s="374"/>
      <c r="X32" s="374" t="str">
        <f ca="1">IF(AND('Mapa final'!$H$18="Alta",'Mapa final'!$L$18="Leve"),CONCATENATE("R",'Mapa final'!$A$18),"")</f>
        <v/>
      </c>
      <c r="Y32" s="374"/>
      <c r="Z32" s="374" t="str">
        <f ca="1">IF(AND('Mapa final'!$H$18="Baja",'Mapa final'!$L$18="Moderado"),CONCATENATE("R",'Mapa final'!$A$18),"")</f>
        <v/>
      </c>
      <c r="AA32" s="375"/>
      <c r="AB32" s="351" t="str">
        <f ca="1">IF(AND('Mapa final'!$H$16="Baja",'Mapa final'!$L$16="Mayor"),CONCATENATE("R",'Mapa final'!$A$16),"")</f>
        <v/>
      </c>
      <c r="AC32" s="351"/>
      <c r="AD32" s="351" t="str">
        <f ca="1">IF(AND('Mapa final'!$H$18="Alta",'Mapa final'!$L$18="Mayor"),CONCATENATE("R",'Mapa final'!$A$18),"")</f>
        <v/>
      </c>
      <c r="AE32" s="351"/>
      <c r="AF32" s="351" t="str">
        <f ca="1">IF(AND('Mapa final'!$H$18="Baja",'Mapa final'!$L$18="Mayor"),CONCATENATE("R",'Mapa final'!$A$18),"")</f>
        <v/>
      </c>
      <c r="AG32" s="352"/>
      <c r="AH32" s="363" t="str">
        <f ca="1">IF(AND('Mapa final'!$H$16="Baja",'Mapa final'!$L$16="Catastrófico"),CONCATENATE("R",'Mapa final'!$A$16),"")</f>
        <v/>
      </c>
      <c r="AI32" s="364"/>
      <c r="AJ32" s="364" t="str">
        <f ca="1">IF(AND('Mapa final'!$H$18="Muy Alta",'Mapa final'!$L$18="Catastrófico"),CONCATENATE("R",'Mapa final'!$A$18),"")</f>
        <v/>
      </c>
      <c r="AK32" s="364"/>
      <c r="AL32" s="364" t="str">
        <f ca="1">IF(AND('Mapa final'!$H$18="Baja",'Mapa final'!$L$18="Catastrófico"),CONCATENATE("R",'Mapa final'!$A$18),"")</f>
        <v/>
      </c>
      <c r="AM32" s="365"/>
      <c r="AN32" s="84"/>
      <c r="AO32" s="334"/>
      <c r="AP32" s="335"/>
      <c r="AQ32" s="335"/>
      <c r="AR32" s="335"/>
      <c r="AS32" s="335"/>
      <c r="AT32" s="336"/>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ht="15" customHeight="1">
      <c r="A33" s="84"/>
      <c r="B33" s="302"/>
      <c r="C33" s="302"/>
      <c r="D33" s="303"/>
      <c r="E33" s="343"/>
      <c r="F33" s="344"/>
      <c r="G33" s="344"/>
      <c r="H33" s="344"/>
      <c r="I33" s="344"/>
      <c r="J33" s="385"/>
      <c r="K33" s="383"/>
      <c r="L33" s="383"/>
      <c r="M33" s="383"/>
      <c r="N33" s="383"/>
      <c r="O33" s="384"/>
      <c r="P33" s="382"/>
      <c r="Q33" s="382"/>
      <c r="R33" s="374"/>
      <c r="S33" s="374"/>
      <c r="T33" s="374"/>
      <c r="U33" s="374"/>
      <c r="V33" s="373"/>
      <c r="W33" s="374"/>
      <c r="X33" s="374"/>
      <c r="Y33" s="374"/>
      <c r="Z33" s="374"/>
      <c r="AA33" s="375"/>
      <c r="AB33" s="351"/>
      <c r="AC33" s="351"/>
      <c r="AD33" s="351"/>
      <c r="AE33" s="351"/>
      <c r="AF33" s="351"/>
      <c r="AG33" s="352"/>
      <c r="AH33" s="363"/>
      <c r="AI33" s="364"/>
      <c r="AJ33" s="364"/>
      <c r="AK33" s="364"/>
      <c r="AL33" s="364"/>
      <c r="AM33" s="365"/>
      <c r="AN33" s="84"/>
      <c r="AO33" s="334"/>
      <c r="AP33" s="335"/>
      <c r="AQ33" s="335"/>
      <c r="AR33" s="335"/>
      <c r="AS33" s="335"/>
      <c r="AT33" s="336"/>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ht="15" customHeight="1">
      <c r="A34" s="84"/>
      <c r="B34" s="302"/>
      <c r="C34" s="302"/>
      <c r="D34" s="303"/>
      <c r="E34" s="343"/>
      <c r="F34" s="344"/>
      <c r="G34" s="344"/>
      <c r="H34" s="344"/>
      <c r="I34" s="344"/>
      <c r="J34" s="385" t="str">
        <f>IF(AND('Mapa final'!$H$20="Baja",'Mapa final'!$L$20="Leve"),CONCATENATE("R",'Mapa final'!$A$20),"")</f>
        <v/>
      </c>
      <c r="K34" s="383"/>
      <c r="L34" s="383" t="str">
        <f ca="1">IF(AND('Mapa final'!$H$21="Baja",'Mapa final'!$L$21="Leve"),CONCATENATE("R",'Mapa final'!$A$21),"")</f>
        <v/>
      </c>
      <c r="M34" s="383"/>
      <c r="N34" s="383" t="str">
        <f ca="1">IF(AND('Mapa final'!$H$27="Baja",'Mapa final'!$L$27="Leve"),CONCATENATE("R",'Mapa final'!$A$27),"")</f>
        <v/>
      </c>
      <c r="O34" s="384"/>
      <c r="P34" s="382" t="str">
        <f>IF(AND('Mapa final'!$H$20="Baja",'Mapa final'!$L$20="Menor"),CONCATENATE("R",'Mapa final'!$A$20),"")</f>
        <v/>
      </c>
      <c r="Q34" s="382"/>
      <c r="R34" s="382" t="str">
        <f ca="1">IF(AND('Mapa final'!$H$21="Baja",'Mapa final'!$L$21="Menor"),CONCATENATE("R",'Mapa final'!$A$21),"")</f>
        <v/>
      </c>
      <c r="S34" s="382"/>
      <c r="T34" s="382" t="str">
        <f ca="1">IF(AND('Mapa final'!$H$21="Baja",'Mapa final'!$L$21="Menor"),CONCATENATE("R",'Mapa final'!$A$21),"")</f>
        <v/>
      </c>
      <c r="U34" s="382"/>
      <c r="V34" s="373" t="str">
        <f>IF(AND('Mapa final'!$H$20="Baja",'Mapa final'!$L$20="Moderado"),CONCATENATE("R",'Mapa final'!$A$20),"")</f>
        <v/>
      </c>
      <c r="W34" s="374"/>
      <c r="X34" s="374" t="str">
        <f ca="1">IF(AND('Mapa final'!$H$21="Baja",'Mapa final'!$L$21="Moderado"),CONCATENATE("R",'Mapa final'!$A$21),"")</f>
        <v/>
      </c>
      <c r="Y34" s="374"/>
      <c r="Z34" s="374" t="str">
        <f ca="1">IF(AND('Mapa final'!$H$27="Baja",'Mapa final'!$L$27="Moderado"),CONCATENATE("R",'Mapa final'!$A$27),"")</f>
        <v/>
      </c>
      <c r="AA34" s="375"/>
      <c r="AB34" s="351" t="str">
        <f>IF(AND('Mapa final'!$H$20="Baja",'Mapa final'!$L$20="Mayor"),CONCATENATE("R",'Mapa final'!$A$20),"")</f>
        <v/>
      </c>
      <c r="AC34" s="351"/>
      <c r="AD34" s="351" t="str">
        <f ca="1">IF(AND('Mapa final'!$H$21="Baja",'Mapa final'!$L$21="Mayor"),CONCATENATE("R",'Mapa final'!$A$21),"")</f>
        <v/>
      </c>
      <c r="AE34" s="351"/>
      <c r="AF34" s="351" t="str">
        <f ca="1">IF(AND('Mapa final'!$H$27="Baja",'Mapa final'!$L$27="Mayor"),CONCATENATE("R",'Mapa final'!$A$27),"")</f>
        <v>R7</v>
      </c>
      <c r="AG34" s="352"/>
      <c r="AH34" s="363" t="str">
        <f>IF(AND('Mapa final'!$H$20="Baja",'Mapa final'!$L$20="Catastrófico"),CONCATENATE("R",'Mapa final'!$A$20),"")</f>
        <v/>
      </c>
      <c r="AI34" s="364"/>
      <c r="AJ34" s="364" t="str">
        <f ca="1">IF(AND('Mapa final'!$H$21="Baja",'Mapa final'!$L$21="Catastrófico"),CONCATENATE("R",'Mapa final'!$A$21),"")</f>
        <v/>
      </c>
      <c r="AK34" s="364"/>
      <c r="AL34" s="364" t="str">
        <f ca="1">IF(AND('Mapa final'!$H$27="Baja",'Mapa final'!$L$27="Catastrófico"),CONCATENATE("R",'Mapa final'!$A$27),"")</f>
        <v/>
      </c>
      <c r="AM34" s="365"/>
      <c r="AN34" s="84"/>
      <c r="AO34" s="334"/>
      <c r="AP34" s="335"/>
      <c r="AQ34" s="335"/>
      <c r="AR34" s="335"/>
      <c r="AS34" s="335"/>
      <c r="AT34" s="336"/>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ht="15" customHeight="1">
      <c r="A35" s="84"/>
      <c r="B35" s="302"/>
      <c r="C35" s="302"/>
      <c r="D35" s="303"/>
      <c r="E35" s="343"/>
      <c r="F35" s="344"/>
      <c r="G35" s="344"/>
      <c r="H35" s="344"/>
      <c r="I35" s="344"/>
      <c r="J35" s="385"/>
      <c r="K35" s="383"/>
      <c r="L35" s="383"/>
      <c r="M35" s="383"/>
      <c r="N35" s="383"/>
      <c r="O35" s="384"/>
      <c r="P35" s="382"/>
      <c r="Q35" s="382"/>
      <c r="R35" s="382"/>
      <c r="S35" s="382"/>
      <c r="T35" s="382"/>
      <c r="U35" s="382"/>
      <c r="V35" s="373"/>
      <c r="W35" s="374"/>
      <c r="X35" s="374"/>
      <c r="Y35" s="374"/>
      <c r="Z35" s="374"/>
      <c r="AA35" s="375"/>
      <c r="AB35" s="351"/>
      <c r="AC35" s="351"/>
      <c r="AD35" s="351"/>
      <c r="AE35" s="351"/>
      <c r="AF35" s="351"/>
      <c r="AG35" s="352"/>
      <c r="AH35" s="363"/>
      <c r="AI35" s="364"/>
      <c r="AJ35" s="364"/>
      <c r="AK35" s="364"/>
      <c r="AL35" s="364"/>
      <c r="AM35" s="365"/>
      <c r="AN35" s="84"/>
      <c r="AO35" s="334"/>
      <c r="AP35" s="335"/>
      <c r="AQ35" s="335"/>
      <c r="AR35" s="335"/>
      <c r="AS35" s="335"/>
      <c r="AT35" s="336"/>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302"/>
      <c r="C36" s="302"/>
      <c r="D36" s="303"/>
      <c r="E36" s="343"/>
      <c r="F36" s="344"/>
      <c r="G36" s="344"/>
      <c r="H36" s="344"/>
      <c r="I36" s="344"/>
      <c r="J36" s="385" t="str">
        <f ca="1">IF(AND('Mapa final'!$H$34="Baja",'Mapa final'!$L$34="Leve"),CONCATENATE("R",'Mapa final'!$A$34),"")</f>
        <v/>
      </c>
      <c r="K36" s="383"/>
      <c r="L36" s="383" t="str">
        <f>IF(AND('Mapa final'!$H$35="Baja",'Mapa final'!$L$35="Leve"),CONCATENATE("R",'Mapa final'!$A$35),"")</f>
        <v/>
      </c>
      <c r="M36" s="383"/>
      <c r="N36" s="383" t="str">
        <f>IF(AND('Mapa final'!$H$41="Baja",'Mapa final'!$L$41="Leve"),CONCATENATE("R",'Mapa final'!$A$41),"")</f>
        <v/>
      </c>
      <c r="O36" s="384"/>
      <c r="P36" s="382" t="str">
        <f ca="1">IF(AND('Mapa final'!$H$34="Baja",'Mapa final'!$L$34="Menor"),CONCATENATE("R",'Mapa final'!$A$34),"")</f>
        <v/>
      </c>
      <c r="Q36" s="382"/>
      <c r="R36" s="382" t="str">
        <f>IF(AND('Mapa final'!$H$35="Baja",'Mapa final'!$L$35="Menor"),CONCATENATE("R",'Mapa final'!$A$35),"")</f>
        <v/>
      </c>
      <c r="S36" s="382"/>
      <c r="T36" s="382" t="str">
        <f>IF(AND('Mapa final'!$H$41="Baja",'Mapa final'!$L$41="Menor"),CONCATENATE("R",'Mapa final'!$A$41),"")</f>
        <v/>
      </c>
      <c r="U36" s="374"/>
      <c r="V36" s="373" t="str">
        <f ca="1">IF(AND('Mapa final'!$H$34="Baja",'Mapa final'!$L$34="Moderado"),CONCATENATE("R",'Mapa final'!$A$34),"")</f>
        <v/>
      </c>
      <c r="W36" s="374"/>
      <c r="X36" s="374" t="str">
        <f>IF(AND('Mapa final'!$H$35="Baja",'Mapa final'!$L$35="Moderado"),CONCATENATE("R",'Mapa final'!$A$35),"")</f>
        <v/>
      </c>
      <c r="Y36" s="374"/>
      <c r="Z36" s="374" t="str">
        <f>IF(AND('Mapa final'!$H$41="Baja",'Mapa final'!$L$41="Moderado"),CONCATENATE("R",'Mapa final'!$A$41),"")</f>
        <v/>
      </c>
      <c r="AA36" s="375"/>
      <c r="AB36" s="351" t="str">
        <f ca="1">IF(AND('Mapa final'!$H$34="Baja",'Mapa final'!$L$34="Mayor"),CONCATENATE("R",'Mapa final'!$A$34),"")</f>
        <v/>
      </c>
      <c r="AC36" s="351"/>
      <c r="AD36" s="351" t="str">
        <f>IF(AND('Mapa final'!$H$35="Baja",'Mapa final'!$L$35="Mayor"),CONCATENATE("R",'Mapa final'!$A$35),"")</f>
        <v/>
      </c>
      <c r="AE36" s="351"/>
      <c r="AF36" s="351" t="str">
        <f>IF(AND('Mapa final'!$H$41="Baja",'Mapa final'!$L$41="Mayor"),CONCATENATE("R",'Mapa final'!$A$41),"")</f>
        <v/>
      </c>
      <c r="AG36" s="352"/>
      <c r="AH36" s="363" t="str">
        <f ca="1">IF(AND('Mapa final'!$H$34="Baja",'Mapa final'!$L$34="Catastrófico"),CONCATENATE("R",'Mapa final'!$A$34),"")</f>
        <v/>
      </c>
      <c r="AI36" s="364"/>
      <c r="AJ36" s="364" t="str">
        <f>IF(AND('Mapa final'!$H$35="Baja",'Mapa final'!$L$35="Catastrófico"),CONCATENATE("R",'Mapa final'!$A$35),"")</f>
        <v/>
      </c>
      <c r="AK36" s="364"/>
      <c r="AL36" s="364" t="str">
        <f>IF(AND('Mapa final'!$H$41="Baja",'Mapa final'!$L$41="Catastrófico"),CONCATENATE("R",'Mapa final'!$A$41),"")</f>
        <v/>
      </c>
      <c r="AM36" s="365"/>
      <c r="AN36" s="84"/>
      <c r="AO36" s="334"/>
      <c r="AP36" s="335"/>
      <c r="AQ36" s="335"/>
      <c r="AR36" s="335"/>
      <c r="AS36" s="335"/>
      <c r="AT36" s="336"/>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302"/>
      <c r="C37" s="302"/>
      <c r="D37" s="303"/>
      <c r="E37" s="346"/>
      <c r="F37" s="347"/>
      <c r="G37" s="347"/>
      <c r="H37" s="347"/>
      <c r="I37" s="347"/>
      <c r="J37" s="386"/>
      <c r="K37" s="387"/>
      <c r="L37" s="387"/>
      <c r="M37" s="387"/>
      <c r="N37" s="387"/>
      <c r="O37" s="388"/>
      <c r="P37" s="374"/>
      <c r="Q37" s="374"/>
      <c r="R37" s="374"/>
      <c r="S37" s="374"/>
      <c r="T37" s="374"/>
      <c r="U37" s="374"/>
      <c r="V37" s="376"/>
      <c r="W37" s="377"/>
      <c r="X37" s="377"/>
      <c r="Y37" s="377"/>
      <c r="Z37" s="377"/>
      <c r="AA37" s="378"/>
      <c r="AB37" s="360"/>
      <c r="AC37" s="360"/>
      <c r="AD37" s="360"/>
      <c r="AE37" s="360"/>
      <c r="AF37" s="360"/>
      <c r="AG37" s="361"/>
      <c r="AH37" s="366"/>
      <c r="AI37" s="367"/>
      <c r="AJ37" s="367"/>
      <c r="AK37" s="367"/>
      <c r="AL37" s="367"/>
      <c r="AM37" s="368"/>
      <c r="AN37" s="84"/>
      <c r="AO37" s="337"/>
      <c r="AP37" s="338"/>
      <c r="AQ37" s="338"/>
      <c r="AR37" s="338"/>
      <c r="AS37" s="338"/>
      <c r="AT37" s="339"/>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ht="15" customHeight="1">
      <c r="A38" s="84"/>
      <c r="B38" s="302"/>
      <c r="C38" s="302"/>
      <c r="D38" s="303"/>
      <c r="E38" s="340" t="s">
        <v>113</v>
      </c>
      <c r="F38" s="341"/>
      <c r="G38" s="341"/>
      <c r="H38" s="341"/>
      <c r="I38" s="341"/>
      <c r="J38" s="389" t="str">
        <f ca="1">IF(AND('Mapa final'!$H$12="Muy Baja",'Mapa final'!$L$12="Leve"),CONCATENATE("R",'Mapa final'!$A$12),"")</f>
        <v/>
      </c>
      <c r="K38" s="390"/>
      <c r="L38" s="390" t="str">
        <f ca="1">IF(AND('Mapa final'!$H$14="Baja",'Mapa final'!$L$14="Leve"),CONCATENATE("R",'Mapa final'!$A$14),"")</f>
        <v/>
      </c>
      <c r="M38" s="390"/>
      <c r="N38" s="390" t="str">
        <f ca="1">IF(AND('Mapa final'!$H$14="Muy Baja",'Mapa final'!$L$14="Leve"),CONCATENATE("R",'Mapa final'!$A$14),"")</f>
        <v/>
      </c>
      <c r="O38" s="391"/>
      <c r="P38" s="389" t="str">
        <f ca="1">IF(AND('Mapa final'!$H$12="Muy Baja",'Mapa final'!$L$12="Menor"),CONCATENATE("R",'Mapa final'!$A$12),"")</f>
        <v/>
      </c>
      <c r="Q38" s="390"/>
      <c r="R38" s="390" t="str">
        <f ca="1">IF(AND('Mapa final'!$H$14="Baja",'Mapa final'!$L$14="Leve"),CONCATENATE("R",'Mapa final'!$A$14),"")</f>
        <v/>
      </c>
      <c r="S38" s="390"/>
      <c r="T38" s="390" t="str">
        <f ca="1">IF(AND('Mapa final'!$H$14="Muy Baja",'Mapa final'!$L$14="Menor"),CONCATENATE("R",'Mapa final'!$A$14),"")</f>
        <v/>
      </c>
      <c r="U38" s="391"/>
      <c r="V38" s="380" t="str">
        <f ca="1">IF(AND('Mapa final'!$H$12="Muy Baja",'Mapa final'!$L$12="Moderado"),CONCATENATE("R",'Mapa final'!$A$12),"")</f>
        <v/>
      </c>
      <c r="W38" s="380"/>
      <c r="X38" s="380" t="str">
        <f ca="1">IF(AND('Mapa final'!$H$14="Alta",'Mapa final'!$L$14="Leve"),CONCATENATE("R",'Mapa final'!$A$14),"")</f>
        <v/>
      </c>
      <c r="Y38" s="380"/>
      <c r="Z38" s="380" t="str">
        <f ca="1">IF(AND('Mapa final'!$H$14="Muy Baja",'Mapa final'!$L$14="Moderado"),CONCATENATE("R",'Mapa final'!$A$14),"")</f>
        <v/>
      </c>
      <c r="AA38" s="381"/>
      <c r="AB38" s="351" t="str">
        <f ca="1">IF(AND('Mapa final'!$H$12="Muy Baja",'Mapa final'!$L$12="Mayor"),CONCATENATE("R",'Mapa final'!$A$12),"")</f>
        <v/>
      </c>
      <c r="AC38" s="351"/>
      <c r="AD38" s="351" t="str">
        <f ca="1">IF(AND('Mapa final'!$H$14="Alta",'Mapa final'!$L$14="Mayor"),CONCATENATE("R",'Mapa final'!$A$14),"")</f>
        <v/>
      </c>
      <c r="AE38" s="351"/>
      <c r="AF38" s="351" t="str">
        <f ca="1">IF(AND('Mapa final'!$H$14="Muy Baja",'Mapa final'!$L$14="Mayor"),CONCATENATE("R",'Mapa final'!$A$14),"")</f>
        <v/>
      </c>
      <c r="AG38" s="352"/>
      <c r="AH38" s="363" t="str">
        <f ca="1">IF(AND('Mapa final'!$H$12="Muy Baja",'Mapa final'!$L$12="Catastrófico"),CONCATENATE("R",'Mapa final'!$A$12),"")</f>
        <v/>
      </c>
      <c r="AI38" s="364"/>
      <c r="AJ38" s="364" t="str">
        <f ca="1">IF(AND('Mapa final'!$H$14="Muy Alta",'Mapa final'!$L$14="Catastrófico"),CONCATENATE("R",'Mapa final'!$A$14),"")</f>
        <v/>
      </c>
      <c r="AK38" s="364"/>
      <c r="AL38" s="364" t="str">
        <f ca="1">IF(AND('Mapa final'!$H$14="Muy Baja",'Mapa final'!$L$14="Catastrófico"),CONCATENATE("R",'Mapa final'!$A$14),"")</f>
        <v/>
      </c>
      <c r="AM38" s="365"/>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ht="15" customHeight="1">
      <c r="A39" s="84"/>
      <c r="B39" s="302"/>
      <c r="C39" s="302"/>
      <c r="D39" s="303"/>
      <c r="E39" s="343"/>
      <c r="F39" s="344"/>
      <c r="G39" s="344"/>
      <c r="H39" s="344"/>
      <c r="I39" s="349"/>
      <c r="J39" s="385"/>
      <c r="K39" s="383"/>
      <c r="L39" s="383"/>
      <c r="M39" s="383"/>
      <c r="N39" s="383"/>
      <c r="O39" s="384"/>
      <c r="P39" s="385"/>
      <c r="Q39" s="383"/>
      <c r="R39" s="383"/>
      <c r="S39" s="383"/>
      <c r="T39" s="383"/>
      <c r="U39" s="384"/>
      <c r="V39" s="374"/>
      <c r="W39" s="374"/>
      <c r="X39" s="374"/>
      <c r="Y39" s="374"/>
      <c r="Z39" s="374"/>
      <c r="AA39" s="375"/>
      <c r="AB39" s="351"/>
      <c r="AC39" s="362"/>
      <c r="AD39" s="351"/>
      <c r="AE39" s="351"/>
      <c r="AF39" s="362"/>
      <c r="AG39" s="352"/>
      <c r="AH39" s="363"/>
      <c r="AI39" s="372"/>
      <c r="AJ39" s="364"/>
      <c r="AK39" s="364"/>
      <c r="AL39" s="372"/>
      <c r="AM39" s="365"/>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ht="15" customHeight="1">
      <c r="A40" s="84"/>
      <c r="B40" s="302"/>
      <c r="C40" s="302"/>
      <c r="D40" s="303"/>
      <c r="E40" s="343"/>
      <c r="F40" s="344"/>
      <c r="G40" s="344"/>
      <c r="H40" s="344"/>
      <c r="I40" s="349"/>
      <c r="J40" s="385" t="str">
        <f ca="1">IF(AND('Mapa final'!$H$16="Muy Baja",'Mapa final'!$L$16="Leve"),CONCATENATE("R",'Mapa final'!$A$16),"")</f>
        <v/>
      </c>
      <c r="K40" s="383"/>
      <c r="L40" s="383" t="str">
        <f ca="1">IF(AND('Mapa final'!$H$18="Baja",'Mapa final'!$L$18="Leve"),CONCATENATE("R",'Mapa final'!$A$18),"")</f>
        <v/>
      </c>
      <c r="M40" s="383"/>
      <c r="N40" s="383" t="str">
        <f ca="1">IF(AND('Mapa final'!$H$18="Muy Baja",'Mapa final'!$L$18="Leve"),CONCATENATE("R",'Mapa final'!$A$18),"")</f>
        <v/>
      </c>
      <c r="O40" s="384"/>
      <c r="P40" s="385" t="str">
        <f ca="1">IF(AND('Mapa final'!$H$16="Muy Baja",'Mapa final'!$L$16="Menor"),CONCATENATE("R",'Mapa final'!$A$16),"")</f>
        <v/>
      </c>
      <c r="Q40" s="383"/>
      <c r="R40" s="383" t="str">
        <f ca="1">IF(AND('Mapa final'!$H$18="Baja",'Mapa final'!$L$18="Leve"),CONCATENATE("R",'Mapa final'!$A$18),"")</f>
        <v/>
      </c>
      <c r="S40" s="383"/>
      <c r="T40" s="383" t="str">
        <f ca="1">IF(AND('Mapa final'!$H$18="Muy Baja",'Mapa final'!$L$18="Menor"),CONCATENATE("R",'Mapa final'!$A$18),"")</f>
        <v/>
      </c>
      <c r="U40" s="384"/>
      <c r="V40" s="374" t="str">
        <f ca="1">IF(AND('Mapa final'!$H$16="Muy Baja",'Mapa final'!$L$16="Moderado"),CONCATENATE("R",'Mapa final'!$A$16),"")</f>
        <v/>
      </c>
      <c r="W40" s="374"/>
      <c r="X40" s="374" t="str">
        <f ca="1">IF(AND('Mapa final'!$H$18="Alta",'Mapa final'!$L$18="Leve"),CONCATENATE("R",'Mapa final'!$A$18),"")</f>
        <v/>
      </c>
      <c r="Y40" s="374"/>
      <c r="Z40" s="374" t="str">
        <f ca="1">IF(AND('Mapa final'!$H$18="Muy Baja",'Mapa final'!$L$18="Moderado"),CONCATENATE("R",'Mapa final'!$A$18),"")</f>
        <v/>
      </c>
      <c r="AA40" s="375"/>
      <c r="AB40" s="351" t="str">
        <f ca="1">IF(AND('Mapa final'!$H$16="Muy Baja",'Mapa final'!$L$16="Mayor"),CONCATENATE("R",'Mapa final'!$A$16),"")</f>
        <v/>
      </c>
      <c r="AC40" s="362"/>
      <c r="AD40" s="351" t="str">
        <f ca="1">IF(AND('Mapa final'!$H$18="Alta",'Mapa final'!$L$18="Mayor"),CONCATENATE("R",'Mapa final'!$A$18),"")</f>
        <v/>
      </c>
      <c r="AE40" s="351"/>
      <c r="AF40" s="362" t="str">
        <f ca="1">IF(AND('Mapa final'!$H$18="Muy Baja",'Mapa final'!$L$18="Mayor"),CONCATENATE("R",'Mapa final'!$A$18),"")</f>
        <v/>
      </c>
      <c r="AG40" s="352"/>
      <c r="AH40" s="363" t="str">
        <f ca="1">IF(AND('Mapa final'!$H$16="Muy Baja",'Mapa final'!$L$16="Catastrófico"),CONCATENATE("R",'Mapa final'!$A$16),"")</f>
        <v/>
      </c>
      <c r="AI40" s="372"/>
      <c r="AJ40" s="364" t="str">
        <f ca="1">IF(AND('Mapa final'!$H$18="Muy Alta",'Mapa final'!$L$18="Catastrófico"),CONCATENATE("R",'Mapa final'!$A$18),"")</f>
        <v/>
      </c>
      <c r="AK40" s="364"/>
      <c r="AL40" s="372" t="str">
        <f ca="1">IF(AND('Mapa final'!$H$18="Muy Baja",'Mapa final'!$L$18="Catastrófico"),CONCATENATE("R",'Mapa final'!$A$18),"")</f>
        <v/>
      </c>
      <c r="AM40" s="365"/>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ht="15" customHeight="1">
      <c r="A41" s="84"/>
      <c r="B41" s="302"/>
      <c r="C41" s="302"/>
      <c r="D41" s="303"/>
      <c r="E41" s="343"/>
      <c r="F41" s="344"/>
      <c r="G41" s="344"/>
      <c r="H41" s="344"/>
      <c r="I41" s="349"/>
      <c r="J41" s="385"/>
      <c r="K41" s="383"/>
      <c r="L41" s="383"/>
      <c r="M41" s="383"/>
      <c r="N41" s="383"/>
      <c r="O41" s="384"/>
      <c r="P41" s="385"/>
      <c r="Q41" s="383"/>
      <c r="R41" s="383"/>
      <c r="S41" s="383"/>
      <c r="T41" s="383"/>
      <c r="U41" s="384"/>
      <c r="V41" s="374"/>
      <c r="W41" s="374"/>
      <c r="X41" s="374"/>
      <c r="Y41" s="374"/>
      <c r="Z41" s="374"/>
      <c r="AA41" s="375"/>
      <c r="AB41" s="351"/>
      <c r="AC41" s="362"/>
      <c r="AD41" s="351"/>
      <c r="AE41" s="351"/>
      <c r="AF41" s="362"/>
      <c r="AG41" s="352"/>
      <c r="AH41" s="363"/>
      <c r="AI41" s="372"/>
      <c r="AJ41" s="364"/>
      <c r="AK41" s="364"/>
      <c r="AL41" s="372"/>
      <c r="AM41" s="365"/>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ht="15" customHeight="1">
      <c r="A42" s="84"/>
      <c r="B42" s="302"/>
      <c r="C42" s="302"/>
      <c r="D42" s="303"/>
      <c r="E42" s="343"/>
      <c r="F42" s="344"/>
      <c r="G42" s="344"/>
      <c r="H42" s="344"/>
      <c r="I42" s="349"/>
      <c r="J42" s="385" t="str">
        <f>IF(AND('Mapa final'!$H$20="Muy Baja",'Mapa final'!$L$20="Leve"),CONCATENATE("R",'Mapa final'!$A$20),"")</f>
        <v/>
      </c>
      <c r="K42" s="383"/>
      <c r="L42" s="383" t="str">
        <f ca="1">IF(AND('Mapa final'!$H$21="Muy Baja",'Mapa final'!$L$21="Leve"),CONCATENATE("R",'Mapa final'!$A$21),"")</f>
        <v/>
      </c>
      <c r="M42" s="383"/>
      <c r="N42" s="383" t="str">
        <f ca="1">IF(AND('Mapa final'!$H$27="Muy Baja",'Mapa final'!$L$27="Leve"),CONCATENATE("R",'Mapa final'!$A$27),"")</f>
        <v/>
      </c>
      <c r="O42" s="384"/>
      <c r="P42" s="385" t="str">
        <f>IF(AND('Mapa final'!$H$20="Muy Baja",'Mapa final'!$L$20="Menor"),CONCATENATE("R",'Mapa final'!$A$20),"")</f>
        <v/>
      </c>
      <c r="Q42" s="383"/>
      <c r="R42" s="383" t="str">
        <f ca="1">IF(AND('Mapa final'!$H$21="Muy Baja",'Mapa final'!$L$21="Menor"),CONCATENATE("R",'Mapa final'!$A$21),"")</f>
        <v/>
      </c>
      <c r="S42" s="383"/>
      <c r="T42" s="383" t="str">
        <f ca="1">IF(AND('Mapa final'!$H$27="Muy Baja",'Mapa final'!$L$27="Menor"),CONCATENATE("R",'Mapa final'!$A$27),"")</f>
        <v/>
      </c>
      <c r="U42" s="384"/>
      <c r="V42" s="374" t="str">
        <f>IF(AND('Mapa final'!$H$20="Muy Baja",'Mapa final'!$L$20="Moderado"),CONCATENATE("R",'Mapa final'!$A$20),"")</f>
        <v/>
      </c>
      <c r="W42" s="374"/>
      <c r="X42" s="374" t="str">
        <f ca="1">IF(AND('Mapa final'!$H$21="Muy Baja",'Mapa final'!$L$21="Moderado"),CONCATENATE("R",'Mapa final'!$A$21),"")</f>
        <v/>
      </c>
      <c r="Y42" s="374"/>
      <c r="Z42" s="374" t="str">
        <f ca="1">IF(AND('Mapa final'!$H$27="Muy Baja",'Mapa final'!$L$27="Moderado"),CONCATENATE("R",'Mapa final'!$A$27),"")</f>
        <v/>
      </c>
      <c r="AA42" s="375"/>
      <c r="AB42" s="351" t="str">
        <f>IF(AND('Mapa final'!$H$20="Muy Baja",'Mapa final'!$L$20="Mayor"),CONCATENATE("R",'Mapa final'!$A$20),"")</f>
        <v/>
      </c>
      <c r="AC42" s="362"/>
      <c r="AD42" s="362" t="str">
        <f ca="1">IF(AND('Mapa final'!$H$21="Muy Baja",'Mapa final'!$L$21="Mayor"),CONCATENATE("R",'Mapa final'!$A$21),"")</f>
        <v/>
      </c>
      <c r="AE42" s="362"/>
      <c r="AF42" s="362" t="str">
        <f ca="1">IF(AND('Mapa final'!$H$27="Muy Baja",'Mapa final'!$L$27="Mayor"),CONCATENATE("R",'Mapa final'!$A$27),"")</f>
        <v/>
      </c>
      <c r="AG42" s="362"/>
      <c r="AH42" s="363" t="str">
        <f>IF(AND('Mapa final'!$H$20="Muy Baja",'Mapa final'!$L$20="Catastrófico"),CONCATENATE("R",'Mapa final'!$A$20),"")</f>
        <v/>
      </c>
      <c r="AI42" s="372"/>
      <c r="AJ42" s="372" t="str">
        <f ca="1">IF(AND('Mapa final'!$H$21="Muy Baja",'Mapa final'!$L$21="Catastrófico"),CONCATENATE("R",'Mapa final'!$A$21),"")</f>
        <v/>
      </c>
      <c r="AK42" s="372"/>
      <c r="AL42" s="372" t="str">
        <f ca="1">IF(AND('Mapa final'!$H$27="Muy Baja",'Mapa final'!$L$27="Catastrófico"),CONCATENATE("R",'Mapa final'!$A$27),"")</f>
        <v/>
      </c>
      <c r="AM42" s="365"/>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ht="15" customHeight="1">
      <c r="A43" s="84"/>
      <c r="B43" s="302"/>
      <c r="C43" s="302"/>
      <c r="D43" s="303"/>
      <c r="E43" s="343"/>
      <c r="F43" s="344"/>
      <c r="G43" s="344"/>
      <c r="H43" s="344"/>
      <c r="I43" s="349"/>
      <c r="J43" s="385"/>
      <c r="K43" s="383"/>
      <c r="L43" s="383"/>
      <c r="M43" s="383"/>
      <c r="N43" s="383"/>
      <c r="O43" s="384"/>
      <c r="P43" s="385"/>
      <c r="Q43" s="383"/>
      <c r="R43" s="383"/>
      <c r="S43" s="383"/>
      <c r="T43" s="383"/>
      <c r="U43" s="384"/>
      <c r="V43" s="374"/>
      <c r="W43" s="374"/>
      <c r="X43" s="374"/>
      <c r="Y43" s="374"/>
      <c r="Z43" s="374"/>
      <c r="AA43" s="375"/>
      <c r="AB43" s="351"/>
      <c r="AC43" s="362"/>
      <c r="AD43" s="362"/>
      <c r="AE43" s="362"/>
      <c r="AF43" s="362"/>
      <c r="AG43" s="362"/>
      <c r="AH43" s="363"/>
      <c r="AI43" s="372"/>
      <c r="AJ43" s="372"/>
      <c r="AK43" s="372"/>
      <c r="AL43" s="372"/>
      <c r="AM43" s="365"/>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302"/>
      <c r="C44" s="302"/>
      <c r="D44" s="303"/>
      <c r="E44" s="343"/>
      <c r="F44" s="344"/>
      <c r="G44" s="344"/>
      <c r="H44" s="344"/>
      <c r="I44" s="345"/>
      <c r="J44" s="385" t="str">
        <f ca="1">IF(AND('Mapa final'!$H$34="Muy Baja",'Mapa final'!$L$34="Leve"),CONCATENATE("R",'Mapa final'!$A$34),"")</f>
        <v/>
      </c>
      <c r="K44" s="383"/>
      <c r="L44" s="383" t="str">
        <f>IF(AND('Mapa final'!$H$35="Muy Baja",'Mapa final'!$L$35="Leve"),CONCATENATE("R",'Mapa final'!$A$35),"")</f>
        <v/>
      </c>
      <c r="M44" s="383"/>
      <c r="N44" s="383" t="str">
        <f>IF(AND('Mapa final'!$H$41="Muy Baja",'Mapa final'!$L$41="Leve"),CONCATENATE("R",'Mapa final'!$A$41),"")</f>
        <v/>
      </c>
      <c r="O44" s="384"/>
      <c r="P44" s="385" t="str">
        <f ca="1">IF(AND('Mapa final'!$H$34="Muy Baja",'Mapa final'!$L$34="Menor"),CONCATENATE("R",'Mapa final'!$A$34),"")</f>
        <v/>
      </c>
      <c r="Q44" s="383"/>
      <c r="R44" s="383" t="str">
        <f>IF(AND('Mapa final'!$H$35="Muy Baja",'Mapa final'!$L$35="Menor"),CONCATENATE("R",'Mapa final'!$A$35),"")</f>
        <v/>
      </c>
      <c r="S44" s="383"/>
      <c r="T44" s="383" t="str">
        <f>IF(AND('Mapa final'!$H$41="Muy Baja",'Mapa final'!$L$41="Menor"),CONCATENATE("R",'Mapa final'!$A$41),"")</f>
        <v/>
      </c>
      <c r="U44" s="384"/>
      <c r="V44" s="373" t="str">
        <f ca="1">IF(AND('Mapa final'!$H$34="Muy Baja",'Mapa final'!$L$34="Moderado"),CONCATENATE("R",'Mapa final'!$A$34),"")</f>
        <v/>
      </c>
      <c r="W44" s="374"/>
      <c r="X44" s="374" t="str">
        <f>IF(AND('Mapa final'!$H$35="Muy Baja",'Mapa final'!$L$35="Moderado"),CONCATENATE("R",'Mapa final'!$A$35),"")</f>
        <v/>
      </c>
      <c r="Y44" s="374"/>
      <c r="Z44" s="374" t="str">
        <f>IF(AND('Mapa final'!$H$41="Muy Baja",'Mapa final'!$L$41="Moderado"),CONCATENATE("R",'Mapa final'!$A$41),"")</f>
        <v/>
      </c>
      <c r="AA44" s="375"/>
      <c r="AB44" s="351" t="str">
        <f ca="1">IF(AND('Mapa final'!$H$34="Muy Baja",'Mapa final'!$L$34="Mayor"),CONCATENATE("R",'Mapa final'!$A$34),"")</f>
        <v/>
      </c>
      <c r="AC44" s="362"/>
      <c r="AD44" s="362" t="str">
        <f>IF(AND('Mapa final'!$H$35="Muy Baja",'Mapa final'!$L$35="Mayor"),CONCATENATE("R",'Mapa final'!$A$35),"")</f>
        <v/>
      </c>
      <c r="AE44" s="362"/>
      <c r="AF44" s="362" t="str">
        <f>IF(AND('Mapa final'!$H$41="Muy Baja",'Mapa final'!$L$41="Mayor"),CONCATENATE("R",'Mapa final'!$A$41),"")</f>
        <v/>
      </c>
      <c r="AG44" s="352"/>
      <c r="AH44" s="363" t="str">
        <f ca="1">IF(AND('Mapa final'!$H$34="Muy Baja",'Mapa final'!$L$34="Catastrófico"),CONCATENATE("R",'Mapa final'!$A$34),"")</f>
        <v/>
      </c>
      <c r="AI44" s="372"/>
      <c r="AJ44" s="372" t="str">
        <f>IF(AND('Mapa final'!$H$35="Muy Baja",'Mapa final'!$L$35="Catastrófico"),CONCATENATE("R",'Mapa final'!$A$35),"")</f>
        <v/>
      </c>
      <c r="AK44" s="372"/>
      <c r="AL44" s="372" t="str">
        <f>IF(AND('Mapa final'!$H$41="Muy Baja",'Mapa final'!$L$41="Catastrófico"),CONCATENATE("R",'Mapa final'!$A$41),"")</f>
        <v/>
      </c>
      <c r="AM44" s="365"/>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302"/>
      <c r="C45" s="302"/>
      <c r="D45" s="303"/>
      <c r="E45" s="346"/>
      <c r="F45" s="347"/>
      <c r="G45" s="347"/>
      <c r="H45" s="347"/>
      <c r="I45" s="348"/>
      <c r="J45" s="386"/>
      <c r="K45" s="387"/>
      <c r="L45" s="387"/>
      <c r="M45" s="387"/>
      <c r="N45" s="387"/>
      <c r="O45" s="388"/>
      <c r="P45" s="386"/>
      <c r="Q45" s="387"/>
      <c r="R45" s="387"/>
      <c r="S45" s="387"/>
      <c r="T45" s="387"/>
      <c r="U45" s="388"/>
      <c r="V45" s="376"/>
      <c r="W45" s="377"/>
      <c r="X45" s="377"/>
      <c r="Y45" s="377"/>
      <c r="Z45" s="377"/>
      <c r="AA45" s="378"/>
      <c r="AB45" s="360"/>
      <c r="AC45" s="360"/>
      <c r="AD45" s="360"/>
      <c r="AE45" s="360"/>
      <c r="AF45" s="360"/>
      <c r="AG45" s="361"/>
      <c r="AH45" s="366"/>
      <c r="AI45" s="367"/>
      <c r="AJ45" s="367"/>
      <c r="AK45" s="367"/>
      <c r="AL45" s="367"/>
      <c r="AM45" s="368"/>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350" t="s">
        <v>112</v>
      </c>
      <c r="K46" s="349"/>
      <c r="L46" s="349"/>
      <c r="M46" s="349"/>
      <c r="N46" s="349"/>
      <c r="O46" s="345"/>
      <c r="P46" s="350" t="s">
        <v>111</v>
      </c>
      <c r="Q46" s="349"/>
      <c r="R46" s="349"/>
      <c r="S46" s="349"/>
      <c r="T46" s="349"/>
      <c r="U46" s="345"/>
      <c r="V46" s="350" t="s">
        <v>110</v>
      </c>
      <c r="W46" s="349"/>
      <c r="X46" s="349"/>
      <c r="Y46" s="349"/>
      <c r="Z46" s="349"/>
      <c r="AA46" s="345"/>
      <c r="AB46" s="340" t="s">
        <v>109</v>
      </c>
      <c r="AC46" s="358"/>
      <c r="AD46" s="341"/>
      <c r="AE46" s="341"/>
      <c r="AF46" s="341"/>
      <c r="AG46" s="342"/>
      <c r="AH46" s="340" t="s">
        <v>108</v>
      </c>
      <c r="AI46" s="341"/>
      <c r="AJ46" s="341"/>
      <c r="AK46" s="341"/>
      <c r="AL46" s="341"/>
      <c r="AM46" s="342"/>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343"/>
      <c r="K47" s="344"/>
      <c r="L47" s="344"/>
      <c r="M47" s="344"/>
      <c r="N47" s="344"/>
      <c r="O47" s="345"/>
      <c r="P47" s="343"/>
      <c r="Q47" s="344"/>
      <c r="R47" s="344"/>
      <c r="S47" s="344"/>
      <c r="T47" s="344"/>
      <c r="U47" s="345"/>
      <c r="V47" s="343"/>
      <c r="W47" s="344"/>
      <c r="X47" s="344"/>
      <c r="Y47" s="344"/>
      <c r="Z47" s="344"/>
      <c r="AA47" s="345"/>
      <c r="AB47" s="343"/>
      <c r="AC47" s="344"/>
      <c r="AD47" s="344"/>
      <c r="AE47" s="344"/>
      <c r="AF47" s="344"/>
      <c r="AG47" s="345"/>
      <c r="AH47" s="343"/>
      <c r="AI47" s="344"/>
      <c r="AJ47" s="344"/>
      <c r="AK47" s="344"/>
      <c r="AL47" s="344"/>
      <c r="AM47" s="345"/>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343"/>
      <c r="K48" s="344"/>
      <c r="L48" s="344"/>
      <c r="M48" s="344"/>
      <c r="N48" s="344"/>
      <c r="O48" s="345"/>
      <c r="P48" s="343"/>
      <c r="Q48" s="344"/>
      <c r="R48" s="344"/>
      <c r="S48" s="344"/>
      <c r="T48" s="344"/>
      <c r="U48" s="345"/>
      <c r="V48" s="343"/>
      <c r="W48" s="344"/>
      <c r="X48" s="344"/>
      <c r="Y48" s="344"/>
      <c r="Z48" s="344"/>
      <c r="AA48" s="345"/>
      <c r="AB48" s="343"/>
      <c r="AC48" s="344"/>
      <c r="AD48" s="344"/>
      <c r="AE48" s="344"/>
      <c r="AF48" s="344"/>
      <c r="AG48" s="345"/>
      <c r="AH48" s="343"/>
      <c r="AI48" s="344"/>
      <c r="AJ48" s="344"/>
      <c r="AK48" s="344"/>
      <c r="AL48" s="344"/>
      <c r="AM48" s="345"/>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343"/>
      <c r="K49" s="344"/>
      <c r="L49" s="344"/>
      <c r="M49" s="344"/>
      <c r="N49" s="344"/>
      <c r="O49" s="345"/>
      <c r="P49" s="343"/>
      <c r="Q49" s="344"/>
      <c r="R49" s="344"/>
      <c r="S49" s="344"/>
      <c r="T49" s="344"/>
      <c r="U49" s="345"/>
      <c r="V49" s="343"/>
      <c r="W49" s="344"/>
      <c r="X49" s="344"/>
      <c r="Y49" s="344"/>
      <c r="Z49" s="344"/>
      <c r="AA49" s="345"/>
      <c r="AB49" s="343"/>
      <c r="AC49" s="344"/>
      <c r="AD49" s="344"/>
      <c r="AE49" s="344"/>
      <c r="AF49" s="344"/>
      <c r="AG49" s="345"/>
      <c r="AH49" s="343"/>
      <c r="AI49" s="344"/>
      <c r="AJ49" s="344"/>
      <c r="AK49" s="344"/>
      <c r="AL49" s="344"/>
      <c r="AM49" s="345"/>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343"/>
      <c r="K50" s="344"/>
      <c r="L50" s="344"/>
      <c r="M50" s="344"/>
      <c r="N50" s="344"/>
      <c r="O50" s="345"/>
      <c r="P50" s="343"/>
      <c r="Q50" s="344"/>
      <c r="R50" s="344"/>
      <c r="S50" s="344"/>
      <c r="T50" s="344"/>
      <c r="U50" s="345"/>
      <c r="V50" s="343"/>
      <c r="W50" s="344"/>
      <c r="X50" s="344"/>
      <c r="Y50" s="344"/>
      <c r="Z50" s="344"/>
      <c r="AA50" s="345"/>
      <c r="AB50" s="343"/>
      <c r="AC50" s="344"/>
      <c r="AD50" s="344"/>
      <c r="AE50" s="344"/>
      <c r="AF50" s="344"/>
      <c r="AG50" s="345"/>
      <c r="AH50" s="343"/>
      <c r="AI50" s="344"/>
      <c r="AJ50" s="344"/>
      <c r="AK50" s="344"/>
      <c r="AL50" s="344"/>
      <c r="AM50" s="345"/>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346"/>
      <c r="K51" s="347"/>
      <c r="L51" s="347"/>
      <c r="M51" s="347"/>
      <c r="N51" s="347"/>
      <c r="O51" s="348"/>
      <c r="P51" s="346"/>
      <c r="Q51" s="347"/>
      <c r="R51" s="347"/>
      <c r="S51" s="347"/>
      <c r="T51" s="347"/>
      <c r="U51" s="348"/>
      <c r="V51" s="346"/>
      <c r="W51" s="347"/>
      <c r="X51" s="347"/>
      <c r="Y51" s="347"/>
      <c r="Z51" s="347"/>
      <c r="AA51" s="348"/>
      <c r="AB51" s="346"/>
      <c r="AC51" s="347"/>
      <c r="AD51" s="347"/>
      <c r="AE51" s="347"/>
      <c r="AF51" s="347"/>
      <c r="AG51" s="348"/>
      <c r="AH51" s="346"/>
      <c r="AI51" s="347"/>
      <c r="AJ51" s="347"/>
      <c r="AK51" s="347"/>
      <c r="AL51" s="347"/>
      <c r="AM51" s="348"/>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CM251"/>
  <sheetViews>
    <sheetView topLeftCell="F1" zoomScale="60" zoomScaleNormal="60" workbookViewId="0">
      <selection activeCell="AA29" sqref="AA29"/>
    </sheetView>
  </sheetViews>
  <sheetFormatPr baseColWidth="10"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10.2851562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418" t="s">
        <v>159</v>
      </c>
      <c r="C2" s="419"/>
      <c r="D2" s="419"/>
      <c r="E2" s="419"/>
      <c r="F2" s="419"/>
      <c r="G2" s="419"/>
      <c r="H2" s="419"/>
      <c r="I2" s="419"/>
      <c r="J2" s="357" t="s">
        <v>2</v>
      </c>
      <c r="K2" s="357"/>
      <c r="L2" s="357"/>
      <c r="M2" s="357"/>
      <c r="N2" s="357"/>
      <c r="O2" s="357"/>
      <c r="P2" s="357"/>
      <c r="Q2" s="357"/>
      <c r="R2" s="357"/>
      <c r="S2" s="357"/>
      <c r="T2" s="357"/>
      <c r="U2" s="357"/>
      <c r="V2" s="357"/>
      <c r="W2" s="357"/>
      <c r="X2" s="357"/>
      <c r="Y2" s="357"/>
      <c r="Z2" s="357"/>
      <c r="AA2" s="357"/>
      <c r="AB2" s="357"/>
      <c r="AC2" s="357"/>
      <c r="AD2" s="357"/>
      <c r="AE2" s="357"/>
      <c r="AF2" s="357"/>
      <c r="AG2" s="357"/>
      <c r="AH2" s="357"/>
      <c r="AI2" s="357"/>
      <c r="AJ2" s="357"/>
      <c r="AK2" s="357"/>
      <c r="AL2" s="357"/>
      <c r="AM2" s="357"/>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419"/>
      <c r="C3" s="419"/>
      <c r="D3" s="419"/>
      <c r="E3" s="419"/>
      <c r="F3" s="419"/>
      <c r="G3" s="419"/>
      <c r="H3" s="419"/>
      <c r="I3" s="419"/>
      <c r="J3" s="357"/>
      <c r="K3" s="357"/>
      <c r="L3" s="357"/>
      <c r="M3" s="357"/>
      <c r="N3" s="357"/>
      <c r="O3" s="357"/>
      <c r="P3" s="357"/>
      <c r="Q3" s="357"/>
      <c r="R3" s="357"/>
      <c r="S3" s="357"/>
      <c r="T3" s="357"/>
      <c r="U3" s="357"/>
      <c r="V3" s="357"/>
      <c r="W3" s="357"/>
      <c r="X3" s="357"/>
      <c r="Y3" s="357"/>
      <c r="Z3" s="357"/>
      <c r="AA3" s="357"/>
      <c r="AB3" s="357"/>
      <c r="AC3" s="357"/>
      <c r="AD3" s="357"/>
      <c r="AE3" s="357"/>
      <c r="AF3" s="357"/>
      <c r="AG3" s="357"/>
      <c r="AH3" s="357"/>
      <c r="AI3" s="357"/>
      <c r="AJ3" s="357"/>
      <c r="AK3" s="357"/>
      <c r="AL3" s="357"/>
      <c r="AM3" s="357"/>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419"/>
      <c r="C4" s="419"/>
      <c r="D4" s="419"/>
      <c r="E4" s="419"/>
      <c r="F4" s="419"/>
      <c r="G4" s="419"/>
      <c r="H4" s="419"/>
      <c r="I4" s="419"/>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302" t="s">
        <v>4</v>
      </c>
      <c r="C6" s="302"/>
      <c r="D6" s="303"/>
      <c r="E6" s="402" t="s">
        <v>116</v>
      </c>
      <c r="F6" s="403"/>
      <c r="G6" s="403"/>
      <c r="H6" s="403"/>
      <c r="I6" s="420"/>
      <c r="J6" s="47"/>
      <c r="K6" s="48"/>
      <c r="L6" s="48"/>
      <c r="M6" s="48"/>
      <c r="N6" s="48"/>
      <c r="O6" s="48"/>
      <c r="P6" s="47"/>
      <c r="Q6" s="48"/>
      <c r="R6" s="48"/>
      <c r="S6" s="48"/>
      <c r="T6" s="48"/>
      <c r="U6" s="49"/>
      <c r="V6" s="48"/>
      <c r="W6" s="48"/>
      <c r="X6" s="48"/>
      <c r="Y6" s="48"/>
      <c r="Z6" s="48"/>
      <c r="AA6" s="48"/>
      <c r="AB6" s="47"/>
      <c r="AC6" s="48"/>
      <c r="AD6" s="48"/>
      <c r="AE6" s="48"/>
      <c r="AF6" s="48"/>
      <c r="AG6" s="49"/>
      <c r="AH6" s="50"/>
      <c r="AI6" s="51"/>
      <c r="AJ6" s="51"/>
      <c r="AK6" s="51"/>
      <c r="AL6" s="51"/>
      <c r="AM6" s="52"/>
      <c r="AN6" s="84"/>
      <c r="AO6" s="409" t="s">
        <v>79</v>
      </c>
      <c r="AP6" s="410"/>
      <c r="AQ6" s="410"/>
      <c r="AR6" s="410"/>
      <c r="AS6" s="410"/>
      <c r="AT6" s="411"/>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302"/>
      <c r="C7" s="302"/>
      <c r="D7" s="303"/>
      <c r="E7" s="406"/>
      <c r="F7" s="405"/>
      <c r="G7" s="405"/>
      <c r="H7" s="405"/>
      <c r="I7" s="421"/>
      <c r="J7" s="53"/>
      <c r="K7" s="54"/>
      <c r="L7" s="54"/>
      <c r="M7" s="54"/>
      <c r="N7" s="54"/>
      <c r="O7" s="54"/>
      <c r="P7" s="53"/>
      <c r="Q7" s="54"/>
      <c r="R7" s="54"/>
      <c r="S7" s="54"/>
      <c r="T7" s="54"/>
      <c r="U7" s="55"/>
      <c r="V7" s="54"/>
      <c r="W7" s="54"/>
      <c r="X7" s="54"/>
      <c r="Y7" s="54"/>
      <c r="Z7" s="54"/>
      <c r="AA7" s="54"/>
      <c r="AB7" s="53"/>
      <c r="AC7" s="54"/>
      <c r="AD7" s="54"/>
      <c r="AE7" s="54"/>
      <c r="AF7" s="54"/>
      <c r="AG7" s="55"/>
      <c r="AH7" s="56"/>
      <c r="AI7" s="57"/>
      <c r="AJ7" s="57"/>
      <c r="AK7" s="57"/>
      <c r="AL7" s="57"/>
      <c r="AM7" s="58"/>
      <c r="AN7" s="84"/>
      <c r="AO7" s="412"/>
      <c r="AP7" s="413"/>
      <c r="AQ7" s="413"/>
      <c r="AR7" s="413"/>
      <c r="AS7" s="413"/>
      <c r="AT7" s="41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302"/>
      <c r="C8" s="302"/>
      <c r="D8" s="303"/>
      <c r="E8" s="406"/>
      <c r="F8" s="405"/>
      <c r="G8" s="405"/>
      <c r="H8" s="405"/>
      <c r="I8" s="421"/>
      <c r="J8" s="53"/>
      <c r="K8" s="54"/>
      <c r="L8" s="54"/>
      <c r="M8" s="54"/>
      <c r="N8" s="54"/>
      <c r="O8" s="54"/>
      <c r="P8" s="53"/>
      <c r="Q8" s="54"/>
      <c r="R8" s="54"/>
      <c r="S8" s="54"/>
      <c r="T8" s="54"/>
      <c r="U8" s="55"/>
      <c r="V8" s="54"/>
      <c r="W8" s="54"/>
      <c r="X8" s="54"/>
      <c r="Y8" s="54"/>
      <c r="Z8" s="54"/>
      <c r="AA8" s="54"/>
      <c r="AB8" s="53"/>
      <c r="AC8" s="54"/>
      <c r="AD8" s="54"/>
      <c r="AE8" s="54"/>
      <c r="AF8" s="54"/>
      <c r="AG8" s="55"/>
      <c r="AH8" s="56"/>
      <c r="AI8" s="57"/>
      <c r="AJ8" s="57"/>
      <c r="AK8" s="57"/>
      <c r="AL8" s="57"/>
      <c r="AM8" s="58"/>
      <c r="AN8" s="84"/>
      <c r="AO8" s="412"/>
      <c r="AP8" s="413"/>
      <c r="AQ8" s="413"/>
      <c r="AR8" s="413"/>
      <c r="AS8" s="413"/>
      <c r="AT8" s="41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302"/>
      <c r="C9" s="302"/>
      <c r="D9" s="303"/>
      <c r="E9" s="406"/>
      <c r="F9" s="405"/>
      <c r="G9" s="405"/>
      <c r="H9" s="405"/>
      <c r="I9" s="421"/>
      <c r="J9" s="53"/>
      <c r="K9" s="54"/>
      <c r="L9" s="54"/>
      <c r="M9" s="54"/>
      <c r="N9" s="54"/>
      <c r="O9" s="54"/>
      <c r="P9" s="53"/>
      <c r="Q9" s="54"/>
      <c r="R9" s="54"/>
      <c r="S9" s="54"/>
      <c r="T9" s="54"/>
      <c r="U9" s="55"/>
      <c r="V9" s="54"/>
      <c r="W9" s="54"/>
      <c r="X9" s="54"/>
      <c r="Y9" s="54"/>
      <c r="Z9" s="54"/>
      <c r="AA9" s="54"/>
      <c r="AB9" s="53"/>
      <c r="AC9" s="54"/>
      <c r="AD9" s="54"/>
      <c r="AE9" s="54"/>
      <c r="AF9" s="54"/>
      <c r="AG9" s="55"/>
      <c r="AH9" s="56"/>
      <c r="AI9" s="57"/>
      <c r="AJ9" s="57"/>
      <c r="AK9" s="57"/>
      <c r="AL9" s="57"/>
      <c r="AM9" s="58"/>
      <c r="AN9" s="84"/>
      <c r="AO9" s="412"/>
      <c r="AP9" s="413"/>
      <c r="AQ9" s="413"/>
      <c r="AR9" s="413"/>
      <c r="AS9" s="413"/>
      <c r="AT9" s="41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302"/>
      <c r="C10" s="302"/>
      <c r="D10" s="303"/>
      <c r="E10" s="406"/>
      <c r="F10" s="405"/>
      <c r="G10" s="405"/>
      <c r="H10" s="405"/>
      <c r="I10" s="421"/>
      <c r="J10" s="53"/>
      <c r="K10" s="54"/>
      <c r="L10" s="54"/>
      <c r="M10" s="54"/>
      <c r="N10" s="54"/>
      <c r="O10" s="54"/>
      <c r="P10" s="53"/>
      <c r="Q10" s="54"/>
      <c r="R10" s="54"/>
      <c r="S10" s="54"/>
      <c r="T10" s="54"/>
      <c r="U10" s="55"/>
      <c r="V10" s="54"/>
      <c r="W10" s="54"/>
      <c r="X10" s="54"/>
      <c r="Y10" s="54"/>
      <c r="Z10" s="54"/>
      <c r="AA10" s="54"/>
      <c r="AB10" s="53"/>
      <c r="AC10" s="54"/>
      <c r="AD10" s="54"/>
      <c r="AE10" s="54"/>
      <c r="AF10" s="54"/>
      <c r="AG10" s="55"/>
      <c r="AH10" s="56"/>
      <c r="AI10" s="57"/>
      <c r="AJ10" s="57"/>
      <c r="AK10" s="57"/>
      <c r="AL10" s="57"/>
      <c r="AM10" s="58"/>
      <c r="AN10" s="84"/>
      <c r="AO10" s="412"/>
      <c r="AP10" s="413"/>
      <c r="AQ10" s="413"/>
      <c r="AR10" s="413"/>
      <c r="AS10" s="413"/>
      <c r="AT10" s="41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302"/>
      <c r="C11" s="302"/>
      <c r="D11" s="303"/>
      <c r="E11" s="406"/>
      <c r="F11" s="405"/>
      <c r="G11" s="405"/>
      <c r="H11" s="405"/>
      <c r="I11" s="421"/>
      <c r="J11" s="53"/>
      <c r="K11" s="54"/>
      <c r="L11" s="54"/>
      <c r="M11" s="54"/>
      <c r="N11" s="54"/>
      <c r="O11" s="54"/>
      <c r="P11" s="53"/>
      <c r="Q11" s="54"/>
      <c r="R11" s="54"/>
      <c r="S11" s="54"/>
      <c r="T11" s="54"/>
      <c r="U11" s="55"/>
      <c r="V11" s="54"/>
      <c r="W11" s="54"/>
      <c r="X11" s="54"/>
      <c r="Y11" s="54"/>
      <c r="Z11" s="54"/>
      <c r="AA11" s="54"/>
      <c r="AB11" s="53"/>
      <c r="AC11" s="54"/>
      <c r="AD11" s="54"/>
      <c r="AE11" s="54"/>
      <c r="AF11" s="54"/>
      <c r="AG11" s="55"/>
      <c r="AH11" s="56"/>
      <c r="AI11" s="57"/>
      <c r="AJ11" s="57"/>
      <c r="AK11" s="57"/>
      <c r="AL11" s="57"/>
      <c r="AM11" s="58"/>
      <c r="AN11" s="84"/>
      <c r="AO11" s="412"/>
      <c r="AP11" s="413"/>
      <c r="AQ11" s="413"/>
      <c r="AR11" s="413"/>
      <c r="AS11" s="413"/>
      <c r="AT11" s="41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302"/>
      <c r="C12" s="302"/>
      <c r="D12" s="303"/>
      <c r="E12" s="406"/>
      <c r="F12" s="405"/>
      <c r="G12" s="405"/>
      <c r="H12" s="405"/>
      <c r="I12" s="421"/>
      <c r="J12" s="53"/>
      <c r="K12" s="54"/>
      <c r="L12" s="54"/>
      <c r="M12" s="54"/>
      <c r="N12" s="54"/>
      <c r="O12" s="54"/>
      <c r="P12" s="53"/>
      <c r="Q12" s="54"/>
      <c r="R12" s="54"/>
      <c r="S12" s="54"/>
      <c r="T12" s="54"/>
      <c r="U12" s="55"/>
      <c r="V12" s="54"/>
      <c r="W12" s="54"/>
      <c r="X12" s="54"/>
      <c r="Y12" s="54"/>
      <c r="Z12" s="54"/>
      <c r="AA12" s="54"/>
      <c r="AB12" s="53"/>
      <c r="AC12" s="54"/>
      <c r="AD12" s="54"/>
      <c r="AE12" s="54"/>
      <c r="AF12" s="54"/>
      <c r="AG12" s="55"/>
      <c r="AH12" s="56"/>
      <c r="AI12" s="57"/>
      <c r="AJ12" s="57"/>
      <c r="AK12" s="57"/>
      <c r="AL12" s="57"/>
      <c r="AM12" s="58"/>
      <c r="AN12" s="84"/>
      <c r="AO12" s="412"/>
      <c r="AP12" s="413"/>
      <c r="AQ12" s="413"/>
      <c r="AR12" s="413"/>
      <c r="AS12" s="413"/>
      <c r="AT12" s="41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302"/>
      <c r="C13" s="302"/>
      <c r="D13" s="303"/>
      <c r="E13" s="406"/>
      <c r="F13" s="405"/>
      <c r="G13" s="405"/>
      <c r="H13" s="405"/>
      <c r="I13" s="421"/>
      <c r="J13" s="53"/>
      <c r="K13" s="54"/>
      <c r="L13" s="54"/>
      <c r="M13" s="54"/>
      <c r="N13" s="54"/>
      <c r="O13" s="54"/>
      <c r="P13" s="53"/>
      <c r="Q13" s="54"/>
      <c r="R13" s="54"/>
      <c r="S13" s="54"/>
      <c r="T13" s="54"/>
      <c r="U13" s="55"/>
      <c r="V13" s="54"/>
      <c r="W13" s="54"/>
      <c r="X13" s="54"/>
      <c r="Y13" s="54"/>
      <c r="Z13" s="54"/>
      <c r="AA13" s="54"/>
      <c r="AB13" s="53"/>
      <c r="AC13" s="54"/>
      <c r="AD13" s="54"/>
      <c r="AE13" s="54"/>
      <c r="AF13" s="54"/>
      <c r="AG13" s="55"/>
      <c r="AH13" s="56"/>
      <c r="AI13" s="57"/>
      <c r="AJ13" s="57"/>
      <c r="AK13" s="57"/>
      <c r="AL13" s="57"/>
      <c r="AM13" s="58"/>
      <c r="AN13" s="84"/>
      <c r="AO13" s="412"/>
      <c r="AP13" s="413"/>
      <c r="AQ13" s="413"/>
      <c r="AR13" s="413"/>
      <c r="AS13" s="413"/>
      <c r="AT13" s="41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302"/>
      <c r="C14" s="302"/>
      <c r="D14" s="303"/>
      <c r="E14" s="406"/>
      <c r="F14" s="405"/>
      <c r="G14" s="405"/>
      <c r="H14" s="405"/>
      <c r="I14" s="421"/>
      <c r="J14" s="53"/>
      <c r="K14" s="54"/>
      <c r="L14" s="54"/>
      <c r="M14" s="54"/>
      <c r="N14" s="54"/>
      <c r="O14" s="54"/>
      <c r="P14" s="53"/>
      <c r="Q14" s="54"/>
      <c r="R14" s="54"/>
      <c r="S14" s="54"/>
      <c r="T14" s="54"/>
      <c r="U14" s="55"/>
      <c r="V14" s="54"/>
      <c r="W14" s="54"/>
      <c r="X14" s="54"/>
      <c r="Y14" s="54"/>
      <c r="Z14" s="54"/>
      <c r="AA14" s="54"/>
      <c r="AB14" s="53"/>
      <c r="AC14" s="54"/>
      <c r="AD14" s="54"/>
      <c r="AE14" s="54"/>
      <c r="AF14" s="54"/>
      <c r="AG14" s="55"/>
      <c r="AH14" s="56"/>
      <c r="AI14" s="57"/>
      <c r="AJ14" s="57"/>
      <c r="AK14" s="57"/>
      <c r="AL14" s="57"/>
      <c r="AM14" s="58"/>
      <c r="AN14" s="84"/>
      <c r="AO14" s="412"/>
      <c r="AP14" s="413"/>
      <c r="AQ14" s="413"/>
      <c r="AR14" s="413"/>
      <c r="AS14" s="413"/>
      <c r="AT14" s="41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302"/>
      <c r="C15" s="302"/>
      <c r="D15" s="303"/>
      <c r="E15" s="407"/>
      <c r="F15" s="408"/>
      <c r="G15" s="408"/>
      <c r="H15" s="408"/>
      <c r="I15" s="422"/>
      <c r="J15" s="59"/>
      <c r="K15" s="60"/>
      <c r="L15" s="60"/>
      <c r="M15" s="60"/>
      <c r="N15" s="60"/>
      <c r="O15" s="60"/>
      <c r="P15" s="59"/>
      <c r="Q15" s="60"/>
      <c r="R15" s="60"/>
      <c r="S15" s="60"/>
      <c r="T15" s="60"/>
      <c r="U15" s="61"/>
      <c r="V15" s="60"/>
      <c r="W15" s="60"/>
      <c r="X15" s="60"/>
      <c r="Y15" s="60"/>
      <c r="Z15" s="60"/>
      <c r="AA15" s="60"/>
      <c r="AB15" s="59"/>
      <c r="AC15" s="60"/>
      <c r="AD15" s="60"/>
      <c r="AE15" s="60"/>
      <c r="AF15" s="60"/>
      <c r="AG15" s="61"/>
      <c r="AH15" s="62"/>
      <c r="AI15" s="63"/>
      <c r="AJ15" s="63"/>
      <c r="AK15" s="63"/>
      <c r="AL15" s="63"/>
      <c r="AM15" s="64"/>
      <c r="AN15" s="84"/>
      <c r="AO15" s="415"/>
      <c r="AP15" s="416"/>
      <c r="AQ15" s="416"/>
      <c r="AR15" s="416"/>
      <c r="AS15" s="416"/>
      <c r="AT15" s="417"/>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302"/>
      <c r="C16" s="302"/>
      <c r="D16" s="303"/>
      <c r="E16" s="402" t="s">
        <v>115</v>
      </c>
      <c r="F16" s="403"/>
      <c r="G16" s="403"/>
      <c r="H16" s="403"/>
      <c r="I16" s="403"/>
      <c r="J16" s="65"/>
      <c r="K16" s="66"/>
      <c r="L16" s="66"/>
      <c r="M16" s="66"/>
      <c r="N16" s="66"/>
      <c r="O16" s="67"/>
      <c r="P16" s="66"/>
      <c r="Q16" s="66"/>
      <c r="R16" s="66"/>
      <c r="S16" s="66"/>
      <c r="T16" s="66"/>
      <c r="U16" s="66"/>
      <c r="V16" s="47"/>
      <c r="W16" s="48"/>
      <c r="X16" s="48"/>
      <c r="Y16" s="48"/>
      <c r="Z16" s="48"/>
      <c r="AA16" s="49"/>
      <c r="AB16" s="48"/>
      <c r="AC16" s="48"/>
      <c r="AD16" s="48"/>
      <c r="AE16" s="48"/>
      <c r="AF16" s="48"/>
      <c r="AG16" s="48"/>
      <c r="AH16" s="50"/>
      <c r="AI16" s="51"/>
      <c r="AJ16" s="51"/>
      <c r="AK16" s="51"/>
      <c r="AL16" s="51"/>
      <c r="AM16" s="52"/>
      <c r="AN16" s="84"/>
      <c r="AO16" s="393" t="s">
        <v>80</v>
      </c>
      <c r="AP16" s="394"/>
      <c r="AQ16" s="394"/>
      <c r="AR16" s="394"/>
      <c r="AS16" s="394"/>
      <c r="AT16" s="395"/>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302"/>
      <c r="C17" s="302"/>
      <c r="D17" s="303"/>
      <c r="E17" s="404"/>
      <c r="F17" s="405"/>
      <c r="G17" s="405"/>
      <c r="H17" s="405"/>
      <c r="I17" s="405"/>
      <c r="J17" s="68"/>
      <c r="K17" s="69"/>
      <c r="L17" s="69"/>
      <c r="M17" s="69"/>
      <c r="N17" s="69"/>
      <c r="O17" s="70"/>
      <c r="P17" s="69"/>
      <c r="Q17" s="69"/>
      <c r="R17" s="69"/>
      <c r="S17" s="69"/>
      <c r="T17" s="69"/>
      <c r="U17" s="69"/>
      <c r="V17" s="53"/>
      <c r="W17" s="54"/>
      <c r="X17" s="54"/>
      <c r="Y17" s="54"/>
      <c r="Z17" s="54"/>
      <c r="AA17" s="55"/>
      <c r="AB17" s="54"/>
      <c r="AC17" s="54"/>
      <c r="AD17" s="54"/>
      <c r="AE17" s="54"/>
      <c r="AF17" s="54"/>
      <c r="AG17" s="54"/>
      <c r="AH17" s="56"/>
      <c r="AI17" s="57"/>
      <c r="AJ17" s="57"/>
      <c r="AK17" s="57"/>
      <c r="AL17" s="57"/>
      <c r="AM17" s="58"/>
      <c r="AN17" s="84"/>
      <c r="AO17" s="396"/>
      <c r="AP17" s="397"/>
      <c r="AQ17" s="397"/>
      <c r="AR17" s="397"/>
      <c r="AS17" s="397"/>
      <c r="AT17" s="398"/>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302"/>
      <c r="C18" s="302"/>
      <c r="D18" s="303"/>
      <c r="E18" s="406"/>
      <c r="F18" s="405"/>
      <c r="G18" s="405"/>
      <c r="H18" s="405"/>
      <c r="I18" s="405"/>
      <c r="J18" s="68"/>
      <c r="K18" s="69"/>
      <c r="L18" s="69"/>
      <c r="M18" s="69"/>
      <c r="N18" s="69"/>
      <c r="O18" s="70"/>
      <c r="P18" s="69"/>
      <c r="Q18" s="69"/>
      <c r="R18" s="69"/>
      <c r="S18" s="69"/>
      <c r="T18" s="69"/>
      <c r="U18" s="69"/>
      <c r="V18" s="53"/>
      <c r="W18" s="54"/>
      <c r="X18" s="54"/>
      <c r="Y18" s="54"/>
      <c r="Z18" s="54"/>
      <c r="AA18" s="55"/>
      <c r="AB18" s="54"/>
      <c r="AC18" s="54"/>
      <c r="AD18" s="54"/>
      <c r="AE18" s="54"/>
      <c r="AF18" s="54"/>
      <c r="AG18" s="54"/>
      <c r="AH18" s="56"/>
      <c r="AI18" s="57"/>
      <c r="AJ18" s="57"/>
      <c r="AK18" s="57"/>
      <c r="AL18" s="57"/>
      <c r="AM18" s="58"/>
      <c r="AN18" s="84"/>
      <c r="AO18" s="396"/>
      <c r="AP18" s="397"/>
      <c r="AQ18" s="397"/>
      <c r="AR18" s="397"/>
      <c r="AS18" s="397"/>
      <c r="AT18" s="398"/>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302"/>
      <c r="C19" s="302"/>
      <c r="D19" s="303"/>
      <c r="E19" s="406"/>
      <c r="F19" s="405"/>
      <c r="G19" s="405"/>
      <c r="H19" s="405"/>
      <c r="I19" s="405"/>
      <c r="J19" s="68"/>
      <c r="K19" s="69"/>
      <c r="L19" s="69"/>
      <c r="M19" s="69"/>
      <c r="N19" s="69"/>
      <c r="O19" s="70"/>
      <c r="P19" s="69"/>
      <c r="Q19" s="69"/>
      <c r="R19" s="69"/>
      <c r="S19" s="69"/>
      <c r="T19" s="69"/>
      <c r="U19" s="69"/>
      <c r="V19" s="53"/>
      <c r="W19" s="54"/>
      <c r="X19" s="54"/>
      <c r="Y19" s="54"/>
      <c r="Z19" s="54"/>
      <c r="AA19" s="55"/>
      <c r="AB19" s="54"/>
      <c r="AC19" s="54"/>
      <c r="AD19" s="54"/>
      <c r="AE19" s="54"/>
      <c r="AF19" s="54"/>
      <c r="AG19" s="54"/>
      <c r="AH19" s="56"/>
      <c r="AI19" s="57"/>
      <c r="AJ19" s="57"/>
      <c r="AK19" s="57"/>
      <c r="AL19" s="57"/>
      <c r="AM19" s="58"/>
      <c r="AN19" s="84"/>
      <c r="AO19" s="396"/>
      <c r="AP19" s="397"/>
      <c r="AQ19" s="397"/>
      <c r="AR19" s="397"/>
      <c r="AS19" s="397"/>
      <c r="AT19" s="398"/>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302"/>
      <c r="C20" s="302"/>
      <c r="D20" s="303"/>
      <c r="E20" s="406"/>
      <c r="F20" s="405"/>
      <c r="G20" s="405"/>
      <c r="H20" s="405"/>
      <c r="I20" s="405"/>
      <c r="J20" s="68"/>
      <c r="K20" s="69"/>
      <c r="L20" s="69"/>
      <c r="M20" s="69"/>
      <c r="N20" s="69"/>
      <c r="O20" s="70"/>
      <c r="P20" s="69"/>
      <c r="Q20" s="69"/>
      <c r="R20" s="69"/>
      <c r="S20" s="69"/>
      <c r="T20" s="69"/>
      <c r="U20" s="69"/>
      <c r="V20" s="53"/>
      <c r="W20" s="54"/>
      <c r="X20" s="54"/>
      <c r="Y20" s="54"/>
      <c r="Z20" s="54"/>
      <c r="AA20" s="55"/>
      <c r="AB20" s="54"/>
      <c r="AC20" s="54"/>
      <c r="AD20" s="54"/>
      <c r="AE20" s="54"/>
      <c r="AF20" s="54"/>
      <c r="AG20" s="54"/>
      <c r="AH20" s="56"/>
      <c r="AI20" s="57"/>
      <c r="AJ20" s="57"/>
      <c r="AK20" s="57"/>
      <c r="AL20" s="57"/>
      <c r="AM20" s="58"/>
      <c r="AN20" s="84"/>
      <c r="AO20" s="396"/>
      <c r="AP20" s="397"/>
      <c r="AQ20" s="397"/>
      <c r="AR20" s="397"/>
      <c r="AS20" s="397"/>
      <c r="AT20" s="398"/>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302"/>
      <c r="C21" s="302"/>
      <c r="D21" s="303"/>
      <c r="E21" s="406"/>
      <c r="F21" s="405"/>
      <c r="G21" s="405"/>
      <c r="H21" s="405"/>
      <c r="I21" s="405"/>
      <c r="J21" s="68"/>
      <c r="K21" s="69"/>
      <c r="L21" s="69"/>
      <c r="M21" s="69"/>
      <c r="N21" s="69"/>
      <c r="O21" s="70"/>
      <c r="P21" s="69"/>
      <c r="Q21" s="69"/>
      <c r="R21" s="69"/>
      <c r="S21" s="69"/>
      <c r="T21" s="69"/>
      <c r="U21" s="69"/>
      <c r="V21" s="53"/>
      <c r="W21" s="54"/>
      <c r="X21" s="54"/>
      <c r="Y21" s="54"/>
      <c r="Z21" s="54"/>
      <c r="AA21" s="55"/>
      <c r="AB21" s="54"/>
      <c r="AC21" s="54"/>
      <c r="AD21" s="54"/>
      <c r="AE21" s="54"/>
      <c r="AF21" s="54"/>
      <c r="AG21" s="54"/>
      <c r="AH21" s="56"/>
      <c r="AI21" s="57"/>
      <c r="AJ21" s="57"/>
      <c r="AK21" s="57"/>
      <c r="AL21" s="57"/>
      <c r="AM21" s="58"/>
      <c r="AN21" s="84"/>
      <c r="AO21" s="396"/>
      <c r="AP21" s="397"/>
      <c r="AQ21" s="397"/>
      <c r="AR21" s="397"/>
      <c r="AS21" s="397"/>
      <c r="AT21" s="398"/>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302"/>
      <c r="C22" s="302"/>
      <c r="D22" s="303"/>
      <c r="E22" s="406"/>
      <c r="F22" s="405"/>
      <c r="G22" s="405"/>
      <c r="H22" s="405"/>
      <c r="I22" s="405"/>
      <c r="J22" s="68"/>
      <c r="K22" s="69"/>
      <c r="L22" s="69"/>
      <c r="M22" s="69"/>
      <c r="N22" s="69"/>
      <c r="O22" s="70"/>
      <c r="P22" s="69"/>
      <c r="Q22" s="69"/>
      <c r="R22" s="69"/>
      <c r="S22" s="69"/>
      <c r="T22" s="69"/>
      <c r="U22" s="69"/>
      <c r="V22" s="53"/>
      <c r="W22" s="54"/>
      <c r="X22" s="54"/>
      <c r="Y22" s="54"/>
      <c r="Z22" s="54"/>
      <c r="AA22" s="55"/>
      <c r="AB22" s="54"/>
      <c r="AC22" s="54"/>
      <c r="AD22" s="54"/>
      <c r="AE22" s="54"/>
      <c r="AF22" s="54"/>
      <c r="AG22" s="54"/>
      <c r="AH22" s="56"/>
      <c r="AI22" s="57"/>
      <c r="AJ22" s="57"/>
      <c r="AK22" s="57"/>
      <c r="AL22" s="57"/>
      <c r="AM22" s="58"/>
      <c r="AN22" s="84"/>
      <c r="AO22" s="396"/>
      <c r="AP22" s="397"/>
      <c r="AQ22" s="397"/>
      <c r="AR22" s="397"/>
      <c r="AS22" s="397"/>
      <c r="AT22" s="398"/>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302"/>
      <c r="C23" s="302"/>
      <c r="D23" s="303"/>
      <c r="E23" s="406"/>
      <c r="F23" s="405"/>
      <c r="G23" s="405"/>
      <c r="H23" s="405"/>
      <c r="I23" s="405"/>
      <c r="J23" s="68"/>
      <c r="K23" s="69"/>
      <c r="L23" s="69"/>
      <c r="M23" s="69"/>
      <c r="N23" s="69"/>
      <c r="O23" s="70"/>
      <c r="P23" s="69"/>
      <c r="Q23" s="69"/>
      <c r="R23" s="69"/>
      <c r="S23" s="69"/>
      <c r="T23" s="69"/>
      <c r="U23" s="69"/>
      <c r="V23" s="53"/>
      <c r="W23" s="54"/>
      <c r="X23" s="54"/>
      <c r="Y23" s="54"/>
      <c r="Z23" s="54"/>
      <c r="AA23" s="55"/>
      <c r="AB23" s="54"/>
      <c r="AC23" s="54"/>
      <c r="AD23" s="54"/>
      <c r="AE23" s="54"/>
      <c r="AF23" s="54"/>
      <c r="AG23" s="54"/>
      <c r="AH23" s="56"/>
      <c r="AI23" s="57"/>
      <c r="AJ23" s="57"/>
      <c r="AK23" s="57"/>
      <c r="AL23" s="57"/>
      <c r="AM23" s="58"/>
      <c r="AN23" s="84"/>
      <c r="AO23" s="396"/>
      <c r="AP23" s="397"/>
      <c r="AQ23" s="397"/>
      <c r="AR23" s="397"/>
      <c r="AS23" s="397"/>
      <c r="AT23" s="398"/>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302"/>
      <c r="C24" s="302"/>
      <c r="D24" s="303"/>
      <c r="E24" s="406"/>
      <c r="F24" s="405"/>
      <c r="G24" s="405"/>
      <c r="H24" s="405"/>
      <c r="I24" s="405"/>
      <c r="J24" s="68"/>
      <c r="K24" s="69"/>
      <c r="L24" s="69"/>
      <c r="M24" s="69"/>
      <c r="N24" s="69"/>
      <c r="O24" s="70"/>
      <c r="P24" s="69"/>
      <c r="Q24" s="69"/>
      <c r="R24" s="69"/>
      <c r="S24" s="69"/>
      <c r="T24" s="69"/>
      <c r="U24" s="69"/>
      <c r="V24" s="53"/>
      <c r="W24" s="54"/>
      <c r="X24" s="54"/>
      <c r="Y24" s="54"/>
      <c r="Z24" s="54"/>
      <c r="AA24" s="55"/>
      <c r="AB24" s="54"/>
      <c r="AC24" s="54"/>
      <c r="AD24" s="54"/>
      <c r="AE24" s="54"/>
      <c r="AF24" s="54"/>
      <c r="AG24" s="54"/>
      <c r="AH24" s="56"/>
      <c r="AI24" s="57"/>
      <c r="AJ24" s="57"/>
      <c r="AK24" s="57"/>
      <c r="AL24" s="57"/>
      <c r="AM24" s="58"/>
      <c r="AN24" s="84"/>
      <c r="AO24" s="396"/>
      <c r="AP24" s="397"/>
      <c r="AQ24" s="397"/>
      <c r="AR24" s="397"/>
      <c r="AS24" s="397"/>
      <c r="AT24" s="398"/>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302"/>
      <c r="C25" s="302"/>
      <c r="D25" s="303"/>
      <c r="E25" s="407"/>
      <c r="F25" s="408"/>
      <c r="G25" s="408"/>
      <c r="H25" s="408"/>
      <c r="I25" s="408"/>
      <c r="J25" s="71"/>
      <c r="K25" s="72"/>
      <c r="L25" s="72"/>
      <c r="M25" s="72"/>
      <c r="N25" s="72"/>
      <c r="O25" s="73"/>
      <c r="P25" s="72"/>
      <c r="Q25" s="72"/>
      <c r="R25" s="72"/>
      <c r="S25" s="72"/>
      <c r="T25" s="72"/>
      <c r="U25" s="72"/>
      <c r="V25" s="59"/>
      <c r="W25" s="60"/>
      <c r="X25" s="60"/>
      <c r="Y25" s="60"/>
      <c r="Z25" s="60"/>
      <c r="AA25" s="61"/>
      <c r="AB25" s="60"/>
      <c r="AC25" s="60"/>
      <c r="AD25" s="60"/>
      <c r="AE25" s="60"/>
      <c r="AF25" s="60"/>
      <c r="AG25" s="60"/>
      <c r="AH25" s="62"/>
      <c r="AI25" s="63"/>
      <c r="AJ25" s="63"/>
      <c r="AK25" s="63"/>
      <c r="AL25" s="63"/>
      <c r="AM25" s="64"/>
      <c r="AN25" s="84"/>
      <c r="AO25" s="399"/>
      <c r="AP25" s="400"/>
      <c r="AQ25" s="400"/>
      <c r="AR25" s="400"/>
      <c r="AS25" s="400"/>
      <c r="AT25" s="401"/>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302"/>
      <c r="C26" s="302"/>
      <c r="D26" s="303"/>
      <c r="E26" s="402" t="s">
        <v>117</v>
      </c>
      <c r="F26" s="403"/>
      <c r="G26" s="403"/>
      <c r="H26" s="403"/>
      <c r="I26" s="403"/>
      <c r="J26" s="65"/>
      <c r="K26" s="66"/>
      <c r="L26" s="66"/>
      <c r="M26" s="66"/>
      <c r="N26" s="66"/>
      <c r="O26" s="67"/>
      <c r="P26" s="66"/>
      <c r="Q26" s="66"/>
      <c r="R26" s="66"/>
      <c r="S26" s="66"/>
      <c r="T26" s="66"/>
      <c r="U26" s="66"/>
      <c r="V26" s="65"/>
      <c r="W26" s="66"/>
      <c r="X26" s="66"/>
      <c r="Y26" s="66"/>
      <c r="Z26" s="66"/>
      <c r="AA26" s="67"/>
      <c r="AB26" s="48"/>
      <c r="AC26" s="48"/>
      <c r="AD26" s="48"/>
      <c r="AE26" s="48"/>
      <c r="AF26" s="48"/>
      <c r="AG26" s="48"/>
      <c r="AH26" s="50"/>
      <c r="AI26" s="51"/>
      <c r="AJ26" s="51"/>
      <c r="AK26" s="51"/>
      <c r="AL26" s="51"/>
      <c r="AM26" s="52"/>
      <c r="AN26" s="84"/>
      <c r="AO26" s="432" t="s">
        <v>81</v>
      </c>
      <c r="AP26" s="433"/>
      <c r="AQ26" s="433"/>
      <c r="AR26" s="433"/>
      <c r="AS26" s="433"/>
      <c r="AT26" s="434"/>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302"/>
      <c r="C27" s="302"/>
      <c r="D27" s="303"/>
      <c r="E27" s="404"/>
      <c r="F27" s="405"/>
      <c r="G27" s="405"/>
      <c r="H27" s="405"/>
      <c r="I27" s="405"/>
      <c r="J27" s="68"/>
      <c r="K27" s="69"/>
      <c r="L27" s="69"/>
      <c r="M27" s="69"/>
      <c r="N27" s="69"/>
      <c r="O27" s="70"/>
      <c r="P27" s="69"/>
      <c r="Q27" s="69"/>
      <c r="R27" s="69"/>
      <c r="S27" s="69"/>
      <c r="T27" s="69"/>
      <c r="U27" s="69"/>
      <c r="V27" s="68"/>
      <c r="W27" s="69"/>
      <c r="X27" s="69"/>
      <c r="Y27" s="69"/>
      <c r="Z27" s="69"/>
      <c r="AA27" s="70"/>
      <c r="AB27" s="54"/>
      <c r="AC27" s="54"/>
      <c r="AD27" s="54"/>
      <c r="AE27" s="54"/>
      <c r="AF27" s="54"/>
      <c r="AG27" s="54"/>
      <c r="AH27" s="56"/>
      <c r="AI27" s="57"/>
      <c r="AJ27" s="57"/>
      <c r="AK27" s="57"/>
      <c r="AL27" s="57"/>
      <c r="AM27" s="58"/>
      <c r="AN27" s="84"/>
      <c r="AO27" s="435"/>
      <c r="AP27" s="436"/>
      <c r="AQ27" s="436"/>
      <c r="AR27" s="436"/>
      <c r="AS27" s="436"/>
      <c r="AT27" s="437"/>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302"/>
      <c r="C28" s="302"/>
      <c r="D28" s="303"/>
      <c r="E28" s="406"/>
      <c r="F28" s="405"/>
      <c r="G28" s="405"/>
      <c r="H28" s="405"/>
      <c r="I28" s="405"/>
      <c r="J28" s="68"/>
      <c r="K28" s="69"/>
      <c r="L28" s="69"/>
      <c r="M28" s="69"/>
      <c r="N28" s="69"/>
      <c r="O28" s="70"/>
      <c r="P28" s="69"/>
      <c r="Q28" s="69"/>
      <c r="R28" s="69"/>
      <c r="S28" s="69"/>
      <c r="T28" s="69"/>
      <c r="U28" s="69"/>
      <c r="V28" s="68"/>
      <c r="W28" s="69"/>
      <c r="X28" s="69"/>
      <c r="Y28" s="69"/>
      <c r="Z28" s="69"/>
      <c r="AA28" s="70"/>
      <c r="AB28" s="54"/>
      <c r="AC28" s="54"/>
      <c r="AD28" s="54"/>
      <c r="AE28" s="54"/>
      <c r="AF28" s="54"/>
      <c r="AG28" s="54"/>
      <c r="AH28" s="56"/>
      <c r="AI28" s="57"/>
      <c r="AJ28" s="57"/>
      <c r="AK28" s="57"/>
      <c r="AL28" s="57"/>
      <c r="AM28" s="58"/>
      <c r="AN28" s="84"/>
      <c r="AO28" s="435"/>
      <c r="AP28" s="436"/>
      <c r="AQ28" s="436"/>
      <c r="AR28" s="436"/>
      <c r="AS28" s="436"/>
      <c r="AT28" s="437"/>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302"/>
      <c r="C29" s="302"/>
      <c r="D29" s="303"/>
      <c r="E29" s="406"/>
      <c r="F29" s="405"/>
      <c r="G29" s="405"/>
      <c r="H29" s="405"/>
      <c r="I29" s="405"/>
      <c r="J29" s="68"/>
      <c r="K29" s="69"/>
      <c r="L29" s="69"/>
      <c r="M29" s="69"/>
      <c r="N29" s="69"/>
      <c r="O29" s="70"/>
      <c r="P29" s="69"/>
      <c r="Q29" s="69"/>
      <c r="R29" s="69"/>
      <c r="S29" s="69"/>
      <c r="T29" s="69"/>
      <c r="U29" s="69"/>
      <c r="V29" s="68"/>
      <c r="W29" s="69"/>
      <c r="X29" s="69"/>
      <c r="Y29" s="69"/>
      <c r="Z29" s="69"/>
      <c r="AA29" s="70"/>
      <c r="AB29" s="54"/>
      <c r="AC29" s="54"/>
      <c r="AD29" s="54"/>
      <c r="AE29" s="54"/>
      <c r="AF29" s="54"/>
      <c r="AG29" s="54"/>
      <c r="AH29" s="56"/>
      <c r="AI29" s="57"/>
      <c r="AJ29" s="57"/>
      <c r="AK29" s="57"/>
      <c r="AL29" s="57"/>
      <c r="AM29" s="58"/>
      <c r="AN29" s="84"/>
      <c r="AO29" s="435"/>
      <c r="AP29" s="436"/>
      <c r="AQ29" s="436"/>
      <c r="AR29" s="436"/>
      <c r="AS29" s="436"/>
      <c r="AT29" s="437"/>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302"/>
      <c r="C30" s="302"/>
      <c r="D30" s="303"/>
      <c r="E30" s="406"/>
      <c r="F30" s="405"/>
      <c r="G30" s="405"/>
      <c r="H30" s="405"/>
      <c r="I30" s="405"/>
      <c r="J30" s="68"/>
      <c r="K30" s="69"/>
      <c r="L30" s="69"/>
      <c r="M30" s="69"/>
      <c r="N30" s="69"/>
      <c r="O30" s="70"/>
      <c r="P30" s="69"/>
      <c r="Q30" s="69"/>
      <c r="R30" s="69"/>
      <c r="S30" s="69"/>
      <c r="T30" s="69"/>
      <c r="U30" s="69"/>
      <c r="V30" s="68"/>
      <c r="W30" s="69"/>
      <c r="X30" s="69"/>
      <c r="Y30" s="69"/>
      <c r="Z30" s="69"/>
      <c r="AA30" s="70"/>
      <c r="AB30" s="54"/>
      <c r="AC30" s="54"/>
      <c r="AD30" s="54"/>
      <c r="AE30" s="54"/>
      <c r="AF30" s="54"/>
      <c r="AG30" s="54"/>
      <c r="AH30" s="56"/>
      <c r="AI30" s="57"/>
      <c r="AJ30" s="57"/>
      <c r="AK30" s="57"/>
      <c r="AL30" s="57"/>
      <c r="AM30" s="58"/>
      <c r="AN30" s="84"/>
      <c r="AO30" s="435"/>
      <c r="AP30" s="436"/>
      <c r="AQ30" s="436"/>
      <c r="AR30" s="436"/>
      <c r="AS30" s="436"/>
      <c r="AT30" s="437"/>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302"/>
      <c r="C31" s="302"/>
      <c r="D31" s="303"/>
      <c r="E31" s="406"/>
      <c r="F31" s="405"/>
      <c r="G31" s="405"/>
      <c r="H31" s="405"/>
      <c r="I31" s="405"/>
      <c r="J31" s="68"/>
      <c r="K31" s="69"/>
      <c r="L31" s="69"/>
      <c r="M31" s="69"/>
      <c r="N31" s="69"/>
      <c r="O31" s="70"/>
      <c r="P31" s="69"/>
      <c r="Q31" s="69"/>
      <c r="R31" s="69"/>
      <c r="S31" s="69"/>
      <c r="T31" s="69"/>
      <c r="U31" s="69"/>
      <c r="V31" s="68"/>
      <c r="W31" s="69"/>
      <c r="X31" s="69"/>
      <c r="Y31" s="69"/>
      <c r="Z31" s="69"/>
      <c r="AA31" s="70"/>
      <c r="AB31" s="54"/>
      <c r="AC31" s="54"/>
      <c r="AD31" s="54"/>
      <c r="AE31" s="54"/>
      <c r="AF31" s="54"/>
      <c r="AG31" s="54"/>
      <c r="AH31" s="56"/>
      <c r="AI31" s="57"/>
      <c r="AJ31" s="57"/>
      <c r="AK31" s="57"/>
      <c r="AL31" s="57"/>
      <c r="AM31" s="58"/>
      <c r="AN31" s="84"/>
      <c r="AO31" s="435"/>
      <c r="AP31" s="436"/>
      <c r="AQ31" s="436"/>
      <c r="AR31" s="436"/>
      <c r="AS31" s="436"/>
      <c r="AT31" s="437"/>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302"/>
      <c r="C32" s="302"/>
      <c r="D32" s="303"/>
      <c r="E32" s="406"/>
      <c r="F32" s="405"/>
      <c r="G32" s="405"/>
      <c r="H32" s="405"/>
      <c r="I32" s="405"/>
      <c r="J32" s="68"/>
      <c r="K32" s="69"/>
      <c r="L32" s="69"/>
      <c r="M32" s="69"/>
      <c r="N32" s="69"/>
      <c r="O32" s="70"/>
      <c r="P32" s="69"/>
      <c r="Q32" s="69"/>
      <c r="R32" s="69"/>
      <c r="S32" s="69"/>
      <c r="T32" s="69"/>
      <c r="U32" s="69"/>
      <c r="V32" s="68"/>
      <c r="W32" s="69"/>
      <c r="X32" s="69"/>
      <c r="Y32" s="69"/>
      <c r="Z32" s="69"/>
      <c r="AA32" s="70"/>
      <c r="AB32" s="54"/>
      <c r="AC32" s="54"/>
      <c r="AD32" s="54"/>
      <c r="AE32" s="54"/>
      <c r="AF32" s="54"/>
      <c r="AG32" s="54"/>
      <c r="AH32" s="56"/>
      <c r="AI32" s="57"/>
      <c r="AJ32" s="57"/>
      <c r="AK32" s="57"/>
      <c r="AL32" s="57"/>
      <c r="AM32" s="58"/>
      <c r="AN32" s="84"/>
      <c r="AO32" s="435"/>
      <c r="AP32" s="436"/>
      <c r="AQ32" s="436"/>
      <c r="AR32" s="436"/>
      <c r="AS32" s="436"/>
      <c r="AT32" s="437"/>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302"/>
      <c r="C33" s="302"/>
      <c r="D33" s="303"/>
      <c r="E33" s="406"/>
      <c r="F33" s="405"/>
      <c r="G33" s="405"/>
      <c r="H33" s="405"/>
      <c r="I33" s="405"/>
      <c r="J33" s="68"/>
      <c r="K33" s="69"/>
      <c r="L33" s="69"/>
      <c r="M33" s="69"/>
      <c r="N33" s="69"/>
      <c r="O33" s="70"/>
      <c r="P33" s="69"/>
      <c r="Q33" s="69"/>
      <c r="R33" s="69"/>
      <c r="S33" s="69"/>
      <c r="T33" s="69"/>
      <c r="U33" s="69"/>
      <c r="V33" s="68"/>
      <c r="W33" s="69"/>
      <c r="X33" s="69"/>
      <c r="Y33" s="69"/>
      <c r="Z33" s="69"/>
      <c r="AA33" s="70"/>
      <c r="AB33" s="54"/>
      <c r="AC33" s="54"/>
      <c r="AD33" s="54"/>
      <c r="AE33" s="54"/>
      <c r="AF33" s="54"/>
      <c r="AG33" s="54"/>
      <c r="AH33" s="56"/>
      <c r="AI33" s="57"/>
      <c r="AJ33" s="57"/>
      <c r="AK33" s="57"/>
      <c r="AL33" s="57"/>
      <c r="AM33" s="58"/>
      <c r="AN33" s="84"/>
      <c r="AO33" s="435"/>
      <c r="AP33" s="436"/>
      <c r="AQ33" s="436"/>
      <c r="AR33" s="436"/>
      <c r="AS33" s="436"/>
      <c r="AT33" s="437"/>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302"/>
      <c r="C34" s="302"/>
      <c r="D34" s="303"/>
      <c r="E34" s="406"/>
      <c r="F34" s="405"/>
      <c r="G34" s="405"/>
      <c r="H34" s="405"/>
      <c r="I34" s="405"/>
      <c r="J34" s="68"/>
      <c r="K34" s="69"/>
      <c r="L34" s="69"/>
      <c r="M34" s="69"/>
      <c r="N34" s="69"/>
      <c r="O34" s="70"/>
      <c r="P34" s="69"/>
      <c r="Q34" s="69"/>
      <c r="R34" s="69"/>
      <c r="S34" s="69"/>
      <c r="T34" s="69"/>
      <c r="U34" s="69"/>
      <c r="V34" s="68"/>
      <c r="W34" s="69"/>
      <c r="X34" s="69"/>
      <c r="Y34" s="69"/>
      <c r="Z34" s="69"/>
      <c r="AA34" s="70"/>
      <c r="AB34" s="54"/>
      <c r="AC34" s="54"/>
      <c r="AD34" s="54"/>
      <c r="AE34" s="54"/>
      <c r="AF34" s="54"/>
      <c r="AG34" s="54"/>
      <c r="AH34" s="56"/>
      <c r="AI34" s="57"/>
      <c r="AJ34" s="57"/>
      <c r="AK34" s="57"/>
      <c r="AL34" s="57"/>
      <c r="AM34" s="58"/>
      <c r="AN34" s="84"/>
      <c r="AO34" s="435"/>
      <c r="AP34" s="436"/>
      <c r="AQ34" s="436"/>
      <c r="AR34" s="436"/>
      <c r="AS34" s="436"/>
      <c r="AT34" s="437"/>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 customHeight="1">
      <c r="A35" s="84"/>
      <c r="B35" s="302"/>
      <c r="C35" s="302"/>
      <c r="D35" s="303"/>
      <c r="E35" s="406"/>
      <c r="F35" s="405"/>
      <c r="G35" s="405"/>
      <c r="H35" s="405"/>
      <c r="I35" s="405"/>
      <c r="J35" s="68"/>
      <c r="K35" s="69"/>
      <c r="L35" s="69"/>
      <c r="M35" s="69"/>
      <c r="N35" s="69"/>
      <c r="O35" s="70"/>
      <c r="P35" s="69"/>
      <c r="Q35" s="69"/>
      <c r="R35" s="69"/>
      <c r="S35" s="69"/>
      <c r="T35" s="69"/>
      <c r="U35" s="69"/>
      <c r="V35" s="68"/>
      <c r="W35" s="69"/>
      <c r="X35" s="69"/>
      <c r="Y35" s="69"/>
      <c r="Z35" s="69"/>
      <c r="AA35" s="70"/>
      <c r="AB35" s="54"/>
      <c r="AC35" s="54"/>
      <c r="AD35" s="54"/>
      <c r="AE35" s="54"/>
      <c r="AF35" s="54"/>
      <c r="AG35" s="54"/>
      <c r="AH35" s="56"/>
      <c r="AI35" s="57"/>
      <c r="AJ35" s="57"/>
      <c r="AK35" s="57"/>
      <c r="AL35" s="57"/>
      <c r="AM35" s="58"/>
      <c r="AN35" s="84"/>
      <c r="AO35" s="435"/>
      <c r="AP35" s="436"/>
      <c r="AQ35" s="436"/>
      <c r="AR35" s="436"/>
      <c r="AS35" s="436"/>
      <c r="AT35" s="437"/>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75" customHeight="1" thickBot="1">
      <c r="A36" s="84"/>
      <c r="B36" s="302"/>
      <c r="C36" s="302"/>
      <c r="D36" s="303"/>
      <c r="E36" s="407"/>
      <c r="F36" s="408"/>
      <c r="G36" s="408"/>
      <c r="H36" s="408"/>
      <c r="I36" s="408"/>
      <c r="J36" s="71"/>
      <c r="K36" s="72"/>
      <c r="L36" s="72"/>
      <c r="M36" s="72"/>
      <c r="N36" s="72"/>
      <c r="O36" s="73"/>
      <c r="P36" s="69"/>
      <c r="Q36" s="69"/>
      <c r="R36" s="69"/>
      <c r="S36" s="69"/>
      <c r="T36" s="69"/>
      <c r="U36" s="69"/>
      <c r="V36" s="71"/>
      <c r="W36" s="72"/>
      <c r="X36" s="72"/>
      <c r="Y36" s="72"/>
      <c r="Z36" s="72"/>
      <c r="AA36" s="73"/>
      <c r="AB36" s="60"/>
      <c r="AC36" s="60"/>
      <c r="AD36" s="60"/>
      <c r="AE36" s="60"/>
      <c r="AF36" s="60"/>
      <c r="AG36" s="60"/>
      <c r="AH36" s="62"/>
      <c r="AI36" s="63"/>
      <c r="AJ36" s="63"/>
      <c r="AK36" s="63"/>
      <c r="AL36" s="63"/>
      <c r="AM36" s="64"/>
      <c r="AN36" s="84"/>
      <c r="AO36" s="438"/>
      <c r="AP36" s="439"/>
      <c r="AQ36" s="439"/>
      <c r="AR36" s="439"/>
      <c r="AS36" s="439"/>
      <c r="AT36" s="440"/>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302"/>
      <c r="C37" s="302"/>
      <c r="D37" s="303"/>
      <c r="E37" s="402" t="s">
        <v>114</v>
      </c>
      <c r="F37" s="403"/>
      <c r="G37" s="403"/>
      <c r="H37" s="403"/>
      <c r="I37" s="403"/>
      <c r="J37" s="74"/>
      <c r="K37" s="75"/>
      <c r="L37" s="75"/>
      <c r="M37" s="75"/>
      <c r="N37" s="75"/>
      <c r="O37" s="76"/>
      <c r="P37" s="66"/>
      <c r="Q37" s="66"/>
      <c r="R37" s="66"/>
      <c r="S37" s="66"/>
      <c r="T37" s="66"/>
      <c r="U37" s="66"/>
      <c r="V37" s="65"/>
      <c r="W37" s="66"/>
      <c r="X37" s="66"/>
      <c r="Y37" s="66"/>
      <c r="Z37" s="66"/>
      <c r="AA37" s="67"/>
      <c r="AB37" s="48" t="str">
        <f ca="1">IF(AND('Mapa final'!$Y$12="Baja",'Mapa final'!$AA$12="Mayor"),CONCATENATE("R1C",'Mapa final'!$O$12),"")</f>
        <v>R1C1</v>
      </c>
      <c r="AC37" s="48"/>
      <c r="AD37" s="48"/>
      <c r="AE37" s="48"/>
      <c r="AF37" s="48"/>
      <c r="AG37" s="48"/>
      <c r="AH37" s="50"/>
      <c r="AI37" s="51"/>
      <c r="AJ37" s="51"/>
      <c r="AK37" s="51"/>
      <c r="AL37" s="51"/>
      <c r="AM37" s="52"/>
      <c r="AN37" s="84"/>
      <c r="AO37" s="423" t="s">
        <v>82</v>
      </c>
      <c r="AP37" s="424"/>
      <c r="AQ37" s="424"/>
      <c r="AR37" s="424"/>
      <c r="AS37" s="424"/>
      <c r="AT37" s="42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302"/>
      <c r="C38" s="302"/>
      <c r="D38" s="303"/>
      <c r="E38" s="404"/>
      <c r="F38" s="405"/>
      <c r="G38" s="405"/>
      <c r="H38" s="405"/>
      <c r="I38" s="405"/>
      <c r="J38" s="77"/>
      <c r="K38" s="78"/>
      <c r="L38" s="78"/>
      <c r="M38" s="78"/>
      <c r="N38" s="78"/>
      <c r="O38" s="79"/>
      <c r="P38" s="69"/>
      <c r="Q38" s="69"/>
      <c r="R38" s="69"/>
      <c r="S38" s="69"/>
      <c r="T38" s="69"/>
      <c r="U38" s="69"/>
      <c r="V38" s="68"/>
      <c r="W38" s="69"/>
      <c r="X38" s="69"/>
      <c r="Y38" s="69"/>
      <c r="Z38" s="69"/>
      <c r="AA38" s="70"/>
      <c r="AB38" s="54"/>
      <c r="AC38" s="54"/>
      <c r="AD38" s="54"/>
      <c r="AE38" s="54"/>
      <c r="AF38" s="54"/>
      <c r="AG38" s="54"/>
      <c r="AH38" s="56"/>
      <c r="AI38" s="57"/>
      <c r="AJ38" s="57"/>
      <c r="AK38" s="57"/>
      <c r="AL38" s="57"/>
      <c r="AM38" s="58"/>
      <c r="AN38" s="84"/>
      <c r="AO38" s="426"/>
      <c r="AP38" s="427"/>
      <c r="AQ38" s="427"/>
      <c r="AR38" s="427"/>
      <c r="AS38" s="427"/>
      <c r="AT38" s="428"/>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302"/>
      <c r="C39" s="302"/>
      <c r="D39" s="303"/>
      <c r="E39" s="406"/>
      <c r="F39" s="405"/>
      <c r="G39" s="405"/>
      <c r="H39" s="405"/>
      <c r="I39" s="405"/>
      <c r="J39" s="77"/>
      <c r="K39" s="78"/>
      <c r="L39" s="78"/>
      <c r="M39" s="78"/>
      <c r="N39" s="78"/>
      <c r="O39" s="79"/>
      <c r="P39" s="69"/>
      <c r="Q39" s="69"/>
      <c r="R39" s="69"/>
      <c r="S39" s="69"/>
      <c r="T39" s="69"/>
      <c r="U39" s="69"/>
      <c r="V39" s="68"/>
      <c r="W39" s="69"/>
      <c r="X39" s="69"/>
      <c r="Y39" s="69"/>
      <c r="Z39" s="69"/>
      <c r="AA39" s="70"/>
      <c r="AB39" s="54" t="str">
        <f ca="1">IF(AND('Mapa final'!$Y$14="Baja",'Mapa final'!$AA$14="Mayor"),CONCATENATE("R3C",'Mapa final'!$O$14),"")</f>
        <v>R3C1</v>
      </c>
      <c r="AC39" s="54"/>
      <c r="AD39" s="54"/>
      <c r="AE39" s="54"/>
      <c r="AF39" s="54"/>
      <c r="AG39" s="54"/>
      <c r="AH39" s="56"/>
      <c r="AI39" s="57"/>
      <c r="AJ39" s="57"/>
      <c r="AK39" s="57"/>
      <c r="AL39" s="57"/>
      <c r="AM39" s="58"/>
      <c r="AN39" s="84"/>
      <c r="AO39" s="426"/>
      <c r="AP39" s="427"/>
      <c r="AQ39" s="427"/>
      <c r="AR39" s="427"/>
      <c r="AS39" s="427"/>
      <c r="AT39" s="428"/>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302"/>
      <c r="C40" s="302"/>
      <c r="D40" s="303"/>
      <c r="E40" s="406"/>
      <c r="F40" s="405"/>
      <c r="G40" s="405"/>
      <c r="H40" s="405"/>
      <c r="I40" s="405"/>
      <c r="J40" s="77"/>
      <c r="K40" s="78"/>
      <c r="L40" s="78"/>
      <c r="M40" s="78"/>
      <c r="N40" s="78"/>
      <c r="O40" s="79"/>
      <c r="P40" s="69"/>
      <c r="Q40" s="69"/>
      <c r="R40" s="69"/>
      <c r="S40" s="69"/>
      <c r="T40" s="69"/>
      <c r="U40" s="69"/>
      <c r="V40" s="68"/>
      <c r="W40" s="69"/>
      <c r="X40" s="69"/>
      <c r="Y40" s="69"/>
      <c r="Z40" s="69"/>
      <c r="AA40" s="70"/>
      <c r="AB40" s="54" t="str">
        <f ca="1">IF(AND('Mapa final'!$Y$16="Baja",'Mapa final'!$AA$16="Mayor"),CONCATENATE("R4C",'Mapa final'!$O$16),"")</f>
        <v/>
      </c>
      <c r="AC40" s="54"/>
      <c r="AD40" s="54"/>
      <c r="AE40" s="54"/>
      <c r="AF40" s="54"/>
      <c r="AG40" s="54"/>
      <c r="AH40" s="56"/>
      <c r="AI40" s="57"/>
      <c r="AJ40" s="57"/>
      <c r="AK40" s="57"/>
      <c r="AL40" s="57"/>
      <c r="AM40" s="58"/>
      <c r="AN40" s="84"/>
      <c r="AO40" s="426"/>
      <c r="AP40" s="427"/>
      <c r="AQ40" s="427"/>
      <c r="AR40" s="427"/>
      <c r="AS40" s="427"/>
      <c r="AT40" s="428"/>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302"/>
      <c r="C41" s="302"/>
      <c r="D41" s="303"/>
      <c r="E41" s="406"/>
      <c r="F41" s="405"/>
      <c r="G41" s="405"/>
      <c r="H41" s="405"/>
      <c r="I41" s="405"/>
      <c r="J41" s="77"/>
      <c r="K41" s="78"/>
      <c r="L41" s="78"/>
      <c r="M41" s="78"/>
      <c r="N41" s="78"/>
      <c r="O41" s="79"/>
      <c r="P41" s="69"/>
      <c r="Q41" s="69"/>
      <c r="R41" s="69"/>
      <c r="S41" s="69"/>
      <c r="T41" s="69"/>
      <c r="U41" s="69"/>
      <c r="V41" s="68"/>
      <c r="W41" s="69"/>
      <c r="X41" s="69"/>
      <c r="Y41" s="69"/>
      <c r="Z41" s="69"/>
      <c r="AA41" s="70"/>
      <c r="AB41" s="54"/>
      <c r="AC41" s="54"/>
      <c r="AD41" s="54"/>
      <c r="AE41" s="54"/>
      <c r="AF41" s="54"/>
      <c r="AG41" s="54"/>
      <c r="AH41" s="56"/>
      <c r="AI41" s="57"/>
      <c r="AJ41" s="57"/>
      <c r="AK41" s="57"/>
      <c r="AL41" s="57"/>
      <c r="AM41" s="58"/>
      <c r="AN41" s="84"/>
      <c r="AO41" s="426"/>
      <c r="AP41" s="427"/>
      <c r="AQ41" s="427"/>
      <c r="AR41" s="427"/>
      <c r="AS41" s="427"/>
      <c r="AT41" s="428"/>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302"/>
      <c r="C42" s="302"/>
      <c r="D42" s="303"/>
      <c r="E42" s="406"/>
      <c r="F42" s="405"/>
      <c r="G42" s="405"/>
      <c r="H42" s="405"/>
      <c r="I42" s="405"/>
      <c r="J42" s="77"/>
      <c r="K42" s="78"/>
      <c r="L42" s="78"/>
      <c r="M42" s="78"/>
      <c r="N42" s="78"/>
      <c r="O42" s="79"/>
      <c r="P42" s="69"/>
      <c r="Q42" s="69"/>
      <c r="R42" s="69"/>
      <c r="S42" s="69"/>
      <c r="T42" s="69"/>
      <c r="U42" s="69"/>
      <c r="V42" s="68" t="str">
        <f ca="1">IF(AND('Mapa final'!$Y$18="Baja",'Mapa final'!$AA$18="Moderado"),CONCATENATE("R6C",'Mapa final'!$O$18),"")</f>
        <v>R6C1</v>
      </c>
      <c r="W42" s="69"/>
      <c r="X42" s="69"/>
      <c r="Y42" s="69"/>
      <c r="Z42" s="69"/>
      <c r="AA42" s="70"/>
      <c r="AB42" s="54"/>
      <c r="AC42" s="54"/>
      <c r="AD42" s="54"/>
      <c r="AE42" s="54"/>
      <c r="AF42" s="54"/>
      <c r="AG42" s="54"/>
      <c r="AH42" s="56"/>
      <c r="AI42" s="57"/>
      <c r="AJ42" s="57"/>
      <c r="AK42" s="57"/>
      <c r="AL42" s="57"/>
      <c r="AM42" s="58"/>
      <c r="AN42" s="84"/>
      <c r="AO42" s="426"/>
      <c r="AP42" s="427"/>
      <c r="AQ42" s="427"/>
      <c r="AR42" s="427"/>
      <c r="AS42" s="427"/>
      <c r="AT42" s="428"/>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302"/>
      <c r="C43" s="302"/>
      <c r="D43" s="303"/>
      <c r="E43" s="406"/>
      <c r="F43" s="405"/>
      <c r="G43" s="405"/>
      <c r="H43" s="405"/>
      <c r="I43" s="405"/>
      <c r="J43" s="77"/>
      <c r="K43" s="78"/>
      <c r="L43" s="78"/>
      <c r="M43" s="78"/>
      <c r="N43" s="78"/>
      <c r="O43" s="79"/>
      <c r="P43" s="69"/>
      <c r="Q43" s="69"/>
      <c r="R43" s="69"/>
      <c r="S43" s="69"/>
      <c r="T43" s="69"/>
      <c r="U43" s="69"/>
      <c r="V43" s="68" t="str">
        <f>IF(AND('Mapa final'!$Y$20="Baja",'Mapa final'!$AA$20="Moderado"),CONCATENATE("R7C",'Mapa final'!$O$20),"")</f>
        <v/>
      </c>
      <c r="W43" s="69"/>
      <c r="X43" s="69"/>
      <c r="Y43" s="69"/>
      <c r="Z43" s="69"/>
      <c r="AA43" s="70"/>
      <c r="AB43" s="54" t="str">
        <f>IF(AND('Mapa final'!$Y$20="Baja",'Mapa final'!$AA$20="Mayor"),CONCATENATE("R7C",'Mapa final'!$O$20),"")</f>
        <v>R7C1</v>
      </c>
      <c r="AC43" s="54"/>
      <c r="AD43" s="54"/>
      <c r="AE43" s="54"/>
      <c r="AF43" s="54"/>
      <c r="AG43" s="54"/>
      <c r="AH43" s="56"/>
      <c r="AI43" s="57"/>
      <c r="AJ43" s="57"/>
      <c r="AK43" s="57"/>
      <c r="AL43" s="57"/>
      <c r="AM43" s="58"/>
      <c r="AN43" s="84"/>
      <c r="AO43" s="426"/>
      <c r="AP43" s="427"/>
      <c r="AQ43" s="427"/>
      <c r="AR43" s="427"/>
      <c r="AS43" s="427"/>
      <c r="AT43" s="428"/>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302"/>
      <c r="C44" s="302"/>
      <c r="D44" s="303"/>
      <c r="E44" s="406"/>
      <c r="F44" s="405"/>
      <c r="G44" s="405"/>
      <c r="H44" s="405"/>
      <c r="I44" s="405"/>
      <c r="J44" s="77"/>
      <c r="K44" s="78"/>
      <c r="L44" s="78"/>
      <c r="M44" s="78"/>
      <c r="N44" s="78"/>
      <c r="O44" s="79"/>
      <c r="P44" s="69"/>
      <c r="Q44" s="69"/>
      <c r="R44" s="69"/>
      <c r="S44" s="69"/>
      <c r="T44" s="69"/>
      <c r="U44" s="69"/>
      <c r="V44" s="68" t="str">
        <f ca="1">IF(AND('Mapa final'!$Y$21="Baja",'Mapa final'!$AA$21="Moderado"),CONCATENATE("R8C",'Mapa final'!$O$21),"")</f>
        <v/>
      </c>
      <c r="W44" s="69"/>
      <c r="X44" s="69"/>
      <c r="Y44" s="69"/>
      <c r="Z44" s="69"/>
      <c r="AA44" s="70"/>
      <c r="AB44" s="54" t="str">
        <f ca="1">IF(AND('Mapa final'!$Y$21="Baja",'Mapa final'!$AA$21="Mayor"),CONCATENATE("R8C",'Mapa final'!$O$21),"")</f>
        <v>R8C1</v>
      </c>
      <c r="AC44" s="54"/>
      <c r="AD44" s="54"/>
      <c r="AE44" s="54"/>
      <c r="AF44" s="54"/>
      <c r="AG44" s="54"/>
      <c r="AH44" s="56"/>
      <c r="AI44" s="57"/>
      <c r="AJ44" s="57"/>
      <c r="AK44" s="57"/>
      <c r="AL44" s="57"/>
      <c r="AM44" s="58"/>
      <c r="AN44" s="84"/>
      <c r="AO44" s="426"/>
      <c r="AP44" s="427"/>
      <c r="AQ44" s="427"/>
      <c r="AR44" s="427"/>
      <c r="AS44" s="427"/>
      <c r="AT44" s="428"/>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 customHeight="1">
      <c r="A45" s="84"/>
      <c r="B45" s="302"/>
      <c r="C45" s="302"/>
      <c r="D45" s="303"/>
      <c r="E45" s="406"/>
      <c r="F45" s="405"/>
      <c r="G45" s="405"/>
      <c r="H45" s="405"/>
      <c r="I45" s="405"/>
      <c r="J45" s="77"/>
      <c r="K45" s="78"/>
      <c r="L45" s="78"/>
      <c r="M45" s="78"/>
      <c r="N45" s="78"/>
      <c r="O45" s="79"/>
      <c r="P45" s="69"/>
      <c r="Q45" s="69"/>
      <c r="R45" s="69"/>
      <c r="S45" s="69"/>
      <c r="T45" s="69"/>
      <c r="U45" s="69"/>
      <c r="V45" s="68" t="str">
        <f ca="1">IF(AND('Mapa final'!$Y$27="Baja",'Mapa final'!$AA$27="Moderado"),CONCATENATE("R9C",'Mapa final'!$O$27),"")</f>
        <v/>
      </c>
      <c r="W45" s="69"/>
      <c r="X45" s="69"/>
      <c r="Y45" s="69"/>
      <c r="Z45" s="69"/>
      <c r="AA45" s="70"/>
      <c r="AB45" s="54" t="str">
        <f ca="1">IF(AND('Mapa final'!$Y$27="Baja",'Mapa final'!$AA$27="Mayor"),CONCATENATE("R9C",'Mapa final'!$O$27),"")</f>
        <v>R9C1</v>
      </c>
      <c r="AC45" s="54"/>
      <c r="AD45" s="54"/>
      <c r="AE45" s="54"/>
      <c r="AF45" s="54"/>
      <c r="AG45" s="54"/>
      <c r="AH45" s="56"/>
      <c r="AI45" s="57"/>
      <c r="AJ45" s="57"/>
      <c r="AK45" s="57"/>
      <c r="AL45" s="57"/>
      <c r="AM45" s="58"/>
      <c r="AN45" s="84"/>
      <c r="AO45" s="426"/>
      <c r="AP45" s="427"/>
      <c r="AQ45" s="427"/>
      <c r="AR45" s="427"/>
      <c r="AS45" s="427"/>
      <c r="AT45" s="428"/>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row>
    <row r="46" spans="1:80" ht="15" customHeight="1">
      <c r="A46" s="84"/>
      <c r="B46" s="302"/>
      <c r="C46" s="302"/>
      <c r="D46" s="303"/>
      <c r="E46" s="406"/>
      <c r="F46" s="405"/>
      <c r="G46" s="405"/>
      <c r="H46" s="405"/>
      <c r="I46" s="405"/>
      <c r="J46" s="77"/>
      <c r="K46" s="78"/>
      <c r="L46" s="78"/>
      <c r="M46" s="78"/>
      <c r="N46" s="78"/>
      <c r="O46" s="79"/>
      <c r="P46" s="69"/>
      <c r="Q46" s="69"/>
      <c r="R46" s="69"/>
      <c r="S46" s="69"/>
      <c r="T46" s="69"/>
      <c r="U46" s="69"/>
      <c r="V46" s="68" t="str">
        <f ca="1">IF(AND('Mapa final'!$Y$32="Baja",'Mapa final'!$AA$32="Moderado"),CONCATENATE("R10C",'Mapa final'!$O$32),"")</f>
        <v/>
      </c>
      <c r="W46" s="69"/>
      <c r="X46" s="69"/>
      <c r="Y46" s="69"/>
      <c r="Z46" s="69"/>
      <c r="AA46" s="70"/>
      <c r="AB46" s="54" t="str">
        <f ca="1">IF(AND('Mapa final'!$Y$32="Baja",'Mapa final'!$AA$32="Mayor"),CONCATENATE("R10C",'Mapa final'!$O$32),"")</f>
        <v>R10C1</v>
      </c>
      <c r="AC46" s="54"/>
      <c r="AD46" s="54"/>
      <c r="AE46" s="54"/>
      <c r="AF46" s="54"/>
      <c r="AG46" s="54"/>
      <c r="AH46" s="56"/>
      <c r="AI46" s="57"/>
      <c r="AJ46" s="57"/>
      <c r="AK46" s="57"/>
      <c r="AL46" s="57"/>
      <c r="AM46" s="58"/>
      <c r="AN46" s="84"/>
      <c r="AO46" s="426"/>
      <c r="AP46" s="427"/>
      <c r="AQ46" s="427"/>
      <c r="AR46" s="427"/>
      <c r="AS46" s="427"/>
      <c r="AT46" s="428"/>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row>
    <row r="47" spans="1:80" ht="15.75" customHeight="1" thickBot="1">
      <c r="A47" s="84"/>
      <c r="B47" s="302"/>
      <c r="C47" s="302"/>
      <c r="D47" s="303"/>
      <c r="E47" s="407"/>
      <c r="F47" s="408"/>
      <c r="G47" s="408"/>
      <c r="H47" s="408"/>
      <c r="I47" s="408"/>
      <c r="J47" s="80"/>
      <c r="K47" s="81"/>
      <c r="L47" s="81"/>
      <c r="M47" s="81"/>
      <c r="N47" s="81"/>
      <c r="O47" s="82"/>
      <c r="P47" s="69"/>
      <c r="Q47" s="69"/>
      <c r="R47" s="69"/>
      <c r="S47" s="69"/>
      <c r="T47" s="69"/>
      <c r="U47" s="69"/>
      <c r="V47" s="71" t="str">
        <f ca="1">IF(AND('Mapa final'!$Y$34="Baja",'Mapa final'!$AA$34="Moderado"),CONCATENATE("R11C",'Mapa final'!$O$34),"")</f>
        <v/>
      </c>
      <c r="W47" s="72"/>
      <c r="X47" s="72"/>
      <c r="Y47" s="72"/>
      <c r="Z47" s="72"/>
      <c r="AA47" s="73"/>
      <c r="AB47" s="60" t="str">
        <f ca="1">IF(AND('Mapa final'!$Y$34="Baja",'Mapa final'!$AA$34="Mayor"),CONCATENATE("R10C",'Mapa final'!$O$34),"")</f>
        <v>R10C1</v>
      </c>
      <c r="AC47" s="60"/>
      <c r="AD47" s="60"/>
      <c r="AE47" s="60"/>
      <c r="AF47" s="60"/>
      <c r="AG47" s="60"/>
      <c r="AH47" s="62"/>
      <c r="AI47" s="63"/>
      <c r="AJ47" s="63"/>
      <c r="AK47" s="63"/>
      <c r="AL47" s="63"/>
      <c r="AM47" s="64"/>
      <c r="AN47" s="84"/>
      <c r="AO47" s="429"/>
      <c r="AP47" s="430"/>
      <c r="AQ47" s="430"/>
      <c r="AR47" s="430"/>
      <c r="AS47" s="430"/>
      <c r="AT47" s="431"/>
    </row>
    <row r="48" spans="1:80" ht="46.5" customHeight="1">
      <c r="A48" s="84"/>
      <c r="B48" s="302"/>
      <c r="C48" s="302"/>
      <c r="D48" s="303"/>
      <c r="E48" s="402" t="s">
        <v>113</v>
      </c>
      <c r="F48" s="403"/>
      <c r="G48" s="403"/>
      <c r="H48" s="403"/>
      <c r="I48" s="403"/>
      <c r="J48" s="74"/>
      <c r="K48" s="75"/>
      <c r="L48" s="75"/>
      <c r="M48" s="75"/>
      <c r="N48" s="75"/>
      <c r="O48" s="76"/>
      <c r="P48" s="75"/>
      <c r="Q48" s="75"/>
      <c r="R48" s="75"/>
      <c r="S48" s="75"/>
      <c r="T48" s="75"/>
      <c r="U48" s="75"/>
      <c r="V48" s="65"/>
      <c r="W48" s="83"/>
      <c r="X48" s="66"/>
      <c r="Y48" s="66"/>
      <c r="Z48" s="66"/>
      <c r="AA48" s="67"/>
      <c r="AB48" s="48" t="str">
        <f ca="1">IF(AND('Mapa final'!$Y$12="Muy Baja",'Mapa final'!$AA$12="Mayor"),CONCATENATE("R1C",'Mapa final'!$O$12),"")</f>
        <v/>
      </c>
      <c r="AC48" s="48" t="str">
        <f ca="1">IF(AND('Mapa final'!$Y$13="Muy Baja",'Mapa final'!$AA$13="Mayor"),CONCATENATE("R1C",'Mapa final'!$O$13),"")</f>
        <v>R1C2</v>
      </c>
      <c r="AD48" s="48"/>
      <c r="AE48" s="48"/>
      <c r="AF48" s="48"/>
      <c r="AG48" s="49"/>
      <c r="AH48" s="50"/>
      <c r="AI48" s="51"/>
      <c r="AJ48" s="51"/>
      <c r="AK48" s="51"/>
      <c r="AL48" s="51"/>
      <c r="AM48" s="52"/>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46.5" customHeight="1">
      <c r="A49" s="84"/>
      <c r="B49" s="302"/>
      <c r="C49" s="302"/>
      <c r="D49" s="303"/>
      <c r="E49" s="404"/>
      <c r="F49" s="405"/>
      <c r="G49" s="405"/>
      <c r="H49" s="405"/>
      <c r="I49" s="405"/>
      <c r="J49" s="77"/>
      <c r="K49" s="78"/>
      <c r="L49" s="78"/>
      <c r="M49" s="78"/>
      <c r="N49" s="78"/>
      <c r="O49" s="79"/>
      <c r="P49" s="78"/>
      <c r="Q49" s="78"/>
      <c r="R49" s="78"/>
      <c r="S49" s="78"/>
      <c r="T49" s="78"/>
      <c r="U49" s="78"/>
      <c r="V49" s="68"/>
      <c r="W49" s="69"/>
      <c r="X49" s="69"/>
      <c r="Y49" s="69"/>
      <c r="Z49" s="69"/>
      <c r="AA49" s="70"/>
      <c r="AB49" s="54"/>
      <c r="AC49" s="54"/>
      <c r="AD49" s="54"/>
      <c r="AE49" s="54"/>
      <c r="AF49" s="54"/>
      <c r="AG49" s="55"/>
      <c r="AH49" s="56"/>
      <c r="AI49" s="57"/>
      <c r="AJ49" s="57"/>
      <c r="AK49" s="57"/>
      <c r="AL49" s="57"/>
      <c r="AM49" s="58"/>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302"/>
      <c r="C50" s="302"/>
      <c r="D50" s="303"/>
      <c r="E50" s="404"/>
      <c r="F50" s="405"/>
      <c r="G50" s="405"/>
      <c r="H50" s="405"/>
      <c r="I50" s="405"/>
      <c r="J50" s="77"/>
      <c r="K50" s="78"/>
      <c r="L50" s="78"/>
      <c r="M50" s="78"/>
      <c r="N50" s="78"/>
      <c r="O50" s="79"/>
      <c r="P50" s="78"/>
      <c r="Q50" s="78"/>
      <c r="R50" s="78"/>
      <c r="S50" s="78"/>
      <c r="T50" s="78"/>
      <c r="U50" s="78"/>
      <c r="V50" s="68"/>
      <c r="W50" s="69"/>
      <c r="X50" s="69"/>
      <c r="Y50" s="69"/>
      <c r="Z50" s="69"/>
      <c r="AA50" s="70"/>
      <c r="AB50" s="54" t="str">
        <f ca="1">IF(AND('Mapa final'!$Y$14="Muy Baja",'Mapa final'!$AA$14="Mayor"),CONCATENATE("R3C",'Mapa final'!$O$14),"")</f>
        <v/>
      </c>
      <c r="AC50" s="54"/>
      <c r="AD50" s="54"/>
      <c r="AE50" s="54"/>
      <c r="AF50" s="54"/>
      <c r="AG50" s="55"/>
      <c r="AH50" s="56"/>
      <c r="AI50" s="57"/>
      <c r="AJ50" s="57"/>
      <c r="AK50" s="57"/>
      <c r="AL50" s="57"/>
      <c r="AM50" s="58"/>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302"/>
      <c r="C51" s="302"/>
      <c r="D51" s="303"/>
      <c r="E51" s="406"/>
      <c r="F51" s="405"/>
      <c r="G51" s="405"/>
      <c r="H51" s="405"/>
      <c r="I51" s="405"/>
      <c r="J51" s="77"/>
      <c r="K51" s="78"/>
      <c r="L51" s="78"/>
      <c r="M51" s="78"/>
      <c r="N51" s="78"/>
      <c r="O51" s="79"/>
      <c r="P51" s="78"/>
      <c r="Q51" s="78"/>
      <c r="R51" s="78"/>
      <c r="S51" s="78"/>
      <c r="T51" s="78"/>
      <c r="U51" s="78"/>
      <c r="V51" s="68"/>
      <c r="W51" s="69"/>
      <c r="X51" s="69"/>
      <c r="Y51" s="69"/>
      <c r="Z51" s="69"/>
      <c r="AA51" s="70"/>
      <c r="AB51" s="54" t="str">
        <f ca="1">IF(AND('Mapa final'!$Y$16="Muy Baja",'Mapa final'!$AA$16="Mayor"),CONCATENATE("R4C",'Mapa final'!$O$16),"")</f>
        <v>R4C1</v>
      </c>
      <c r="AC51" s="54"/>
      <c r="AD51" s="54" t="str">
        <f ca="1">IF(AND('Mapa final'!$Y$17="Muy Baja",'Mapa final'!$AA$17="Mayor"),CONCATENATE("R4C",'Mapa final'!$O$17),"")</f>
        <v>R4C2</v>
      </c>
      <c r="AE51" s="54"/>
      <c r="AF51" s="54"/>
      <c r="AG51" s="55"/>
      <c r="AH51" s="56"/>
      <c r="AI51" s="57"/>
      <c r="AJ51" s="57"/>
      <c r="AK51" s="57"/>
      <c r="AL51" s="57"/>
      <c r="AM51" s="58"/>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302"/>
      <c r="C52" s="302"/>
      <c r="D52" s="303"/>
      <c r="E52" s="406"/>
      <c r="F52" s="405"/>
      <c r="G52" s="405"/>
      <c r="H52" s="405"/>
      <c r="I52" s="405"/>
      <c r="J52" s="77"/>
      <c r="K52" s="78"/>
      <c r="L52" s="78"/>
      <c r="M52" s="78"/>
      <c r="N52" s="78"/>
      <c r="O52" s="79"/>
      <c r="P52" s="78"/>
      <c r="Q52" s="78"/>
      <c r="R52" s="78"/>
      <c r="S52" s="78"/>
      <c r="T52" s="78"/>
      <c r="U52" s="78"/>
      <c r="V52" s="68"/>
      <c r="W52" s="69"/>
      <c r="X52" s="69"/>
      <c r="Y52" s="69"/>
      <c r="Z52" s="69"/>
      <c r="AA52" s="70"/>
      <c r="AB52" s="54"/>
      <c r="AC52" s="54"/>
      <c r="AD52" s="54"/>
      <c r="AE52" s="54"/>
      <c r="AF52" s="54"/>
      <c r="AG52" s="55"/>
      <c r="AH52" s="56"/>
      <c r="AI52" s="57"/>
      <c r="AJ52" s="57"/>
      <c r="AK52" s="57"/>
      <c r="AL52" s="57"/>
      <c r="AM52" s="58"/>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302"/>
      <c r="C53" s="302"/>
      <c r="D53" s="303"/>
      <c r="E53" s="406"/>
      <c r="F53" s="405"/>
      <c r="G53" s="405"/>
      <c r="H53" s="405"/>
      <c r="I53" s="405"/>
      <c r="J53" s="77"/>
      <c r="K53" s="78"/>
      <c r="L53" s="78"/>
      <c r="M53" s="78"/>
      <c r="N53" s="78"/>
      <c r="O53" s="79"/>
      <c r="P53" s="78"/>
      <c r="Q53" s="78"/>
      <c r="R53" s="78"/>
      <c r="S53" s="78"/>
      <c r="T53" s="78"/>
      <c r="U53" s="78"/>
      <c r="V53" s="68"/>
      <c r="W53" s="69"/>
      <c r="X53" s="69"/>
      <c r="Y53" s="69"/>
      <c r="Z53" s="69"/>
      <c r="AA53" s="70"/>
      <c r="AB53" s="54" t="str">
        <f ca="1">IF(AND('Mapa final'!$Y$18="Muy Baja",'Mapa final'!$AA$18="Mayor"),CONCATENATE("R6C",'Mapa final'!$O$18),"")</f>
        <v/>
      </c>
      <c r="AC53" s="54" t="str">
        <f>IF(AND('Mapa final'!$Y$19="Muy Baja",'Mapa final'!$AA$19="Mayor"),CONCATENATE("R6C",'Mapa final'!$O$19),"")</f>
        <v/>
      </c>
      <c r="AD53" s="54"/>
      <c r="AE53" s="54"/>
      <c r="AF53" s="54"/>
      <c r="AG53" s="55"/>
      <c r="AH53" s="56"/>
      <c r="AI53" s="57"/>
      <c r="AJ53" s="57"/>
      <c r="AK53" s="57"/>
      <c r="AL53" s="57"/>
      <c r="AM53" s="58"/>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302"/>
      <c r="C54" s="302"/>
      <c r="D54" s="303"/>
      <c r="E54" s="406"/>
      <c r="F54" s="405"/>
      <c r="G54" s="405"/>
      <c r="H54" s="405"/>
      <c r="I54" s="405"/>
      <c r="J54" s="77"/>
      <c r="K54" s="78"/>
      <c r="L54" s="78"/>
      <c r="M54" s="78"/>
      <c r="N54" s="78"/>
      <c r="O54" s="79"/>
      <c r="P54" s="78"/>
      <c r="Q54" s="78"/>
      <c r="R54" s="78"/>
      <c r="S54" s="78"/>
      <c r="T54" s="78"/>
      <c r="U54" s="78"/>
      <c r="V54" s="68"/>
      <c r="W54" s="69"/>
      <c r="X54" s="69"/>
      <c r="Y54" s="69"/>
      <c r="Z54" s="69"/>
      <c r="AA54" s="70"/>
      <c r="AB54" s="54" t="str">
        <f>IF(AND('Mapa final'!$Y$20="Muy Baja",'Mapa final'!$AA$20="Mayor"),CONCATENATE("R7C",'Mapa final'!$O$20),"")</f>
        <v/>
      </c>
      <c r="AC54" s="54"/>
      <c r="AD54" s="54"/>
      <c r="AE54" s="54"/>
      <c r="AF54" s="54"/>
      <c r="AG54" s="55"/>
      <c r="AH54" s="56"/>
      <c r="AI54" s="57"/>
      <c r="AJ54" s="57"/>
      <c r="AK54" s="57"/>
      <c r="AL54" s="57"/>
      <c r="AM54" s="58"/>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 customHeight="1">
      <c r="A55" s="84"/>
      <c r="B55" s="302"/>
      <c r="C55" s="302"/>
      <c r="D55" s="303"/>
      <c r="E55" s="406"/>
      <c r="F55" s="405"/>
      <c r="G55" s="405"/>
      <c r="H55" s="405"/>
      <c r="I55" s="405"/>
      <c r="J55" s="77"/>
      <c r="K55" s="78"/>
      <c r="L55" s="78"/>
      <c r="M55" s="78"/>
      <c r="N55" s="78"/>
      <c r="O55" s="79"/>
      <c r="P55" s="78"/>
      <c r="Q55" s="78"/>
      <c r="R55" s="78"/>
      <c r="S55" s="78"/>
      <c r="T55" s="78"/>
      <c r="U55" s="78"/>
      <c r="V55" s="68"/>
      <c r="W55" s="69"/>
      <c r="X55" s="69"/>
      <c r="Y55" s="69"/>
      <c r="Z55" s="69"/>
      <c r="AA55" s="70"/>
      <c r="AB55" s="54" t="str">
        <f ca="1">IF(AND('Mapa final'!$Y$21="Muy Baja",'Mapa final'!$AA$21="Mayor"),CONCATENATE("R8C",'Mapa final'!$O$21),"")</f>
        <v/>
      </c>
      <c r="AC55" s="54"/>
      <c r="AD55" s="54"/>
      <c r="AE55" s="54" t="str">
        <f>IF(AND('Mapa final'!$Y$24="Muy Baja",'Mapa final'!$AA$24="Mayor"),CONCATENATE("R8C",'Mapa final'!$O$24),"")</f>
        <v/>
      </c>
      <c r="AF55" s="54" t="str">
        <f>IF(AND('Mapa final'!$Y$25="Muy Baja",'Mapa final'!$AA$25="Mayor"),CONCATENATE("R8C",'Mapa final'!$O$25),"")</f>
        <v/>
      </c>
      <c r="AG55" s="55" t="str">
        <f>IF(AND('Mapa final'!$Y$26="Muy Baja",'Mapa final'!$AA$26="Mayor"),CONCATENATE("R8C",'Mapa final'!$O$26),"")</f>
        <v/>
      </c>
      <c r="AH55" s="56"/>
      <c r="AI55" s="57"/>
      <c r="AJ55" s="57"/>
      <c r="AK55" s="57"/>
      <c r="AL55" s="57"/>
      <c r="AM55" s="58"/>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ht="15" customHeight="1">
      <c r="A56" s="84"/>
      <c r="B56" s="302"/>
      <c r="C56" s="302"/>
      <c r="D56" s="303"/>
      <c r="E56" s="406"/>
      <c r="F56" s="405"/>
      <c r="G56" s="405"/>
      <c r="H56" s="405"/>
      <c r="I56" s="405"/>
      <c r="J56" s="77"/>
      <c r="K56" s="78"/>
      <c r="L56" s="78"/>
      <c r="M56" s="78"/>
      <c r="N56" s="78"/>
      <c r="O56" s="79"/>
      <c r="P56" s="78"/>
      <c r="Q56" s="78"/>
      <c r="R56" s="78"/>
      <c r="S56" s="78"/>
      <c r="T56" s="78"/>
      <c r="U56" s="78"/>
      <c r="V56" s="68"/>
      <c r="W56" s="69"/>
      <c r="X56" s="69"/>
      <c r="Y56" s="69"/>
      <c r="Z56" s="69"/>
      <c r="AA56" s="70"/>
      <c r="AB56" s="54" t="str">
        <f ca="1">IF(AND('Mapa final'!$Y$27="Muy Baja",'Mapa final'!$AA$27="Mayor"),CONCATENATE("R9C",'Mapa final'!$O$27),"")</f>
        <v/>
      </c>
      <c r="AC56" s="54"/>
      <c r="AD56" s="54" t="str">
        <f>IF(AND('Mapa final'!$Y$28="Muy Baja",'Mapa final'!$AA$28="Mayor"),CONCATENATE("R9C",'Mapa final'!$O$28),"")</f>
        <v/>
      </c>
      <c r="AE56" s="54" t="str">
        <f>IF(AND('Mapa final'!$Y$29="Muy Baja",'Mapa final'!$AA$29="Mayor"),CONCATENATE("R9C",'Mapa final'!$O$29),"")</f>
        <v/>
      </c>
      <c r="AF56" s="54" t="str">
        <f>IF(AND('Mapa final'!$Y$30="Muy Baja",'Mapa final'!$AA$30="Mayor"),CONCATENATE("R9C",'Mapa final'!$O$30),"")</f>
        <v/>
      </c>
      <c r="AG56" s="54" t="str">
        <f>IF(AND('Mapa final'!$Y$31="Muy Baja",'Mapa final'!$AA$31="Mayor"),CONCATENATE("R9C",'Mapa final'!$O$31),"")</f>
        <v/>
      </c>
      <c r="AH56" s="57"/>
      <c r="AI56" s="57"/>
      <c r="AJ56" s="57"/>
      <c r="AK56" s="57"/>
      <c r="AL56" s="57"/>
      <c r="AM56" s="57"/>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ht="15" customHeight="1">
      <c r="A57" s="84"/>
      <c r="B57" s="302"/>
      <c r="C57" s="302"/>
      <c r="D57" s="303"/>
      <c r="E57" s="406"/>
      <c r="F57" s="405"/>
      <c r="G57" s="405"/>
      <c r="H57" s="405"/>
      <c r="I57" s="405"/>
      <c r="J57" s="77"/>
      <c r="K57" s="78"/>
      <c r="L57" s="78"/>
      <c r="M57" s="78"/>
      <c r="N57" s="78"/>
      <c r="O57" s="79"/>
      <c r="P57" s="78"/>
      <c r="Q57" s="78"/>
      <c r="R57" s="78"/>
      <c r="S57" s="78"/>
      <c r="T57" s="78"/>
      <c r="U57" s="78"/>
      <c r="V57" s="68"/>
      <c r="W57" s="69"/>
      <c r="X57" s="69"/>
      <c r="Y57" s="69"/>
      <c r="Z57" s="69"/>
      <c r="AA57" s="70"/>
      <c r="AB57" s="54" t="str">
        <f ca="1">IF(AND('Mapa final'!$Y$32="Muy Baja",'Mapa final'!$AA$32="Mayor"),CONCATENATE("R10C",'Mapa final'!$O$32),"")</f>
        <v/>
      </c>
      <c r="AC57" s="54" t="str">
        <f ca="1">IF(AND('Mapa final'!$Y$33="Muy Baja",'Mapa final'!$AA$33="Mayor"),CONCATENATE("R10C",'Mapa final'!$O$33),"")</f>
        <v>R10C2</v>
      </c>
      <c r="AD57" s="54"/>
      <c r="AE57" s="54"/>
      <c r="AF57" s="54"/>
      <c r="AG57" s="54"/>
      <c r="AH57" s="56"/>
      <c r="AI57" s="57"/>
      <c r="AJ57" s="57"/>
      <c r="AK57" s="57"/>
      <c r="AL57" s="57"/>
      <c r="AM57" s="58"/>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ht="15.75" customHeight="1" thickBot="1">
      <c r="A58" s="84"/>
      <c r="B58" s="302"/>
      <c r="C58" s="302"/>
      <c r="D58" s="303"/>
      <c r="E58" s="407"/>
      <c r="F58" s="408"/>
      <c r="G58" s="408"/>
      <c r="H58" s="408"/>
      <c r="I58" s="408"/>
      <c r="J58" s="80"/>
      <c r="K58" s="81"/>
      <c r="L58" s="81"/>
      <c r="M58" s="81"/>
      <c r="N58" s="81"/>
      <c r="O58" s="82"/>
      <c r="P58" s="81"/>
      <c r="Q58" s="81"/>
      <c r="R58" s="81"/>
      <c r="S58" s="81"/>
      <c r="T58" s="81"/>
      <c r="U58" s="81"/>
      <c r="V58" s="71"/>
      <c r="W58" s="72"/>
      <c r="X58" s="72"/>
      <c r="Y58" s="72"/>
      <c r="Z58" s="72"/>
      <c r="AA58" s="73"/>
      <c r="AB58" s="60" t="str">
        <f ca="1">IF(AND('Mapa final'!$Y$34="Muy Baja",'Mapa final'!$AA$34="Mayor"),CONCATENATE("R10C",'Mapa final'!$O$34),"")</f>
        <v/>
      </c>
      <c r="AC58" s="60"/>
      <c r="AD58" s="60"/>
      <c r="AE58" s="60"/>
      <c r="AF58" s="60"/>
      <c r="AG58" s="61"/>
      <c r="AH58" s="62"/>
      <c r="AI58" s="63"/>
      <c r="AJ58" s="63"/>
      <c r="AK58" s="63"/>
      <c r="AL58" s="63"/>
      <c r="AM58" s="6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402" t="s">
        <v>112</v>
      </c>
      <c r="K59" s="403"/>
      <c r="L59" s="403"/>
      <c r="M59" s="403"/>
      <c r="N59" s="403"/>
      <c r="O59" s="420"/>
      <c r="P59" s="402" t="s">
        <v>111</v>
      </c>
      <c r="Q59" s="403"/>
      <c r="R59" s="403"/>
      <c r="S59" s="403"/>
      <c r="T59" s="403"/>
      <c r="U59" s="420"/>
      <c r="V59" s="402" t="s">
        <v>110</v>
      </c>
      <c r="W59" s="403"/>
      <c r="X59" s="403"/>
      <c r="Y59" s="403"/>
      <c r="Z59" s="403"/>
      <c r="AA59" s="420"/>
      <c r="AB59" s="402" t="s">
        <v>109</v>
      </c>
      <c r="AC59" s="441"/>
      <c r="AD59" s="403"/>
      <c r="AE59" s="403"/>
      <c r="AF59" s="403"/>
      <c r="AG59" s="420"/>
      <c r="AH59" s="402" t="s">
        <v>108</v>
      </c>
      <c r="AI59" s="403"/>
      <c r="AJ59" s="403"/>
      <c r="AK59" s="403"/>
      <c r="AL59" s="403"/>
      <c r="AM59" s="420"/>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406"/>
      <c r="K60" s="405"/>
      <c r="L60" s="405"/>
      <c r="M60" s="405"/>
      <c r="N60" s="405"/>
      <c r="O60" s="421"/>
      <c r="P60" s="406"/>
      <c r="Q60" s="405"/>
      <c r="R60" s="405"/>
      <c r="S60" s="405"/>
      <c r="T60" s="405"/>
      <c r="U60" s="421"/>
      <c r="V60" s="406"/>
      <c r="W60" s="405"/>
      <c r="X60" s="405"/>
      <c r="Y60" s="405"/>
      <c r="Z60" s="405"/>
      <c r="AA60" s="421"/>
      <c r="AB60" s="406"/>
      <c r="AC60" s="405"/>
      <c r="AD60" s="405"/>
      <c r="AE60" s="405"/>
      <c r="AF60" s="405"/>
      <c r="AG60" s="421"/>
      <c r="AH60" s="406"/>
      <c r="AI60" s="405"/>
      <c r="AJ60" s="405"/>
      <c r="AK60" s="405"/>
      <c r="AL60" s="405"/>
      <c r="AM60" s="421"/>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406"/>
      <c r="K61" s="405"/>
      <c r="L61" s="405"/>
      <c r="M61" s="405"/>
      <c r="N61" s="405"/>
      <c r="O61" s="421"/>
      <c r="P61" s="406"/>
      <c r="Q61" s="405"/>
      <c r="R61" s="405"/>
      <c r="S61" s="405"/>
      <c r="T61" s="405"/>
      <c r="U61" s="421"/>
      <c r="V61" s="406"/>
      <c r="W61" s="405"/>
      <c r="X61" s="405"/>
      <c r="Y61" s="405"/>
      <c r="Z61" s="405"/>
      <c r="AA61" s="421"/>
      <c r="AB61" s="406"/>
      <c r="AC61" s="405"/>
      <c r="AD61" s="405"/>
      <c r="AE61" s="405"/>
      <c r="AF61" s="405"/>
      <c r="AG61" s="421"/>
      <c r="AH61" s="406"/>
      <c r="AI61" s="405"/>
      <c r="AJ61" s="405"/>
      <c r="AK61" s="405"/>
      <c r="AL61" s="405"/>
      <c r="AM61" s="421"/>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406"/>
      <c r="K62" s="405"/>
      <c r="L62" s="405"/>
      <c r="M62" s="405"/>
      <c r="N62" s="405"/>
      <c r="O62" s="421"/>
      <c r="P62" s="406"/>
      <c r="Q62" s="405"/>
      <c r="R62" s="405"/>
      <c r="S62" s="405"/>
      <c r="T62" s="405"/>
      <c r="U62" s="421"/>
      <c r="V62" s="406"/>
      <c r="W62" s="405"/>
      <c r="X62" s="405"/>
      <c r="Y62" s="405"/>
      <c r="Z62" s="405"/>
      <c r="AA62" s="421"/>
      <c r="AB62" s="406"/>
      <c r="AC62" s="405"/>
      <c r="AD62" s="405"/>
      <c r="AE62" s="405"/>
      <c r="AF62" s="405"/>
      <c r="AG62" s="421"/>
      <c r="AH62" s="406"/>
      <c r="AI62" s="405"/>
      <c r="AJ62" s="405"/>
      <c r="AK62" s="405"/>
      <c r="AL62" s="405"/>
      <c r="AM62" s="421"/>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406"/>
      <c r="K63" s="405"/>
      <c r="L63" s="405"/>
      <c r="M63" s="405"/>
      <c r="N63" s="405"/>
      <c r="O63" s="421"/>
      <c r="P63" s="406"/>
      <c r="Q63" s="405"/>
      <c r="R63" s="405"/>
      <c r="S63" s="405"/>
      <c r="T63" s="405"/>
      <c r="U63" s="421"/>
      <c r="V63" s="406"/>
      <c r="W63" s="405"/>
      <c r="X63" s="405"/>
      <c r="Y63" s="405"/>
      <c r="Z63" s="405"/>
      <c r="AA63" s="421"/>
      <c r="AB63" s="406"/>
      <c r="AC63" s="405"/>
      <c r="AD63" s="405"/>
      <c r="AE63" s="405"/>
      <c r="AF63" s="405"/>
      <c r="AG63" s="421"/>
      <c r="AH63" s="406"/>
      <c r="AI63" s="405"/>
      <c r="AJ63" s="405"/>
      <c r="AK63" s="405"/>
      <c r="AL63" s="405"/>
      <c r="AM63" s="421"/>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ht="15.75" thickBot="1">
      <c r="A64" s="84"/>
      <c r="B64" s="84"/>
      <c r="C64" s="84"/>
      <c r="D64" s="84"/>
      <c r="E64" s="84"/>
      <c r="F64" s="84"/>
      <c r="G64" s="84"/>
      <c r="H64" s="84"/>
      <c r="I64" s="84"/>
      <c r="J64" s="407"/>
      <c r="K64" s="408"/>
      <c r="L64" s="408"/>
      <c r="M64" s="408"/>
      <c r="N64" s="408"/>
      <c r="O64" s="422"/>
      <c r="P64" s="407"/>
      <c r="Q64" s="408"/>
      <c r="R64" s="408"/>
      <c r="S64" s="408"/>
      <c r="T64" s="408"/>
      <c r="U64" s="422"/>
      <c r="V64" s="407"/>
      <c r="W64" s="408"/>
      <c r="X64" s="408"/>
      <c r="Y64" s="408"/>
      <c r="Z64" s="408"/>
      <c r="AA64" s="422"/>
      <c r="AB64" s="407"/>
      <c r="AC64" s="408"/>
      <c r="AD64" s="408"/>
      <c r="AE64" s="408"/>
      <c r="AF64" s="408"/>
      <c r="AG64" s="422"/>
      <c r="AH64" s="407"/>
      <c r="AI64" s="408"/>
      <c r="AJ64" s="408"/>
      <c r="AK64" s="408"/>
      <c r="AL64" s="408"/>
      <c r="AM64" s="422"/>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ht="15" customHeight="1">
      <c r="A66" s="84"/>
      <c r="B66" s="88"/>
      <c r="C66" s="88"/>
      <c r="D66" s="88"/>
      <c r="E66" s="88"/>
      <c r="F66" s="88"/>
      <c r="G66" s="88"/>
      <c r="H66" s="88"/>
      <c r="I66" s="88"/>
      <c r="J66" s="88"/>
      <c r="K66" s="88"/>
      <c r="L66" s="88"/>
      <c r="M66" s="88"/>
      <c r="N66" s="88"/>
      <c r="O66" s="88"/>
      <c r="P66" s="88"/>
      <c r="Q66" s="88"/>
      <c r="R66" s="88"/>
      <c r="S66" s="88"/>
      <c r="T66" s="88"/>
      <c r="U66" s="88"/>
      <c r="V66" s="88"/>
      <c r="W66" s="88"/>
      <c r="X66" s="88"/>
      <c r="Y66" s="88"/>
      <c r="Z66" s="88"/>
      <c r="AA66" s="88"/>
      <c r="AB66" s="88"/>
      <c r="AC66" s="88"/>
      <c r="AD66" s="88"/>
      <c r="AE66" s="88"/>
      <c r="AF66" s="88"/>
      <c r="AG66" s="88"/>
      <c r="AH66" s="88"/>
      <c r="AI66" s="88"/>
      <c r="AJ66" s="88"/>
      <c r="AK66" s="88"/>
      <c r="AL66" s="88"/>
      <c r="AM66" s="88"/>
      <c r="AN66" s="88"/>
      <c r="AO66" s="88"/>
      <c r="AP66" s="88"/>
      <c r="AQ66" s="88"/>
      <c r="AR66" s="88"/>
      <c r="AS66" s="88"/>
      <c r="AT66" s="88"/>
      <c r="AU66" s="84"/>
      <c r="AV66" s="84"/>
      <c r="AW66" s="84"/>
      <c r="AX66" s="84"/>
      <c r="AY66" s="84"/>
      <c r="AZ66" s="84"/>
      <c r="BA66" s="84"/>
      <c r="BB66" s="84"/>
      <c r="BC66" s="84"/>
      <c r="BD66" s="84"/>
      <c r="BE66" s="84"/>
      <c r="BF66" s="84"/>
      <c r="BG66" s="84"/>
      <c r="BH66" s="84"/>
    </row>
    <row r="67" spans="1:60" ht="15" customHeight="1">
      <c r="A67" s="84"/>
      <c r="B67" s="88"/>
      <c r="C67" s="88"/>
      <c r="D67" s="88"/>
      <c r="E67" s="88"/>
      <c r="F67" s="88"/>
      <c r="G67" s="88"/>
      <c r="H67" s="88"/>
      <c r="I67" s="88"/>
      <c r="J67" s="88"/>
      <c r="K67" s="88"/>
      <c r="L67" s="88"/>
      <c r="M67" s="88"/>
      <c r="N67" s="88"/>
      <c r="O67" s="88"/>
      <c r="P67" s="88"/>
      <c r="Q67" s="88"/>
      <c r="R67" s="88"/>
      <c r="S67" s="88"/>
      <c r="T67" s="88"/>
      <c r="U67" s="88"/>
      <c r="V67" s="88"/>
      <c r="W67" s="88"/>
      <c r="X67" s="88"/>
      <c r="Y67" s="88"/>
      <c r="Z67" s="88"/>
      <c r="AA67" s="88"/>
      <c r="AB67" s="88"/>
      <c r="AC67" s="88"/>
      <c r="AD67" s="88"/>
      <c r="AE67" s="88"/>
      <c r="AF67" s="88"/>
      <c r="AG67" s="88"/>
      <c r="AH67" s="88"/>
      <c r="AI67" s="88"/>
      <c r="AJ67" s="88"/>
      <c r="AK67" s="88"/>
      <c r="AL67" s="88"/>
      <c r="AM67" s="88"/>
      <c r="AN67" s="88"/>
      <c r="AO67" s="88"/>
      <c r="AP67" s="88"/>
      <c r="AQ67" s="88"/>
      <c r="AR67" s="88"/>
      <c r="AS67" s="88"/>
      <c r="AT67" s="88"/>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B191" s="84"/>
      <c r="C191" s="84"/>
      <c r="D191" s="84"/>
      <c r="E191" s="84"/>
      <c r="F191" s="84"/>
      <c r="G191" s="84"/>
      <c r="H191" s="84"/>
      <c r="I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B192" s="84"/>
      <c r="C192" s="84"/>
      <c r="D192" s="84"/>
      <c r="E192" s="84"/>
      <c r="F192" s="84"/>
      <c r="G192" s="84"/>
      <c r="H192" s="84"/>
      <c r="I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B193" s="84"/>
      <c r="C193" s="84"/>
      <c r="D193" s="84"/>
      <c r="E193" s="84"/>
      <c r="F193" s="84"/>
      <c r="G193" s="84"/>
      <c r="H193" s="84"/>
      <c r="I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c r="J245" s="84"/>
      <c r="K245" s="84"/>
      <c r="L245" s="84"/>
      <c r="M245" s="84"/>
      <c r="N245" s="84"/>
      <c r="O245" s="84"/>
      <c r="P245" s="84"/>
      <c r="Q245" s="84"/>
      <c r="R245" s="84"/>
      <c r="S245" s="84"/>
      <c r="T245" s="84"/>
      <c r="U245" s="84"/>
      <c r="V245" s="84"/>
      <c r="W245" s="84"/>
      <c r="X245" s="84"/>
      <c r="Y245" s="84"/>
      <c r="Z245" s="84"/>
      <c r="AA245" s="84"/>
      <c r="AB245" s="84"/>
      <c r="AC245" s="84"/>
      <c r="AD245" s="84"/>
      <c r="AE245" s="84"/>
      <c r="AF245" s="84"/>
      <c r="AG245" s="84"/>
      <c r="AH245" s="84"/>
      <c r="AI245" s="84"/>
      <c r="AJ245" s="84"/>
      <c r="AK245" s="84"/>
      <c r="AL245" s="84"/>
      <c r="AM245" s="84"/>
      <c r="AN245" s="84"/>
      <c r="AO245" s="84"/>
      <c r="AP245" s="84"/>
      <c r="AQ245" s="84"/>
      <c r="AR245" s="84"/>
      <c r="AS245" s="84"/>
      <c r="AT245" s="84"/>
      <c r="AU245" s="84"/>
      <c r="AV245" s="84"/>
      <c r="AW245" s="84"/>
      <c r="AX245" s="84"/>
      <c r="AY245" s="84"/>
      <c r="AZ245" s="84"/>
      <c r="BA245" s="84"/>
      <c r="BB245" s="84"/>
      <c r="BC245" s="84"/>
      <c r="BD245" s="84"/>
      <c r="BE245" s="84"/>
      <c r="BF245" s="84"/>
      <c r="BG245" s="84"/>
      <c r="BH245" s="84"/>
    </row>
    <row r="246" spans="1:60">
      <c r="A246" s="84"/>
      <c r="J246" s="84"/>
      <c r="K246" s="84"/>
      <c r="L246" s="84"/>
      <c r="M246" s="84"/>
      <c r="N246" s="84"/>
      <c r="O246" s="84"/>
      <c r="P246" s="84"/>
      <c r="Q246" s="84"/>
      <c r="R246" s="84"/>
      <c r="S246" s="84"/>
      <c r="T246" s="84"/>
      <c r="U246" s="84"/>
      <c r="V246" s="84"/>
      <c r="W246" s="84"/>
      <c r="X246" s="84"/>
      <c r="Y246" s="84"/>
      <c r="Z246" s="84"/>
      <c r="AA246" s="84"/>
      <c r="AB246" s="84"/>
      <c r="AC246" s="84"/>
      <c r="AD246" s="84"/>
      <c r="AE246" s="84"/>
      <c r="AF246" s="84"/>
      <c r="AG246" s="84"/>
      <c r="AH246" s="84"/>
      <c r="AI246" s="84"/>
      <c r="AJ246" s="84"/>
      <c r="AK246" s="84"/>
      <c r="AL246" s="84"/>
      <c r="AM246" s="84"/>
      <c r="AN246" s="84"/>
      <c r="AO246" s="84"/>
      <c r="AP246" s="84"/>
      <c r="AQ246" s="84"/>
      <c r="AR246" s="84"/>
      <c r="AS246" s="84"/>
      <c r="AT246" s="84"/>
      <c r="AU246" s="84"/>
      <c r="AV246" s="84"/>
      <c r="AW246" s="84"/>
      <c r="AX246" s="84"/>
      <c r="AY246" s="84"/>
      <c r="AZ246" s="84"/>
      <c r="BA246" s="84"/>
      <c r="BB246" s="84"/>
      <c r="BC246" s="84"/>
      <c r="BD246" s="84"/>
      <c r="BE246" s="84"/>
      <c r="BF246" s="84"/>
      <c r="BG246" s="84"/>
      <c r="BH246" s="84"/>
    </row>
    <row r="247" spans="1:60">
      <c r="A247" s="84"/>
      <c r="J247" s="84"/>
      <c r="K247" s="84"/>
      <c r="L247" s="84"/>
      <c r="M247" s="84"/>
      <c r="N247" s="84"/>
      <c r="O247" s="84"/>
      <c r="P247" s="84"/>
      <c r="Q247" s="84"/>
      <c r="R247" s="84"/>
      <c r="S247" s="84"/>
      <c r="T247" s="84"/>
      <c r="U247" s="84"/>
      <c r="V247" s="84"/>
      <c r="W247" s="84"/>
      <c r="X247" s="84"/>
      <c r="Y247" s="84"/>
      <c r="Z247" s="84"/>
      <c r="AA247" s="84"/>
      <c r="AB247" s="84"/>
      <c r="AC247" s="84"/>
      <c r="AD247" s="84"/>
      <c r="AE247" s="84"/>
      <c r="AF247" s="84"/>
      <c r="AG247" s="84"/>
      <c r="AH247" s="84"/>
      <c r="AI247" s="84"/>
      <c r="AJ247" s="84"/>
      <c r="AK247" s="84"/>
      <c r="AL247" s="84"/>
      <c r="AM247" s="84"/>
      <c r="AN247" s="84"/>
      <c r="AO247" s="84"/>
      <c r="AP247" s="84"/>
      <c r="AQ247" s="84"/>
      <c r="AR247" s="84"/>
      <c r="AS247" s="84"/>
      <c r="AT247" s="84"/>
      <c r="AU247" s="84"/>
      <c r="AV247" s="84"/>
      <c r="AW247" s="84"/>
      <c r="AX247" s="84"/>
      <c r="AY247" s="84"/>
      <c r="AZ247" s="84"/>
      <c r="BA247" s="84"/>
      <c r="BB247" s="84"/>
      <c r="BC247" s="84"/>
      <c r="BD247" s="84"/>
      <c r="BE247" s="84"/>
      <c r="BF247" s="84"/>
      <c r="BG247" s="84"/>
      <c r="BH247" s="84"/>
    </row>
    <row r="248" spans="1:60">
      <c r="A248" s="84"/>
    </row>
    <row r="249" spans="1:60">
      <c r="A249" s="84"/>
    </row>
    <row r="250" spans="1:60">
      <c r="A250" s="84"/>
    </row>
    <row r="251" spans="1:60">
      <c r="A251" s="84"/>
    </row>
  </sheetData>
  <mergeCells count="17">
    <mergeCell ref="J59:O64"/>
    <mergeCell ref="P59:U64"/>
    <mergeCell ref="V59:AA64"/>
    <mergeCell ref="AB59:AG64"/>
    <mergeCell ref="AH59:AM64"/>
    <mergeCell ref="AO16:AT25"/>
    <mergeCell ref="E16:I25"/>
    <mergeCell ref="AO6:AT15"/>
    <mergeCell ref="B2:I4"/>
    <mergeCell ref="J2:AM4"/>
    <mergeCell ref="B6:D58"/>
    <mergeCell ref="E6:I15"/>
    <mergeCell ref="E48:I58"/>
    <mergeCell ref="AO37:AT47"/>
    <mergeCell ref="E37:I47"/>
    <mergeCell ref="AO26:AT36"/>
    <mergeCell ref="E26:I3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00B0F0"/>
  </sheetPr>
  <dimension ref="A1:AK55"/>
  <sheetViews>
    <sheetView zoomScale="90" zoomScaleNormal="90" workbookViewId="0">
      <selection activeCell="B7" sqref="B7"/>
    </sheetView>
  </sheetViews>
  <sheetFormatPr baseColWidth="10" defaultRowHeight="15"/>
  <cols>
    <col min="2" max="2" width="24.140625" customWidth="1"/>
    <col min="3" max="3" width="70.140625" customWidth="1"/>
    <col min="4" max="4" width="29.85546875" customWidth="1"/>
  </cols>
  <sheetData>
    <row r="1" spans="1:37" ht="23.25">
      <c r="A1" s="84"/>
      <c r="B1" s="442" t="s">
        <v>55</v>
      </c>
      <c r="C1" s="442"/>
      <c r="D1" s="442"/>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theme="6" tint="-0.249977111117893"/>
  </sheetPr>
  <dimension ref="A1:U232"/>
  <sheetViews>
    <sheetView zoomScale="60" zoomScaleNormal="60" workbookViewId="0">
      <selection activeCell="D25" sqref="D25"/>
    </sheetView>
  </sheetViews>
  <sheetFormatPr baseColWidth="10" defaultRowHeight="15"/>
  <cols>
    <col min="2" max="2" width="40.42578125" customWidth="1"/>
    <col min="3" max="3" width="74.85546875" customWidth="1"/>
    <col min="4" max="4" width="135" bestFit="1" customWidth="1"/>
    <col min="5" max="5" width="144.7109375" bestFit="1" customWidth="1"/>
  </cols>
  <sheetData>
    <row r="1" spans="1:21" ht="33.75">
      <c r="A1" s="84"/>
      <c r="B1" s="443" t="s">
        <v>63</v>
      </c>
      <c r="C1" s="443"/>
      <c r="D1" s="443"/>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105"/>
      <c r="C3" s="36" t="s">
        <v>56</v>
      </c>
      <c r="D3" s="36" t="s">
        <v>57</v>
      </c>
      <c r="E3" s="84"/>
      <c r="F3" s="84"/>
      <c r="G3" s="84"/>
      <c r="H3" s="84"/>
      <c r="I3" s="84"/>
      <c r="J3" s="84"/>
      <c r="K3" s="84"/>
      <c r="L3" s="84"/>
      <c r="M3" s="84"/>
      <c r="N3" s="84"/>
      <c r="O3" s="84"/>
      <c r="P3" s="84"/>
      <c r="Q3" s="84"/>
      <c r="R3" s="84"/>
      <c r="S3" s="84"/>
      <c r="T3" s="84"/>
      <c r="U3" s="84"/>
    </row>
    <row r="4" spans="1:21" ht="33.75">
      <c r="A4" s="104" t="s">
        <v>83</v>
      </c>
      <c r="B4" s="39" t="s">
        <v>101</v>
      </c>
      <c r="C4" s="44" t="s">
        <v>157</v>
      </c>
      <c r="D4" s="37" t="s">
        <v>97</v>
      </c>
      <c r="E4" s="84"/>
      <c r="F4" s="84"/>
      <c r="G4" s="84"/>
      <c r="H4" s="84"/>
      <c r="I4" s="84"/>
      <c r="J4" s="84"/>
      <c r="K4" s="84"/>
      <c r="L4" s="84"/>
      <c r="M4" s="84"/>
      <c r="N4" s="84"/>
      <c r="O4" s="84"/>
      <c r="P4" s="84"/>
      <c r="Q4" s="84"/>
      <c r="R4" s="84"/>
      <c r="S4" s="84"/>
      <c r="T4" s="84"/>
      <c r="U4" s="84"/>
    </row>
    <row r="5" spans="1:21" ht="67.5">
      <c r="A5" s="104" t="s">
        <v>84</v>
      </c>
      <c r="B5" s="40" t="s">
        <v>59</v>
      </c>
      <c r="C5" s="45" t="s">
        <v>93</v>
      </c>
      <c r="D5" s="38" t="s">
        <v>98</v>
      </c>
      <c r="E5" s="84"/>
      <c r="F5" s="84"/>
      <c r="G5" s="84"/>
      <c r="H5" s="84"/>
      <c r="I5" s="84"/>
      <c r="J5" s="84"/>
      <c r="K5" s="84"/>
      <c r="L5" s="84"/>
      <c r="M5" s="84"/>
      <c r="N5" s="84"/>
      <c r="O5" s="84"/>
      <c r="P5" s="84"/>
      <c r="Q5" s="84"/>
      <c r="R5" s="84"/>
      <c r="S5" s="84"/>
      <c r="T5" s="84"/>
      <c r="U5" s="84"/>
    </row>
    <row r="6" spans="1:21" ht="67.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c r="A7" s="104" t="s">
        <v>7</v>
      </c>
      <c r="B7" s="42" t="s">
        <v>61</v>
      </c>
      <c r="C7" s="45" t="s">
        <v>95</v>
      </c>
      <c r="D7" s="38" t="s">
        <v>99</v>
      </c>
      <c r="E7" s="84"/>
      <c r="F7" s="84"/>
      <c r="G7" s="84"/>
      <c r="H7" s="84"/>
      <c r="I7" s="84"/>
      <c r="J7" s="84"/>
      <c r="K7" s="84"/>
      <c r="L7" s="84"/>
      <c r="M7" s="84"/>
      <c r="N7" s="84"/>
      <c r="O7" s="84"/>
      <c r="P7" s="84"/>
      <c r="Q7" s="84"/>
      <c r="R7" s="84"/>
      <c r="S7" s="84"/>
      <c r="T7" s="84"/>
      <c r="U7" s="84"/>
    </row>
    <row r="8" spans="1:21" ht="67.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c r="A9" s="104"/>
      <c r="B9" s="104"/>
      <c r="C9" s="106"/>
      <c r="D9" s="106"/>
      <c r="E9" s="84"/>
      <c r="F9" s="84"/>
      <c r="G9" s="84"/>
      <c r="H9" s="84"/>
      <c r="I9" s="84"/>
      <c r="J9" s="84"/>
      <c r="K9" s="84"/>
      <c r="L9" s="84"/>
      <c r="M9" s="84"/>
      <c r="N9" s="84"/>
      <c r="O9" s="84"/>
      <c r="P9" s="84"/>
      <c r="Q9" s="84"/>
      <c r="R9" s="84"/>
      <c r="S9" s="84"/>
      <c r="T9" s="84"/>
      <c r="U9" s="84"/>
    </row>
    <row r="10" spans="1:21" ht="16.5">
      <c r="A10" s="104"/>
      <c r="B10" s="107"/>
      <c r="C10" s="107"/>
      <c r="D10" s="107"/>
      <c r="E10" s="84"/>
      <c r="F10" s="84"/>
      <c r="G10" s="84"/>
      <c r="H10" s="84"/>
      <c r="I10" s="84"/>
      <c r="J10" s="84"/>
      <c r="K10" s="84"/>
      <c r="L10" s="84"/>
      <c r="M10" s="84"/>
      <c r="N10" s="84"/>
      <c r="O10" s="84"/>
      <c r="P10" s="84"/>
      <c r="Q10" s="84"/>
      <c r="R10" s="84"/>
      <c r="S10" s="84"/>
      <c r="T10" s="84"/>
      <c r="U10" s="84"/>
    </row>
    <row r="11" spans="1:21">
      <c r="A11" s="104"/>
      <c r="B11" s="104" t="s">
        <v>91</v>
      </c>
      <c r="C11" s="104" t="s">
        <v>145</v>
      </c>
      <c r="D11" s="104" t="s">
        <v>152</v>
      </c>
      <c r="E11" s="84"/>
      <c r="F11" s="84"/>
      <c r="G11" s="84"/>
      <c r="H11" s="84"/>
      <c r="I11" s="84"/>
      <c r="J11" s="84"/>
      <c r="K11" s="84"/>
      <c r="L11" s="84"/>
      <c r="M11" s="84"/>
      <c r="N11" s="84"/>
      <c r="O11" s="84"/>
      <c r="P11" s="84"/>
      <c r="Q11" s="84"/>
      <c r="R11" s="84"/>
      <c r="S11" s="84"/>
      <c r="T11" s="84"/>
      <c r="U11" s="84"/>
    </row>
    <row r="12" spans="1:21">
      <c r="A12" s="104"/>
      <c r="B12" s="104" t="s">
        <v>89</v>
      </c>
      <c r="C12" s="104" t="s">
        <v>149</v>
      </c>
      <c r="D12" s="104" t="s">
        <v>153</v>
      </c>
      <c r="E12" s="84"/>
      <c r="F12" s="84"/>
      <c r="G12" s="84"/>
      <c r="H12" s="84"/>
      <c r="I12" s="84"/>
      <c r="J12" s="84"/>
      <c r="K12" s="84"/>
      <c r="L12" s="84"/>
      <c r="M12" s="84"/>
      <c r="N12" s="84"/>
      <c r="O12" s="84"/>
      <c r="P12" s="84"/>
      <c r="Q12" s="84"/>
      <c r="R12" s="84"/>
      <c r="S12" s="84"/>
      <c r="T12" s="84"/>
      <c r="U12" s="84"/>
    </row>
    <row r="13" spans="1:21">
      <c r="A13" s="104"/>
      <c r="B13" s="104"/>
      <c r="C13" s="104" t="s">
        <v>148</v>
      </c>
      <c r="D13" s="104" t="s">
        <v>154</v>
      </c>
      <c r="E13" s="84"/>
      <c r="F13" s="84"/>
      <c r="G13" s="84"/>
      <c r="H13" s="84"/>
      <c r="I13" s="84"/>
      <c r="J13" s="84"/>
      <c r="K13" s="84"/>
      <c r="L13" s="84"/>
      <c r="M13" s="84"/>
      <c r="N13" s="84"/>
      <c r="O13" s="84"/>
      <c r="P13" s="84"/>
      <c r="Q13" s="84"/>
      <c r="R13" s="84"/>
      <c r="S13" s="84"/>
      <c r="T13" s="84"/>
      <c r="U13" s="84"/>
    </row>
    <row r="14" spans="1:21">
      <c r="A14" s="104"/>
      <c r="B14" s="104"/>
      <c r="C14" s="104" t="s">
        <v>150</v>
      </c>
      <c r="D14" s="104" t="s">
        <v>155</v>
      </c>
      <c r="E14" s="84"/>
      <c r="F14" s="84"/>
      <c r="G14" s="84"/>
      <c r="H14" s="84"/>
      <c r="I14" s="84"/>
      <c r="J14" s="84"/>
      <c r="K14" s="84"/>
      <c r="L14" s="84"/>
      <c r="M14" s="84"/>
      <c r="N14" s="84"/>
      <c r="O14" s="84"/>
      <c r="P14" s="84"/>
      <c r="Q14" s="84"/>
      <c r="R14" s="84"/>
      <c r="S14" s="84"/>
      <c r="T14" s="84"/>
      <c r="U14" s="84"/>
    </row>
    <row r="15" spans="1:21">
      <c r="A15" s="104"/>
      <c r="B15" s="104"/>
      <c r="C15" s="104" t="s">
        <v>151</v>
      </c>
      <c r="D15" s="104" t="s">
        <v>156</v>
      </c>
      <c r="E15" s="84"/>
      <c r="F15" s="84"/>
      <c r="G15" s="84"/>
      <c r="H15" s="84"/>
      <c r="I15" s="84"/>
      <c r="J15" s="84"/>
      <c r="K15" s="84"/>
      <c r="L15" s="84"/>
      <c r="M15" s="84"/>
      <c r="N15" s="84"/>
      <c r="O15" s="84"/>
      <c r="P15" s="84"/>
      <c r="Q15" s="84"/>
      <c r="R15" s="84"/>
      <c r="S15" s="84"/>
      <c r="T15" s="84"/>
      <c r="U15" s="84"/>
    </row>
    <row r="16" spans="1:21">
      <c r="A16" s="104"/>
      <c r="B16" s="104"/>
      <c r="C16" s="104"/>
      <c r="D16" s="104"/>
      <c r="E16" s="84"/>
      <c r="F16" s="84"/>
      <c r="G16" s="84"/>
      <c r="H16" s="84"/>
      <c r="I16" s="84"/>
      <c r="J16" s="84"/>
      <c r="K16" s="84"/>
      <c r="L16" s="84"/>
      <c r="M16" s="84"/>
      <c r="N16" s="84"/>
      <c r="O16" s="84"/>
    </row>
    <row r="17" spans="1:15">
      <c r="A17" s="104"/>
      <c r="B17" s="104"/>
      <c r="C17" s="104"/>
      <c r="D17" s="104"/>
      <c r="E17" s="84"/>
      <c r="F17" s="84"/>
      <c r="G17" s="84"/>
      <c r="H17" s="84"/>
      <c r="I17" s="84"/>
      <c r="J17" s="84"/>
      <c r="K17" s="84"/>
      <c r="L17" s="84"/>
      <c r="M17" s="84"/>
      <c r="N17" s="84"/>
      <c r="O17" s="84"/>
    </row>
    <row r="18" spans="1:15">
      <c r="A18" s="104"/>
      <c r="B18" s="108"/>
      <c r="C18" s="108"/>
      <c r="D18" s="108"/>
      <c r="E18" s="84"/>
      <c r="F18" s="84"/>
      <c r="G18" s="84"/>
      <c r="H18" s="84"/>
      <c r="I18" s="84"/>
      <c r="J18" s="84"/>
      <c r="K18" s="84"/>
      <c r="L18" s="84"/>
      <c r="M18" s="84"/>
      <c r="N18" s="84"/>
      <c r="O18" s="84"/>
    </row>
    <row r="19" spans="1:15">
      <c r="A19" s="104"/>
      <c r="B19" s="108"/>
      <c r="C19" s="108"/>
      <c r="D19" s="108"/>
      <c r="E19" s="84"/>
      <c r="F19" s="84"/>
      <c r="G19" s="84"/>
      <c r="H19" s="84"/>
      <c r="I19" s="84"/>
      <c r="J19" s="84"/>
      <c r="K19" s="84"/>
      <c r="L19" s="84"/>
      <c r="M19" s="84"/>
      <c r="N19" s="84"/>
      <c r="O19" s="84"/>
    </row>
    <row r="20" spans="1:15">
      <c r="A20" s="104"/>
      <c r="B20" s="108"/>
      <c r="C20" s="108"/>
      <c r="D20" s="108"/>
      <c r="E20" s="84"/>
      <c r="F20" s="84"/>
      <c r="G20" s="84"/>
      <c r="H20" s="84"/>
      <c r="I20" s="84"/>
      <c r="J20" s="84"/>
      <c r="K20" s="84"/>
      <c r="L20" s="84"/>
      <c r="M20" s="84"/>
      <c r="N20" s="84"/>
      <c r="O20" s="84"/>
    </row>
    <row r="21" spans="1:15">
      <c r="A21" s="104"/>
      <c r="B21" s="108"/>
      <c r="C21" s="108"/>
      <c r="D21" s="108"/>
      <c r="E21" s="84"/>
      <c r="F21" s="84"/>
      <c r="G21" s="84"/>
      <c r="H21" s="84"/>
      <c r="I21" s="84"/>
      <c r="J21" s="84"/>
      <c r="K21" s="84"/>
      <c r="L21" s="84"/>
      <c r="M21" s="84"/>
      <c r="N21" s="84"/>
      <c r="O21" s="84"/>
    </row>
    <row r="22" spans="1:15" ht="20.25">
      <c r="A22" s="104"/>
      <c r="B22" s="104"/>
      <c r="C22" s="106"/>
      <c r="D22" s="106"/>
      <c r="E22" s="84"/>
      <c r="F22" s="84"/>
      <c r="G22" s="84"/>
      <c r="H22" s="84"/>
      <c r="I22" s="84"/>
      <c r="J22" s="84"/>
      <c r="K22" s="84"/>
      <c r="L22" s="84"/>
      <c r="M22" s="84"/>
      <c r="N22" s="84"/>
      <c r="O22" s="84"/>
    </row>
    <row r="23" spans="1:15" ht="20.25">
      <c r="A23" s="104"/>
      <c r="B23" s="104"/>
      <c r="C23" s="106"/>
      <c r="D23" s="106"/>
      <c r="E23" s="84"/>
      <c r="F23" s="84"/>
      <c r="G23" s="84"/>
      <c r="H23" s="84"/>
      <c r="I23" s="84"/>
      <c r="J23" s="84"/>
      <c r="K23" s="84"/>
      <c r="L23" s="84"/>
      <c r="M23" s="84"/>
      <c r="N23" s="84"/>
      <c r="O23" s="84"/>
    </row>
    <row r="24" spans="1:15" ht="20.25">
      <c r="A24" s="104"/>
      <c r="B24" s="104"/>
      <c r="C24" s="106"/>
      <c r="D24" s="106"/>
      <c r="E24" s="84"/>
      <c r="F24" s="84"/>
      <c r="G24" s="84"/>
      <c r="H24" s="84"/>
      <c r="I24" s="84"/>
      <c r="J24" s="84"/>
      <c r="K24" s="84"/>
      <c r="L24" s="84"/>
      <c r="M24" s="84"/>
      <c r="N24" s="84"/>
      <c r="O24" s="84"/>
    </row>
    <row r="25" spans="1:15" ht="20.25">
      <c r="A25" s="104"/>
      <c r="B25" s="104"/>
      <c r="C25" s="106"/>
      <c r="D25" s="106"/>
      <c r="E25" s="84"/>
      <c r="F25" s="84"/>
      <c r="G25" s="84"/>
      <c r="H25" s="84"/>
      <c r="I25" s="84"/>
      <c r="J25" s="84"/>
      <c r="K25" s="84"/>
      <c r="L25" s="84"/>
      <c r="M25" s="84"/>
      <c r="N25" s="84"/>
      <c r="O25" s="84"/>
    </row>
    <row r="26" spans="1:15" ht="20.25">
      <c r="A26" s="104"/>
      <c r="B26" s="104"/>
      <c r="C26" s="106"/>
      <c r="D26" s="106"/>
      <c r="E26" s="84"/>
      <c r="F26" s="84"/>
      <c r="G26" s="84"/>
      <c r="H26" s="84"/>
      <c r="I26" s="84"/>
      <c r="J26" s="84"/>
      <c r="K26" s="84"/>
      <c r="L26" s="84"/>
      <c r="M26" s="84"/>
      <c r="N26" s="84"/>
      <c r="O26" s="84"/>
    </row>
    <row r="27" spans="1:15" ht="20.25">
      <c r="A27" s="104"/>
      <c r="B27" s="104"/>
      <c r="C27" s="106"/>
      <c r="D27" s="106"/>
      <c r="E27" s="84"/>
      <c r="F27" s="84"/>
      <c r="G27" s="84"/>
      <c r="H27" s="84"/>
      <c r="I27" s="84"/>
      <c r="J27" s="84"/>
      <c r="K27" s="84"/>
      <c r="L27" s="84"/>
      <c r="M27" s="84"/>
      <c r="N27" s="84"/>
      <c r="O27" s="84"/>
    </row>
    <row r="28" spans="1:15" ht="20.25">
      <c r="A28" s="104"/>
      <c r="B28" s="104"/>
      <c r="C28" s="106"/>
      <c r="D28" s="106"/>
      <c r="E28" s="84"/>
      <c r="F28" s="84"/>
      <c r="G28" s="84"/>
      <c r="H28" s="84"/>
      <c r="I28" s="84"/>
      <c r="J28" s="84"/>
      <c r="K28" s="84"/>
      <c r="L28" s="84"/>
      <c r="M28" s="84"/>
      <c r="N28" s="84"/>
      <c r="O28" s="84"/>
    </row>
    <row r="29" spans="1:15" ht="20.25">
      <c r="A29" s="104"/>
      <c r="B29" s="104"/>
      <c r="C29" s="106"/>
      <c r="D29" s="106"/>
      <c r="E29" s="84"/>
      <c r="F29" s="84"/>
      <c r="G29" s="84"/>
      <c r="H29" s="84"/>
      <c r="I29" s="84"/>
      <c r="J29" s="84"/>
      <c r="K29" s="84"/>
      <c r="L29" s="84"/>
      <c r="M29" s="84"/>
      <c r="N29" s="84"/>
      <c r="O29" s="84"/>
    </row>
    <row r="30" spans="1:15" ht="20.25">
      <c r="A30" s="104"/>
      <c r="B30" s="104"/>
      <c r="C30" s="106"/>
      <c r="D30" s="106"/>
      <c r="E30" s="84"/>
      <c r="F30" s="84"/>
      <c r="G30" s="84"/>
      <c r="H30" s="84"/>
      <c r="I30" s="84"/>
      <c r="J30" s="84"/>
      <c r="K30" s="84"/>
      <c r="L30" s="84"/>
      <c r="M30" s="84"/>
      <c r="N30" s="84"/>
      <c r="O30" s="84"/>
    </row>
    <row r="31" spans="1:15" ht="20.25">
      <c r="A31" s="104"/>
      <c r="B31" s="104"/>
      <c r="C31" s="106"/>
      <c r="D31" s="106"/>
      <c r="E31" s="84"/>
      <c r="F31" s="84"/>
      <c r="G31" s="84"/>
      <c r="H31" s="84"/>
      <c r="I31" s="84"/>
      <c r="J31" s="84"/>
      <c r="K31" s="84"/>
      <c r="L31" s="84"/>
      <c r="M31" s="84"/>
      <c r="N31" s="84"/>
      <c r="O31" s="84"/>
    </row>
    <row r="32" spans="1:15" ht="20.25">
      <c r="A32" s="104"/>
      <c r="B32" s="104"/>
      <c r="C32" s="106"/>
      <c r="D32" s="106"/>
      <c r="E32" s="84"/>
      <c r="F32" s="84"/>
      <c r="G32" s="84"/>
      <c r="H32" s="84"/>
      <c r="I32" s="84"/>
      <c r="J32" s="84"/>
      <c r="K32" s="84"/>
      <c r="L32" s="84"/>
      <c r="M32" s="84"/>
      <c r="N32" s="84"/>
      <c r="O32" s="84"/>
    </row>
    <row r="33" spans="1:15" ht="20.25">
      <c r="A33" s="104"/>
      <c r="B33" s="104"/>
      <c r="C33" s="106"/>
      <c r="D33" s="106"/>
      <c r="E33" s="84"/>
      <c r="F33" s="84"/>
      <c r="G33" s="84"/>
      <c r="H33" s="84"/>
      <c r="I33" s="84"/>
      <c r="J33" s="84"/>
      <c r="K33" s="84"/>
      <c r="L33" s="84"/>
      <c r="M33" s="84"/>
      <c r="N33" s="84"/>
      <c r="O33" s="84"/>
    </row>
    <row r="34" spans="1:15" ht="20.25">
      <c r="A34" s="104"/>
      <c r="B34" s="104"/>
      <c r="C34" s="106"/>
      <c r="D34" s="106"/>
      <c r="E34" s="84"/>
      <c r="F34" s="84"/>
      <c r="G34" s="84"/>
      <c r="H34" s="84"/>
      <c r="I34" s="84"/>
      <c r="J34" s="84"/>
      <c r="K34" s="84"/>
      <c r="L34" s="84"/>
      <c r="M34" s="84"/>
      <c r="N34" s="84"/>
      <c r="O34" s="84"/>
    </row>
    <row r="35" spans="1:15" ht="20.25">
      <c r="A35" s="104"/>
      <c r="B35" s="104"/>
      <c r="C35" s="106"/>
      <c r="D35" s="106"/>
      <c r="E35" s="84"/>
      <c r="F35" s="84"/>
      <c r="G35" s="84"/>
      <c r="H35" s="84"/>
      <c r="I35" s="84"/>
      <c r="J35" s="84"/>
      <c r="K35" s="84"/>
      <c r="L35" s="84"/>
      <c r="M35" s="84"/>
      <c r="N35" s="84"/>
      <c r="O35" s="84"/>
    </row>
    <row r="36" spans="1:15" ht="20.25">
      <c r="A36" s="104"/>
      <c r="B36" s="104"/>
      <c r="C36" s="106"/>
      <c r="D36" s="106"/>
      <c r="E36" s="84"/>
      <c r="F36" s="84"/>
      <c r="G36" s="84"/>
      <c r="H36" s="84"/>
      <c r="I36" s="84"/>
      <c r="J36" s="84"/>
      <c r="K36" s="84"/>
      <c r="L36" s="84"/>
      <c r="M36" s="84"/>
      <c r="N36" s="84"/>
      <c r="O36" s="84"/>
    </row>
    <row r="37" spans="1:15" ht="20.25">
      <c r="A37" s="104"/>
      <c r="B37" s="104"/>
      <c r="C37" s="106"/>
      <c r="D37" s="106"/>
      <c r="E37" s="84"/>
      <c r="F37" s="84"/>
      <c r="G37" s="84"/>
      <c r="H37" s="84"/>
      <c r="I37" s="84"/>
      <c r="J37" s="84"/>
      <c r="K37" s="84"/>
      <c r="L37" s="84"/>
      <c r="M37" s="84"/>
      <c r="N37" s="84"/>
      <c r="O37" s="84"/>
    </row>
    <row r="38" spans="1:15" ht="20.25">
      <c r="A38" s="104"/>
      <c r="B38" s="104"/>
      <c r="C38" s="106"/>
      <c r="D38" s="106"/>
      <c r="E38" s="84"/>
      <c r="F38" s="84"/>
      <c r="G38" s="84"/>
      <c r="H38" s="84"/>
      <c r="I38" s="84"/>
      <c r="J38" s="84"/>
      <c r="K38" s="84"/>
      <c r="L38" s="84"/>
      <c r="M38" s="84"/>
      <c r="N38" s="84"/>
      <c r="O38" s="84"/>
    </row>
    <row r="39" spans="1:15" ht="20.25">
      <c r="A39" s="104"/>
      <c r="B39" s="104"/>
      <c r="C39" s="106"/>
      <c r="D39" s="106"/>
      <c r="E39" s="84"/>
      <c r="F39" s="84"/>
      <c r="G39" s="84"/>
      <c r="H39" s="84"/>
      <c r="I39" s="84"/>
      <c r="J39" s="84"/>
      <c r="K39" s="84"/>
      <c r="L39" s="84"/>
      <c r="M39" s="84"/>
      <c r="N39" s="84"/>
      <c r="O39" s="84"/>
    </row>
    <row r="40" spans="1:15" ht="20.25">
      <c r="A40" s="104"/>
      <c r="B40" s="104"/>
      <c r="C40" s="106"/>
      <c r="D40" s="106"/>
      <c r="E40" s="84"/>
      <c r="F40" s="84"/>
      <c r="G40" s="84"/>
      <c r="H40" s="84"/>
      <c r="I40" s="84"/>
      <c r="J40" s="84"/>
      <c r="K40" s="84"/>
      <c r="L40" s="84"/>
      <c r="M40" s="84"/>
      <c r="N40" s="84"/>
      <c r="O40" s="84"/>
    </row>
    <row r="41" spans="1:15" ht="20.25">
      <c r="A41" s="104"/>
      <c r="B41" s="104"/>
      <c r="C41" s="106"/>
      <c r="D41" s="106"/>
      <c r="E41" s="84"/>
      <c r="F41" s="84"/>
      <c r="G41" s="84"/>
      <c r="H41" s="84"/>
      <c r="I41" s="84"/>
      <c r="J41" s="84"/>
      <c r="K41" s="84"/>
      <c r="L41" s="84"/>
      <c r="M41" s="84"/>
      <c r="N41" s="84"/>
      <c r="O41" s="84"/>
    </row>
    <row r="42" spans="1:15" ht="20.25">
      <c r="A42" s="104"/>
      <c r="B42" s="104"/>
      <c r="C42" s="106"/>
      <c r="D42" s="106"/>
      <c r="E42" s="84"/>
      <c r="F42" s="84"/>
      <c r="G42" s="84"/>
      <c r="H42" s="84"/>
      <c r="I42" s="84"/>
      <c r="J42" s="84"/>
      <c r="K42" s="84"/>
      <c r="L42" s="84"/>
      <c r="M42" s="84"/>
      <c r="N42" s="84"/>
      <c r="O42" s="84"/>
    </row>
    <row r="43" spans="1:15" ht="20.25">
      <c r="A43" s="104"/>
      <c r="B43" s="104"/>
      <c r="C43" s="106"/>
      <c r="D43" s="106"/>
      <c r="E43" s="84"/>
      <c r="F43" s="84"/>
      <c r="G43" s="84"/>
      <c r="H43" s="84"/>
      <c r="I43" s="84"/>
      <c r="J43" s="84"/>
      <c r="K43" s="84"/>
      <c r="L43" s="84"/>
      <c r="M43" s="84"/>
      <c r="N43" s="84"/>
      <c r="O43" s="84"/>
    </row>
    <row r="44" spans="1:15" ht="20.25">
      <c r="A44" s="104"/>
      <c r="B44" s="104"/>
      <c r="C44" s="106"/>
      <c r="D44" s="106"/>
      <c r="E44" s="84"/>
      <c r="F44" s="84"/>
      <c r="G44" s="84"/>
      <c r="H44" s="84"/>
      <c r="I44" s="84"/>
      <c r="J44" s="84"/>
      <c r="K44" s="84"/>
      <c r="L44" s="84"/>
      <c r="M44" s="84"/>
      <c r="N44" s="84"/>
      <c r="O44" s="84"/>
    </row>
    <row r="45" spans="1:15" ht="20.25">
      <c r="A45" s="104"/>
      <c r="B45" s="104"/>
      <c r="C45" s="106"/>
      <c r="D45" s="106"/>
      <c r="E45" s="84"/>
      <c r="F45" s="84"/>
      <c r="G45" s="84"/>
      <c r="H45" s="84"/>
      <c r="I45" s="84"/>
      <c r="J45" s="84"/>
      <c r="K45" s="84"/>
      <c r="L45" s="84"/>
      <c r="M45" s="84"/>
      <c r="N45" s="84"/>
      <c r="O45" s="84"/>
    </row>
    <row r="46" spans="1:15" ht="20.25">
      <c r="A46" s="104"/>
      <c r="B46" s="104"/>
      <c r="C46" s="106"/>
      <c r="D46" s="106"/>
      <c r="E46" s="84"/>
      <c r="F46" s="84"/>
      <c r="G46" s="84"/>
      <c r="H46" s="84"/>
      <c r="I46" s="84"/>
      <c r="J46" s="84"/>
      <c r="K46" s="84"/>
      <c r="L46" s="84"/>
      <c r="M46" s="84"/>
      <c r="N46" s="84"/>
      <c r="O46" s="84"/>
    </row>
    <row r="47" spans="1:15" ht="20.25">
      <c r="A47" s="104"/>
      <c r="B47" s="104"/>
      <c r="C47" s="106"/>
      <c r="D47" s="106"/>
      <c r="E47" s="84"/>
      <c r="F47" s="84"/>
      <c r="G47" s="84"/>
      <c r="H47" s="84"/>
      <c r="I47" s="84"/>
      <c r="J47" s="84"/>
      <c r="K47" s="84"/>
      <c r="L47" s="84"/>
      <c r="M47" s="84"/>
      <c r="N47" s="84"/>
      <c r="O47" s="84"/>
    </row>
    <row r="48" spans="1:15" ht="20.25">
      <c r="A48" s="104"/>
      <c r="B48" s="104"/>
      <c r="C48" s="106"/>
      <c r="D48" s="106"/>
      <c r="E48" s="84"/>
      <c r="F48" s="84"/>
      <c r="G48" s="84"/>
      <c r="H48" s="84"/>
      <c r="I48" s="84"/>
      <c r="J48" s="84"/>
      <c r="K48" s="84"/>
      <c r="L48" s="84"/>
      <c r="M48" s="84"/>
      <c r="N48" s="84"/>
      <c r="O48" s="84"/>
    </row>
    <row r="49" spans="1:15" ht="20.25">
      <c r="A49" s="104"/>
      <c r="B49" s="104"/>
      <c r="C49" s="106"/>
      <c r="D49" s="106"/>
      <c r="E49" s="84"/>
      <c r="F49" s="84"/>
      <c r="G49" s="84"/>
      <c r="H49" s="84"/>
      <c r="I49" s="84"/>
      <c r="J49" s="84"/>
      <c r="K49" s="84"/>
      <c r="L49" s="84"/>
      <c r="M49" s="84"/>
      <c r="N49" s="84"/>
      <c r="O49" s="84"/>
    </row>
    <row r="50" spans="1:15" ht="20.25">
      <c r="A50" s="104"/>
      <c r="B50" s="104"/>
      <c r="C50" s="106"/>
      <c r="D50" s="106"/>
      <c r="E50" s="84"/>
      <c r="F50" s="84"/>
      <c r="G50" s="84"/>
      <c r="H50" s="84"/>
      <c r="I50" s="84"/>
      <c r="J50" s="84"/>
      <c r="K50" s="84"/>
      <c r="L50" s="84"/>
      <c r="M50" s="84"/>
      <c r="N50" s="84"/>
      <c r="O50" s="84"/>
    </row>
    <row r="51" spans="1:15" ht="20.25">
      <c r="A51" s="104"/>
      <c r="B51" s="104"/>
      <c r="C51" s="106"/>
      <c r="D51" s="106"/>
      <c r="E51" s="84"/>
      <c r="F51" s="84"/>
      <c r="G51" s="84"/>
      <c r="H51" s="84"/>
      <c r="I51" s="84"/>
      <c r="J51" s="84"/>
      <c r="K51" s="84"/>
      <c r="L51" s="84"/>
      <c r="M51" s="84"/>
      <c r="N51" s="84"/>
      <c r="O51" s="84"/>
    </row>
    <row r="52" spans="1:15" ht="20.25">
      <c r="A52" s="104"/>
      <c r="B52" s="23"/>
      <c r="C52" s="34"/>
      <c r="D52" s="34"/>
    </row>
    <row r="53" spans="1:15" ht="20.25">
      <c r="A53" s="104"/>
      <c r="B53" s="23"/>
      <c r="C53" s="34"/>
      <c r="D53" s="34"/>
    </row>
    <row r="54" spans="1:15" ht="20.25">
      <c r="A54" s="104"/>
      <c r="B54" s="23"/>
      <c r="C54" s="34"/>
      <c r="D54" s="34"/>
    </row>
    <row r="55" spans="1:15" ht="20.25">
      <c r="A55" s="104"/>
      <c r="B55" s="23"/>
      <c r="C55" s="34"/>
      <c r="D55" s="34"/>
    </row>
    <row r="56" spans="1:15" ht="20.25">
      <c r="A56" s="104"/>
      <c r="B56" s="23"/>
      <c r="C56" s="34"/>
      <c r="D56" s="34"/>
    </row>
    <row r="57" spans="1:15" ht="20.25">
      <c r="A57" s="104"/>
      <c r="B57" s="23"/>
      <c r="C57" s="34"/>
      <c r="D57" s="34"/>
    </row>
    <row r="58" spans="1:15" ht="20.25">
      <c r="A58" s="104"/>
      <c r="B58" s="23"/>
      <c r="C58" s="34"/>
      <c r="D58" s="34"/>
    </row>
    <row r="59" spans="1:15" ht="20.25">
      <c r="A59" s="104"/>
      <c r="B59" s="23"/>
      <c r="C59" s="34"/>
      <c r="D59" s="34"/>
    </row>
    <row r="60" spans="1:15" ht="20.25">
      <c r="A60" s="104"/>
      <c r="B60" s="23"/>
      <c r="C60" s="34"/>
      <c r="D60" s="34"/>
    </row>
    <row r="61" spans="1:15" ht="20.25">
      <c r="A61" s="104"/>
      <c r="B61" s="23"/>
      <c r="C61" s="34"/>
      <c r="D61" s="34"/>
    </row>
    <row r="62" spans="1:15" ht="20.25">
      <c r="A62" s="104"/>
      <c r="B62" s="23"/>
      <c r="C62" s="34"/>
      <c r="D62" s="34"/>
    </row>
    <row r="63" spans="1:15" ht="20.25">
      <c r="A63" s="104"/>
      <c r="B63" s="23"/>
      <c r="C63" s="34"/>
      <c r="D63" s="34"/>
    </row>
    <row r="64" spans="1:15" ht="20.25">
      <c r="A64" s="104"/>
      <c r="B64" s="23"/>
      <c r="C64" s="34"/>
      <c r="D64" s="34"/>
    </row>
    <row r="65" spans="1:4" ht="20.25">
      <c r="A65" s="104"/>
      <c r="B65" s="23"/>
      <c r="C65" s="34"/>
      <c r="D65" s="34"/>
    </row>
    <row r="66" spans="1:4" ht="20.25">
      <c r="A66" s="104"/>
      <c r="B66" s="23"/>
      <c r="C66" s="34"/>
      <c r="D66" s="34"/>
    </row>
    <row r="67" spans="1:4" ht="20.25">
      <c r="A67" s="104"/>
      <c r="B67" s="23"/>
      <c r="C67" s="34"/>
      <c r="D67" s="34"/>
    </row>
    <row r="68" spans="1:4" ht="20.25">
      <c r="A68" s="104"/>
      <c r="B68" s="23"/>
      <c r="C68" s="34"/>
      <c r="D68" s="34"/>
    </row>
    <row r="69" spans="1:4" ht="20.25">
      <c r="A69" s="104"/>
      <c r="B69" s="23"/>
      <c r="C69" s="34"/>
      <c r="D69" s="34"/>
    </row>
    <row r="70" spans="1:4" ht="20.25">
      <c r="A70" s="104"/>
      <c r="B70" s="23"/>
      <c r="C70" s="34"/>
      <c r="D70" s="34"/>
    </row>
    <row r="71" spans="1:4" ht="20.25">
      <c r="A71" s="104"/>
      <c r="B71" s="23"/>
      <c r="C71" s="34"/>
      <c r="D71" s="34"/>
    </row>
    <row r="72" spans="1:4" ht="20.25">
      <c r="A72" s="104"/>
      <c r="B72" s="23"/>
      <c r="C72" s="34"/>
      <c r="D72" s="34"/>
    </row>
    <row r="73" spans="1:4" ht="20.25">
      <c r="A73" s="104"/>
      <c r="B73" s="23"/>
      <c r="C73" s="34"/>
      <c r="D73" s="34"/>
    </row>
    <row r="74" spans="1:4" ht="20.25">
      <c r="A74" s="104"/>
      <c r="B74" s="23"/>
      <c r="C74" s="34"/>
      <c r="D74" s="34"/>
    </row>
    <row r="75" spans="1:4" ht="20.25">
      <c r="A75" s="104"/>
      <c r="B75" s="23"/>
      <c r="C75" s="34"/>
      <c r="D75" s="34"/>
    </row>
    <row r="76" spans="1:4" ht="20.25">
      <c r="A76" s="104"/>
      <c r="B76" s="23"/>
      <c r="C76" s="34"/>
      <c r="D76" s="34"/>
    </row>
    <row r="77" spans="1:4" ht="20.25">
      <c r="A77" s="104"/>
      <c r="B77" s="23"/>
      <c r="C77" s="34"/>
      <c r="D77" s="34"/>
    </row>
    <row r="78" spans="1:4" ht="20.25">
      <c r="A78" s="104"/>
      <c r="B78" s="23"/>
      <c r="C78" s="34"/>
      <c r="D78" s="34"/>
    </row>
    <row r="79" spans="1:4" ht="20.25">
      <c r="A79" s="104"/>
      <c r="B79" s="23"/>
      <c r="C79" s="34"/>
      <c r="D79" s="34"/>
    </row>
    <row r="80" spans="1:4" ht="20.25">
      <c r="A80" s="104"/>
      <c r="B80" s="23"/>
      <c r="C80" s="34"/>
      <c r="D80" s="34"/>
    </row>
    <row r="81" spans="1:4" ht="20.25">
      <c r="A81" s="104"/>
      <c r="B81" s="23"/>
      <c r="C81" s="34"/>
      <c r="D81" s="34"/>
    </row>
    <row r="82" spans="1:4" ht="20.25">
      <c r="A82" s="104"/>
      <c r="B82" s="23"/>
      <c r="C82" s="34"/>
      <c r="D82" s="34"/>
    </row>
    <row r="83" spans="1:4" ht="20.25">
      <c r="A83" s="104"/>
      <c r="B83" s="23"/>
      <c r="C83" s="34"/>
      <c r="D83" s="34"/>
    </row>
    <row r="84" spans="1:4" ht="20.25">
      <c r="A84" s="104"/>
      <c r="B84" s="23"/>
      <c r="C84" s="34"/>
      <c r="D84" s="34"/>
    </row>
    <row r="85" spans="1:4" ht="20.25">
      <c r="A85" s="104"/>
      <c r="B85" s="23"/>
      <c r="C85" s="34"/>
      <c r="D85" s="34"/>
    </row>
    <row r="86" spans="1:4" ht="20.25">
      <c r="A86" s="104"/>
      <c r="B86" s="23"/>
      <c r="C86" s="34"/>
      <c r="D86" s="34"/>
    </row>
    <row r="87" spans="1:4" ht="20.25">
      <c r="A87" s="104"/>
      <c r="B87" s="23"/>
      <c r="C87" s="34"/>
      <c r="D87" s="34"/>
    </row>
    <row r="88" spans="1:4" ht="20.25">
      <c r="A88" s="104"/>
      <c r="B88" s="23"/>
      <c r="C88" s="34"/>
      <c r="D88" s="34"/>
    </row>
    <row r="89" spans="1:4" ht="20.25">
      <c r="A89" s="104"/>
      <c r="B89" s="23"/>
      <c r="C89" s="34"/>
      <c r="D89" s="34"/>
    </row>
    <row r="90" spans="1:4" ht="20.25">
      <c r="A90" s="104"/>
      <c r="B90" s="23"/>
      <c r="C90" s="34"/>
      <c r="D90" s="34"/>
    </row>
    <row r="91" spans="1:4" ht="20.25">
      <c r="A91" s="104"/>
      <c r="B91" s="23"/>
      <c r="C91" s="34"/>
      <c r="D91" s="34"/>
    </row>
    <row r="92" spans="1:4" ht="20.25">
      <c r="A92" s="104"/>
      <c r="B92" s="23"/>
      <c r="C92" s="34"/>
      <c r="D92" s="34"/>
    </row>
    <row r="93" spans="1:4" ht="20.25">
      <c r="A93" s="104"/>
      <c r="B93" s="23"/>
      <c r="C93" s="34"/>
      <c r="D93" s="34"/>
    </row>
    <row r="94" spans="1:4" ht="20.25">
      <c r="A94" s="104"/>
      <c r="B94" s="23"/>
      <c r="C94" s="34"/>
      <c r="D94" s="34"/>
    </row>
    <row r="95" spans="1:4" ht="20.25">
      <c r="A95" s="104"/>
      <c r="B95" s="23"/>
      <c r="C95" s="34"/>
      <c r="D95" s="34"/>
    </row>
    <row r="96" spans="1:4" ht="20.25">
      <c r="A96" s="104"/>
      <c r="B96" s="23"/>
      <c r="C96" s="34"/>
      <c r="D96" s="34"/>
    </row>
    <row r="97" spans="1:4" ht="20.25">
      <c r="A97" s="104"/>
      <c r="B97" s="23"/>
      <c r="C97" s="34"/>
      <c r="D97" s="34"/>
    </row>
    <row r="98" spans="1:4" ht="20.25">
      <c r="A98" s="104"/>
      <c r="B98" s="23"/>
      <c r="C98" s="34"/>
      <c r="D98" s="34"/>
    </row>
    <row r="99" spans="1:4" ht="20.25">
      <c r="A99" s="104"/>
      <c r="B99" s="23"/>
      <c r="C99" s="34"/>
      <c r="D99" s="34"/>
    </row>
    <row r="100" spans="1:4" ht="20.25">
      <c r="A100" s="104"/>
      <c r="B100" s="23"/>
      <c r="C100" s="34"/>
      <c r="D100" s="34"/>
    </row>
    <row r="101" spans="1:4" ht="20.25">
      <c r="A101" s="104"/>
      <c r="B101" s="23"/>
      <c r="C101" s="34"/>
      <c r="D101" s="34"/>
    </row>
    <row r="102" spans="1:4" ht="20.25">
      <c r="A102" s="104"/>
      <c r="B102" s="23"/>
      <c r="C102" s="34"/>
      <c r="D102" s="34"/>
    </row>
    <row r="103" spans="1:4" ht="20.25">
      <c r="A103" s="104"/>
      <c r="B103" s="23"/>
      <c r="C103" s="34"/>
      <c r="D103" s="34"/>
    </row>
    <row r="104" spans="1:4" ht="20.25">
      <c r="A104" s="104"/>
      <c r="B104" s="23"/>
      <c r="C104" s="34"/>
      <c r="D104" s="34"/>
    </row>
    <row r="105" spans="1:4" ht="20.25">
      <c r="A105" s="104"/>
      <c r="B105" s="23"/>
      <c r="C105" s="34"/>
      <c r="D105" s="34"/>
    </row>
    <row r="106" spans="1:4" ht="20.25">
      <c r="A106" s="104"/>
      <c r="B106" s="23"/>
      <c r="C106" s="34"/>
      <c r="D106" s="34"/>
    </row>
    <row r="107" spans="1:4" ht="20.25">
      <c r="A107" s="104"/>
      <c r="B107" s="23"/>
      <c r="C107" s="34"/>
      <c r="D107" s="34"/>
    </row>
    <row r="108" spans="1:4" ht="20.25">
      <c r="A108" s="104"/>
      <c r="B108" s="23"/>
      <c r="C108" s="34"/>
      <c r="D108" s="34"/>
    </row>
    <row r="109" spans="1:4" ht="20.25">
      <c r="A109" s="104"/>
      <c r="B109" s="23"/>
      <c r="C109" s="34"/>
      <c r="D109" s="34"/>
    </row>
    <row r="110" spans="1:4" ht="20.25">
      <c r="A110" s="104"/>
      <c r="B110" s="23"/>
      <c r="C110" s="34"/>
      <c r="D110" s="34"/>
    </row>
    <row r="111" spans="1:4" ht="20.25">
      <c r="A111" s="104"/>
      <c r="B111" s="23"/>
      <c r="C111" s="34"/>
      <c r="D111" s="34"/>
    </row>
    <row r="112" spans="1:4" ht="20.25">
      <c r="A112" s="104"/>
      <c r="B112" s="23"/>
      <c r="C112" s="34"/>
      <c r="D112" s="34"/>
    </row>
    <row r="113" spans="1:4" ht="20.25">
      <c r="A113" s="104"/>
      <c r="B113" s="23"/>
      <c r="C113" s="34"/>
      <c r="D113" s="34"/>
    </row>
    <row r="114" spans="1:4" ht="20.25">
      <c r="A114" s="104"/>
      <c r="B114" s="23"/>
      <c r="C114" s="34"/>
      <c r="D114" s="34"/>
    </row>
    <row r="115" spans="1:4" ht="20.25">
      <c r="A115" s="104"/>
      <c r="B115" s="23"/>
      <c r="C115" s="34"/>
      <c r="D115" s="34"/>
    </row>
    <row r="116" spans="1:4" ht="20.25">
      <c r="A116" s="104"/>
      <c r="B116" s="23"/>
      <c r="C116" s="34"/>
      <c r="D116" s="34"/>
    </row>
    <row r="117" spans="1:4" ht="20.25">
      <c r="A117" s="104"/>
      <c r="B117" s="23"/>
      <c r="C117" s="34"/>
      <c r="D117" s="34"/>
    </row>
    <row r="118" spans="1:4" ht="20.25">
      <c r="A118" s="104"/>
      <c r="B118" s="23"/>
      <c r="C118" s="34"/>
      <c r="D118" s="34"/>
    </row>
    <row r="119" spans="1:4" ht="20.25">
      <c r="A119" s="104"/>
      <c r="B119" s="23"/>
      <c r="C119" s="34"/>
      <c r="D119" s="34"/>
    </row>
    <row r="120" spans="1:4" ht="20.25">
      <c r="A120" s="104"/>
      <c r="B120" s="23"/>
      <c r="C120" s="34"/>
      <c r="D120" s="34"/>
    </row>
    <row r="121" spans="1:4" ht="20.25">
      <c r="A121" s="104"/>
      <c r="B121" s="23"/>
      <c r="C121" s="34"/>
      <c r="D121" s="34"/>
    </row>
    <row r="122" spans="1:4" ht="20.25">
      <c r="A122" s="104"/>
      <c r="B122" s="23"/>
      <c r="C122" s="34"/>
      <c r="D122" s="34"/>
    </row>
    <row r="123" spans="1:4" ht="20.25">
      <c r="A123" s="104"/>
      <c r="B123" s="23"/>
      <c r="C123" s="34"/>
      <c r="D123" s="34"/>
    </row>
    <row r="124" spans="1:4" ht="20.25">
      <c r="A124" s="104"/>
      <c r="B124" s="23"/>
      <c r="C124" s="34"/>
      <c r="D124" s="34"/>
    </row>
    <row r="125" spans="1:4" ht="20.25">
      <c r="A125" s="104"/>
      <c r="B125" s="23"/>
      <c r="C125" s="34"/>
      <c r="D125" s="34"/>
    </row>
    <row r="126" spans="1:4" ht="20.25">
      <c r="A126" s="104"/>
      <c r="B126" s="23"/>
      <c r="C126" s="34"/>
      <c r="D126" s="34"/>
    </row>
    <row r="127" spans="1:4" ht="20.25">
      <c r="A127" s="104"/>
      <c r="B127" s="23"/>
      <c r="C127" s="34"/>
      <c r="D127" s="34"/>
    </row>
    <row r="128" spans="1:4" ht="20.25">
      <c r="A128" s="104"/>
      <c r="B128" s="23"/>
      <c r="C128" s="34"/>
      <c r="D128" s="34"/>
    </row>
    <row r="129" spans="1:4" ht="20.25">
      <c r="A129" s="104"/>
      <c r="B129" s="23"/>
      <c r="C129" s="34"/>
      <c r="D129" s="34"/>
    </row>
    <row r="130" spans="1:4" ht="20.25">
      <c r="A130" s="104"/>
      <c r="B130" s="23"/>
      <c r="C130" s="34"/>
      <c r="D130" s="34"/>
    </row>
    <row r="131" spans="1:4" ht="20.25">
      <c r="A131" s="104"/>
      <c r="B131" s="23"/>
      <c r="C131" s="34"/>
      <c r="D131" s="34"/>
    </row>
    <row r="132" spans="1:4" ht="20.25">
      <c r="A132" s="104"/>
      <c r="B132" s="23"/>
      <c r="C132" s="34"/>
      <c r="D132" s="34"/>
    </row>
    <row r="133" spans="1:4" ht="20.25">
      <c r="A133" s="104"/>
      <c r="B133" s="23"/>
      <c r="C133" s="34"/>
      <c r="D133" s="34"/>
    </row>
    <row r="134" spans="1:4" ht="20.25">
      <c r="A134" s="104"/>
      <c r="B134" s="23"/>
      <c r="C134" s="34"/>
      <c r="D134" s="34"/>
    </row>
    <row r="135" spans="1:4" ht="20.25">
      <c r="A135" s="104"/>
      <c r="B135" s="23"/>
      <c r="C135" s="34"/>
      <c r="D135" s="34"/>
    </row>
    <row r="136" spans="1:4" ht="20.25">
      <c r="A136" s="104"/>
      <c r="B136" s="23"/>
      <c r="C136" s="34"/>
      <c r="D136" s="34"/>
    </row>
    <row r="137" spans="1:4" ht="20.25">
      <c r="A137" s="104"/>
      <c r="B137" s="23"/>
      <c r="C137" s="34"/>
      <c r="D137" s="34"/>
    </row>
    <row r="138" spans="1:4" ht="20.25">
      <c r="A138" s="104"/>
      <c r="B138" s="23"/>
      <c r="C138" s="34"/>
      <c r="D138" s="34"/>
    </row>
    <row r="139" spans="1:4" ht="20.25">
      <c r="A139" s="104"/>
      <c r="B139" s="23"/>
      <c r="C139" s="34"/>
      <c r="D139" s="34"/>
    </row>
    <row r="140" spans="1:4" ht="20.25">
      <c r="A140" s="104"/>
      <c r="B140" s="23"/>
      <c r="C140" s="34"/>
      <c r="D140" s="34"/>
    </row>
    <row r="141" spans="1:4" ht="20.25">
      <c r="A141" s="104"/>
      <c r="B141" s="23"/>
      <c r="C141" s="34"/>
      <c r="D141" s="34"/>
    </row>
    <row r="142" spans="1:4" ht="20.25">
      <c r="A142" s="104"/>
      <c r="B142" s="23"/>
      <c r="C142" s="34"/>
      <c r="D142" s="34"/>
    </row>
    <row r="143" spans="1:4" ht="20.25">
      <c r="A143" s="104"/>
      <c r="B143" s="23"/>
      <c r="C143" s="34"/>
      <c r="D143" s="34"/>
    </row>
    <row r="144" spans="1:4" ht="20.25">
      <c r="A144" s="104"/>
      <c r="B144" s="23"/>
      <c r="C144" s="34"/>
      <c r="D144" s="34"/>
    </row>
    <row r="145" spans="1:4" ht="20.25">
      <c r="A145" s="104"/>
      <c r="B145" s="23"/>
      <c r="C145" s="34"/>
      <c r="D145" s="34"/>
    </row>
    <row r="146" spans="1:4" ht="20.25">
      <c r="A146" s="104"/>
      <c r="B146" s="23"/>
      <c r="C146" s="34"/>
      <c r="D146" s="34"/>
    </row>
    <row r="147" spans="1:4" ht="20.25">
      <c r="A147" s="104"/>
      <c r="B147" s="23"/>
      <c r="C147" s="34"/>
      <c r="D147" s="34"/>
    </row>
    <row r="148" spans="1:4" ht="20.25">
      <c r="A148" s="104"/>
      <c r="B148" s="23"/>
      <c r="C148" s="34"/>
      <c r="D148" s="34"/>
    </row>
    <row r="149" spans="1:4" ht="20.25">
      <c r="A149" s="104"/>
      <c r="B149" s="23"/>
      <c r="C149" s="34"/>
      <c r="D149" s="34"/>
    </row>
    <row r="150" spans="1:4" ht="20.25">
      <c r="A150" s="104"/>
      <c r="B150" s="23"/>
      <c r="C150" s="34"/>
      <c r="D150" s="34"/>
    </row>
    <row r="151" spans="1:4" ht="20.25">
      <c r="A151" s="104"/>
      <c r="B151" s="23"/>
      <c r="C151" s="34"/>
      <c r="D151" s="34"/>
    </row>
    <row r="152" spans="1:4" ht="20.25">
      <c r="A152" s="104"/>
      <c r="B152" s="23"/>
      <c r="C152" s="34"/>
      <c r="D152" s="34"/>
    </row>
    <row r="153" spans="1:4" ht="20.25">
      <c r="A153" s="104"/>
      <c r="B153" s="23"/>
      <c r="C153" s="34"/>
      <c r="D153" s="34"/>
    </row>
    <row r="154" spans="1:4" ht="20.25">
      <c r="A154" s="104"/>
      <c r="B154" s="23"/>
      <c r="C154" s="34"/>
      <c r="D154" s="34"/>
    </row>
    <row r="155" spans="1:4" ht="20.25">
      <c r="A155" s="104"/>
      <c r="B155" s="23"/>
      <c r="C155" s="34"/>
      <c r="D155" s="34"/>
    </row>
    <row r="156" spans="1:4" ht="20.25">
      <c r="A156" s="104"/>
      <c r="B156" s="23"/>
      <c r="C156" s="34"/>
      <c r="D156" s="34"/>
    </row>
    <row r="157" spans="1:4" ht="20.25">
      <c r="A157" s="104"/>
      <c r="B157" s="23"/>
      <c r="C157" s="34"/>
      <c r="D157" s="34"/>
    </row>
    <row r="158" spans="1:4" ht="20.25">
      <c r="A158" s="104"/>
      <c r="B158" s="23"/>
      <c r="C158" s="34"/>
      <c r="D158" s="34"/>
    </row>
    <row r="159" spans="1:4" ht="20.25">
      <c r="A159" s="104"/>
      <c r="B159" s="23"/>
      <c r="C159" s="34"/>
      <c r="D159" s="34"/>
    </row>
    <row r="160" spans="1:4" ht="20.25">
      <c r="A160" s="104"/>
      <c r="B160" s="23"/>
      <c r="C160" s="34"/>
      <c r="D160" s="34"/>
    </row>
    <row r="161" spans="1:4" ht="20.25">
      <c r="A161" s="104"/>
      <c r="B161" s="23"/>
      <c r="C161" s="34"/>
      <c r="D161" s="34"/>
    </row>
    <row r="162" spans="1:4" ht="20.25">
      <c r="A162" s="104"/>
      <c r="B162" s="23"/>
      <c r="C162" s="34"/>
      <c r="D162" s="34"/>
    </row>
    <row r="163" spans="1:4" ht="20.25">
      <c r="A163" s="104"/>
      <c r="B163" s="23"/>
      <c r="C163" s="34"/>
      <c r="D163" s="34"/>
    </row>
    <row r="164" spans="1:4" ht="20.25">
      <c r="A164" s="104"/>
      <c r="B164" s="23"/>
      <c r="C164" s="34"/>
      <c r="D164" s="34"/>
    </row>
    <row r="165" spans="1:4" ht="20.25">
      <c r="A165" s="104"/>
      <c r="B165" s="23"/>
      <c r="C165" s="34"/>
      <c r="D165" s="34"/>
    </row>
    <row r="166" spans="1:4" ht="20.25">
      <c r="A166" s="104"/>
      <c r="B166" s="23"/>
      <c r="C166" s="34"/>
      <c r="D166" s="34"/>
    </row>
    <row r="167" spans="1:4" ht="20.25">
      <c r="A167" s="104"/>
      <c r="B167" s="23"/>
      <c r="C167" s="34"/>
      <c r="D167" s="34"/>
    </row>
    <row r="168" spans="1:4" ht="20.25">
      <c r="A168" s="104"/>
      <c r="B168" s="23"/>
      <c r="C168" s="34"/>
      <c r="D168" s="34"/>
    </row>
    <row r="169" spans="1:4" ht="20.25">
      <c r="A169" s="104"/>
      <c r="B169" s="23"/>
      <c r="C169" s="34"/>
      <c r="D169" s="34"/>
    </row>
    <row r="170" spans="1:4" ht="20.25">
      <c r="A170" s="104"/>
      <c r="B170" s="23"/>
      <c r="C170" s="34"/>
      <c r="D170" s="34"/>
    </row>
    <row r="171" spans="1:4" ht="20.25">
      <c r="A171" s="104"/>
      <c r="B171" s="23"/>
      <c r="C171" s="34"/>
      <c r="D171" s="34"/>
    </row>
    <row r="172" spans="1:4" ht="20.25">
      <c r="A172" s="104"/>
      <c r="B172" s="23"/>
      <c r="C172" s="34"/>
      <c r="D172" s="34"/>
    </row>
    <row r="173" spans="1:4" ht="20.25">
      <c r="A173" s="104"/>
      <c r="B173" s="23"/>
      <c r="C173" s="34"/>
      <c r="D173" s="34"/>
    </row>
    <row r="174" spans="1:4" ht="20.25">
      <c r="A174" s="104"/>
      <c r="B174" s="23"/>
      <c r="C174" s="34"/>
      <c r="D174" s="34"/>
    </row>
    <row r="175" spans="1:4" ht="20.25">
      <c r="A175" s="104"/>
      <c r="B175" s="23"/>
      <c r="C175" s="34"/>
      <c r="D175" s="34"/>
    </row>
    <row r="176" spans="1:4" ht="20.25">
      <c r="A176" s="104"/>
      <c r="B176" s="23"/>
      <c r="C176" s="34"/>
      <c r="D176" s="34"/>
    </row>
    <row r="177" spans="1:4" ht="20.25">
      <c r="A177" s="104"/>
      <c r="B177" s="23"/>
      <c r="C177" s="34"/>
      <c r="D177" s="34"/>
    </row>
    <row r="178" spans="1:4" ht="20.25">
      <c r="A178" s="104"/>
      <c r="B178" s="23"/>
      <c r="C178" s="34"/>
      <c r="D178" s="34"/>
    </row>
    <row r="179" spans="1:4" ht="20.25">
      <c r="A179" s="104"/>
      <c r="B179" s="23"/>
      <c r="C179" s="34"/>
      <c r="D179" s="34"/>
    </row>
    <row r="180" spans="1:4" ht="20.25">
      <c r="A180" s="104"/>
      <c r="B180" s="23"/>
      <c r="C180" s="34"/>
      <c r="D180" s="34"/>
    </row>
    <row r="181" spans="1:4" ht="20.25">
      <c r="A181" s="104"/>
      <c r="B181" s="23"/>
      <c r="C181" s="34"/>
      <c r="D181" s="34"/>
    </row>
    <row r="182" spans="1:4" ht="20.25">
      <c r="A182" s="104"/>
      <c r="B182" s="23"/>
      <c r="C182" s="34"/>
      <c r="D182" s="34"/>
    </row>
    <row r="183" spans="1:4" ht="20.25">
      <c r="A183" s="104"/>
      <c r="B183" s="23"/>
      <c r="C183" s="34"/>
      <c r="D183" s="34"/>
    </row>
    <row r="184" spans="1:4" ht="20.25">
      <c r="A184" s="104"/>
      <c r="B184" s="23"/>
      <c r="C184" s="34"/>
      <c r="D184" s="34"/>
    </row>
    <row r="185" spans="1:4" ht="20.25">
      <c r="A185" s="104"/>
      <c r="B185" s="23"/>
      <c r="C185" s="34"/>
      <c r="D185" s="34"/>
    </row>
    <row r="186" spans="1:4" ht="20.25">
      <c r="A186" s="104"/>
      <c r="B186" s="23"/>
      <c r="C186" s="34"/>
      <c r="D186" s="34"/>
    </row>
    <row r="187" spans="1:4" ht="20.25">
      <c r="A187" s="104"/>
      <c r="B187" s="23"/>
      <c r="C187" s="34"/>
      <c r="D187" s="34"/>
    </row>
    <row r="188" spans="1:4" ht="20.25">
      <c r="A188" s="104"/>
      <c r="B188" s="23"/>
      <c r="C188" s="34"/>
      <c r="D188" s="34"/>
    </row>
    <row r="189" spans="1:4" ht="20.25">
      <c r="A189" s="104"/>
      <c r="B189" s="23"/>
      <c r="C189" s="34"/>
      <c r="D189" s="34"/>
    </row>
    <row r="190" spans="1:4" ht="20.25">
      <c r="A190" s="104"/>
      <c r="B190" s="23"/>
      <c r="C190" s="34"/>
      <c r="D190" s="34"/>
    </row>
    <row r="191" spans="1:4" ht="20.25">
      <c r="A191" s="104"/>
      <c r="B191" s="23"/>
      <c r="C191" s="34"/>
      <c r="D191" s="34"/>
    </row>
    <row r="192" spans="1:4" ht="20.25">
      <c r="A192" s="104"/>
      <c r="B192" s="23"/>
      <c r="C192" s="34"/>
      <c r="D192" s="34"/>
    </row>
    <row r="193" spans="1:4" ht="20.25">
      <c r="A193" s="104"/>
      <c r="B193" s="23"/>
      <c r="C193" s="34"/>
      <c r="D193" s="34"/>
    </row>
    <row r="194" spans="1:4" ht="20.25">
      <c r="A194" s="104"/>
      <c r="B194" s="23"/>
      <c r="C194" s="34"/>
      <c r="D194" s="34"/>
    </row>
    <row r="195" spans="1:4" ht="20.25">
      <c r="A195" s="104"/>
      <c r="B195" s="23"/>
      <c r="C195" s="34"/>
      <c r="D195" s="34"/>
    </row>
    <row r="196" spans="1:4" ht="20.25">
      <c r="A196" s="104"/>
      <c r="B196" s="23"/>
      <c r="C196" s="34"/>
      <c r="D196" s="34"/>
    </row>
    <row r="197" spans="1:4" ht="20.25">
      <c r="A197" s="104"/>
      <c r="B197" s="23"/>
      <c r="C197" s="34"/>
      <c r="D197" s="34"/>
    </row>
    <row r="198" spans="1:4" ht="20.25">
      <c r="A198" s="104"/>
      <c r="B198" s="23"/>
      <c r="C198" s="34"/>
      <c r="D198" s="34"/>
    </row>
    <row r="199" spans="1:4" ht="20.25">
      <c r="A199" s="104"/>
      <c r="B199" s="23"/>
      <c r="C199" s="34"/>
      <c r="D199" s="34"/>
    </row>
    <row r="200" spans="1:4" ht="20.25">
      <c r="A200" s="104"/>
      <c r="B200" s="23"/>
      <c r="C200" s="34"/>
      <c r="D200" s="34"/>
    </row>
    <row r="201" spans="1:4" ht="20.25">
      <c r="A201" s="104"/>
      <c r="B201" s="23"/>
      <c r="C201" s="34"/>
      <c r="D201" s="34"/>
    </row>
    <row r="202" spans="1:4" ht="20.25">
      <c r="A202" s="104"/>
      <c r="B202" s="23"/>
      <c r="C202" s="34"/>
      <c r="D202" s="34"/>
    </row>
    <row r="203" spans="1:4" ht="20.25">
      <c r="A203" s="104"/>
      <c r="B203" s="23"/>
      <c r="C203" s="34"/>
      <c r="D203" s="34"/>
    </row>
    <row r="204" spans="1:4" ht="20.25">
      <c r="A204" s="104"/>
      <c r="B204" s="23"/>
      <c r="C204" s="34"/>
      <c r="D204" s="34"/>
    </row>
    <row r="205" spans="1:4" ht="20.25">
      <c r="A205" s="104"/>
      <c r="B205" s="23"/>
      <c r="C205" s="34"/>
      <c r="D205" s="34"/>
    </row>
    <row r="206" spans="1:4" ht="20.25">
      <c r="A206" s="104"/>
      <c r="B206" s="23"/>
      <c r="C206" s="34"/>
      <c r="D206" s="34"/>
    </row>
    <row r="207" spans="1:4" ht="20.25">
      <c r="A207" s="104"/>
      <c r="B207" s="23"/>
      <c r="C207" s="34"/>
      <c r="D207" s="34"/>
    </row>
    <row r="208" spans="1:4">
      <c r="A208" s="84"/>
      <c r="B208" s="23"/>
      <c r="C208" s="23"/>
      <c r="D208" s="23"/>
    </row>
    <row r="209" spans="1:8" ht="20.25">
      <c r="A209" s="84"/>
      <c r="B209" s="30" t="s">
        <v>88</v>
      </c>
      <c r="C209" s="30" t="s">
        <v>144</v>
      </c>
      <c r="D209" s="33" t="s">
        <v>88</v>
      </c>
      <c r="E209" s="33" t="s">
        <v>144</v>
      </c>
    </row>
    <row r="210" spans="1:8" ht="21">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c r="A211" s="84"/>
      <c r="B211" s="31" t="s">
        <v>90</v>
      </c>
      <c r="C211" s="31" t="s">
        <v>93</v>
      </c>
      <c r="E211" t="s">
        <v>58</v>
      </c>
      <c r="F211" t="str">
        <f t="shared" ref="F211:F221" si="0">IF(NOT(ISBLANK(D211)),D211,IF(NOT(ISBLANK(E211)),"     "&amp;E211,FALSE))</f>
        <v xml:space="preserve">     Afectación menor a 10 SMLMV .</v>
      </c>
    </row>
    <row r="212" spans="1:8" ht="21">
      <c r="A212" s="84"/>
      <c r="B212" s="31" t="s">
        <v>90</v>
      </c>
      <c r="C212" s="31" t="s">
        <v>94</v>
      </c>
      <c r="E212" t="s">
        <v>93</v>
      </c>
      <c r="F212" t="str">
        <f t="shared" si="0"/>
        <v xml:space="preserve">     Entre 10 y 50 SMLMV </v>
      </c>
    </row>
    <row r="213" spans="1:8" ht="21">
      <c r="A213" s="84"/>
      <c r="B213" s="31" t="s">
        <v>90</v>
      </c>
      <c r="C213" s="31" t="s">
        <v>95</v>
      </c>
      <c r="E213" t="s">
        <v>94</v>
      </c>
      <c r="F213" t="str">
        <f t="shared" si="0"/>
        <v xml:space="preserve">     Entre 50 y 100 SMLMV </v>
      </c>
    </row>
    <row r="214" spans="1:8" ht="21">
      <c r="A214" s="84"/>
      <c r="B214" s="31" t="s">
        <v>90</v>
      </c>
      <c r="C214" s="31" t="s">
        <v>96</v>
      </c>
      <c r="E214" t="s">
        <v>95</v>
      </c>
      <c r="F214" t="str">
        <f t="shared" si="0"/>
        <v xml:space="preserve">     Entre 100 y 500 SMLMV </v>
      </c>
    </row>
    <row r="215" spans="1:8" ht="21">
      <c r="A215" s="84"/>
      <c r="B215" s="31" t="s">
        <v>57</v>
      </c>
      <c r="C215" s="31" t="s">
        <v>97</v>
      </c>
      <c r="E215" t="s">
        <v>96</v>
      </c>
      <c r="F215" t="str">
        <f t="shared" si="0"/>
        <v xml:space="preserve">     Mayor a 500 SMLMV </v>
      </c>
    </row>
    <row r="216" spans="1:8" ht="21">
      <c r="A216" s="84"/>
      <c r="B216" s="31" t="s">
        <v>57</v>
      </c>
      <c r="C216" s="31" t="s">
        <v>98</v>
      </c>
      <c r="D216" t="s">
        <v>57</v>
      </c>
      <c r="F216" t="str">
        <f t="shared" si="0"/>
        <v>Pérdida Reputacional</v>
      </c>
    </row>
    <row r="217" spans="1:8" ht="21">
      <c r="A217" s="84"/>
      <c r="B217" s="31" t="s">
        <v>57</v>
      </c>
      <c r="C217" s="31" t="s">
        <v>100</v>
      </c>
      <c r="E217" t="s">
        <v>97</v>
      </c>
      <c r="F217" t="str">
        <f t="shared" si="0"/>
        <v xml:space="preserve">     El riesgo afecta la imagen de alguna área de la organización</v>
      </c>
    </row>
    <row r="218" spans="1:8" ht="21">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c r="A219" s="84"/>
      <c r="B219" s="31" t="s">
        <v>57</v>
      </c>
      <c r="C219" s="31" t="s">
        <v>118</v>
      </c>
      <c r="E219" t="s">
        <v>100</v>
      </c>
      <c r="F219" t="str">
        <f t="shared" si="0"/>
        <v xml:space="preserve">     El riesgo afecta la imagen de la entidad con algunos usuarios de relevancia frente al logro de los objetivos</v>
      </c>
    </row>
    <row r="220" spans="1:8">
      <c r="A220" s="84"/>
      <c r="B220" s="32"/>
      <c r="C220" s="32"/>
      <c r="E220" t="s">
        <v>99</v>
      </c>
      <c r="F220" t="str">
        <f t="shared" si="0"/>
        <v xml:space="preserve">     El riesgo afecta la imagen de de la entidad con efecto publicitario sostenido a nivel de sector administrativo, nivel departamental o municipal</v>
      </c>
    </row>
    <row r="221" spans="1:8">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c r="A222" s="84"/>
      <c r="B222" s="32" t="e">
        <f ca="1"/>
        <v>#NAME?</v>
      </c>
      <c r="C222" s="32"/>
    </row>
    <row r="223" spans="1:8">
      <c r="B223" s="32" t="e">
        <f ca="1"/>
        <v>#NAME?</v>
      </c>
      <c r="C223" s="32"/>
      <c r="F223" s="35" t="s">
        <v>146</v>
      </c>
    </row>
    <row r="224" spans="1:8">
      <c r="B224" s="22"/>
      <c r="C224" s="22"/>
      <c r="F224" s="35" t="s">
        <v>147</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theme="7" tint="-0.249977111117893"/>
  </sheetPr>
  <dimension ref="B1:F16"/>
  <sheetViews>
    <sheetView workbookViewId="0">
      <selection activeCell="E7" sqref="E7"/>
    </sheetView>
  </sheetViews>
  <sheetFormatPr baseColWidth="10" defaultColWidth="14.28515625" defaultRowHeight="12.75"/>
  <cols>
    <col min="1" max="2" width="14.28515625" style="89"/>
    <col min="3" max="3" width="17" style="89" customWidth="1"/>
    <col min="4" max="4" width="14.28515625" style="89"/>
    <col min="5" max="5" width="46" style="89" customWidth="1"/>
    <col min="6" max="16384" width="14.28515625" style="89"/>
  </cols>
  <sheetData>
    <row r="1" spans="2:6" ht="24" customHeight="1" thickBot="1">
      <c r="B1" s="444" t="s">
        <v>78</v>
      </c>
      <c r="C1" s="445"/>
      <c r="D1" s="445"/>
      <c r="E1" s="445"/>
      <c r="F1" s="446"/>
    </row>
    <row r="2" spans="2:6" ht="16.5" thickBot="1">
      <c r="B2" s="90"/>
      <c r="C2" s="90"/>
      <c r="D2" s="90"/>
      <c r="E2" s="90"/>
      <c r="F2" s="90"/>
    </row>
    <row r="3" spans="2:6" ht="16.5" thickBot="1">
      <c r="B3" s="448" t="s">
        <v>64</v>
      </c>
      <c r="C3" s="449"/>
      <c r="D3" s="449"/>
      <c r="E3" s="102" t="s">
        <v>65</v>
      </c>
      <c r="F3" s="103" t="s">
        <v>66</v>
      </c>
    </row>
    <row r="4" spans="2:6" ht="31.5">
      <c r="B4" s="450" t="s">
        <v>67</v>
      </c>
      <c r="C4" s="452" t="s">
        <v>13</v>
      </c>
      <c r="D4" s="91" t="s">
        <v>14</v>
      </c>
      <c r="E4" s="92" t="s">
        <v>68</v>
      </c>
      <c r="F4" s="93">
        <v>0.25</v>
      </c>
    </row>
    <row r="5" spans="2:6" ht="47.25">
      <c r="B5" s="451"/>
      <c r="C5" s="453"/>
      <c r="D5" s="94" t="s">
        <v>15</v>
      </c>
      <c r="E5" s="95" t="s">
        <v>69</v>
      </c>
      <c r="F5" s="96">
        <v>0.15</v>
      </c>
    </row>
    <row r="6" spans="2:6" ht="47.25">
      <c r="B6" s="451"/>
      <c r="C6" s="453"/>
      <c r="D6" s="94" t="s">
        <v>16</v>
      </c>
      <c r="E6" s="95" t="s">
        <v>70</v>
      </c>
      <c r="F6" s="96">
        <v>0.1</v>
      </c>
    </row>
    <row r="7" spans="2:6" ht="63">
      <c r="B7" s="451"/>
      <c r="C7" s="453" t="s">
        <v>17</v>
      </c>
      <c r="D7" s="94" t="s">
        <v>10</v>
      </c>
      <c r="E7" s="95" t="s">
        <v>71</v>
      </c>
      <c r="F7" s="96">
        <v>0.25</v>
      </c>
    </row>
    <row r="8" spans="2:6" ht="31.5">
      <c r="B8" s="451"/>
      <c r="C8" s="453"/>
      <c r="D8" s="94" t="s">
        <v>9</v>
      </c>
      <c r="E8" s="95" t="s">
        <v>72</v>
      </c>
      <c r="F8" s="96">
        <v>0.15</v>
      </c>
    </row>
    <row r="9" spans="2:6" ht="47.25">
      <c r="B9" s="451" t="s">
        <v>161</v>
      </c>
      <c r="C9" s="453" t="s">
        <v>18</v>
      </c>
      <c r="D9" s="94" t="s">
        <v>19</v>
      </c>
      <c r="E9" s="95" t="s">
        <v>73</v>
      </c>
      <c r="F9" s="97" t="s">
        <v>74</v>
      </c>
    </row>
    <row r="10" spans="2:6" ht="63">
      <c r="B10" s="451"/>
      <c r="C10" s="453"/>
      <c r="D10" s="94" t="s">
        <v>20</v>
      </c>
      <c r="E10" s="95" t="s">
        <v>75</v>
      </c>
      <c r="F10" s="97" t="s">
        <v>74</v>
      </c>
    </row>
    <row r="11" spans="2:6" ht="47.25">
      <c r="B11" s="451"/>
      <c r="C11" s="453" t="s">
        <v>21</v>
      </c>
      <c r="D11" s="94" t="s">
        <v>22</v>
      </c>
      <c r="E11" s="95" t="s">
        <v>76</v>
      </c>
      <c r="F11" s="97" t="s">
        <v>74</v>
      </c>
    </row>
    <row r="12" spans="2:6" ht="47.25">
      <c r="B12" s="451"/>
      <c r="C12" s="453"/>
      <c r="D12" s="94" t="s">
        <v>23</v>
      </c>
      <c r="E12" s="95" t="s">
        <v>77</v>
      </c>
      <c r="F12" s="97" t="s">
        <v>74</v>
      </c>
    </row>
    <row r="13" spans="2:6" ht="31.5">
      <c r="B13" s="451"/>
      <c r="C13" s="453" t="s">
        <v>24</v>
      </c>
      <c r="D13" s="94" t="s">
        <v>119</v>
      </c>
      <c r="E13" s="95" t="s">
        <v>122</v>
      </c>
      <c r="F13" s="97" t="s">
        <v>74</v>
      </c>
    </row>
    <row r="14" spans="2:6" ht="32.25" thickBot="1">
      <c r="B14" s="454"/>
      <c r="C14" s="455"/>
      <c r="D14" s="98" t="s">
        <v>120</v>
      </c>
      <c r="E14" s="99" t="s">
        <v>121</v>
      </c>
      <c r="F14" s="100" t="s">
        <v>74</v>
      </c>
    </row>
    <row r="15" spans="2:6" ht="49.5" customHeight="1">
      <c r="B15" s="447" t="s">
        <v>158</v>
      </c>
      <c r="C15" s="447"/>
      <c r="D15" s="447"/>
      <c r="E15" s="447"/>
      <c r="F15" s="447"/>
    </row>
    <row r="16" spans="2:6" ht="27" customHeight="1">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B2:E19"/>
  <sheetViews>
    <sheetView topLeftCell="A4" workbookViewId="0">
      <selection activeCell="B13" sqref="B13:B19"/>
    </sheetView>
  </sheetViews>
  <sheetFormatPr baseColWidth="10" defaultRowHeight="15"/>
  <sheetData>
    <row r="2" spans="2:5">
      <c r="B2" t="s">
        <v>31</v>
      </c>
      <c r="E2" t="s">
        <v>133</v>
      </c>
    </row>
    <row r="3" spans="2:5">
      <c r="B3" t="s">
        <v>32</v>
      </c>
      <c r="E3" t="s">
        <v>132</v>
      </c>
    </row>
    <row r="4" spans="2:5">
      <c r="B4" t="s">
        <v>137</v>
      </c>
      <c r="E4" t="s">
        <v>134</v>
      </c>
    </row>
    <row r="5" spans="2:5">
      <c r="B5" t="s">
        <v>136</v>
      </c>
    </row>
    <row r="8" spans="2:5">
      <c r="B8" t="s">
        <v>86</v>
      </c>
    </row>
    <row r="9" spans="2:5">
      <c r="B9" t="s">
        <v>40</v>
      </c>
    </row>
    <row r="10" spans="2:5">
      <c r="B10" t="s">
        <v>41</v>
      </c>
    </row>
    <row r="13" spans="2:5">
      <c r="B13" t="s">
        <v>129</v>
      </c>
    </row>
    <row r="14" spans="2:5">
      <c r="B14" t="s">
        <v>123</v>
      </c>
    </row>
    <row r="15" spans="2:5">
      <c r="B15" t="s">
        <v>126</v>
      </c>
    </row>
    <row r="16" spans="2:5">
      <c r="B16" t="s">
        <v>124</v>
      </c>
    </row>
    <row r="17" spans="2:2">
      <c r="B17" t="s">
        <v>125</v>
      </c>
    </row>
    <row r="18" spans="2:2">
      <c r="B18" t="s">
        <v>127</v>
      </c>
    </row>
    <row r="19" spans="2:2">
      <c r="B19" t="s">
        <v>128</v>
      </c>
    </row>
  </sheetData>
  <sortState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3:A21"/>
  <sheetViews>
    <sheetView workbookViewId="0">
      <selection activeCell="A19" sqref="A19"/>
    </sheetView>
  </sheetViews>
  <sheetFormatPr baseColWidth="10" defaultColWidth="11.42578125" defaultRowHeight="12.75"/>
  <cols>
    <col min="1" max="1" width="32.85546875" style="9" customWidth="1"/>
    <col min="2" max="16384" width="11.42578125" style="9"/>
  </cols>
  <sheetData>
    <row r="3" spans="1:1">
      <c r="A3" s="10" t="s">
        <v>14</v>
      </c>
    </row>
    <row r="4" spans="1:1">
      <c r="A4" s="10" t="s">
        <v>15</v>
      </c>
    </row>
    <row r="5" spans="1:1">
      <c r="A5" s="10" t="s">
        <v>16</v>
      </c>
    </row>
    <row r="6" spans="1:1">
      <c r="A6" s="10" t="s">
        <v>10</v>
      </c>
    </row>
    <row r="7" spans="1:1">
      <c r="A7" s="10" t="s">
        <v>9</v>
      </c>
    </row>
    <row r="8" spans="1:1">
      <c r="A8" s="10" t="s">
        <v>19</v>
      </c>
    </row>
    <row r="9" spans="1:1">
      <c r="A9" s="10" t="s">
        <v>20</v>
      </c>
    </row>
    <row r="10" spans="1:1">
      <c r="A10" s="10" t="s">
        <v>22</v>
      </c>
    </row>
    <row r="11" spans="1:1">
      <c r="A11" s="10" t="s">
        <v>23</v>
      </c>
    </row>
    <row r="12" spans="1:1">
      <c r="A12" s="10" t="s">
        <v>25</v>
      </c>
    </row>
    <row r="13" spans="1:1">
      <c r="A13" s="10" t="s">
        <v>26</v>
      </c>
    </row>
    <row r="14" spans="1:1">
      <c r="A14" s="10" t="s">
        <v>27</v>
      </c>
    </row>
    <row r="16" spans="1:1">
      <c r="A16" s="10" t="s">
        <v>30</v>
      </c>
    </row>
    <row r="17" spans="1:1">
      <c r="A17" s="10" t="s">
        <v>31</v>
      </c>
    </row>
    <row r="18" spans="1:1">
      <c r="A18" s="10" t="s">
        <v>32</v>
      </c>
    </row>
    <row r="20" spans="1:1">
      <c r="A20" s="10" t="s">
        <v>40</v>
      </c>
    </row>
    <row r="21" spans="1:1">
      <c r="A21" s="10"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AUXPLANEACION03</cp:lastModifiedBy>
  <cp:lastPrinted>2020-05-13T01:12:22Z</cp:lastPrinted>
  <dcterms:created xsi:type="dcterms:W3CDTF">2020-03-24T23:12:47Z</dcterms:created>
  <dcterms:modified xsi:type="dcterms:W3CDTF">2025-07-17T20:30:02Z</dcterms:modified>
</cp:coreProperties>
</file>